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WA\2021 Dockets\UE-21XXXX LIRF\7-1-21 Application\Working docs\Meredith\"/>
    </mc:Choice>
  </mc:AlternateContent>
  <xr:revisionPtr revIDLastSave="0" documentId="8_{DBB05712-A370-4D32-8662-DFBB816F1EED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Exhibit No.__(RMM-2)pg1" sheetId="12882" r:id="rId1"/>
    <sheet name="Exhibit No.__(RMM-2)pg2" sheetId="12783" r:id="rId2"/>
    <sheet name="Exhibit No.__(RMM-3)" sheetId="12843" r:id="rId3"/>
    <sheet name="Exhibit No.__(RMM-4) p1" sheetId="12833" r:id="rId4"/>
    <sheet name="Exhibit No.__(RMM-4) p2" sheetId="12769" r:id="rId5"/>
    <sheet name="Exhibit No.__(RMM-4) p3" sheetId="12770" r:id="rId6"/>
    <sheet name="Exhibit No.__(RMM-4) p4" sheetId="12771" r:id="rId7"/>
    <sheet name="Exhibit No.__(RMM-4) p5" sheetId="12772" r:id="rId8"/>
    <sheet name="Exhibit No.__(RMM-4) p6" sheetId="12881" r:id="rId9"/>
    <sheet name="Exhibit No.__(RMM-4) p7" sheetId="12791" r:id="rId10"/>
    <sheet name="Not Exhibit &gt;&gt;&gt;&gt;" sheetId="12884" r:id="rId11"/>
    <sheet name="G+T+D+C+CO (GRC Settlement)" sheetId="12883" r:id="rId12"/>
    <sheet name="Rate Design Work-Res NM" sheetId="12859" state="hidden" r:id="rId13"/>
    <sheet name="Table A by class" sheetId="12837" state="hidden" r:id="rId14"/>
    <sheet name="SBC (Old)" sheetId="12761" state="hidden" r:id="rId15"/>
    <sheet name="Billing Determinants (2)" sheetId="12787" state="hidden" r:id="rId16"/>
    <sheet name="Blocking - detail" sheetId="12766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 localSheetId="12">[1]Jan!#REF!</definedName>
    <definedName name="\0" localSheetId="13">[1]Jan!#REF!</definedName>
    <definedName name="\A" localSheetId="12">#REF!</definedName>
    <definedName name="\B" localSheetId="12">#REF!</definedName>
    <definedName name="\BACK1" localSheetId="12">#REF!</definedName>
    <definedName name="\BLOCK" localSheetId="12">#REF!</definedName>
    <definedName name="\BLOCKT" localSheetId="12">#REF!</definedName>
    <definedName name="\C" localSheetId="12">#REF!</definedName>
    <definedName name="\COMP" localSheetId="12">#REF!</definedName>
    <definedName name="\COMPT" localSheetId="12">#REF!</definedName>
    <definedName name="\G" localSheetId="12">#REF!</definedName>
    <definedName name="\I" localSheetId="12">#REF!</definedName>
    <definedName name="\K" localSheetId="12">#REF!</definedName>
    <definedName name="\L" localSheetId="12">#REF!</definedName>
    <definedName name="\M" localSheetId="12">#REF!</definedName>
    <definedName name="\P" localSheetId="12">#REF!</definedName>
    <definedName name="\Q" localSheetId="12">[2]Actual!#REF!</definedName>
    <definedName name="\Q" localSheetId="13">[3]Actual!#REF!</definedName>
    <definedName name="\R" localSheetId="12">#REF!</definedName>
    <definedName name="\S" localSheetId="12">#REF!</definedName>
    <definedName name="\TABLE1" localSheetId="12">#REF!</definedName>
    <definedName name="\TABLE2" localSheetId="12">#REF!</definedName>
    <definedName name="\TABLEA" localSheetId="12">#REF!</definedName>
    <definedName name="\TBL2" localSheetId="12">#REF!</definedName>
    <definedName name="\TBL3" localSheetId="12">#REF!</definedName>
    <definedName name="\TBL4" localSheetId="12">#REF!</definedName>
    <definedName name="\TBL5" localSheetId="12">#REF!</definedName>
    <definedName name="\W" localSheetId="12">#REF!</definedName>
    <definedName name="\WORK1" localSheetId="12">#REF!</definedName>
    <definedName name="\X" localSheetId="12">#REF!</definedName>
    <definedName name="\Z" localSheetId="12">#REF!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15" hidden="1">[4]Inputs!#REF!</definedName>
    <definedName name="__123Graph_A" localSheetId="16" hidden="1">[4]Inputs!#REF!</definedName>
    <definedName name="__123Graph_A" localSheetId="0" hidden="1">[5]Inputs!#REF!</definedName>
    <definedName name="__123Graph_A" localSheetId="1" hidden="1">[5]Inputs!#REF!</definedName>
    <definedName name="__123Graph_A" localSheetId="2" hidden="1">[4]Inputs!#REF!</definedName>
    <definedName name="__123Graph_A" localSheetId="3" hidden="1">[6]Inputs!#REF!</definedName>
    <definedName name="__123Graph_A" localSheetId="4" hidden="1">[6]Inputs!#REF!</definedName>
    <definedName name="__123Graph_A" localSheetId="5" hidden="1">[6]Inputs!#REF!</definedName>
    <definedName name="__123Graph_A" localSheetId="6" hidden="1">[6]Inputs!#REF!</definedName>
    <definedName name="__123Graph_A" localSheetId="7" hidden="1">[6]Inputs!#REF!</definedName>
    <definedName name="__123Graph_A" localSheetId="8" hidden="1">[6]Inputs!#REF!</definedName>
    <definedName name="__123Graph_A" localSheetId="9" hidden="1">[6]Inputs!#REF!</definedName>
    <definedName name="__123Graph_A" localSheetId="12" hidden="1">[4]Inputs!#REF!</definedName>
    <definedName name="__123Graph_A" localSheetId="13" hidden="1">[7]Inputs!#REF!</definedName>
    <definedName name="__123Graph_A" hidden="1">[8]Inputs!#REF!</definedName>
    <definedName name="__123Graph_B" localSheetId="15" hidden="1">[4]Inputs!#REF!</definedName>
    <definedName name="__123Graph_B" localSheetId="16" hidden="1">[4]Inputs!#REF!</definedName>
    <definedName name="__123Graph_B" localSheetId="0" hidden="1">[5]Inputs!#REF!</definedName>
    <definedName name="__123Graph_B" localSheetId="1" hidden="1">[5]Inputs!#REF!</definedName>
    <definedName name="__123Graph_B" localSheetId="2" hidden="1">[4]Inputs!#REF!</definedName>
    <definedName name="__123Graph_B" localSheetId="3" hidden="1">[6]Inputs!#REF!</definedName>
    <definedName name="__123Graph_B" localSheetId="4" hidden="1">[6]Inputs!#REF!</definedName>
    <definedName name="__123Graph_B" localSheetId="5" hidden="1">[6]Inputs!#REF!</definedName>
    <definedName name="__123Graph_B" localSheetId="6" hidden="1">[6]Inputs!#REF!</definedName>
    <definedName name="__123Graph_B" localSheetId="7" hidden="1">[6]Inputs!#REF!</definedName>
    <definedName name="__123Graph_B" localSheetId="8" hidden="1">[6]Inputs!#REF!</definedName>
    <definedName name="__123Graph_B" localSheetId="9" hidden="1">[6]Inputs!#REF!</definedName>
    <definedName name="__123Graph_B" localSheetId="12" hidden="1">[4]Inputs!#REF!</definedName>
    <definedName name="__123Graph_B" localSheetId="13" hidden="1">[7]Inputs!#REF!</definedName>
    <definedName name="__123Graph_B" hidden="1">[8]Inputs!#REF!</definedName>
    <definedName name="__123Graph_D" localSheetId="15" hidden="1">[4]Inputs!#REF!</definedName>
    <definedName name="__123Graph_D" localSheetId="16" hidden="1">[4]Inputs!#REF!</definedName>
    <definedName name="__123Graph_D" localSheetId="0" hidden="1">[5]Inputs!#REF!</definedName>
    <definedName name="__123Graph_D" localSheetId="1" hidden="1">[5]Inputs!#REF!</definedName>
    <definedName name="__123Graph_D" localSheetId="2" hidden="1">[4]Inputs!#REF!</definedName>
    <definedName name="__123Graph_D" localSheetId="3" hidden="1">[6]Inputs!#REF!</definedName>
    <definedName name="__123Graph_D" localSheetId="4" hidden="1">[6]Inputs!#REF!</definedName>
    <definedName name="__123Graph_D" localSheetId="5" hidden="1">[6]Inputs!#REF!</definedName>
    <definedName name="__123Graph_D" localSheetId="6" hidden="1">[6]Inputs!#REF!</definedName>
    <definedName name="__123Graph_D" localSheetId="7" hidden="1">[6]Inputs!#REF!</definedName>
    <definedName name="__123Graph_D" localSheetId="8" hidden="1">[6]Inputs!#REF!</definedName>
    <definedName name="__123Graph_D" localSheetId="9" hidden="1">[6]Inputs!#REF!</definedName>
    <definedName name="__123Graph_D" localSheetId="12" hidden="1">[4]Inputs!#REF!</definedName>
    <definedName name="__123Graph_D" localSheetId="13" hidden="1">[7]Inputs!#REF!</definedName>
    <definedName name="__123Graph_D" hidden="1">[8]Inputs!#REF!</definedName>
    <definedName name="__123Graph_E" hidden="1">[9]Input!$E$22:$E$37</definedName>
    <definedName name="__123Graph_ECURRENT" hidden="1">[10]ConsolidatingPL!#REF!</definedName>
    <definedName name="__123Graph_F" hidden="1">[9]Input!$D$22:$D$37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Price_Ta" localSheetId="12">#REF!</definedName>
    <definedName name="_2Price_Ta" localSheetId="12">#REF!</definedName>
    <definedName name="_B" localSheetId="12">'[11]Rate Design'!#REF!</definedName>
    <definedName name="_ex1" hidden="1">{#N/A,#N/A,FALSE,"Summ";#N/A,#N/A,FALSE,"General"}</definedName>
    <definedName name="_Fill" localSheetId="2" hidden="1">#REF!</definedName>
    <definedName name="_Fill" localSheetId="3" hidden="1">#REF!</definedName>
    <definedName name="_Fill" localSheetId="8" hidden="1">#REF!</definedName>
    <definedName name="_Fill" localSheetId="11" hidden="1">#REF!</definedName>
    <definedName name="_Fill" localSheetId="12" hidden="1">#REF!</definedName>
    <definedName name="_Fill" hidden="1">#REF!</definedName>
    <definedName name="_xlnm._FilterDatabase" localSheetId="8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2" hidden="1">#REF!</definedName>
    <definedName name="_Key1" localSheetId="3" hidden="1">#REF!</definedName>
    <definedName name="_Key1" localSheetId="8" hidden="1">#REF!</definedName>
    <definedName name="_Key1" localSheetId="11" hidden="1">#REF!</definedName>
    <definedName name="_Key1" localSheetId="12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8" hidden="1">#REF!</definedName>
    <definedName name="_Key2" localSheetId="11" hidden="1">#REF!</definedName>
    <definedName name="_Key2" localSheetId="12" hidden="1">#REF!</definedName>
    <definedName name="_Key2" hidden="1">#REF!</definedName>
    <definedName name="_MEN2" localSheetId="12">[1]Jan!#REF!</definedName>
    <definedName name="_MEN2" localSheetId="13">[1]Jan!#REF!</definedName>
    <definedName name="_MEN3" localSheetId="12">[1]Jan!#REF!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11" hidden="1">255</definedName>
    <definedName name="_Order1" localSheetId="13" hidden="1">255</definedName>
    <definedName name="_Order1" hidden="1">0</definedName>
    <definedName name="_Order2" localSheetId="11" hidden="1">255</definedName>
    <definedName name="_Order2" hidden="1">0</definedName>
    <definedName name="_P" localSheetId="12">#REF!</definedName>
    <definedName name="_Regression_Int" hidden="1">1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localSheetId="8" hidden="1">#REF!</definedName>
    <definedName name="_Regression_Y" hidden="1">#REF!</definedName>
    <definedName name="_six6" hidden="1">{#N/A,#N/A,FALSE,"CRPT";#N/A,#N/A,FALSE,"TREND";#N/A,#N/A,FALSE,"%Curve"}</definedName>
    <definedName name="_Sort" localSheetId="2" hidden="1">#REF!</definedName>
    <definedName name="_Sort" localSheetId="3" hidden="1">#REF!</definedName>
    <definedName name="_Sort" localSheetId="8" hidden="1">#REF!</definedName>
    <definedName name="_Sort" localSheetId="11" hidden="1">#REF!</definedName>
    <definedName name="_Sort" localSheetId="12" hidden="1">#REF!</definedName>
    <definedName name="_Sort" hidden="1">#REF!</definedName>
    <definedName name="_TOP1" localSheetId="12">[1]Jan!#REF!</definedName>
    <definedName name="_TOP1" localSheetId="13">[1]Jan!#REF!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15" hidden="1">#REF!</definedName>
    <definedName name="a" localSheetId="16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2" hidden="1">#REF!</definedName>
    <definedName name="a" localSheetId="13" hidden="1">'[7]DSM Output'!$J$21:$J$23</definedName>
    <definedName name="a" hidden="1">'[8]DSM Output'!$J$21:$J$23</definedName>
    <definedName name="Access_Button1" hidden="1">"Headcount_Workbook_Schedules_List"</definedName>
    <definedName name="AccessDatabase" hidden="1">"P:\HR\SharonPlummer\Headcount Workbook.mdb"</definedName>
    <definedName name="Acct108364" localSheetId="12">'[12]Func Study'!#REF!</definedName>
    <definedName name="Acct108364" localSheetId="13">'[12]Func Study'!#REF!</definedName>
    <definedName name="Acct108364S" localSheetId="12">'[12]Func Study'!#REF!</definedName>
    <definedName name="Acct228.42TROJD" localSheetId="12">'[13]Func Study'!#REF!</definedName>
    <definedName name="Acct22842TROJD" localSheetId="12">'[13]Func Study'!#REF!</definedName>
    <definedName name="Acct22842TROJD" localSheetId="13">'[13]Func Study'!#REF!</definedName>
    <definedName name="Acct41011" localSheetId="12">'[14]Functional Study'!#REF!</definedName>
    <definedName name="Acct41011" localSheetId="13">'[15]Functional Study'!#REF!</definedName>
    <definedName name="Acct41011BADDEBT" localSheetId="12">'[14]Functional Study'!#REF!</definedName>
    <definedName name="Acct41011BADDEBT" localSheetId="13">'[15]Functional Study'!#REF!</definedName>
    <definedName name="Acct41011DITEXP" localSheetId="12">'[14]Functional Study'!#REF!</definedName>
    <definedName name="Acct41011DITEXP" localSheetId="13">'[15]Functional Study'!#REF!</definedName>
    <definedName name="Acct41011S" localSheetId="12">'[14]Functional Study'!#REF!</definedName>
    <definedName name="Acct41011S" localSheetId="13">'[15]Functional Study'!#REF!</definedName>
    <definedName name="Acct41011SE" localSheetId="12">'[14]Functional Study'!#REF!</definedName>
    <definedName name="Acct41011SE" localSheetId="13">'[15]Functional Study'!#REF!</definedName>
    <definedName name="Acct41011SG1" localSheetId="12">'[14]Functional Study'!#REF!</definedName>
    <definedName name="Acct41011SG1" localSheetId="13">'[15]Functional Study'!#REF!</definedName>
    <definedName name="Acct41011SG2" localSheetId="12">'[14]Functional Study'!#REF!</definedName>
    <definedName name="Acct41011SG2" localSheetId="13">'[15]Functional Study'!#REF!</definedName>
    <definedName name="ACCT41011SGCT" localSheetId="12">'[14]Functional Study'!#REF!</definedName>
    <definedName name="ACCT41011SGCT" localSheetId="13">'[15]Functional Study'!#REF!</definedName>
    <definedName name="Acct41011SGPP" localSheetId="12">'[14]Functional Study'!#REF!</definedName>
    <definedName name="Acct41011SGPP" localSheetId="13">'[15]Functional Study'!#REF!</definedName>
    <definedName name="Acct41011SNP" localSheetId="12">'[14]Functional Study'!#REF!</definedName>
    <definedName name="Acct41011SNP" localSheetId="13">'[15]Functional Study'!#REF!</definedName>
    <definedName name="ACCT41011SNPD" localSheetId="12">'[14]Functional Study'!#REF!</definedName>
    <definedName name="ACCT41011SNPD" localSheetId="13">'[15]Functional Study'!#REF!</definedName>
    <definedName name="Acct41011SO" localSheetId="12">'[14]Functional Study'!#REF!</definedName>
    <definedName name="Acct41011SO" localSheetId="13">'[15]Functional Study'!#REF!</definedName>
    <definedName name="Acct41011TROJP" localSheetId="12">'[14]Functional Study'!#REF!</definedName>
    <definedName name="Acct41011TROJP" localSheetId="13">'[15]Functional Study'!#REF!</definedName>
    <definedName name="Acct41111" localSheetId="12">'[14]Functional Study'!#REF!</definedName>
    <definedName name="Acct41111" localSheetId="13">'[15]Functional Study'!#REF!</definedName>
    <definedName name="Acct41111BADDEBT" localSheetId="12">'[14]Functional Study'!#REF!</definedName>
    <definedName name="Acct41111BADDEBT" localSheetId="13">'[15]Functional Study'!#REF!</definedName>
    <definedName name="Acct41111DITEXP" localSheetId="12">'[14]Functional Study'!#REF!</definedName>
    <definedName name="Acct41111DITEXP" localSheetId="13">'[15]Functional Study'!#REF!</definedName>
    <definedName name="Acct41111S" localSheetId="12">'[14]Functional Study'!#REF!</definedName>
    <definedName name="Acct41111S" localSheetId="13">'[15]Functional Study'!#REF!</definedName>
    <definedName name="Acct41111SE" localSheetId="12">'[14]Functional Study'!#REF!</definedName>
    <definedName name="Acct41111SE" localSheetId="13">'[15]Functional Study'!#REF!</definedName>
    <definedName name="Acct41111SG1" localSheetId="12">'[14]Functional Study'!#REF!</definedName>
    <definedName name="Acct41111SG1" localSheetId="13">'[15]Functional Study'!#REF!</definedName>
    <definedName name="Acct41111SG2" localSheetId="12">'[14]Functional Study'!#REF!</definedName>
    <definedName name="Acct41111SG2" localSheetId="13">'[15]Functional Study'!#REF!</definedName>
    <definedName name="Acct41111SG3" localSheetId="12">'[14]Functional Study'!#REF!</definedName>
    <definedName name="Acct41111SG3" localSheetId="13">'[15]Functional Study'!#REF!</definedName>
    <definedName name="Acct41111SGPP" localSheetId="12">'[14]Functional Study'!#REF!</definedName>
    <definedName name="Acct41111SGPP" localSheetId="13">'[15]Functional Study'!#REF!</definedName>
    <definedName name="Acct41111SNP" localSheetId="12">'[14]Functional Study'!#REF!</definedName>
    <definedName name="Acct41111SNP" localSheetId="13">'[15]Functional Study'!#REF!</definedName>
    <definedName name="Acct41111SNTP" localSheetId="12">'[14]Functional Study'!#REF!</definedName>
    <definedName name="Acct41111SNTP" localSheetId="13">'[15]Functional Study'!#REF!</definedName>
    <definedName name="Acct41111SO" localSheetId="12">'[14]Functional Study'!#REF!</definedName>
    <definedName name="Acct41111SO" localSheetId="13">'[15]Functional Study'!#REF!</definedName>
    <definedName name="Acct41111TROJP" localSheetId="12">'[14]Functional Study'!#REF!</definedName>
    <definedName name="Acct41111TROJP" localSheetId="13">'[15]Functional Study'!#REF!</definedName>
    <definedName name="Acct411BADDEBT" localSheetId="12">'[14]Functional Study'!#REF!</definedName>
    <definedName name="Acct411BADDEBT" localSheetId="13">'[15]Functional Study'!#REF!</definedName>
    <definedName name="Acct411DGP" localSheetId="12">'[14]Functional Study'!#REF!</definedName>
    <definedName name="Acct411DGP" localSheetId="13">'[15]Functional Study'!#REF!</definedName>
    <definedName name="Acct411DGU" localSheetId="12">'[14]Functional Study'!#REF!</definedName>
    <definedName name="Acct411DGU" localSheetId="13">'[15]Functional Study'!#REF!</definedName>
    <definedName name="Acct411DITEXP" localSheetId="12">'[14]Functional Study'!#REF!</definedName>
    <definedName name="Acct411DITEXP" localSheetId="13">'[15]Functional Study'!#REF!</definedName>
    <definedName name="Acct411DNPP" localSheetId="12">'[14]Functional Study'!#REF!</definedName>
    <definedName name="Acct411DNPP" localSheetId="13">'[15]Functional Study'!#REF!</definedName>
    <definedName name="Acct411DNPTP" localSheetId="12">'[14]Functional Study'!#REF!</definedName>
    <definedName name="Acct411DNPTP" localSheetId="13">'[15]Functional Study'!#REF!</definedName>
    <definedName name="Acct411S" localSheetId="12">'[14]Functional Study'!#REF!</definedName>
    <definedName name="Acct411S" localSheetId="13">'[15]Functional Study'!#REF!</definedName>
    <definedName name="Acct411SE" localSheetId="12">'[14]Functional Study'!#REF!</definedName>
    <definedName name="Acct411SE" localSheetId="13">'[15]Functional Study'!#REF!</definedName>
    <definedName name="Acct411SG" localSheetId="12">'[14]Functional Study'!#REF!</definedName>
    <definedName name="Acct411SG" localSheetId="13">'[15]Functional Study'!#REF!</definedName>
    <definedName name="Acct411SGPP" localSheetId="12">'[14]Functional Study'!#REF!</definedName>
    <definedName name="Acct411SGPP" localSheetId="13">'[15]Functional Study'!#REF!</definedName>
    <definedName name="Acct411SO" localSheetId="12">'[14]Functional Study'!#REF!</definedName>
    <definedName name="Acct411SO" localSheetId="13">'[15]Functional Study'!#REF!</definedName>
    <definedName name="Acct411TROJP" localSheetId="12">'[14]Functional Study'!#REF!</definedName>
    <definedName name="Acct411TROJP" localSheetId="13">'[15]Functional Study'!#REF!</definedName>
    <definedName name="Acct447DGU" localSheetId="12">'[13]Func Study'!#REF!</definedName>
    <definedName name="Acct510" localSheetId="12">'[16]Func Study'!#REF!</definedName>
    <definedName name="Acct510DNPPSU" localSheetId="12">'[16]Func Study'!#REF!</definedName>
    <definedName name="ACCT510JBG" localSheetId="12">'[16]Func Study'!#REF!</definedName>
    <definedName name="ACCT510SSGCH" localSheetId="12">'[16]Func Study'!#REF!</definedName>
    <definedName name="ACCT904SG" localSheetId="12">'[17]Functional Study'!#REF!</definedName>
    <definedName name="ACCT904SG" localSheetId="13">'[18]Functional Study'!#REF!</definedName>
    <definedName name="AcctDFAD" localSheetId="12">'[16]Func Study'!#REF!</definedName>
    <definedName name="AcctDFAP" localSheetId="12">'[16]Func Study'!#REF!</definedName>
    <definedName name="AcctDFAT" localSheetId="12">'[16]Func Study'!#REF!</definedName>
    <definedName name="anscount" hidden="1">1</definedName>
    <definedName name="APR" localSheetId="15">#REF!</definedName>
    <definedName name="APR" localSheetId="16">#REF!</definedName>
    <definedName name="APR" localSheetId="12">#REF!</definedName>
    <definedName name="APR" localSheetId="13">[19]Backup!#REF!</definedName>
    <definedName name="APRT" localSheetId="12">#REF!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UG" localSheetId="15">#REF!</definedName>
    <definedName name="AUG" localSheetId="16">#REF!</definedName>
    <definedName name="AUG" localSheetId="12">#REF!</definedName>
    <definedName name="AUG" localSheetId="13">[19]Backup!#REF!</definedName>
    <definedName name="AUGT" localSheetId="12">#REF!</definedName>
    <definedName name="b" hidden="1">{#N/A,#N/A,FALSE,"Coversheet";#N/A,#N/A,FALSE,"QA"}</definedName>
    <definedName name="BACK1" localSheetId="12">#REF!</definedName>
    <definedName name="BACK2" localSheetId="12">#REF!</definedName>
    <definedName name="BACK3" localSheetId="12">#REF!</definedName>
    <definedName name="BACKUP1" localSheetId="12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ADJ" localSheetId="12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12">#REF!</definedName>
    <definedName name="Classes">'[20]COS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12">#REF!</definedName>
    <definedName name="combined1" hidden="1">{"YTD-Total",#N/A,TRUE,"Provision";"YTD-Utility",#N/A,TRUE,"Prov Utility";"YTD-NonUtility",#N/A,TRUE,"Prov NonUtility"}</definedName>
    <definedName name="COMP" localSheetId="12">#REF!</definedName>
    <definedName name="COMPACTUAL" localSheetId="12">#REF!</definedName>
    <definedName name="COMPT" localSheetId="12">#REF!</definedName>
    <definedName name="COMPWEATHER" localSheetId="12">#REF!</definedName>
    <definedName name="copy" localSheetId="8" hidden="1">#REF!</definedName>
    <definedName name="copy" hidden="1">#REF!</definedName>
    <definedName name="COSAllocOptions">'[20]COS Allocation Options'!$D$3:$G$1310</definedName>
    <definedName name="COSFactors">'[20]COS Factor Table'!$A$15:$A$113</definedName>
    <definedName name="COSFactorTbl">'[20]COS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_xlnm.Database" localSheetId="12">[21]Invoice!#REF!</definedName>
    <definedName name="DATE" localSheetId="12">[22]Jan!#REF!</definedName>
    <definedName name="DEC" localSheetId="15">#REF!</definedName>
    <definedName name="DEC" localSheetId="16">#REF!</definedName>
    <definedName name="DEC" localSheetId="12">#REF!</definedName>
    <definedName name="DEC" localSheetId="13">[19]Backup!#REF!</definedName>
    <definedName name="DECT" localSheetId="12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[20]Inputs!$D$9</definedName>
    <definedName name="Demand2">[20]Inputs!$D$11</definedName>
    <definedName name="DFIT" hidden="1">{#N/A,#N/A,FALSE,"Coversheet";#N/A,#N/A,FALSE,"QA"}</definedName>
    <definedName name="Dist_factor" localSheetId="12">#REF!</definedName>
    <definedName name="DistFuncAllocOptions">'[20]Func Allocation Options'!$H$5:$L$2161</definedName>
    <definedName name="DistFuncFactors">'[20]Func Dist Factor Table'!$A$12:$A$25</definedName>
    <definedName name="DistFuncFactorTbl">'[20]Func Dist Factor Table'!$B$12:$F$25</definedName>
    <definedName name="DistFunctions">'[20]Func Dist Factor Table'!$B$11:$F$11</definedName>
    <definedName name="DistPeakMethod" localSheetId="12">[17]Inputs!#REF!</definedName>
    <definedName name="DistPeakMethod" localSheetId="13">[18]Inputs!#REF!</definedName>
    <definedName name="DistPeakMethod">[20]Inputs!$X$13</definedName>
    <definedName name="dsd" localSheetId="8" hidden="1">[8]Inputs!#REF!</definedName>
    <definedName name="dsd" hidden="1">[8]Inputs!#REF!</definedName>
    <definedName name="DUDE" localSheetId="2" hidden="1">#REF!</definedName>
    <definedName name="DUDE" localSheetId="3" hidden="1">#REF!</definedName>
    <definedName name="DUDE" localSheetId="8" hidden="1">#REF!</definedName>
    <definedName name="DUDE" localSheetId="12" hidden="1">#REF!</definedName>
    <definedName name="DUDE" hidden="1">#REF!</definedName>
    <definedName name="ee" hidden="1">{#N/A,#N/A,FALSE,"Month ";#N/A,#N/A,FALSE,"YTD";#N/A,#N/A,FALSE,"12 mo ended"}</definedName>
    <definedName name="Engy">[20]Inputs!$D$10</definedName>
    <definedName name="Engy2">[20]Inputs!$D$12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12">#REF!</definedName>
    <definedName name="f104top" localSheetId="12">#REF!</definedName>
    <definedName name="f138top" localSheetId="12">#REF!</definedName>
    <definedName name="f140top" localSheetId="12">#REF!</definedName>
    <definedName name="FACTP" localSheetId="12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15">#REF!</definedName>
    <definedName name="FEB" localSheetId="16">#REF!</definedName>
    <definedName name="FEB" localSheetId="12">#REF!</definedName>
    <definedName name="FEB" localSheetId="13">[19]Backup!#REF!</definedName>
    <definedName name="FEBT" localSheetId="12">#REF!</definedName>
    <definedName name="FERCJAMFactor">'[20]JAM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_Ftrs" localSheetId="12">#REF!</definedName>
    <definedName name="Func_GTD_Percents" localSheetId="12">#REF!</definedName>
    <definedName name="Func_MC" localSheetId="12">#REF!</definedName>
    <definedName name="Func_Percents" localSheetId="12">#REF!</definedName>
    <definedName name="Func_Rev_Req1" localSheetId="12">#REF!</definedName>
    <definedName name="Func_Rev_Req2" localSheetId="12">#REF!</definedName>
    <definedName name="Func_Revenue" localSheetId="12">#REF!</definedName>
    <definedName name="FuncAllocOptions">'[20]Func Allocation Options'!$B$5:$F$2159</definedName>
    <definedName name="FuncFactors">'[20]Func Factors'!$A$11:$A$78</definedName>
    <definedName name="FuncFactorTbl">'[20]Func Factors'!$B$11:$G$78</definedName>
    <definedName name="FuncStudy">[20]FuncStudy!$1:$1048576</definedName>
    <definedName name="Functions">'[20]Func Factors'!$B$10:$G$10</definedName>
    <definedName name="GREATER10MW" localSheetId="12">#REF!</definedName>
    <definedName name="GTD_Percents" localSheetId="12">#REF!</definedName>
    <definedName name="HEIGHT" localSheetId="12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12">#REF!</definedName>
    <definedName name="IDcontractsRVN" localSheetId="1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DADJ" localSheetId="12">#REF!</definedName>
    <definedName name="INPUT" localSheetId="12">[23]Summary!#REF!</definedName>
    <definedName name="INPUT" localSheetId="13">[24]Summary!#REF!</definedName>
    <definedName name="Instructions" localSheetId="12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'[20]JAM Download'!$R$6:$R$2884</definedName>
    <definedName name="JAN" localSheetId="15">#REF!</definedName>
    <definedName name="JAN" localSheetId="16">#REF!</definedName>
    <definedName name="JAN" localSheetId="12">#REF!</definedName>
    <definedName name="JAN" localSheetId="13">[19]Backup!#REF!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12">#REF!</definedName>
    <definedName name="jfkljsdkljiejgr" hidden="1">{#N/A,#N/A,FALSE,"Summ";#N/A,#N/A,FALSE,"General"}</definedName>
    <definedName name="jjj" localSheetId="13">[25]Inputs!$N$18</definedName>
    <definedName name="JUL" localSheetId="15">#REF!</definedName>
    <definedName name="JUL" localSheetId="16">#REF!</definedName>
    <definedName name="JUL" localSheetId="12">#REF!</definedName>
    <definedName name="JUL" localSheetId="13">[19]Backup!#REF!</definedName>
    <definedName name="JULT" localSheetId="12">#REF!</definedName>
    <definedName name="JUN" localSheetId="15">#REF!</definedName>
    <definedName name="JUN" localSheetId="16">#REF!</definedName>
    <definedName name="JUN" localSheetId="12">#REF!</definedName>
    <definedName name="JUN" localSheetId="13">[19]Backup!#REF!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12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12">#REF!</definedName>
    <definedName name="LABORROLL" localSheetId="12">#REF!</definedName>
    <definedName name="limcount" hidden="1">1</definedName>
    <definedName name="Line_Ext_Credit" localSheetId="12">#REF!</definedName>
    <definedName name="ListOffset" hidden="1">1</definedName>
    <definedName name="LOG" localSheetId="12">[19]Backup!#REF!</definedName>
    <definedName name="LOG" localSheetId="13">[19]Backup!#REF!</definedName>
    <definedName name="lookup" hidden="1">{#N/A,#N/A,FALSE,"Coversheet";#N/A,#N/A,FALSE,"QA"}</definedName>
    <definedName name="LOSS" localSheetId="12">[19]Backup!#REF!</definedName>
    <definedName name="MACTIT" localSheetId="12">#REF!</definedName>
    <definedName name="MAR" localSheetId="15">#REF!</definedName>
    <definedName name="MAR" localSheetId="16">#REF!</definedName>
    <definedName name="MAR" localSheetId="12">#REF!</definedName>
    <definedName name="MAR" localSheetId="13">[19]Backup!#REF!</definedName>
    <definedName name="MART" localSheetId="12">#REF!</definedName>
    <definedName name="Master" hidden="1">{#N/A,#N/A,FALSE,"Actual";#N/A,#N/A,FALSE,"Normalized";#N/A,#N/A,FALSE,"Electric Actual";#N/A,#N/A,FALSE,"Electric Normalized"}</definedName>
    <definedName name="MAY" localSheetId="15">#REF!</definedName>
    <definedName name="MAY" localSheetId="16">#REF!</definedName>
    <definedName name="MAY" localSheetId="12">#REF!</definedName>
    <definedName name="MAY" localSheetId="13">[19]Backup!#REF!</definedName>
    <definedName name="MAYT" localSheetId="12">#REF!</definedName>
    <definedName name="MCtoREV" localSheetId="12">#REF!</definedName>
    <definedName name="MEN" localSheetId="12">[1]Jan!#REF!</definedName>
    <definedName name="MEN" localSheetId="13">[1]Jan!#REF!</definedName>
    <definedName name="Menu_Begin" localSheetId="12">#REF!</definedName>
    <definedName name="Menu_Caption" localSheetId="12">#REF!</definedName>
    <definedName name="Menu_Large" localSheetId="12">#REF!</definedName>
    <definedName name="Menu_Name" localSheetId="12">#REF!</definedName>
    <definedName name="Menu_OnAction" localSheetId="12">#REF!</definedName>
    <definedName name="Menu_Parent" localSheetId="12">#REF!</definedName>
    <definedName name="Menu_Small" localSheetId="12">#REF!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 localSheetId="12">[19]Backup!#REF!</definedName>
    <definedName name="MTKWH" localSheetId="12">#REF!</definedName>
    <definedName name="MTREV" localSheetId="12">#REF!</definedName>
    <definedName name="MULT" localSheetId="12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MO1" localSheetId="12">[1]Jan!#REF!</definedName>
    <definedName name="NEWMO1" localSheetId="13">[1]Jan!#REF!</definedName>
    <definedName name="NEWMO2" localSheetId="12">[1]Jan!#REF!</definedName>
    <definedName name="NEWMONTH" localSheetId="12">[1]Jan!#REF!</definedName>
    <definedName name="NORMALIZE" localSheetId="12">#REF!</definedName>
    <definedName name="NOV" localSheetId="15">#REF!</definedName>
    <definedName name="NOV" localSheetId="16">#REF!</definedName>
    <definedName name="NOV" localSheetId="12">#REF!</definedName>
    <definedName name="NOV" localSheetId="13">[19]Backup!#REF!</definedName>
    <definedName name="NOVT" localSheetId="12">#REF!</definedName>
    <definedName name="NPC" localSheetId="13">[18]Inputs!$N$18</definedName>
    <definedName name="NUM" localSheetId="12">#REF!</definedName>
    <definedName name="OCT" localSheetId="15">#REF!</definedName>
    <definedName name="OCT" localSheetId="16">#REF!</definedName>
    <definedName name="OCT" localSheetId="12">#REF!</definedName>
    <definedName name="OCT" localSheetId="13">[19]Backup!#REF!</definedName>
    <definedName name="OCTT" localSheetId="12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 localSheetId="12">[1]Jan!#REF!</definedName>
    <definedName name="ONE" localSheetId="13">[1]Jan!#REF!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12">#REF!</definedName>
    <definedName name="Page110" localSheetId="12">#REF!</definedName>
    <definedName name="Page120" localSheetId="12">#REF!</definedName>
    <definedName name="Page2" localSheetId="12">#REF!</definedName>
    <definedName name="PAGE3" localSheetId="12">#REF!</definedName>
    <definedName name="Page4" localSheetId="12">#REF!</definedName>
    <definedName name="Page5" localSheetId="12">#REF!</definedName>
    <definedName name="Page6" localSheetId="12">#REF!</definedName>
    <definedName name="Page62" localSheetId="12">[26]TransInvest!#REF!</definedName>
    <definedName name="Page62" localSheetId="13">[26]TransInvest!#REF!</definedName>
    <definedName name="page65" localSheetId="12">#REF!</definedName>
    <definedName name="page66" localSheetId="12">#REF!</definedName>
    <definedName name="page67" localSheetId="12">#REF!</definedName>
    <definedName name="page68" localSheetId="12">#REF!</definedName>
    <definedName name="page69" localSheetId="12">#REF!</definedName>
    <definedName name="Page7" localSheetId="12">#REF!</definedName>
    <definedName name="page8" localSheetId="12">#REF!</definedName>
    <definedName name="PALL" localSheetId="12">#REF!</definedName>
    <definedName name="PBLOCK" localSheetId="12">#REF!</definedName>
    <definedName name="PBLOCKWZ" localSheetId="12">#REF!</definedName>
    <definedName name="PCOMP" localSheetId="12">#REF!</definedName>
    <definedName name="PCOMPOSITES" localSheetId="12">#REF!</definedName>
    <definedName name="PCOMPWZ" localSheetId="12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MAC" localSheetId="12">[19]Backup!#REF!</definedName>
    <definedName name="PRESENT" localSheetId="12">#REF!</definedName>
    <definedName name="PRICCHNG" localSheetId="12">#REF!</definedName>
    <definedName name="PricingInfo" localSheetId="8" hidden="1">[27]Inputs!#REF!</definedName>
    <definedName name="PricingInfo" hidden="1">[27]Inputs!#REF!</definedName>
    <definedName name="_xlnm.Print_Area" localSheetId="15">'Billing Determinants (2)'!$A$1:$K$1038</definedName>
    <definedName name="_xlnm.Print_Area" localSheetId="16">'Blocking - detail'!$A$1:$K$1009</definedName>
    <definedName name="_xlnm.Print_Area" localSheetId="2">'Exhibit No.__(RMM-3)'!$A$1:$L$1132</definedName>
    <definedName name="_xlnm.Print_Area" localSheetId="3">'Exhibit No.__(RMM-4) p1'!$A$1:$K$39</definedName>
    <definedName name="_xlnm.Print_Area" localSheetId="4">'Exhibit No.__(RMM-4) p2'!$A$1:$Q$36</definedName>
    <definedName name="_xlnm.Print_Area" localSheetId="5">'Exhibit No.__(RMM-4) p3'!$A$1:$L$44</definedName>
    <definedName name="_xlnm.Print_Area" localSheetId="6">'Exhibit No.__(RMM-4) p4'!$A$1:$R$39</definedName>
    <definedName name="_xlnm.Print_Area" localSheetId="7">'Exhibit No.__(RMM-4) p5'!$A$1:$L$34</definedName>
    <definedName name="_xlnm.Print_Area" localSheetId="8">'Exhibit No.__(RMM-4) p6'!$A$1:$L$34</definedName>
    <definedName name="_xlnm.Print_Area" localSheetId="9">'Exhibit No.__(RMM-4) p7'!$A$1:$L$35</definedName>
    <definedName name="_xlnm.Print_Area" localSheetId="11">'G+T+D+C+CO (GRC Settlement)'!$A$1:$O$1423</definedName>
    <definedName name="_xlnm.Print_Area" localSheetId="12">'Rate Design Work-Res NM'!$A$1:$V$107</definedName>
    <definedName name="_xlnm.Print_Area" localSheetId="13">'Table A by class'!$B$1:$W$61</definedName>
    <definedName name="_xlnm.Print_Titles" localSheetId="15">'Billing Determinants (2)'!$1:$6</definedName>
    <definedName name="_xlnm.Print_Titles" localSheetId="16">'Blocking - detail'!$1:$6</definedName>
    <definedName name="_xlnm.Print_Titles" localSheetId="12">'Rate Design Work-Res NM'!$1:$10</definedName>
    <definedName name="_xlnm.Print_Titles" localSheetId="13">'Table A by class'!$B:$F</definedName>
    <definedName name="PTABLES" localSheetId="12">#REF!</definedName>
    <definedName name="PTDMOD" localSheetId="12">#REF!</definedName>
    <definedName name="PTDROLL" localSheetId="12">#REF!</definedName>
    <definedName name="PTMOD" localSheetId="12">#REF!</definedName>
    <definedName name="PTROLL" localSheetId="12">#REF!</definedName>
    <definedName name="PWORKBACK" localSheetId="12">#REF!</definedName>
    <definedName name="q" hidden="1">{#N/A,#N/A,FALSE,"Coversheet";#N/A,#N/A,FALSE,"QA"}</definedName>
    <definedName name="qqq" hidden="1">{#N/A,#N/A,FALSE,"schA"}</definedName>
    <definedName name="Query1" localSheetId="12">#REF!</definedName>
    <definedName name="RC_ADJ" localSheetId="12">#REF!</definedName>
    <definedName name="RESADJ" localSheetId="12">#REF!</definedName>
    <definedName name="retail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localSheetId="1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localSheetId="1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2">#REF!</definedName>
    <definedName name="Revenue_by_month_take_2" localSheetId="12">#REF!</definedName>
    <definedName name="RevenueCheck" localSheetId="12">#REF!</definedName>
    <definedName name="RevReqSettle" localSheetId="12">#REF!</definedName>
    <definedName name="REVVSTRS" localSheetId="12">#REF!</definedName>
    <definedName name="RISFORM" localSheetId="12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CH33CUSTS" localSheetId="12">#REF!</definedName>
    <definedName name="SCH48ADJ" localSheetId="12">#REF!</definedName>
    <definedName name="SCH98NOR" localSheetId="12">#REF!</definedName>
    <definedName name="SCHED47" localSheetId="12">#REF!</definedName>
    <definedName name="Schedule" localSheetId="13">[18]Inputs!$N$14</definedName>
    <definedName name="sdlfhsdlhfkl" hidden="1">{#N/A,#N/A,FALSE,"Summ";#N/A,#N/A,FALSE,"General"}</definedName>
    <definedName name="se" localSheetId="12">#REF!</definedName>
    <definedName name="SECOND" localSheetId="12">[1]Jan!#REF!</definedName>
    <definedName name="SECOND" localSheetId="13">[1]Jan!#REF!</definedName>
    <definedName name="SEP" localSheetId="15">#REF!</definedName>
    <definedName name="SEP" localSheetId="16">#REF!</definedName>
    <definedName name="SEP" localSheetId="12">#REF!</definedName>
    <definedName name="SEP" localSheetId="13">[19]Backup!#REF!</definedName>
    <definedName name="SEPT" localSheetId="12">#REF!</definedName>
    <definedName name="SERVICES_3" localSheetId="12">#REF!</definedName>
    <definedName name="seven" hidden="1">{#N/A,#N/A,FALSE,"CRPT";#N/A,#N/A,FALSE,"TREND";#N/A,#N/A,FALSE,"%Curve"}</definedName>
    <definedName name="sg" localSheetId="12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START" localSheetId="12">[1]Jan!#REF!</definedName>
    <definedName name="START" localSheetId="13">[1]Jan!#REF!</definedName>
    <definedName name="SUM_TAB1" localSheetId="12">#REF!</definedName>
    <definedName name="SUM_TAB2" localSheetId="12">#REF!</definedName>
    <definedName name="SUM_TAB3" localSheetId="12">#REF!</definedName>
    <definedName name="t" hidden="1">{#N/A,#N/A,FALSE,"CESTSUM";#N/A,#N/A,FALSE,"est sum A";#N/A,#N/A,FALSE,"est detail A"}</definedName>
    <definedName name="TABLE_1" localSheetId="15">#REF!</definedName>
    <definedName name="TABLE_1" localSheetId="16">#REF!</definedName>
    <definedName name="TABLE_1" localSheetId="12">#REF!</definedName>
    <definedName name="TABLE_2" localSheetId="15">#REF!</definedName>
    <definedName name="TABLE_2" localSheetId="16">#REF!</definedName>
    <definedName name="TABLE_2" localSheetId="12">#REF!</definedName>
    <definedName name="TABLE_3" localSheetId="12">#REF!</definedName>
    <definedName name="TABLE_4" localSheetId="15">#REF!</definedName>
    <definedName name="TABLE_4" localSheetId="16">#REF!</definedName>
    <definedName name="TABLE_4" localSheetId="12">#REF!</definedName>
    <definedName name="TABLE_4_A" localSheetId="12">#REF!</definedName>
    <definedName name="TABLE_5" localSheetId="12">#REF!</definedName>
    <definedName name="TABLE_6" localSheetId="12">#REF!</definedName>
    <definedName name="TABLE_7" localSheetId="12">#REF!</definedName>
    <definedName name="TABLE1" localSheetId="12">#REF!</definedName>
    <definedName name="TABLE2" localSheetId="12">#REF!</definedName>
    <definedName name="TABLEA" localSheetId="12">#REF!</definedName>
    <definedName name="TABLEA" localSheetId="13">#REF!</definedName>
    <definedName name="TABLEONE" localSheetId="12">#REF!</definedName>
    <definedName name="TDMOD" localSheetId="12">#REF!</definedName>
    <definedName name="TDROLL" localSheetId="12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2">#REF!</definedName>
    <definedName name="Test" localSheetId="12">#REF!</definedName>
    <definedName name="Test1" localSheetId="12">#REF!</definedName>
    <definedName name="Test2" localSheetId="12">#REF!</definedName>
    <definedName name="Test3" localSheetId="12">#REF!</definedName>
    <definedName name="Test4" localSheetId="12">#REF!</definedName>
    <definedName name="Test5" localSheetId="12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AACT115S" localSheetId="12">'[17]Functional Study'!#REF!</definedName>
    <definedName name="UAACT115S" localSheetId="13">'[18]Functional Study'!#REF!</definedName>
    <definedName name="UACCT115" localSheetId="12">'[17]Functional Study'!#REF!</definedName>
    <definedName name="UACCT115" localSheetId="13">'[18]Functional Study'!#REF!</definedName>
    <definedName name="UACCT115DGP" localSheetId="12">'[17]Functional Study'!#REF!</definedName>
    <definedName name="UACCT115DGP" localSheetId="13">'[18]Functional Study'!#REF!</definedName>
    <definedName name="UACCT115SG" localSheetId="12">'[17]Functional Study'!#REF!</definedName>
    <definedName name="UACCT115SG" localSheetId="13">'[18]Functional Study'!#REF!</definedName>
    <definedName name="UAcct22842Trojd" localSheetId="12">'[13]Func Study'!#REF!</definedName>
    <definedName name="UAcct22842Trojd" localSheetId="13">'[13]Func Study'!#REF!</definedName>
    <definedName name="UACCT41020" localSheetId="12">'[14]Functional Study'!#REF!</definedName>
    <definedName name="UACCT41020" localSheetId="13">'[15]Functional Study'!#REF!</definedName>
    <definedName name="UACCT41020BADDEBT" localSheetId="12">'[14]Functional Study'!#REF!</definedName>
    <definedName name="UACCT41020BADDEBT" localSheetId="13">'[15]Functional Study'!#REF!</definedName>
    <definedName name="UACCT41020DITEXP" localSheetId="12">'[14]Functional Study'!#REF!</definedName>
    <definedName name="UACCT41020DITEXP" localSheetId="13">'[15]Functional Study'!#REF!</definedName>
    <definedName name="UACCT41020DNPU" localSheetId="12">'[14]Functional Study'!#REF!</definedName>
    <definedName name="UACCT41020DNPU" localSheetId="13">'[15]Functional Study'!#REF!</definedName>
    <definedName name="UACCT41020S" localSheetId="12">'[14]Functional Study'!#REF!</definedName>
    <definedName name="UACCT41020S" localSheetId="13">'[15]Functional Study'!#REF!</definedName>
    <definedName name="UACCT41020SE" localSheetId="12">'[14]Functional Study'!#REF!</definedName>
    <definedName name="UACCT41020SE" localSheetId="13">'[15]Functional Study'!#REF!</definedName>
    <definedName name="UACCT41020SG" localSheetId="12">'[14]Functional Study'!#REF!</definedName>
    <definedName name="UACCT41020SG" localSheetId="13">'[15]Functional Study'!#REF!</definedName>
    <definedName name="UACCT41020SGCT" localSheetId="12">'[14]Functional Study'!#REF!</definedName>
    <definedName name="UACCT41020SGCT" localSheetId="13">'[15]Functional Study'!#REF!</definedName>
    <definedName name="UACCT41020SGPP" localSheetId="12">'[14]Functional Study'!#REF!</definedName>
    <definedName name="UACCT41020SGPP" localSheetId="13">'[15]Functional Study'!#REF!</definedName>
    <definedName name="UACCT41020SO" localSheetId="12">'[14]Functional Study'!#REF!</definedName>
    <definedName name="UACCT41020SO" localSheetId="13">'[15]Functional Study'!#REF!</definedName>
    <definedName name="UACCT41020TROJP" localSheetId="12">'[14]Functional Study'!#REF!</definedName>
    <definedName name="UACCT41020TROJP" localSheetId="13">'[15]Functional Study'!#REF!</definedName>
    <definedName name="UACCT4102SNPD" localSheetId="12">'[14]Functional Study'!#REF!</definedName>
    <definedName name="UACCT4102SNPD" localSheetId="13">'[15]Functional Study'!#REF!</definedName>
    <definedName name="UAcct41111" localSheetId="12">'[14]Functional Study'!#REF!</definedName>
    <definedName name="UAcct41111" localSheetId="13">'[15]Functional Study'!#REF!</definedName>
    <definedName name="UAcct41111Baddebt" localSheetId="12">'[14]Functional Study'!#REF!</definedName>
    <definedName name="UAcct41111Baddebt" localSheetId="13">'[15]Functional Study'!#REF!</definedName>
    <definedName name="UAcct41111Dgp" localSheetId="12">'[14]Functional Study'!#REF!</definedName>
    <definedName name="UAcct41111Dgp" localSheetId="13">'[15]Functional Study'!#REF!</definedName>
    <definedName name="UAcct41111Dgu" localSheetId="12">'[14]Functional Study'!#REF!</definedName>
    <definedName name="UAcct41111Dgu" localSheetId="13">'[15]Functional Study'!#REF!</definedName>
    <definedName name="UAcct41111Ditexp" localSheetId="12">'[14]Functional Study'!#REF!</definedName>
    <definedName name="UAcct41111Ditexp" localSheetId="13">'[15]Functional Study'!#REF!</definedName>
    <definedName name="UAcct41111Dnpp" localSheetId="12">'[14]Functional Study'!#REF!</definedName>
    <definedName name="UAcct41111Dnpp" localSheetId="13">'[15]Functional Study'!#REF!</definedName>
    <definedName name="UAcct41111Dnptp" localSheetId="12">'[14]Functional Study'!#REF!</definedName>
    <definedName name="UAcct41111Dnptp" localSheetId="13">'[15]Functional Study'!#REF!</definedName>
    <definedName name="UAcct41111S" localSheetId="12">'[14]Functional Study'!#REF!</definedName>
    <definedName name="UAcct41111S" localSheetId="13">'[15]Functional Study'!#REF!</definedName>
    <definedName name="UAcct41111Se" localSheetId="12">'[14]Functional Study'!#REF!</definedName>
    <definedName name="UAcct41111Se" localSheetId="13">'[15]Functional Study'!#REF!</definedName>
    <definedName name="UAcct41111Sg" localSheetId="12">'[14]Functional Study'!#REF!</definedName>
    <definedName name="UAcct41111Sg" localSheetId="13">'[15]Functional Study'!#REF!</definedName>
    <definedName name="UAcct41111Sgpp" localSheetId="12">'[14]Functional Study'!#REF!</definedName>
    <definedName name="UAcct41111Sgpp" localSheetId="13">'[15]Functional Study'!#REF!</definedName>
    <definedName name="UAcct41111So" localSheetId="12">'[14]Functional Study'!#REF!</definedName>
    <definedName name="UAcct41111So" localSheetId="13">'[15]Functional Study'!#REF!</definedName>
    <definedName name="UAcct41111Trojp" localSheetId="12">'[14]Functional Study'!#REF!</definedName>
    <definedName name="UAcct41111Trojp" localSheetId="13">'[15]Functional Study'!#REF!</definedName>
    <definedName name="UAcct447CAEE" localSheetId="12">'[12]Func Study'!#REF!</definedName>
    <definedName name="UAcct447CAEE" localSheetId="13">'[12]Func Study'!#REF!</definedName>
    <definedName name="UAcct447CAGE" localSheetId="12">'[12]Func Study'!#REF!</definedName>
    <definedName name="UAcct447Dgu" localSheetId="12">'[13]Func Study'!#REF!</definedName>
    <definedName name="UAcct453CAGE" localSheetId="12">'[12]Func Study'!#REF!</definedName>
    <definedName name="UAcct453CAGE" localSheetId="13">'[12]Func Study'!#REF!</definedName>
    <definedName name="UAcct453CAGW" localSheetId="12">'[12]Func Study'!#REF!</definedName>
    <definedName name="UAcct502JBG" localSheetId="12">'[12]Func Study'!#REF!</definedName>
    <definedName name="UAcct502JBG" localSheetId="13">'[12]Func Study'!#REF!</definedName>
    <definedName name="UAcct505JBG" localSheetId="12">'[12]Func Study'!#REF!</definedName>
    <definedName name="UAcct505JBG" localSheetId="13">'[12]Func Study'!#REF!</definedName>
    <definedName name="UAcct506JBG" localSheetId="12">'[12]Func Study'!#REF!</definedName>
    <definedName name="UAcct506JBG" localSheetId="13">'[12]Func Study'!#REF!</definedName>
    <definedName name="UAcct507JBG" localSheetId="12">'[12]Func Study'!#REF!</definedName>
    <definedName name="UAcct507JBG" localSheetId="13">'[12]Func Study'!#REF!</definedName>
    <definedName name="UAcct510JBG" localSheetId="12">'[12]Func Study'!#REF!</definedName>
    <definedName name="UAcct510JBG" localSheetId="13">'[12]Func Study'!#REF!</definedName>
    <definedName name="UAcct511JBG" localSheetId="12">'[12]Func Study'!#REF!</definedName>
    <definedName name="UAcct511JBG" localSheetId="13">'[12]Func Study'!#REF!</definedName>
    <definedName name="UAcct512JBG" localSheetId="12">'[12]Func Study'!#REF!</definedName>
    <definedName name="UAcct512JBG" localSheetId="13">'[12]Func Study'!#REF!</definedName>
    <definedName name="UAcct513JBG" localSheetId="12">'[12]Func Study'!#REF!</definedName>
    <definedName name="UAcct513JBG" localSheetId="13">'[12]Func Study'!#REF!</definedName>
    <definedName name="UAcct514JBG" localSheetId="12">'[12]Func Study'!#REF!</definedName>
    <definedName name="UAcct514JBG" localSheetId="13">'[12]Func Study'!#REF!</definedName>
    <definedName name="UAcct5506SE" localSheetId="12">'[12]Func Study'!#REF!</definedName>
    <definedName name="UAcct5506SE" localSheetId="13">'[12]Func Study'!#REF!</definedName>
    <definedName name="UAcct555CAEE" localSheetId="12">'[12]Func Study'!#REF!</definedName>
    <definedName name="UAcct555CAEE" localSheetId="13">'[12]Func Study'!#REF!</definedName>
    <definedName name="UAcct555CAGE" localSheetId="12">'[12]Func Study'!#REF!</definedName>
    <definedName name="UAcct555CAGE" localSheetId="13">'[12]Func Study'!#REF!</definedName>
    <definedName name="Uacct904SG" localSheetId="12">'[17]Functional Study'!#REF!</definedName>
    <definedName name="Uacct904SG" localSheetId="13">'[18]Functional Study'!#REF!</definedName>
    <definedName name="UAcctdfa" localSheetId="12">'[16]Func Study'!#REF!</definedName>
    <definedName name="UAcctdfad" localSheetId="12">'[16]Func Study'!#REF!</definedName>
    <definedName name="UAcctdfap" localSheetId="12">'[16]Func Study'!#REF!</definedName>
    <definedName name="UAcctdfat" localSheetId="12">'[16]Func Study'!#REF!</definedName>
    <definedName name="UNBILREV" localSheetId="12">#REF!</definedName>
    <definedName name="UnbundledCategories">[20]FuncStudy!$91:$91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VAR" localSheetId="12">[19]Backup!#REF!</definedName>
    <definedName name="VAR" localSheetId="13">[19]Backup!#REF!</definedName>
    <definedName name="VARIABLE" localSheetId="12">[23]Summary!#REF!</definedName>
    <definedName name="VARIABLE" localSheetId="13">[24]Summary!#REF!</definedName>
    <definedName name="VOUCHER" localSheetId="12">#REF!</definedName>
    <definedName name="w" localSheetId="8" hidden="1">[28]Inputs!#REF!</definedName>
    <definedName name="w" hidden="1">[28]Inputs!#REF!</definedName>
    <definedName name="we" hidden="1">{#N/A,#N/A,FALSE,"Pg 6b CustCount_Gas";#N/A,#N/A,FALSE,"QA";#N/A,#N/A,FALSE,"Report";#N/A,#N/A,FALSE,"forecast"}</definedName>
    <definedName name="WEATHER" localSheetId="12">#REF!</definedName>
    <definedName name="WEATHRNORM" localSheetId="12">#REF!</definedName>
    <definedName name="WH" hidden="1">{#N/A,#N/A,FALSE,"Coversheet";#N/A,#N/A,FALSE,"QA"}</definedName>
    <definedName name="WIDTH" localSheetId="12">#REF!</definedName>
    <definedName name="WORK1" localSheetId="12">#REF!</definedName>
    <definedName name="WORK2" localSheetId="12">#REF!</definedName>
    <definedName name="WORK3" localSheetId="12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localSheetId="1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localSheetId="1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5" hidden="1">#REF!</definedName>
    <definedName name="y" localSheetId="16" hidden="1">#REF!</definedName>
    <definedName name="y" localSheetId="0" hidden="1">#REF!</definedName>
    <definedName name="y" localSheetId="1" hidden="1">#REF!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6" hidden="1">#REF!</definedName>
    <definedName name="y" localSheetId="7" hidden="1">#REF!</definedName>
    <definedName name="y" localSheetId="8" hidden="1">#REF!</definedName>
    <definedName name="y" localSheetId="9" hidden="1">#REF!</definedName>
    <definedName name="y" localSheetId="12" hidden="1">#REF!</definedName>
    <definedName name="y" localSheetId="13" hidden="1">'[7]DSM Output'!$B$21:$B$23</definedName>
    <definedName name="y" hidden="1">'[8]DSM Output'!$B$21:$B$23</definedName>
    <definedName name="Year" localSheetId="12">#REF!</definedName>
    <definedName name="yuf" hidden="1">{#N/A,#N/A,FALSE,"Summ";#N/A,#N/A,FALSE,"General"}</definedName>
    <definedName name="z" localSheetId="15" hidden="1">#REF!</definedName>
    <definedName name="z" localSheetId="16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9" hidden="1">#REF!</definedName>
    <definedName name="z" localSheetId="12" hidden="1">#REF!</definedName>
    <definedName name="z" localSheetId="13" hidden="1">'[7]DSM Output'!$G$21:$G$23</definedName>
    <definedName name="z" hidden="1">'[8]DSM Output'!$G$21:$G$23</definedName>
    <definedName name="Z_01844156_6462_4A28_9785_1A86F4D0C834_.wvu.PrintTitles" localSheetId="8" hidden="1">#REF!</definedName>
    <definedName name="Z_01844156_6462_4A28_9785_1A86F4D0C834_.wvu.PrintTitles" hidden="1">#REF!</definedName>
    <definedName name="ZA" localSheetId="12">'[29] annual balance '!#REF!</definedName>
    <definedName name="ZA" localSheetId="13">'[29] annual balance '!#REF!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2" i="12882" l="1"/>
  <c r="S17" i="12791" l="1"/>
  <c r="T16" i="12791"/>
  <c r="S16" i="12791"/>
  <c r="R17" i="12881"/>
  <c r="S16" i="12881"/>
  <c r="R16" i="12881"/>
  <c r="S15" i="12881"/>
  <c r="R15" i="12881"/>
  <c r="R17" i="12772"/>
  <c r="S16" i="12772"/>
  <c r="R16" i="12772"/>
  <c r="S15" i="12772"/>
  <c r="R15" i="12772"/>
  <c r="W21" i="12771"/>
  <c r="W20" i="12771"/>
  <c r="W19" i="12771"/>
  <c r="W18" i="12771"/>
  <c r="W17" i="12771"/>
  <c r="R18" i="12770"/>
  <c r="S16" i="12770"/>
  <c r="R16" i="12770"/>
  <c r="S15" i="12770"/>
  <c r="R15" i="12770"/>
  <c r="R14" i="12770"/>
  <c r="X20" i="12769"/>
  <c r="X18" i="12769"/>
  <c r="Y14" i="12769"/>
  <c r="X14" i="12769"/>
  <c r="O8" i="12833"/>
  <c r="O15" i="12833" l="1"/>
  <c r="O17" i="12833"/>
  <c r="I36" i="12882" l="1"/>
  <c r="I35" i="12882" a="1"/>
  <c r="I35" i="12882" s="1"/>
  <c r="I40" i="12882" s="1"/>
  <c r="I42" i="12882" s="1"/>
  <c r="I37" i="12882"/>
  <c r="I32" i="12882"/>
  <c r="I29" i="12882"/>
  <c r="I28" i="12882"/>
  <c r="I27" i="12882"/>
  <c r="I26" i="12882"/>
  <c r="I25" i="12882"/>
  <c r="I24" i="12882"/>
  <c r="I23" i="12882"/>
  <c r="I22" i="12882"/>
  <c r="I16" i="12882"/>
  <c r="I19" i="12882" s="1"/>
  <c r="T25" i="12783" l="1"/>
  <c r="L1042" i="12843"/>
  <c r="L944" i="12843"/>
  <c r="L924" i="12843"/>
  <c r="L905" i="12843"/>
  <c r="O1066" i="12843" l="1"/>
  <c r="O1064" i="12843"/>
  <c r="O1063" i="12843"/>
  <c r="O1062" i="12843"/>
  <c r="O1061" i="12843"/>
  <c r="O1060" i="12843"/>
  <c r="O1059" i="12843"/>
  <c r="O1057" i="12843"/>
  <c r="O1056" i="12843"/>
  <c r="O1055" i="12843"/>
  <c r="O1054" i="12843"/>
  <c r="O1053" i="12843"/>
  <c r="O1052" i="12843"/>
  <c r="K37" i="12882" l="1"/>
  <c r="K36" i="12882"/>
  <c r="K35" i="12882"/>
  <c r="K40" i="12882" s="1"/>
  <c r="K29" i="12882"/>
  <c r="H40" i="12882"/>
  <c r="H32" i="12882"/>
  <c r="H19" i="12882"/>
  <c r="K28" i="12882"/>
  <c r="K27" i="12882"/>
  <c r="K25" i="12882"/>
  <c r="K24" i="12882"/>
  <c r="K22" i="12882"/>
  <c r="K16" i="12882"/>
  <c r="K19" i="12882" s="1"/>
  <c r="O1426" i="12883"/>
  <c r="N1426" i="12883"/>
  <c r="M1426" i="12883"/>
  <c r="L1426" i="12883"/>
  <c r="K1426" i="12883"/>
  <c r="J1426" i="12883"/>
  <c r="I1426" i="12883"/>
  <c r="H1426" i="12883"/>
  <c r="H42" i="12882" l="1"/>
  <c r="K32" i="12882"/>
  <c r="K42" i="12882" l="1"/>
  <c r="M24" i="12882" s="1"/>
  <c r="M25" i="12882"/>
  <c r="M37" i="12882"/>
  <c r="M27" i="12882"/>
  <c r="M36" i="12882"/>
  <c r="M35" i="12882"/>
  <c r="M16" i="12882"/>
  <c r="M22" i="12882"/>
  <c r="M28" i="12882" l="1"/>
  <c r="M29" i="12882"/>
  <c r="B19" i="12882"/>
  <c r="J1118" i="12843"/>
  <c r="L1118" i="12843" s="1"/>
  <c r="J1117" i="12843"/>
  <c r="L1117" i="12843" s="1"/>
  <c r="J1042" i="12843"/>
  <c r="J1037" i="12843"/>
  <c r="L1037" i="12843" s="1"/>
  <c r="J1036" i="12843"/>
  <c r="L1036" i="12843" s="1"/>
  <c r="L1035" i="12843"/>
  <c r="J1033" i="12843"/>
  <c r="L1033" i="12843" s="1"/>
  <c r="L1032" i="12843"/>
  <c r="J944" i="12843"/>
  <c r="J965" i="12843" s="1"/>
  <c r="J939" i="12843"/>
  <c r="J938" i="12843"/>
  <c r="J937" i="12843"/>
  <c r="J958" i="12843" s="1"/>
  <c r="L958" i="12843" s="1"/>
  <c r="J935" i="12843"/>
  <c r="J934" i="12843"/>
  <c r="J885" i="12843"/>
  <c r="J924" i="12843" s="1"/>
  <c r="J880" i="12843"/>
  <c r="J919" i="12843" s="1"/>
  <c r="L919" i="12843" s="1"/>
  <c r="J879" i="12843"/>
  <c r="J918" i="12843" s="1"/>
  <c r="L918" i="12843" s="1"/>
  <c r="J878" i="12843"/>
  <c r="J917" i="12843" s="1"/>
  <c r="L917" i="12843" s="1"/>
  <c r="J876" i="12843"/>
  <c r="J915" i="12843" s="1"/>
  <c r="L915" i="12843" s="1"/>
  <c r="J875" i="12843"/>
  <c r="J914" i="12843" s="1"/>
  <c r="L914" i="12843" s="1"/>
  <c r="L863" i="12843"/>
  <c r="L843" i="12843" s="1"/>
  <c r="J825" i="12843"/>
  <c r="L825" i="12843" s="1"/>
  <c r="J824" i="12843"/>
  <c r="L824" i="12843" s="1"/>
  <c r="J823" i="12843"/>
  <c r="J815" i="12843"/>
  <c r="L802" i="12843"/>
  <c r="J802" i="12843"/>
  <c r="J801" i="12843"/>
  <c r="L801" i="12843" s="1"/>
  <c r="J781" i="12843"/>
  <c r="J800" i="12843" s="1"/>
  <c r="L800" i="12843" s="1"/>
  <c r="J775" i="12843"/>
  <c r="J794" i="12843" s="1"/>
  <c r="L794" i="12843" s="1"/>
  <c r="J774" i="12843"/>
  <c r="J793" i="12843" s="1"/>
  <c r="L793" i="12843" s="1"/>
  <c r="J773" i="12843"/>
  <c r="J792" i="12843" s="1"/>
  <c r="L792" i="12843" s="1"/>
  <c r="J772" i="12843"/>
  <c r="J791" i="12843" s="1"/>
  <c r="L791" i="12843" s="1"/>
  <c r="J771" i="12843"/>
  <c r="J790" i="12843" s="1"/>
  <c r="L790" i="12843" s="1"/>
  <c r="J769" i="12843"/>
  <c r="J788" i="12843" s="1"/>
  <c r="L788" i="12843" s="1"/>
  <c r="J764" i="12843"/>
  <c r="J787" i="12843" s="1"/>
  <c r="L787" i="12843" s="1"/>
  <c r="J763" i="12843"/>
  <c r="J786" i="12843" s="1"/>
  <c r="L786" i="12843" s="1"/>
  <c r="J762" i="12843"/>
  <c r="J785" i="12843" s="1"/>
  <c r="L785" i="12843" s="1"/>
  <c r="J760" i="12843"/>
  <c r="J783" i="12843" s="1"/>
  <c r="L783" i="12843" s="1"/>
  <c r="J751" i="12843"/>
  <c r="L751" i="12843" s="1"/>
  <c r="J750" i="12843"/>
  <c r="L750" i="12843" s="1"/>
  <c r="J730" i="12843"/>
  <c r="J724" i="12843"/>
  <c r="J723" i="12843"/>
  <c r="L723" i="12843" s="1"/>
  <c r="J722" i="12843"/>
  <c r="L722" i="12843" s="1"/>
  <c r="J721" i="12843"/>
  <c r="L721" i="12843" s="1"/>
  <c r="J720" i="12843"/>
  <c r="J718" i="12843"/>
  <c r="L718" i="12843" s="1"/>
  <c r="J713" i="12843"/>
  <c r="J712" i="12843"/>
  <c r="J711" i="12843"/>
  <c r="J709" i="12843"/>
  <c r="L709" i="12843" s="1"/>
  <c r="J700" i="12843"/>
  <c r="J699" i="12843"/>
  <c r="J697" i="12843"/>
  <c r="J696" i="12843"/>
  <c r="J678" i="12843"/>
  <c r="J677" i="12843"/>
  <c r="J698" i="12843" s="1"/>
  <c r="J669" i="12843"/>
  <c r="J690" i="12843" s="1"/>
  <c r="J668" i="12843"/>
  <c r="J689" i="12843" s="1"/>
  <c r="J667" i="12843"/>
  <c r="J688" i="12843" s="1"/>
  <c r="J666" i="12843"/>
  <c r="J687" i="12843" s="1"/>
  <c r="J665" i="12843"/>
  <c r="J672" i="12843" s="1"/>
  <c r="J693" i="12843" s="1"/>
  <c r="J663" i="12843"/>
  <c r="J684" i="12843" s="1"/>
  <c r="J658" i="12843"/>
  <c r="J683" i="12843" s="1"/>
  <c r="J657" i="12843"/>
  <c r="J682" i="12843" s="1"/>
  <c r="J656" i="12843"/>
  <c r="J681" i="12843" s="1"/>
  <c r="J653" i="12843"/>
  <c r="J679" i="12843" s="1"/>
  <c r="J644" i="12843"/>
  <c r="L644" i="12843" s="1"/>
  <c r="J643" i="12843"/>
  <c r="L643" i="12843" s="1"/>
  <c r="J631" i="12843"/>
  <c r="J642" i="12843" s="1"/>
  <c r="L642" i="12843" s="1"/>
  <c r="J626" i="12843"/>
  <c r="J638" i="12843" s="1"/>
  <c r="L638" i="12843" s="1"/>
  <c r="J624" i="12843"/>
  <c r="L624" i="12843" s="1"/>
  <c r="J623" i="12843"/>
  <c r="J636" i="12843" s="1"/>
  <c r="L636" i="12843" s="1"/>
  <c r="J621" i="12843"/>
  <c r="J635" i="12843" s="1"/>
  <c r="L635" i="12843" s="1"/>
  <c r="J620" i="12843"/>
  <c r="L620" i="12843" s="1"/>
  <c r="J619" i="12843"/>
  <c r="L619" i="12843" s="1"/>
  <c r="J610" i="12843"/>
  <c r="L610" i="12843" s="1"/>
  <c r="J609" i="12843"/>
  <c r="L609" i="12843" s="1"/>
  <c r="J597" i="12843"/>
  <c r="J608" i="12843" s="1"/>
  <c r="L608" i="12843" s="1"/>
  <c r="L570" i="12843" s="1"/>
  <c r="J592" i="12843"/>
  <c r="J593" i="12843" s="1"/>
  <c r="J590" i="12843"/>
  <c r="J603" i="12843" s="1"/>
  <c r="L603" i="12843" s="1"/>
  <c r="J589" i="12843"/>
  <c r="L589" i="12843" s="1"/>
  <c r="J587" i="12843"/>
  <c r="J586" i="12843"/>
  <c r="J600" i="12843" s="1"/>
  <c r="L600" i="12843" s="1"/>
  <c r="J585" i="12843"/>
  <c r="J599" i="12843" s="1"/>
  <c r="L599" i="12843" s="1"/>
  <c r="L574" i="12843"/>
  <c r="J574" i="12843"/>
  <c r="L573" i="12843"/>
  <c r="J573" i="12843"/>
  <c r="J572" i="12843"/>
  <c r="J571" i="12843"/>
  <c r="J560" i="12843"/>
  <c r="J559" i="12843"/>
  <c r="J570" i="12843" s="1"/>
  <c r="J554" i="12843"/>
  <c r="J555" i="12843" s="1"/>
  <c r="J567" i="12843" s="1"/>
  <c r="J552" i="12843"/>
  <c r="J565" i="12843" s="1"/>
  <c r="J551" i="12843"/>
  <c r="J549" i="12843"/>
  <c r="J563" i="12843" s="1"/>
  <c r="J548" i="12843"/>
  <c r="J511" i="12843" s="1"/>
  <c r="J525" i="12843" s="1"/>
  <c r="L525" i="12843" s="1"/>
  <c r="J547" i="12843"/>
  <c r="J561" i="12843" s="1"/>
  <c r="L535" i="12843"/>
  <c r="L534" i="12843"/>
  <c r="J533" i="12843"/>
  <c r="J523" i="12843"/>
  <c r="L522" i="12843"/>
  <c r="J512" i="12843"/>
  <c r="L512" i="12843" s="1"/>
  <c r="L511" i="12843"/>
  <c r="J510" i="12843"/>
  <c r="L510" i="12843" s="1"/>
  <c r="J489" i="12843"/>
  <c r="L489" i="12843" s="1"/>
  <c r="J488" i="12843"/>
  <c r="L488" i="12843" s="1"/>
  <c r="J478" i="12843"/>
  <c r="J487" i="12843" s="1"/>
  <c r="L487" i="12843" s="1"/>
  <c r="J474" i="12843"/>
  <c r="J483" i="12843" s="1"/>
  <c r="L483" i="12843" s="1"/>
  <c r="J471" i="12843"/>
  <c r="L471" i="12843" s="1"/>
  <c r="J470" i="12843"/>
  <c r="J469" i="12843"/>
  <c r="J480" i="12843" s="1"/>
  <c r="L480" i="12843" s="1"/>
  <c r="J460" i="12843"/>
  <c r="L460" i="12843" s="1"/>
  <c r="L431" i="12843" s="1"/>
  <c r="J459" i="12843"/>
  <c r="L459" i="12843" s="1"/>
  <c r="J449" i="12843"/>
  <c r="J458" i="12843" s="1"/>
  <c r="L458" i="12843" s="1"/>
  <c r="L429" i="12843" s="1"/>
  <c r="J445" i="12843"/>
  <c r="J454" i="12843" s="1"/>
  <c r="L454" i="12843" s="1"/>
  <c r="J442" i="12843"/>
  <c r="J441" i="12843"/>
  <c r="L441" i="12843" s="1"/>
  <c r="J440" i="12843"/>
  <c r="J431" i="12843"/>
  <c r="J430" i="12843"/>
  <c r="J420" i="12843"/>
  <c r="J429" i="12843" s="1"/>
  <c r="J416" i="12843"/>
  <c r="J425" i="12843" s="1"/>
  <c r="J413" i="12843"/>
  <c r="J424" i="12843" s="1"/>
  <c r="J412" i="12843"/>
  <c r="J423" i="12843" s="1"/>
  <c r="J411" i="12843"/>
  <c r="J422" i="12843" s="1"/>
  <c r="J401" i="12843"/>
  <c r="L401" i="12843" s="1"/>
  <c r="J400" i="12843"/>
  <c r="L400" i="12843" s="1"/>
  <c r="J390" i="12843"/>
  <c r="J399" i="12843" s="1"/>
  <c r="L399" i="12843" s="1"/>
  <c r="J386" i="12843"/>
  <c r="J395" i="12843" s="1"/>
  <c r="L395" i="12843" s="1"/>
  <c r="L383" i="12843"/>
  <c r="J383" i="12843"/>
  <c r="J394" i="12843" s="1"/>
  <c r="L394" i="12843" s="1"/>
  <c r="J382" i="12843"/>
  <c r="J381" i="12843"/>
  <c r="L381" i="12843" s="1"/>
  <c r="J372" i="12843"/>
  <c r="L372" i="12843" s="1"/>
  <c r="J371" i="12843"/>
  <c r="L371" i="12843" s="1"/>
  <c r="J361" i="12843"/>
  <c r="J357" i="12843"/>
  <c r="L357" i="12843" s="1"/>
  <c r="J354" i="12843"/>
  <c r="J365" i="12843" s="1"/>
  <c r="L365" i="12843" s="1"/>
  <c r="J353" i="12843"/>
  <c r="J364" i="12843" s="1"/>
  <c r="L364" i="12843" s="1"/>
  <c r="J352" i="12843"/>
  <c r="J363" i="12843" s="1"/>
  <c r="L363" i="12843" s="1"/>
  <c r="J343" i="12843"/>
  <c r="J342" i="12843"/>
  <c r="J332" i="12843"/>
  <c r="J341" i="12843" s="1"/>
  <c r="J328" i="12843"/>
  <c r="J337" i="12843" s="1"/>
  <c r="J325" i="12843"/>
  <c r="J336" i="12843" s="1"/>
  <c r="J324" i="12843"/>
  <c r="J335" i="12843" s="1"/>
  <c r="J323" i="12843"/>
  <c r="J334" i="12843" s="1"/>
  <c r="J314" i="12843"/>
  <c r="L314" i="12843" s="1"/>
  <c r="J313" i="12843"/>
  <c r="L313" i="12843" s="1"/>
  <c r="J303" i="12843"/>
  <c r="J312" i="12843" s="1"/>
  <c r="L312" i="12843" s="1"/>
  <c r="J299" i="12843"/>
  <c r="J308" i="12843" s="1"/>
  <c r="L308" i="12843" s="1"/>
  <c r="J297" i="12843"/>
  <c r="L296" i="12843"/>
  <c r="J296" i="12843"/>
  <c r="J306" i="12843" s="1"/>
  <c r="L306" i="12843" s="1"/>
  <c r="J295" i="12843"/>
  <c r="J305" i="12843" s="1"/>
  <c r="L305" i="12843" s="1"/>
  <c r="J286" i="12843"/>
  <c r="L286" i="12843" s="1"/>
  <c r="J285" i="12843"/>
  <c r="L285" i="12843" s="1"/>
  <c r="J275" i="12843"/>
  <c r="L275" i="12843" s="1"/>
  <c r="J271" i="12843"/>
  <c r="J269" i="12843"/>
  <c r="J279" i="12843" s="1"/>
  <c r="L279" i="12843" s="1"/>
  <c r="J268" i="12843"/>
  <c r="J267" i="12843"/>
  <c r="J277" i="12843" s="1"/>
  <c r="L277" i="12843" s="1"/>
  <c r="J257" i="12843"/>
  <c r="L257" i="12843" s="1"/>
  <c r="J256" i="12843"/>
  <c r="L256" i="12843" s="1"/>
  <c r="J246" i="12843"/>
  <c r="J255" i="12843" s="1"/>
  <c r="L255" i="12843" s="1"/>
  <c r="J242" i="12843"/>
  <c r="J251" i="12843" s="1"/>
  <c r="J240" i="12843"/>
  <c r="L240" i="12843" s="1"/>
  <c r="J239" i="12843"/>
  <c r="J249" i="12843" s="1"/>
  <c r="L249" i="12843" s="1"/>
  <c r="J238" i="12843"/>
  <c r="L238" i="12843" s="1"/>
  <c r="J229" i="12843"/>
  <c r="J228" i="12843"/>
  <c r="J218" i="12843"/>
  <c r="J227" i="12843" s="1"/>
  <c r="J214" i="12843"/>
  <c r="J223" i="12843" s="1"/>
  <c r="J212" i="12843"/>
  <c r="J222" i="12843" s="1"/>
  <c r="J211" i="12843"/>
  <c r="J221" i="12843" s="1"/>
  <c r="J210" i="12843"/>
  <c r="J220" i="12843" s="1"/>
  <c r="L198" i="12843"/>
  <c r="J198" i="12843"/>
  <c r="L197" i="12843"/>
  <c r="J197" i="12843"/>
  <c r="L196" i="12843"/>
  <c r="J196" i="12843"/>
  <c r="J195" i="12843"/>
  <c r="J194" i="12843"/>
  <c r="J185" i="12843"/>
  <c r="J184" i="12843"/>
  <c r="J193" i="12843" s="1"/>
  <c r="J180" i="12843"/>
  <c r="J189" i="12843" s="1"/>
  <c r="J177" i="12843"/>
  <c r="J188" i="12843" s="1"/>
  <c r="J176" i="12843"/>
  <c r="J187" i="12843" s="1"/>
  <c r="J175" i="12843"/>
  <c r="J186" i="12843" s="1"/>
  <c r="J173" i="12843"/>
  <c r="J172" i="12843"/>
  <c r="J171" i="12843"/>
  <c r="J160" i="12843"/>
  <c r="L160" i="12843" s="1"/>
  <c r="J159" i="12843"/>
  <c r="L159" i="12843" s="1"/>
  <c r="J156" i="12843"/>
  <c r="L156" i="12843" s="1"/>
  <c r="J147" i="12843"/>
  <c r="L147" i="12843" s="1"/>
  <c r="J146" i="12843"/>
  <c r="L146" i="12843" s="1"/>
  <c r="J143" i="12843"/>
  <c r="L143" i="12843" s="1"/>
  <c r="J125" i="12843"/>
  <c r="J115" i="12843"/>
  <c r="L115" i="12843" s="1"/>
  <c r="J114" i="12843"/>
  <c r="J116" i="12843" s="1"/>
  <c r="L116" i="12843" s="1"/>
  <c r="J111" i="12843"/>
  <c r="L111" i="12843" s="1"/>
  <c r="J102" i="12843"/>
  <c r="L102" i="12843" s="1"/>
  <c r="J101" i="12843"/>
  <c r="J103" i="12843" s="1"/>
  <c r="L103" i="12843" s="1"/>
  <c r="J98" i="12843"/>
  <c r="L98" i="12843" s="1"/>
  <c r="J88" i="12843"/>
  <c r="L88" i="12843" s="1"/>
  <c r="J87" i="12843"/>
  <c r="J89" i="12843" s="1"/>
  <c r="L89" i="12843" s="1"/>
  <c r="J84" i="12843"/>
  <c r="L84" i="12843" s="1"/>
  <c r="J69" i="12843"/>
  <c r="J68" i="12843"/>
  <c r="J70" i="12843" s="1"/>
  <c r="J65" i="12843"/>
  <c r="L474" i="12843" l="1"/>
  <c r="L246" i="12843"/>
  <c r="L299" i="12843"/>
  <c r="L597" i="12843"/>
  <c r="L267" i="12843"/>
  <c r="J604" i="12843"/>
  <c r="L604" i="12843" s="1"/>
  <c r="L623" i="12843"/>
  <c r="L551" i="12843" s="1"/>
  <c r="L445" i="12843"/>
  <c r="L416" i="12843" s="1"/>
  <c r="L469" i="12843"/>
  <c r="L571" i="12843"/>
  <c r="L764" i="12843"/>
  <c r="J895" i="12843"/>
  <c r="L242" i="12843"/>
  <c r="L342" i="12843"/>
  <c r="L585" i="12843"/>
  <c r="L547" i="12843" s="1"/>
  <c r="L700" i="12843"/>
  <c r="L781" i="12843"/>
  <c r="L101" i="12843"/>
  <c r="L228" i="12843"/>
  <c r="L343" i="12843"/>
  <c r="L772" i="12843"/>
  <c r="L666" i="12843" s="1"/>
  <c r="L699" i="12843"/>
  <c r="J250" i="12843"/>
  <c r="L250" i="12843" s="1"/>
  <c r="J515" i="12843"/>
  <c r="L515" i="12843" s="1"/>
  <c r="J627" i="12843"/>
  <c r="J639" i="12843" s="1"/>
  <c r="L639" i="12843" s="1"/>
  <c r="J161" i="12843"/>
  <c r="L161" i="12843" s="1"/>
  <c r="J521" i="12843"/>
  <c r="J896" i="12843"/>
  <c r="L449" i="12843"/>
  <c r="L478" i="12843"/>
  <c r="L586" i="12843"/>
  <c r="L548" i="12843" s="1"/>
  <c r="J726" i="12843"/>
  <c r="L726" i="12843" s="1"/>
  <c r="L295" i="12843"/>
  <c r="L425" i="12843"/>
  <c r="L533" i="12843"/>
  <c r="L572" i="12843"/>
  <c r="L566" i="12843"/>
  <c r="L114" i="12843"/>
  <c r="L229" i="12843"/>
  <c r="L195" i="12843" s="1"/>
  <c r="J284" i="12843"/>
  <c r="L284" i="12843" s="1"/>
  <c r="L227" i="12843" s="1"/>
  <c r="J392" i="12843"/>
  <c r="L392" i="12843" s="1"/>
  <c r="L334" i="12843" s="1"/>
  <c r="L590" i="12843"/>
  <c r="L552" i="12843" s="1"/>
  <c r="L631" i="12843"/>
  <c r="L559" i="12843" s="1"/>
  <c r="J686" i="12843"/>
  <c r="J742" i="12843"/>
  <c r="L742" i="12843" s="1"/>
  <c r="L689" i="12843" s="1"/>
  <c r="L763" i="12843"/>
  <c r="L239" i="12843"/>
  <c r="J452" i="12843"/>
  <c r="L452" i="12843" s="1"/>
  <c r="J517" i="12843"/>
  <c r="L626" i="12843"/>
  <c r="J633" i="12843"/>
  <c r="L633" i="12843" s="1"/>
  <c r="L561" i="12843" s="1"/>
  <c r="J148" i="12843"/>
  <c r="L148" i="12843" s="1"/>
  <c r="L303" i="12843"/>
  <c r="L218" i="12843" s="1"/>
  <c r="J634" i="12843"/>
  <c r="L634" i="12843" s="1"/>
  <c r="L562" i="12843" s="1"/>
  <c r="J671" i="12843"/>
  <c r="J692" i="12843" s="1"/>
  <c r="L773" i="12843"/>
  <c r="L667" i="12843" s="1"/>
  <c r="J637" i="12843"/>
  <c r="L637" i="12843" s="1"/>
  <c r="L565" i="12843" s="1"/>
  <c r="L760" i="12843"/>
  <c r="L653" i="12843" s="1"/>
  <c r="L769" i="12843"/>
  <c r="L663" i="12843" s="1"/>
  <c r="L774" i="12843"/>
  <c r="L668" i="12843" s="1"/>
  <c r="J898" i="12843"/>
  <c r="L353" i="12843"/>
  <c r="J562" i="12843"/>
  <c r="J732" i="12843"/>
  <c r="L732" i="12843" s="1"/>
  <c r="L679" i="12843" s="1"/>
  <c r="J899" i="12843"/>
  <c r="L87" i="12843"/>
  <c r="L336" i="12843"/>
  <c r="L430" i="12843"/>
  <c r="J740" i="12843"/>
  <c r="L740" i="12843" s="1"/>
  <c r="L687" i="12843" s="1"/>
  <c r="L762" i="12843"/>
  <c r="L771" i="12843"/>
  <c r="L775" i="12843"/>
  <c r="J900" i="12843"/>
  <c r="J366" i="12843"/>
  <c r="L366" i="12843" s="1"/>
  <c r="L337" i="12843" s="1"/>
  <c r="L390" i="12843"/>
  <c r="J482" i="12843"/>
  <c r="L482" i="12843" s="1"/>
  <c r="J528" i="12843"/>
  <c r="L528" i="12843" s="1"/>
  <c r="J741" i="12843"/>
  <c r="L741" i="12843" s="1"/>
  <c r="L688" i="12843" s="1"/>
  <c r="J905" i="12843"/>
  <c r="J977" i="12843"/>
  <c r="L977" i="12843" s="1"/>
  <c r="B22" i="12882"/>
  <c r="B23" i="12882" s="1"/>
  <c r="L470" i="12843"/>
  <c r="L412" i="12843" s="1"/>
  <c r="L172" i="12843" s="1"/>
  <c r="J481" i="12843"/>
  <c r="L481" i="12843" s="1"/>
  <c r="L423" i="12843" s="1"/>
  <c r="J514" i="12843"/>
  <c r="J564" i="12843"/>
  <c r="J278" i="12843"/>
  <c r="L278" i="12843" s="1"/>
  <c r="L221" i="12843" s="1"/>
  <c r="L268" i="12843"/>
  <c r="L211" i="12843" s="1"/>
  <c r="L352" i="12843"/>
  <c r="L386" i="12843"/>
  <c r="L328" i="12843" s="1"/>
  <c r="L440" i="12843"/>
  <c r="J451" i="12843"/>
  <c r="L451" i="12843" s="1"/>
  <c r="L422" i="12843" s="1"/>
  <c r="J605" i="12843"/>
  <c r="L605" i="12843" s="1"/>
  <c r="L593" i="12843"/>
  <c r="L69" i="12843"/>
  <c r="J248" i="12843"/>
  <c r="L248" i="12843" s="1"/>
  <c r="L220" i="12843" s="1"/>
  <c r="L65" i="12843"/>
  <c r="L269" i="12843"/>
  <c r="L271" i="12843"/>
  <c r="L214" i="12843" s="1"/>
  <c r="J280" i="12843"/>
  <c r="L280" i="12843" s="1"/>
  <c r="L442" i="12843"/>
  <c r="L413" i="12843" s="1"/>
  <c r="L173" i="12843" s="1"/>
  <c r="J453" i="12843"/>
  <c r="L453" i="12843" s="1"/>
  <c r="L424" i="12843" s="1"/>
  <c r="L354" i="12843"/>
  <c r="L325" i="12843" s="1"/>
  <c r="J370" i="12843"/>
  <c r="L370" i="12843" s="1"/>
  <c r="L341" i="12843" s="1"/>
  <c r="L361" i="12843"/>
  <c r="L332" i="12843" s="1"/>
  <c r="L382" i="12843"/>
  <c r="L324" i="12843" s="1"/>
  <c r="J393" i="12843"/>
  <c r="L393" i="12843" s="1"/>
  <c r="L335" i="12843" s="1"/>
  <c r="L297" i="12843"/>
  <c r="J307" i="12843"/>
  <c r="L307" i="12843" s="1"/>
  <c r="L222" i="12843" s="1"/>
  <c r="J524" i="12843"/>
  <c r="L524" i="12843" s="1"/>
  <c r="J816" i="12843"/>
  <c r="L816" i="12843" s="1"/>
  <c r="L898" i="12843"/>
  <c r="J526" i="12843"/>
  <c r="L526" i="12843" s="1"/>
  <c r="L711" i="12843"/>
  <c r="J734" i="12843"/>
  <c r="L734" i="12843" s="1"/>
  <c r="L681" i="12843" s="1"/>
  <c r="L724" i="12843"/>
  <c r="L669" i="12843" s="1"/>
  <c r="J743" i="12843"/>
  <c r="L743" i="12843" s="1"/>
  <c r="L690" i="12843" s="1"/>
  <c r="L712" i="12843"/>
  <c r="L657" i="12843" s="1"/>
  <c r="J735" i="12843"/>
  <c r="L735" i="12843" s="1"/>
  <c r="L682" i="12843" s="1"/>
  <c r="L592" i="12843"/>
  <c r="L554" i="12843" s="1"/>
  <c r="L713" i="12843"/>
  <c r="J736" i="12843"/>
  <c r="L736" i="12843" s="1"/>
  <c r="L683" i="12843" s="1"/>
  <c r="J566" i="12843"/>
  <c r="J602" i="12843"/>
  <c r="L602" i="12843" s="1"/>
  <c r="L564" i="12843" s="1"/>
  <c r="J601" i="12843"/>
  <c r="L601" i="12843" s="1"/>
  <c r="L563" i="12843" s="1"/>
  <c r="L587" i="12843"/>
  <c r="L621" i="12843"/>
  <c r="L730" i="12843"/>
  <c r="L677" i="12843" s="1"/>
  <c r="J749" i="12843"/>
  <c r="L749" i="12843" s="1"/>
  <c r="L698" i="12843" s="1"/>
  <c r="L720" i="12843"/>
  <c r="L665" i="12843" s="1"/>
  <c r="J739" i="12843"/>
  <c r="L739" i="12843" s="1"/>
  <c r="L686" i="12843" s="1"/>
  <c r="J727" i="12843"/>
  <c r="J975" i="12843"/>
  <c r="L975" i="12843" s="1"/>
  <c r="L1014" i="12843" s="1"/>
  <c r="J956" i="12843"/>
  <c r="L956" i="12843" s="1"/>
  <c r="L1016" i="12843"/>
  <c r="J813" i="12843"/>
  <c r="L813" i="12843" s="1"/>
  <c r="L895" i="12843"/>
  <c r="J959" i="12843"/>
  <c r="L959" i="12843" s="1"/>
  <c r="J978" i="12843"/>
  <c r="L978" i="12843" s="1"/>
  <c r="L1017" i="12843" s="1"/>
  <c r="J737" i="12843"/>
  <c r="L737" i="12843" s="1"/>
  <c r="L684" i="12843" s="1"/>
  <c r="J818" i="12843"/>
  <c r="L818" i="12843" s="1"/>
  <c r="L900" i="12843"/>
  <c r="J778" i="12843"/>
  <c r="J955" i="12843"/>
  <c r="L955" i="12843" s="1"/>
  <c r="J960" i="12843"/>
  <c r="L960" i="12843" s="1"/>
  <c r="J984" i="12843"/>
  <c r="J974" i="12843"/>
  <c r="L974" i="12843" s="1"/>
  <c r="J979" i="12843"/>
  <c r="L979" i="12843" s="1"/>
  <c r="L1018" i="12843" s="1"/>
  <c r="J777" i="12843"/>
  <c r="L70" i="12843" l="1"/>
  <c r="L996" i="12843"/>
  <c r="L658" i="12843"/>
  <c r="L68" i="12843"/>
  <c r="L210" i="12843"/>
  <c r="J745" i="12843"/>
  <c r="L745" i="12843" s="1"/>
  <c r="L567" i="12843"/>
  <c r="L627" i="12843"/>
  <c r="L193" i="12843"/>
  <c r="L420" i="12843"/>
  <c r="L184" i="12843" s="1"/>
  <c r="L188" i="12843"/>
  <c r="L194" i="12843"/>
  <c r="L896" i="12843"/>
  <c r="J814" i="12843"/>
  <c r="L814" i="12843" s="1"/>
  <c r="J532" i="12843"/>
  <c r="L532" i="12843" s="1"/>
  <c r="L521" i="12843"/>
  <c r="L186" i="12843"/>
  <c r="L899" i="12843"/>
  <c r="J817" i="12843"/>
  <c r="L817" i="12843" s="1"/>
  <c r="J529" i="12843"/>
  <c r="L517" i="12843"/>
  <c r="L180" i="12843"/>
  <c r="L187" i="12843"/>
  <c r="L998" i="12843"/>
  <c r="L993" i="12843"/>
  <c r="L656" i="12843"/>
  <c r="L514" i="12843"/>
  <c r="J527" i="12843"/>
  <c r="L527" i="12843" s="1"/>
  <c r="J797" i="12843"/>
  <c r="L797" i="12843" s="1"/>
  <c r="L778" i="12843"/>
  <c r="L411" i="12843"/>
  <c r="L171" i="12843" s="1"/>
  <c r="L1013" i="12843"/>
  <c r="L549" i="12843"/>
  <c r="J796" i="12843"/>
  <c r="L796" i="12843" s="1"/>
  <c r="L777" i="12843"/>
  <c r="L671" i="12843" s="1"/>
  <c r="L727" i="12843"/>
  <c r="J746" i="12843"/>
  <c r="L746" i="12843" s="1"/>
  <c r="L212" i="12843"/>
  <c r="L177" i="12843" s="1"/>
  <c r="L323" i="12843"/>
  <c r="L175" i="12843" s="1"/>
  <c r="L176" i="12843"/>
  <c r="F676" i="12843"/>
  <c r="F675" i="12843"/>
  <c r="I654" i="12843"/>
  <c r="F654" i="12843"/>
  <c r="L654" i="12843" s="1"/>
  <c r="I501" i="12843"/>
  <c r="F501" i="12843"/>
  <c r="L501" i="12843" s="1"/>
  <c r="F500" i="12843"/>
  <c r="F499" i="12843"/>
  <c r="I498" i="12843"/>
  <c r="F498" i="12843"/>
  <c r="L498" i="12843" s="1"/>
  <c r="I497" i="12843"/>
  <c r="F497" i="12843"/>
  <c r="I126" i="12843"/>
  <c r="I125" i="12843"/>
  <c r="F126" i="12843"/>
  <c r="L126" i="12843" s="1"/>
  <c r="F128" i="12843"/>
  <c r="F127" i="12843"/>
  <c r="F125" i="12843"/>
  <c r="L125" i="12843" s="1"/>
  <c r="L994" i="12843" l="1"/>
  <c r="L997" i="12843"/>
  <c r="L692" i="12843"/>
  <c r="L672" i="12843"/>
  <c r="L555" i="12843"/>
  <c r="L529" i="12843"/>
  <c r="J537" i="12843"/>
  <c r="L537" i="12843" s="1"/>
  <c r="J536" i="12843"/>
  <c r="L536" i="12843" s="1"/>
  <c r="L693" i="12843"/>
  <c r="B24" i="12882"/>
  <c r="F129" i="12843"/>
  <c r="F131" i="12843" s="1"/>
  <c r="F502" i="12843"/>
  <c r="F504" i="12843" s="1"/>
  <c r="L497" i="12843"/>
  <c r="O19" i="12881"/>
  <c r="O18" i="12881"/>
  <c r="O19" i="12791"/>
  <c r="O18" i="12791"/>
  <c r="O18" i="12772"/>
  <c r="O19" i="12772"/>
  <c r="O17" i="12791"/>
  <c r="P19" i="12791"/>
  <c r="O17" i="12881"/>
  <c r="P19" i="12881"/>
  <c r="P19" i="12772"/>
  <c r="O17" i="12772"/>
  <c r="B25" i="12882" l="1"/>
  <c r="B26" i="12882" s="1"/>
  <c r="F1066" i="12843"/>
  <c r="C1018" i="12843"/>
  <c r="C998" i="12843"/>
  <c r="D979" i="12843"/>
  <c r="F979" i="12843" s="1"/>
  <c r="D983" i="12843"/>
  <c r="D982" i="12843"/>
  <c r="F982" i="12843" s="1"/>
  <c r="D960" i="12843"/>
  <c r="F960" i="12843" s="1"/>
  <c r="D964" i="12843"/>
  <c r="D963" i="12843"/>
  <c r="F963" i="12843" s="1"/>
  <c r="D919" i="12843"/>
  <c r="F919" i="12843" s="1"/>
  <c r="D923" i="12843"/>
  <c r="D922" i="12843"/>
  <c r="D900" i="12843"/>
  <c r="F900" i="12843" s="1"/>
  <c r="D904" i="12843"/>
  <c r="D903" i="12843"/>
  <c r="C572" i="12843"/>
  <c r="C571" i="12843"/>
  <c r="C827" i="12843"/>
  <c r="F1092" i="12843"/>
  <c r="F998" i="12843" l="1"/>
  <c r="F1018" i="12843"/>
  <c r="F1093" i="12843"/>
  <c r="F1078" i="12843" s="1"/>
  <c r="F1037" i="12843"/>
  <c r="D818" i="12843"/>
  <c r="F818" i="12843" s="1"/>
  <c r="B27" i="12882" l="1"/>
  <c r="B28" i="12882" s="1"/>
  <c r="B29" i="12882" s="1"/>
  <c r="B32" i="12882" s="1"/>
  <c r="B35" i="12882" s="1"/>
  <c r="B36" i="12882" s="1"/>
  <c r="D822" i="12843"/>
  <c r="D821" i="12843"/>
  <c r="B37" i="12882" l="1"/>
  <c r="B40" i="12882" s="1"/>
  <c r="B42" i="12882" s="1"/>
  <c r="T19" i="12791"/>
  <c r="S19" i="12881"/>
  <c r="S19" i="12772"/>
  <c r="M10" i="12833" l="1"/>
  <c r="U14" i="12771" l="1"/>
  <c r="O19" i="12770"/>
  <c r="U23" i="12769"/>
  <c r="M9" i="12833"/>
  <c r="O20" i="12770" l="1"/>
  <c r="U22" i="12769"/>
  <c r="U21" i="12769"/>
  <c r="E25" i="12791" l="1"/>
  <c r="O1008" i="12766" l="1"/>
  <c r="K1008" i="12766"/>
  <c r="O1003" i="12766"/>
  <c r="D1003" i="12766"/>
  <c r="C1003" i="12766"/>
  <c r="C1000" i="12766"/>
  <c r="P999" i="12766"/>
  <c r="M999" i="12766"/>
  <c r="K999" i="12766"/>
  <c r="H999" i="12766"/>
  <c r="G999" i="12766"/>
  <c r="D999" i="12766"/>
  <c r="C999" i="12766"/>
  <c r="P997" i="12766"/>
  <c r="M997" i="12766"/>
  <c r="K997" i="12766"/>
  <c r="H997" i="12766"/>
  <c r="G997" i="12766"/>
  <c r="D997" i="12766"/>
  <c r="C996" i="12766"/>
  <c r="G996" i="12766" s="1"/>
  <c r="C995" i="12766"/>
  <c r="G995" i="12766" s="1"/>
  <c r="P993" i="12766"/>
  <c r="M993" i="12766"/>
  <c r="G993" i="12766"/>
  <c r="D993" i="12766"/>
  <c r="K993" i="12766" s="1"/>
  <c r="P992" i="12766"/>
  <c r="M992" i="12766"/>
  <c r="G992" i="12766"/>
  <c r="D992" i="12766"/>
  <c r="K992" i="12766" s="1"/>
  <c r="M990" i="12766"/>
  <c r="G990" i="12766"/>
  <c r="D990" i="12766"/>
  <c r="K990" i="12766" s="1"/>
  <c r="M989" i="12766"/>
  <c r="G989" i="12766"/>
  <c r="D989" i="12766"/>
  <c r="K989" i="12766" s="1"/>
  <c r="M988" i="12766"/>
  <c r="G988" i="12766"/>
  <c r="D988" i="12766"/>
  <c r="K988" i="12766" s="1"/>
  <c r="M985" i="12766"/>
  <c r="G985" i="12766"/>
  <c r="D985" i="12766"/>
  <c r="K985" i="12766" s="1"/>
  <c r="M984" i="12766"/>
  <c r="G984" i="12766"/>
  <c r="D984" i="12766"/>
  <c r="K984" i="12766" s="1"/>
  <c r="M982" i="12766"/>
  <c r="G982" i="12766"/>
  <c r="D982" i="12766"/>
  <c r="K982" i="12766" s="1"/>
  <c r="M981" i="12766"/>
  <c r="G981" i="12766"/>
  <c r="D981" i="12766"/>
  <c r="K981" i="12766" s="1"/>
  <c r="C981" i="12766"/>
  <c r="G980" i="12766"/>
  <c r="C980" i="12766"/>
  <c r="D980" i="12766" s="1"/>
  <c r="C977" i="12766"/>
  <c r="G977" i="12766" s="1"/>
  <c r="C976" i="12766"/>
  <c r="G974" i="12766"/>
  <c r="D974" i="12766"/>
  <c r="C974" i="12766"/>
  <c r="G973" i="12766"/>
  <c r="C973" i="12766"/>
  <c r="D973" i="12766" s="1"/>
  <c r="C972" i="12766"/>
  <c r="G972" i="12766" s="1"/>
  <c r="O966" i="12766"/>
  <c r="O967" i="12766" s="1"/>
  <c r="D966" i="12766"/>
  <c r="D964" i="12766"/>
  <c r="M963" i="12766"/>
  <c r="K963" i="12766"/>
  <c r="H963" i="12766"/>
  <c r="C963" i="12766"/>
  <c r="C964" i="12766" s="1"/>
  <c r="C966" i="12766" s="1"/>
  <c r="C962" i="12766"/>
  <c r="M961" i="12766"/>
  <c r="K961" i="12766"/>
  <c r="H961" i="12766"/>
  <c r="G961" i="12766"/>
  <c r="M960" i="12766"/>
  <c r="K960" i="12766"/>
  <c r="K964" i="12766" s="1"/>
  <c r="K966" i="12766" s="1"/>
  <c r="P967" i="12766" s="1"/>
  <c r="H960" i="12766"/>
  <c r="H964" i="12766" s="1"/>
  <c r="H966" i="12766" s="1"/>
  <c r="G960" i="12766"/>
  <c r="D955" i="12766"/>
  <c r="C952" i="12766"/>
  <c r="I951" i="12766"/>
  <c r="E951" i="12766"/>
  <c r="C951" i="12766"/>
  <c r="C953" i="12766" s="1"/>
  <c r="I950" i="12766"/>
  <c r="G950" i="12766"/>
  <c r="K949" i="12766"/>
  <c r="D944" i="12766"/>
  <c r="C941" i="12766"/>
  <c r="C930" i="12766" s="1"/>
  <c r="E940" i="12766"/>
  <c r="C940" i="12766"/>
  <c r="G940" i="12766" s="1"/>
  <c r="I939" i="12766"/>
  <c r="I940" i="12766" s="1"/>
  <c r="G939" i="12766"/>
  <c r="C939" i="12766"/>
  <c r="K938" i="12766"/>
  <c r="O933" i="12766"/>
  <c r="K932" i="12766"/>
  <c r="H932" i="12766"/>
  <c r="G932" i="12766"/>
  <c r="D932" i="12766"/>
  <c r="D933" i="12766" s="1"/>
  <c r="C932" i="12766"/>
  <c r="D931" i="12766"/>
  <c r="D930" i="12766"/>
  <c r="I929" i="12766"/>
  <c r="E929" i="12766"/>
  <c r="G928" i="12766"/>
  <c r="C928" i="12766"/>
  <c r="M927" i="12766"/>
  <c r="K927" i="12766"/>
  <c r="H927" i="12766"/>
  <c r="G927" i="12766"/>
  <c r="O922" i="12766"/>
  <c r="D922" i="12766"/>
  <c r="C920" i="12766"/>
  <c r="D918" i="12766" s="1"/>
  <c r="C919" i="12766"/>
  <c r="G918" i="12766"/>
  <c r="C917" i="12766"/>
  <c r="G917" i="12766" s="1"/>
  <c r="G920" i="12766" s="1"/>
  <c r="G922" i="12766" s="1"/>
  <c r="M916" i="12766"/>
  <c r="K916" i="12766"/>
  <c r="O911" i="12766"/>
  <c r="D911" i="12766"/>
  <c r="C911" i="12766"/>
  <c r="C908" i="12766"/>
  <c r="G907" i="12766"/>
  <c r="C907" i="12766"/>
  <c r="D907" i="12766" s="1"/>
  <c r="C906" i="12766"/>
  <c r="G906" i="12766" s="1"/>
  <c r="K905" i="12766"/>
  <c r="D905" i="12766"/>
  <c r="H905" i="12766" s="1"/>
  <c r="C905" i="12766"/>
  <c r="G905" i="12766" s="1"/>
  <c r="M904" i="12766"/>
  <c r="G904" i="12766"/>
  <c r="G909" i="12766" s="1"/>
  <c r="G911" i="12766" s="1"/>
  <c r="D904" i="12766"/>
  <c r="K904" i="12766" s="1"/>
  <c r="C904" i="12766"/>
  <c r="I895" i="12766"/>
  <c r="G895" i="12766"/>
  <c r="K894" i="12766"/>
  <c r="I894" i="12766"/>
  <c r="H894" i="12766"/>
  <c r="G894" i="12766"/>
  <c r="G893" i="12766"/>
  <c r="E893" i="12766"/>
  <c r="E892" i="12766"/>
  <c r="G891" i="12766"/>
  <c r="E891" i="12766"/>
  <c r="E890" i="12766"/>
  <c r="H889" i="12766"/>
  <c r="G889" i="12766"/>
  <c r="E889" i="12766"/>
  <c r="H888" i="12766"/>
  <c r="E888" i="12766"/>
  <c r="G888" i="12766" s="1"/>
  <c r="E887" i="12766"/>
  <c r="H887" i="12766" s="1"/>
  <c r="I886" i="12766"/>
  <c r="I885" i="12766"/>
  <c r="I893" i="12766" s="1"/>
  <c r="G885" i="12766"/>
  <c r="I884" i="12766"/>
  <c r="C884" i="12766"/>
  <c r="G884" i="12766" s="1"/>
  <c r="I882" i="12766"/>
  <c r="I891" i="12766" s="1"/>
  <c r="G882" i="12766"/>
  <c r="I881" i="12766"/>
  <c r="G881" i="12766"/>
  <c r="I880" i="12766"/>
  <c r="I889" i="12766" s="1"/>
  <c r="K889" i="12766" s="1"/>
  <c r="H880" i="12766"/>
  <c r="G880" i="12766"/>
  <c r="C879" i="12766"/>
  <c r="K878" i="12766"/>
  <c r="I878" i="12766"/>
  <c r="I888" i="12766" s="1"/>
  <c r="K888" i="12766" s="1"/>
  <c r="H878" i="12766"/>
  <c r="G878" i="12766"/>
  <c r="I877" i="12766"/>
  <c r="H877" i="12766"/>
  <c r="G877" i="12766"/>
  <c r="C869" i="12766"/>
  <c r="D863" i="12766" s="1"/>
  <c r="I868" i="12766"/>
  <c r="G868" i="12766"/>
  <c r="D868" i="12766"/>
  <c r="C868" i="12766"/>
  <c r="I867" i="12766"/>
  <c r="K867" i="12766" s="1"/>
  <c r="H867" i="12766"/>
  <c r="C867" i="12766"/>
  <c r="G867" i="12766" s="1"/>
  <c r="I866" i="12766"/>
  <c r="E866" i="12766"/>
  <c r="C866" i="12766"/>
  <c r="H865" i="12766"/>
  <c r="E865" i="12766"/>
  <c r="G865" i="12766" s="1"/>
  <c r="D865" i="12766"/>
  <c r="C865" i="12766"/>
  <c r="G864" i="12766"/>
  <c r="E864" i="12766"/>
  <c r="C864" i="12766"/>
  <c r="C808" i="12766" s="1"/>
  <c r="E863" i="12766"/>
  <c r="C863" i="12766"/>
  <c r="E862" i="12766"/>
  <c r="D862" i="12766"/>
  <c r="H861" i="12766"/>
  <c r="G861" i="12766"/>
  <c r="E861" i="12766"/>
  <c r="H860" i="12766"/>
  <c r="E860" i="12766"/>
  <c r="G860" i="12766" s="1"/>
  <c r="I859" i="12766"/>
  <c r="I858" i="12766"/>
  <c r="G858" i="12766"/>
  <c r="D858" i="12766"/>
  <c r="C858" i="12766"/>
  <c r="I857" i="12766"/>
  <c r="C857" i="12766"/>
  <c r="G857" i="12766" s="1"/>
  <c r="G801" i="12766" s="1"/>
  <c r="I855" i="12766"/>
  <c r="I864" i="12766" s="1"/>
  <c r="G855" i="12766"/>
  <c r="C855" i="12766"/>
  <c r="I854" i="12766"/>
  <c r="I863" i="12766" s="1"/>
  <c r="C854" i="12766"/>
  <c r="G854" i="12766" s="1"/>
  <c r="I853" i="12766"/>
  <c r="I862" i="12766" s="1"/>
  <c r="G853" i="12766"/>
  <c r="D853" i="12766"/>
  <c r="C853" i="12766"/>
  <c r="D852" i="12766"/>
  <c r="K851" i="12766"/>
  <c r="I851" i="12766"/>
  <c r="I861" i="12766" s="1"/>
  <c r="K861" i="12766" s="1"/>
  <c r="H851" i="12766"/>
  <c r="C851" i="12766"/>
  <c r="I850" i="12766"/>
  <c r="K850" i="12766" s="1"/>
  <c r="H850" i="12766"/>
  <c r="G850" i="12766"/>
  <c r="C850" i="12766"/>
  <c r="I840" i="12766"/>
  <c r="C840" i="12766"/>
  <c r="G840" i="12766" s="1"/>
  <c r="G812" i="12766" s="1"/>
  <c r="G784" i="12766" s="1"/>
  <c r="I839" i="12766"/>
  <c r="K839" i="12766" s="1"/>
  <c r="H839" i="12766"/>
  <c r="G839" i="12766"/>
  <c r="G811" i="12766" s="1"/>
  <c r="G783" i="12766" s="1"/>
  <c r="C839" i="12766"/>
  <c r="I838" i="12766"/>
  <c r="E838" i="12766"/>
  <c r="G838" i="12766" s="1"/>
  <c r="C838" i="12766"/>
  <c r="E837" i="12766"/>
  <c r="C837" i="12766"/>
  <c r="G837" i="12766" s="1"/>
  <c r="G809" i="12766" s="1"/>
  <c r="G836" i="12766"/>
  <c r="E836" i="12766"/>
  <c r="C836" i="12766"/>
  <c r="D836" i="12766" s="1"/>
  <c r="I835" i="12766"/>
  <c r="E835" i="12766"/>
  <c r="G834" i="12766"/>
  <c r="E834" i="12766"/>
  <c r="K833" i="12766"/>
  <c r="K805" i="12766" s="1"/>
  <c r="K777" i="12766" s="1"/>
  <c r="E833" i="12766"/>
  <c r="H833" i="12766" s="1"/>
  <c r="H805" i="12766" s="1"/>
  <c r="G832" i="12766"/>
  <c r="G804" i="12766" s="1"/>
  <c r="E832" i="12766"/>
  <c r="H832" i="12766" s="1"/>
  <c r="H804" i="12766" s="1"/>
  <c r="H776" i="12766" s="1"/>
  <c r="I831" i="12766"/>
  <c r="I830" i="12766"/>
  <c r="C830" i="12766"/>
  <c r="I829" i="12766"/>
  <c r="I837" i="12766" s="1"/>
  <c r="G829" i="12766"/>
  <c r="D829" i="12766"/>
  <c r="C829" i="12766"/>
  <c r="C841" i="12766" s="1"/>
  <c r="I827" i="12766"/>
  <c r="C827" i="12766"/>
  <c r="G827" i="12766" s="1"/>
  <c r="I826" i="12766"/>
  <c r="G826" i="12766"/>
  <c r="C826" i="12766"/>
  <c r="I825" i="12766"/>
  <c r="I834" i="12766" s="1"/>
  <c r="C825" i="12766"/>
  <c r="D824" i="12766"/>
  <c r="I823" i="12766"/>
  <c r="I833" i="12766" s="1"/>
  <c r="H823" i="12766"/>
  <c r="H795" i="12766" s="1"/>
  <c r="H767" i="12766" s="1"/>
  <c r="G823" i="12766"/>
  <c r="I822" i="12766"/>
  <c r="H822" i="12766"/>
  <c r="G822" i="12766"/>
  <c r="C822" i="12766"/>
  <c r="C824" i="12766" s="1"/>
  <c r="K814" i="12766"/>
  <c r="H814" i="12766"/>
  <c r="G814" i="12766"/>
  <c r="D814" i="12766"/>
  <c r="C814" i="12766"/>
  <c r="C786" i="12766" s="1"/>
  <c r="D813" i="12766"/>
  <c r="I812" i="12766"/>
  <c r="C812" i="12766"/>
  <c r="C784" i="12766" s="1"/>
  <c r="I811" i="12766"/>
  <c r="H811" i="12766"/>
  <c r="D811" i="12766"/>
  <c r="D783" i="12766" s="1"/>
  <c r="C811" i="12766"/>
  <c r="I810" i="12766"/>
  <c r="E810" i="12766"/>
  <c r="C810" i="12766"/>
  <c r="C782" i="12766" s="1"/>
  <c r="E809" i="12766"/>
  <c r="C809" i="12766"/>
  <c r="G808" i="12766"/>
  <c r="E808" i="12766"/>
  <c r="I807" i="12766"/>
  <c r="E807" i="12766"/>
  <c r="C807" i="12766"/>
  <c r="E806" i="12766"/>
  <c r="C806" i="12766"/>
  <c r="E805" i="12766"/>
  <c r="D805" i="12766"/>
  <c r="C805" i="12766"/>
  <c r="E804" i="12766"/>
  <c r="D804" i="12766"/>
  <c r="C804" i="12766"/>
  <c r="I803" i="12766"/>
  <c r="I802" i="12766"/>
  <c r="I801" i="12766"/>
  <c r="C801" i="12766"/>
  <c r="I799" i="12766"/>
  <c r="I808" i="12766" s="1"/>
  <c r="G799" i="12766"/>
  <c r="C799" i="12766"/>
  <c r="I798" i="12766"/>
  <c r="C798" i="12766"/>
  <c r="C770" i="12766" s="1"/>
  <c r="I797" i="12766"/>
  <c r="I806" i="12766" s="1"/>
  <c r="I795" i="12766"/>
  <c r="I805" i="12766" s="1"/>
  <c r="D795" i="12766"/>
  <c r="I794" i="12766"/>
  <c r="I804" i="12766" s="1"/>
  <c r="G794" i="12766"/>
  <c r="D794" i="12766"/>
  <c r="D796" i="12766" s="1"/>
  <c r="C794" i="12766"/>
  <c r="O787" i="12766"/>
  <c r="K786" i="12766"/>
  <c r="H786" i="12766"/>
  <c r="G786" i="12766"/>
  <c r="D786" i="12766"/>
  <c r="D785" i="12766"/>
  <c r="O783" i="12766"/>
  <c r="M783" i="12766"/>
  <c r="H783" i="12766"/>
  <c r="C783" i="12766"/>
  <c r="I782" i="12766"/>
  <c r="E782" i="12766"/>
  <c r="I781" i="12766"/>
  <c r="E781" i="12766"/>
  <c r="I780" i="12766"/>
  <c r="G780" i="12766"/>
  <c r="E780" i="12766"/>
  <c r="C780" i="12766"/>
  <c r="I779" i="12766"/>
  <c r="E779" i="12766"/>
  <c r="C779" i="12766"/>
  <c r="I778" i="12766"/>
  <c r="E778" i="12766"/>
  <c r="C778" i="12766"/>
  <c r="M777" i="12766"/>
  <c r="I777" i="12766"/>
  <c r="H777" i="12766"/>
  <c r="E777" i="12766"/>
  <c r="D777" i="12766"/>
  <c r="C777" i="12766"/>
  <c r="I776" i="12766"/>
  <c r="E776" i="12766"/>
  <c r="D776" i="12766"/>
  <c r="M776" i="12766" s="1"/>
  <c r="C776" i="12766"/>
  <c r="O774" i="12766"/>
  <c r="O773" i="12766"/>
  <c r="G773" i="12766"/>
  <c r="C773" i="12766"/>
  <c r="O771" i="12766"/>
  <c r="G771" i="12766"/>
  <c r="C771" i="12766"/>
  <c r="S770" i="12766"/>
  <c r="O770" i="12766"/>
  <c r="S769" i="12766"/>
  <c r="O769" i="12766"/>
  <c r="S767" i="12766"/>
  <c r="R767" i="12766"/>
  <c r="O767" i="12766"/>
  <c r="D767" i="12766"/>
  <c r="S766" i="12766"/>
  <c r="R766" i="12766"/>
  <c r="O766" i="12766"/>
  <c r="M766" i="12766"/>
  <c r="G766" i="12766"/>
  <c r="D766" i="12766"/>
  <c r="C766" i="12766"/>
  <c r="O760" i="12766"/>
  <c r="C758" i="12766"/>
  <c r="C755" i="12766"/>
  <c r="M754" i="12766"/>
  <c r="K754" i="12766"/>
  <c r="I754" i="12766"/>
  <c r="G754" i="12766"/>
  <c r="E754" i="12766"/>
  <c r="H754" i="12766" s="1"/>
  <c r="K753" i="12766"/>
  <c r="I753" i="12766"/>
  <c r="M753" i="12766" s="1"/>
  <c r="H753" i="12766"/>
  <c r="E753" i="12766"/>
  <c r="G753" i="12766" s="1"/>
  <c r="E752" i="12766"/>
  <c r="C749" i="12766"/>
  <c r="C747" i="12766"/>
  <c r="I746" i="12766"/>
  <c r="M746" i="12766" s="1"/>
  <c r="I745" i="12766"/>
  <c r="E745" i="12766"/>
  <c r="M744" i="12766"/>
  <c r="K744" i="12766"/>
  <c r="H744" i="12766"/>
  <c r="G744" i="12766"/>
  <c r="I743" i="12766"/>
  <c r="I752" i="12766" s="1"/>
  <c r="E743" i="12766"/>
  <c r="G743" i="12766" s="1"/>
  <c r="C743" i="12766"/>
  <c r="E742" i="12766"/>
  <c r="E757" i="12766" s="1"/>
  <c r="G757" i="12766" s="1"/>
  <c r="C742" i="12766"/>
  <c r="G742" i="12766" s="1"/>
  <c r="I740" i="12766"/>
  <c r="I755" i="12766" s="1"/>
  <c r="E740" i="12766"/>
  <c r="E755" i="12766" s="1"/>
  <c r="C740" i="12766"/>
  <c r="G740" i="12766" s="1"/>
  <c r="K739" i="12766"/>
  <c r="I739" i="12766"/>
  <c r="M739" i="12766" s="1"/>
  <c r="H739" i="12766"/>
  <c r="E739" i="12766"/>
  <c r="G739" i="12766" s="1"/>
  <c r="I738" i="12766"/>
  <c r="I748" i="12766" s="1"/>
  <c r="E738" i="12766"/>
  <c r="C738" i="12766"/>
  <c r="I737" i="12766"/>
  <c r="E737" i="12766"/>
  <c r="D737" i="12766"/>
  <c r="C737" i="12766"/>
  <c r="M736" i="12766"/>
  <c r="K736" i="12766"/>
  <c r="I736" i="12766"/>
  <c r="I747" i="12766" s="1"/>
  <c r="G736" i="12766"/>
  <c r="E736" i="12766"/>
  <c r="H736" i="12766" s="1"/>
  <c r="K735" i="12766"/>
  <c r="I735" i="12766"/>
  <c r="M735" i="12766" s="1"/>
  <c r="H735" i="12766"/>
  <c r="G735" i="12766"/>
  <c r="E735" i="12766"/>
  <c r="E746" i="12766" s="1"/>
  <c r="D729" i="12766"/>
  <c r="C727" i="12766"/>
  <c r="D721" i="12766" s="1"/>
  <c r="I726" i="12766"/>
  <c r="D726" i="12766"/>
  <c r="C726" i="12766"/>
  <c r="G726" i="12766" s="1"/>
  <c r="I725" i="12766"/>
  <c r="K725" i="12766" s="1"/>
  <c r="H725" i="12766"/>
  <c r="C725" i="12766"/>
  <c r="G725" i="12766" s="1"/>
  <c r="G623" i="12766" s="1"/>
  <c r="E724" i="12766"/>
  <c r="G723" i="12766"/>
  <c r="G621" i="12766" s="1"/>
  <c r="E723" i="12766"/>
  <c r="C723" i="12766"/>
  <c r="E721" i="12766"/>
  <c r="G718" i="12766"/>
  <c r="E718" i="12766"/>
  <c r="H718" i="12766" s="1"/>
  <c r="G717" i="12766"/>
  <c r="E717" i="12766"/>
  <c r="H717" i="12766" s="1"/>
  <c r="I716" i="12766"/>
  <c r="E716" i="12766"/>
  <c r="G716" i="12766" s="1"/>
  <c r="G715" i="12766"/>
  <c r="E715" i="12766"/>
  <c r="H714" i="12766"/>
  <c r="G714" i="12766"/>
  <c r="E714" i="12766"/>
  <c r="D714" i="12766"/>
  <c r="E712" i="12766"/>
  <c r="I711" i="12766"/>
  <c r="K711" i="12766" s="1"/>
  <c r="H711" i="12766"/>
  <c r="E711" i="12766"/>
  <c r="G711" i="12766" s="1"/>
  <c r="I710" i="12766"/>
  <c r="K710" i="12766" s="1"/>
  <c r="E710" i="12766"/>
  <c r="H710" i="12766" s="1"/>
  <c r="E709" i="12766"/>
  <c r="H707" i="12766"/>
  <c r="G707" i="12766"/>
  <c r="E707" i="12766"/>
  <c r="I706" i="12766"/>
  <c r="I705" i="12766"/>
  <c r="K705" i="12766" s="1"/>
  <c r="D705" i="12766"/>
  <c r="H705" i="12766" s="1"/>
  <c r="C705" i="12766"/>
  <c r="G705" i="12766" s="1"/>
  <c r="I704" i="12766"/>
  <c r="G704" i="12766"/>
  <c r="C704" i="12766"/>
  <c r="E702" i="12766"/>
  <c r="D702" i="12766"/>
  <c r="C702" i="12766"/>
  <c r="G702" i="12766" s="1"/>
  <c r="I701" i="12766"/>
  <c r="E701" i="12766"/>
  <c r="G701" i="12766" s="1"/>
  <c r="C701" i="12766"/>
  <c r="C599" i="12766" s="1"/>
  <c r="H699" i="12766"/>
  <c r="G699" i="12766"/>
  <c r="C699" i="12766"/>
  <c r="H698" i="12766"/>
  <c r="H596" i="12766" s="1"/>
  <c r="C698" i="12766"/>
  <c r="G698" i="12766" s="1"/>
  <c r="I697" i="12766"/>
  <c r="C697" i="12766"/>
  <c r="G697" i="12766" s="1"/>
  <c r="G595" i="12766" s="1"/>
  <c r="I696" i="12766"/>
  <c r="I715" i="12766" s="1"/>
  <c r="G696" i="12766"/>
  <c r="C696" i="12766"/>
  <c r="D695" i="12766"/>
  <c r="H695" i="12766" s="1"/>
  <c r="C695" i="12766"/>
  <c r="G695" i="12766" s="1"/>
  <c r="G593" i="12766" s="1"/>
  <c r="I693" i="12766"/>
  <c r="I712" i="12766" s="1"/>
  <c r="G693" i="12766"/>
  <c r="C693" i="12766"/>
  <c r="C691" i="12766"/>
  <c r="C690" i="12766"/>
  <c r="K688" i="12766"/>
  <c r="I688" i="12766"/>
  <c r="H688" i="12766"/>
  <c r="H586" i="12766" s="1"/>
  <c r="G688" i="12766"/>
  <c r="C688" i="12766"/>
  <c r="K687" i="12766"/>
  <c r="I687" i="12766"/>
  <c r="H687" i="12766"/>
  <c r="G687" i="12766"/>
  <c r="C687" i="12766"/>
  <c r="K686" i="12766"/>
  <c r="I686" i="12766"/>
  <c r="I709" i="12766" s="1"/>
  <c r="K709" i="12766" s="1"/>
  <c r="H686" i="12766"/>
  <c r="G686" i="12766"/>
  <c r="C686" i="12766"/>
  <c r="C689" i="12766" s="1"/>
  <c r="I684" i="12766"/>
  <c r="I707" i="12766" s="1"/>
  <c r="K707" i="12766" s="1"/>
  <c r="H684" i="12766"/>
  <c r="G684" i="12766"/>
  <c r="D678" i="12766"/>
  <c r="I675" i="12766"/>
  <c r="G675" i="12766"/>
  <c r="I674" i="12766"/>
  <c r="K674" i="12766" s="1"/>
  <c r="K623" i="12766" s="1"/>
  <c r="H674" i="12766"/>
  <c r="G674" i="12766"/>
  <c r="G673" i="12766"/>
  <c r="E673" i="12766"/>
  <c r="G672" i="12766"/>
  <c r="E672" i="12766"/>
  <c r="E670" i="12766"/>
  <c r="G667" i="12766"/>
  <c r="E667" i="12766"/>
  <c r="H667" i="12766" s="1"/>
  <c r="H616" i="12766" s="1"/>
  <c r="G666" i="12766"/>
  <c r="G615" i="12766" s="1"/>
  <c r="E666" i="12766"/>
  <c r="H666" i="12766" s="1"/>
  <c r="G665" i="12766"/>
  <c r="G614" i="12766" s="1"/>
  <c r="E665" i="12766"/>
  <c r="G664" i="12766"/>
  <c r="E664" i="12766"/>
  <c r="D664" i="12766"/>
  <c r="G663" i="12766"/>
  <c r="E663" i="12766"/>
  <c r="I661" i="12766"/>
  <c r="K661" i="12766" s="1"/>
  <c r="E661" i="12766"/>
  <c r="E660" i="12766"/>
  <c r="H659" i="12766"/>
  <c r="G659" i="12766"/>
  <c r="E659" i="12766"/>
  <c r="H658" i="12766"/>
  <c r="E658" i="12766"/>
  <c r="G658" i="12766" s="1"/>
  <c r="K656" i="12766"/>
  <c r="K605" i="12766" s="1"/>
  <c r="G656" i="12766"/>
  <c r="E656" i="12766"/>
  <c r="H656" i="12766" s="1"/>
  <c r="I655" i="12766"/>
  <c r="I654" i="12766"/>
  <c r="G654" i="12766"/>
  <c r="C654" i="12766"/>
  <c r="I653" i="12766"/>
  <c r="C653" i="12766"/>
  <c r="C676" i="12766" s="1"/>
  <c r="E651" i="12766"/>
  <c r="C651" i="12766"/>
  <c r="C600" i="12766" s="1"/>
  <c r="E650" i="12766"/>
  <c r="C650" i="12766"/>
  <c r="H648" i="12766"/>
  <c r="G648" i="12766"/>
  <c r="C648" i="12766"/>
  <c r="H647" i="12766"/>
  <c r="G647" i="12766"/>
  <c r="C647" i="12766"/>
  <c r="I646" i="12766"/>
  <c r="K646" i="12766" s="1"/>
  <c r="H646" i="12766"/>
  <c r="G646" i="12766"/>
  <c r="C646" i="12766"/>
  <c r="I645" i="12766"/>
  <c r="H645" i="12766"/>
  <c r="C645" i="12766"/>
  <c r="G645" i="12766" s="1"/>
  <c r="I644" i="12766"/>
  <c r="H644" i="12766"/>
  <c r="C644" i="12766"/>
  <c r="G644" i="12766" s="1"/>
  <c r="K642" i="12766"/>
  <c r="I642" i="12766"/>
  <c r="I650" i="12766" s="1"/>
  <c r="H642" i="12766"/>
  <c r="C642" i="12766"/>
  <c r="G642" i="12766" s="1"/>
  <c r="C640" i="12766"/>
  <c r="C639" i="12766"/>
  <c r="K637" i="12766"/>
  <c r="I637" i="12766"/>
  <c r="I660" i="12766" s="1"/>
  <c r="K660" i="12766" s="1"/>
  <c r="K609" i="12766" s="1"/>
  <c r="H637" i="12766"/>
  <c r="C637" i="12766"/>
  <c r="G637" i="12766" s="1"/>
  <c r="I636" i="12766"/>
  <c r="K636" i="12766" s="1"/>
  <c r="H636" i="12766"/>
  <c r="G636" i="12766"/>
  <c r="C636" i="12766"/>
  <c r="K635" i="12766"/>
  <c r="I635" i="12766"/>
  <c r="I658" i="12766" s="1"/>
  <c r="K658" i="12766" s="1"/>
  <c r="H635" i="12766"/>
  <c r="G635" i="12766"/>
  <c r="C635" i="12766"/>
  <c r="K633" i="12766"/>
  <c r="I633" i="12766"/>
  <c r="I656" i="12766" s="1"/>
  <c r="H633" i="12766"/>
  <c r="G633" i="12766"/>
  <c r="C633" i="12766"/>
  <c r="O627" i="12766"/>
  <c r="K626" i="12766"/>
  <c r="H626" i="12766"/>
  <c r="G626" i="12766"/>
  <c r="D626" i="12766"/>
  <c r="C626" i="12766"/>
  <c r="D625" i="12766"/>
  <c r="D627" i="12766" s="1"/>
  <c r="G624" i="12766"/>
  <c r="C624" i="12766"/>
  <c r="M623" i="12766"/>
  <c r="H623" i="12766"/>
  <c r="D623" i="12766"/>
  <c r="C623" i="12766"/>
  <c r="I622" i="12766"/>
  <c r="E622" i="12766"/>
  <c r="C622" i="12766"/>
  <c r="I621" i="12766"/>
  <c r="E621" i="12766"/>
  <c r="C621" i="12766"/>
  <c r="C619" i="12766"/>
  <c r="C618" i="12766"/>
  <c r="G616" i="12766"/>
  <c r="E616" i="12766"/>
  <c r="D616" i="12766"/>
  <c r="C616" i="12766"/>
  <c r="H615" i="12766"/>
  <c r="E615" i="12766"/>
  <c r="D615" i="12766"/>
  <c r="C615" i="12766"/>
  <c r="I614" i="12766"/>
  <c r="E614" i="12766"/>
  <c r="C614" i="12766"/>
  <c r="I613" i="12766"/>
  <c r="G613" i="12766"/>
  <c r="E613" i="12766"/>
  <c r="C613" i="12766"/>
  <c r="G612" i="12766"/>
  <c r="E612" i="12766"/>
  <c r="C612" i="12766"/>
  <c r="I610" i="12766"/>
  <c r="E610" i="12766"/>
  <c r="C610" i="12766"/>
  <c r="I609" i="12766"/>
  <c r="M609" i="12766" s="1"/>
  <c r="E609" i="12766"/>
  <c r="D609" i="12766"/>
  <c r="C609" i="12766"/>
  <c r="I608" i="12766"/>
  <c r="M608" i="12766" s="1"/>
  <c r="H608" i="12766"/>
  <c r="E608" i="12766"/>
  <c r="D608" i="12766"/>
  <c r="C608" i="12766"/>
  <c r="I607" i="12766"/>
  <c r="E607" i="12766"/>
  <c r="D607" i="12766"/>
  <c r="M607" i="12766" s="1"/>
  <c r="C607" i="12766"/>
  <c r="M605" i="12766"/>
  <c r="I605" i="12766"/>
  <c r="H605" i="12766"/>
  <c r="G605" i="12766"/>
  <c r="E605" i="12766"/>
  <c r="D605" i="12766"/>
  <c r="C605" i="12766"/>
  <c r="O603" i="12766"/>
  <c r="G603" i="12766"/>
  <c r="C603" i="12766"/>
  <c r="O602" i="12766"/>
  <c r="C602" i="12766"/>
  <c r="I600" i="12766"/>
  <c r="E600" i="12766"/>
  <c r="E619" i="12766" s="1"/>
  <c r="I599" i="12766"/>
  <c r="E599" i="12766"/>
  <c r="E618" i="12766" s="1"/>
  <c r="O597" i="12766"/>
  <c r="I597" i="12766"/>
  <c r="I616" i="12766" s="1"/>
  <c r="M616" i="12766" s="1"/>
  <c r="H597" i="12766"/>
  <c r="G597" i="12766"/>
  <c r="D597" i="12766"/>
  <c r="C597" i="12766"/>
  <c r="O596" i="12766"/>
  <c r="I596" i="12766"/>
  <c r="G596" i="12766"/>
  <c r="D596" i="12766"/>
  <c r="C596" i="12766"/>
  <c r="O595" i="12766"/>
  <c r="C595" i="12766"/>
  <c r="O594" i="12766"/>
  <c r="G594" i="12766"/>
  <c r="C594" i="12766"/>
  <c r="M593" i="12766"/>
  <c r="I593" i="12766"/>
  <c r="I612" i="12766" s="1"/>
  <c r="H593" i="12766"/>
  <c r="E593" i="12766"/>
  <c r="D593" i="12766"/>
  <c r="C593" i="12766"/>
  <c r="O591" i="12766"/>
  <c r="G591" i="12766"/>
  <c r="C591" i="12766"/>
  <c r="D589" i="12766"/>
  <c r="C589" i="12766"/>
  <c r="D588" i="12766"/>
  <c r="C588" i="12766"/>
  <c r="U587" i="12766"/>
  <c r="D587" i="12766"/>
  <c r="O586" i="12766"/>
  <c r="M586" i="12766"/>
  <c r="K586" i="12766"/>
  <c r="D586" i="12766"/>
  <c r="C586" i="12766"/>
  <c r="O585" i="12766"/>
  <c r="M585" i="12766"/>
  <c r="K585" i="12766"/>
  <c r="H585" i="12766"/>
  <c r="G585" i="12766"/>
  <c r="D585" i="12766"/>
  <c r="C585" i="12766"/>
  <c r="K584" i="12766"/>
  <c r="H584" i="12766"/>
  <c r="G584" i="12766"/>
  <c r="D584" i="12766"/>
  <c r="M584" i="12766" s="1"/>
  <c r="C584" i="12766"/>
  <c r="U583" i="12766"/>
  <c r="U585" i="12766" s="1"/>
  <c r="T583" i="12766"/>
  <c r="S583" i="12766"/>
  <c r="S585" i="12766" s="1"/>
  <c r="R583" i="12766"/>
  <c r="U582" i="12766"/>
  <c r="T582" i="12766"/>
  <c r="S582" i="12766"/>
  <c r="R582" i="12766"/>
  <c r="H582" i="12766"/>
  <c r="G582" i="12766"/>
  <c r="D582" i="12766"/>
  <c r="M582" i="12766" s="1"/>
  <c r="C582" i="12766"/>
  <c r="C573" i="12766"/>
  <c r="G573" i="12766" s="1"/>
  <c r="K572" i="12766"/>
  <c r="I572" i="12766"/>
  <c r="H572" i="12766"/>
  <c r="C572" i="12766"/>
  <c r="G572" i="12766" s="1"/>
  <c r="G571" i="12766"/>
  <c r="E571" i="12766"/>
  <c r="C571" i="12766"/>
  <c r="G570" i="12766"/>
  <c r="E570" i="12766"/>
  <c r="C570" i="12766"/>
  <c r="I569" i="12766"/>
  <c r="E569" i="12766"/>
  <c r="C569" i="12766"/>
  <c r="E567" i="12766"/>
  <c r="C567" i="12766"/>
  <c r="I566" i="12766"/>
  <c r="G566" i="12766"/>
  <c r="E566" i="12766"/>
  <c r="G565" i="12766"/>
  <c r="E565" i="12766"/>
  <c r="C565" i="12766"/>
  <c r="E564" i="12766"/>
  <c r="H564" i="12766" s="1"/>
  <c r="C564" i="12766"/>
  <c r="H563" i="12766"/>
  <c r="E563" i="12766"/>
  <c r="C563" i="12766"/>
  <c r="G563" i="12766" s="1"/>
  <c r="E562" i="12766"/>
  <c r="I561" i="12766"/>
  <c r="I560" i="12766"/>
  <c r="C560" i="12766"/>
  <c r="G560" i="12766" s="1"/>
  <c r="I558" i="12766"/>
  <c r="C558" i="12766"/>
  <c r="E556" i="12766"/>
  <c r="C556" i="12766"/>
  <c r="I555" i="12766"/>
  <c r="C555" i="12766"/>
  <c r="I553" i="12766"/>
  <c r="G553" i="12766"/>
  <c r="C553" i="12766"/>
  <c r="I552" i="12766"/>
  <c r="C552" i="12766"/>
  <c r="G552" i="12766" s="1"/>
  <c r="D551" i="12766"/>
  <c r="I550" i="12766"/>
  <c r="H550" i="12766"/>
  <c r="C550" i="12766"/>
  <c r="K549" i="12766"/>
  <c r="I549" i="12766"/>
  <c r="I563" i="12766" s="1"/>
  <c r="K563" i="12766" s="1"/>
  <c r="H549" i="12766"/>
  <c r="C549" i="12766"/>
  <c r="K548" i="12766"/>
  <c r="I548" i="12766"/>
  <c r="I562" i="12766" s="1"/>
  <c r="K562" i="12766" s="1"/>
  <c r="H548" i="12766"/>
  <c r="H480" i="12766" s="1"/>
  <c r="G548" i="12766"/>
  <c r="C548" i="12766"/>
  <c r="C540" i="12766"/>
  <c r="D536" i="12766" s="1"/>
  <c r="C539" i="12766"/>
  <c r="K538" i="12766"/>
  <c r="K504" i="12766" s="1"/>
  <c r="I538" i="12766"/>
  <c r="H538" i="12766"/>
  <c r="H504" i="12766" s="1"/>
  <c r="C538" i="12766"/>
  <c r="H537" i="12766"/>
  <c r="G537" i="12766"/>
  <c r="G503" i="12766" s="1"/>
  <c r="E537" i="12766"/>
  <c r="D537" i="12766"/>
  <c r="C537" i="12766"/>
  <c r="G536" i="12766"/>
  <c r="G502" i="12766" s="1"/>
  <c r="E536" i="12766"/>
  <c r="C536" i="12766"/>
  <c r="C502" i="12766" s="1"/>
  <c r="I535" i="12766"/>
  <c r="E535" i="12766"/>
  <c r="D535" i="12766"/>
  <c r="C535" i="12766"/>
  <c r="D534" i="12766"/>
  <c r="E533" i="12766"/>
  <c r="C533" i="12766"/>
  <c r="I532" i="12766"/>
  <c r="G532" i="12766"/>
  <c r="G498" i="12766" s="1"/>
  <c r="E532" i="12766"/>
  <c r="D532" i="12766"/>
  <c r="C532" i="12766"/>
  <c r="I531" i="12766"/>
  <c r="E531" i="12766"/>
  <c r="C531" i="12766"/>
  <c r="C497" i="12766" s="1"/>
  <c r="H530" i="12766"/>
  <c r="H496" i="12766" s="1"/>
  <c r="G530" i="12766"/>
  <c r="E530" i="12766"/>
  <c r="C530" i="12766"/>
  <c r="C496" i="12766" s="1"/>
  <c r="E529" i="12766"/>
  <c r="C529" i="12766"/>
  <c r="I528" i="12766"/>
  <c r="K528" i="12766" s="1"/>
  <c r="G528" i="12766"/>
  <c r="E528" i="12766"/>
  <c r="H528" i="12766" s="1"/>
  <c r="I527" i="12766"/>
  <c r="I526" i="12766"/>
  <c r="I537" i="12766" s="1"/>
  <c r="K537" i="12766" s="1"/>
  <c r="C526" i="12766"/>
  <c r="G525" i="12766"/>
  <c r="I524" i="12766"/>
  <c r="G524" i="12766"/>
  <c r="G522" i="12766"/>
  <c r="E522" i="12766"/>
  <c r="E534" i="12766" s="1"/>
  <c r="G534" i="12766" s="1"/>
  <c r="D522" i="12766"/>
  <c r="C522" i="12766"/>
  <c r="I521" i="12766"/>
  <c r="H521" i="12766"/>
  <c r="D521" i="12766"/>
  <c r="C521" i="12766"/>
  <c r="G521" i="12766" s="1"/>
  <c r="I519" i="12766"/>
  <c r="G519" i="12766"/>
  <c r="D519" i="12766"/>
  <c r="H519" i="12766" s="1"/>
  <c r="C519" i="12766"/>
  <c r="I518" i="12766"/>
  <c r="C518" i="12766"/>
  <c r="G518" i="12766" s="1"/>
  <c r="G484" i="12766" s="1"/>
  <c r="D517" i="12766"/>
  <c r="K516" i="12766"/>
  <c r="I516" i="12766"/>
  <c r="I530" i="12766" s="1"/>
  <c r="K530" i="12766" s="1"/>
  <c r="H516" i="12766"/>
  <c r="H482" i="12766" s="1"/>
  <c r="G516" i="12766"/>
  <c r="C516" i="12766"/>
  <c r="I515" i="12766"/>
  <c r="K515" i="12766" s="1"/>
  <c r="K481" i="12766" s="1"/>
  <c r="H515" i="12766"/>
  <c r="G515" i="12766"/>
  <c r="C515" i="12766"/>
  <c r="K514" i="12766"/>
  <c r="I514" i="12766"/>
  <c r="H514" i="12766"/>
  <c r="C514" i="12766"/>
  <c r="O508" i="12766"/>
  <c r="K507" i="12766"/>
  <c r="H507" i="12766"/>
  <c r="G507" i="12766"/>
  <c r="D507" i="12766"/>
  <c r="C507" i="12766"/>
  <c r="D506" i="12766"/>
  <c r="D504" i="12766"/>
  <c r="M504" i="12766" s="1"/>
  <c r="I503" i="12766"/>
  <c r="E503" i="12766"/>
  <c r="C503" i="12766"/>
  <c r="I502" i="12766"/>
  <c r="E502" i="12766"/>
  <c r="I501" i="12766"/>
  <c r="E501" i="12766"/>
  <c r="C501" i="12766"/>
  <c r="I500" i="12766"/>
  <c r="E500" i="12766"/>
  <c r="C500" i="12766"/>
  <c r="I499" i="12766"/>
  <c r="E499" i="12766"/>
  <c r="C499" i="12766"/>
  <c r="I498" i="12766"/>
  <c r="E498" i="12766"/>
  <c r="C498" i="12766"/>
  <c r="I497" i="12766"/>
  <c r="E497" i="12766"/>
  <c r="M496" i="12766"/>
  <c r="I496" i="12766"/>
  <c r="E496" i="12766"/>
  <c r="D496" i="12766"/>
  <c r="I495" i="12766"/>
  <c r="M495" i="12766" s="1"/>
  <c r="E495" i="12766"/>
  <c r="D495" i="12766"/>
  <c r="C495" i="12766"/>
  <c r="I494" i="12766"/>
  <c r="M494" i="12766" s="1"/>
  <c r="E494" i="12766"/>
  <c r="D494" i="12766"/>
  <c r="C494" i="12766"/>
  <c r="O492" i="12766"/>
  <c r="O491" i="12766"/>
  <c r="I491" i="12766"/>
  <c r="O490" i="12766"/>
  <c r="O488" i="12766"/>
  <c r="I488" i="12766"/>
  <c r="E488" i="12766"/>
  <c r="C488" i="12766"/>
  <c r="O487" i="12766"/>
  <c r="T485" i="12766"/>
  <c r="O485" i="12766"/>
  <c r="G485" i="12766"/>
  <c r="C485" i="12766"/>
  <c r="O484" i="12766"/>
  <c r="C484" i="12766"/>
  <c r="O482" i="12766"/>
  <c r="D482" i="12766"/>
  <c r="M482" i="12766" s="1"/>
  <c r="V481" i="12766"/>
  <c r="U481" i="12766"/>
  <c r="V486" i="12766" s="1"/>
  <c r="T481" i="12766"/>
  <c r="T486" i="12766" s="1"/>
  <c r="S481" i="12766"/>
  <c r="O481" i="12766"/>
  <c r="H481" i="12766"/>
  <c r="D481" i="12766"/>
  <c r="M481" i="12766" s="1"/>
  <c r="C481" i="12766"/>
  <c r="W480" i="12766"/>
  <c r="V480" i="12766"/>
  <c r="V485" i="12766" s="1"/>
  <c r="U480" i="12766"/>
  <c r="T480" i="12766"/>
  <c r="S480" i="12766"/>
  <c r="O480" i="12766"/>
  <c r="D480" i="12766"/>
  <c r="D483" i="12766" s="1"/>
  <c r="D472" i="12766"/>
  <c r="D474" i="12766" s="1"/>
  <c r="C472" i="12766"/>
  <c r="C474" i="12766" s="1"/>
  <c r="I471" i="12766"/>
  <c r="K471" i="12766" s="1"/>
  <c r="H471" i="12766"/>
  <c r="I470" i="12766"/>
  <c r="K470" i="12766" s="1"/>
  <c r="I469" i="12766"/>
  <c r="K469" i="12766" s="1"/>
  <c r="K468" i="12766"/>
  <c r="H468" i="12766"/>
  <c r="G468" i="12766"/>
  <c r="K467" i="12766"/>
  <c r="H467" i="12766"/>
  <c r="G467" i="12766"/>
  <c r="K466" i="12766"/>
  <c r="H466" i="12766"/>
  <c r="G466" i="12766"/>
  <c r="K465" i="12766"/>
  <c r="H465" i="12766"/>
  <c r="G465" i="12766"/>
  <c r="H464" i="12766"/>
  <c r="H463" i="12766"/>
  <c r="H462" i="12766"/>
  <c r="K461" i="12766"/>
  <c r="I461" i="12766"/>
  <c r="H461" i="12766"/>
  <c r="K460" i="12766"/>
  <c r="I460" i="12766"/>
  <c r="H460" i="12766"/>
  <c r="G460" i="12766"/>
  <c r="E460" i="12766"/>
  <c r="I459" i="12766"/>
  <c r="K459" i="12766" s="1"/>
  <c r="H459" i="12766"/>
  <c r="H458" i="12766"/>
  <c r="I457" i="12766"/>
  <c r="K457" i="12766" s="1"/>
  <c r="H457" i="12766"/>
  <c r="K455" i="12766"/>
  <c r="H455" i="12766"/>
  <c r="G455" i="12766"/>
  <c r="K454" i="12766"/>
  <c r="H454" i="12766"/>
  <c r="G454" i="12766"/>
  <c r="I453" i="12766"/>
  <c r="H453" i="12766"/>
  <c r="E453" i="12766"/>
  <c r="I452" i="12766"/>
  <c r="H452" i="12766"/>
  <c r="E452" i="12766"/>
  <c r="K450" i="12766"/>
  <c r="I450" i="12766"/>
  <c r="I462" i="12766" s="1"/>
  <c r="K462" i="12766" s="1"/>
  <c r="H450" i="12766"/>
  <c r="E450" i="12766"/>
  <c r="K448" i="12766"/>
  <c r="I448" i="12766"/>
  <c r="H448" i="12766"/>
  <c r="G448" i="12766"/>
  <c r="E448" i="12766"/>
  <c r="E461" i="12766" s="1"/>
  <c r="G461" i="12766" s="1"/>
  <c r="K447" i="12766"/>
  <c r="I447" i="12766"/>
  <c r="H447" i="12766"/>
  <c r="G447" i="12766"/>
  <c r="E447" i="12766"/>
  <c r="D446" i="12766"/>
  <c r="C446" i="12766"/>
  <c r="I445" i="12766"/>
  <c r="K445" i="12766" s="1"/>
  <c r="H445" i="12766"/>
  <c r="G445" i="12766"/>
  <c r="E445" i="12766"/>
  <c r="E459" i="12766" s="1"/>
  <c r="G459" i="12766" s="1"/>
  <c r="I444" i="12766"/>
  <c r="H444" i="12766"/>
  <c r="E444" i="12766"/>
  <c r="G444" i="12766" s="1"/>
  <c r="I443" i="12766"/>
  <c r="K443" i="12766" s="1"/>
  <c r="H443" i="12766"/>
  <c r="E443" i="12766"/>
  <c r="G443" i="12766" s="1"/>
  <c r="D436" i="12766"/>
  <c r="I433" i="12766"/>
  <c r="G433" i="12766"/>
  <c r="I432" i="12766"/>
  <c r="G432" i="12766"/>
  <c r="E431" i="12766"/>
  <c r="G431" i="12766" s="1"/>
  <c r="E430" i="12766"/>
  <c r="G429" i="12766"/>
  <c r="E429" i="12766"/>
  <c r="G428" i="12766"/>
  <c r="E428" i="12766"/>
  <c r="I427" i="12766"/>
  <c r="E427" i="12766"/>
  <c r="I426" i="12766"/>
  <c r="E426" i="12766"/>
  <c r="G425" i="12766"/>
  <c r="E425" i="12766"/>
  <c r="G424" i="12766"/>
  <c r="E424" i="12766"/>
  <c r="D424" i="12766"/>
  <c r="H424" i="12766" s="1"/>
  <c r="I423" i="12766"/>
  <c r="I422" i="12766"/>
  <c r="G422" i="12766"/>
  <c r="G421" i="12766"/>
  <c r="G420" i="12766"/>
  <c r="C420" i="12766"/>
  <c r="I419" i="12766"/>
  <c r="G419" i="12766"/>
  <c r="C419" i="12766"/>
  <c r="C434" i="12766" s="1"/>
  <c r="D428" i="12766" s="1"/>
  <c r="H428" i="12766" s="1"/>
  <c r="I418" i="12766"/>
  <c r="C418" i="12766"/>
  <c r="G418" i="12766" s="1"/>
  <c r="C417" i="12766"/>
  <c r="D414" i="12766" s="1"/>
  <c r="H414" i="12766" s="1"/>
  <c r="C416" i="12766"/>
  <c r="C358" i="12766" s="1"/>
  <c r="I415" i="12766"/>
  <c r="K415" i="12766" s="1"/>
  <c r="H415" i="12766"/>
  <c r="G415" i="12766"/>
  <c r="G414" i="12766"/>
  <c r="G413" i="12766"/>
  <c r="D413" i="12766"/>
  <c r="H413" i="12766" s="1"/>
  <c r="D407" i="12766"/>
  <c r="I404" i="12766"/>
  <c r="G404" i="12766"/>
  <c r="I403" i="12766"/>
  <c r="G403" i="12766"/>
  <c r="G374" i="12766" s="1"/>
  <c r="I402" i="12766"/>
  <c r="G402" i="12766"/>
  <c r="E402" i="12766"/>
  <c r="G401" i="12766"/>
  <c r="E401" i="12766"/>
  <c r="E400" i="12766"/>
  <c r="G400" i="12766" s="1"/>
  <c r="G371" i="12766" s="1"/>
  <c r="E399" i="12766"/>
  <c r="I398" i="12766"/>
  <c r="G398" i="12766"/>
  <c r="E398" i="12766"/>
  <c r="G397" i="12766"/>
  <c r="E397" i="12766"/>
  <c r="E396" i="12766"/>
  <c r="G396" i="12766" s="1"/>
  <c r="G367" i="12766" s="1"/>
  <c r="E395" i="12766"/>
  <c r="I394" i="12766"/>
  <c r="I393" i="12766"/>
  <c r="C393" i="12766"/>
  <c r="C392" i="12766"/>
  <c r="G392" i="12766" s="1"/>
  <c r="G363" i="12766" s="1"/>
  <c r="C391" i="12766"/>
  <c r="G391" i="12766" s="1"/>
  <c r="I390" i="12766"/>
  <c r="G390" i="12766"/>
  <c r="G361" i="12766" s="1"/>
  <c r="C390" i="12766"/>
  <c r="I389" i="12766"/>
  <c r="G389" i="12766"/>
  <c r="G360" i="12766" s="1"/>
  <c r="C389" i="12766"/>
  <c r="C360" i="12766" s="1"/>
  <c r="C388" i="12766"/>
  <c r="C387" i="12766"/>
  <c r="I386" i="12766"/>
  <c r="G386" i="12766"/>
  <c r="G357" i="12766" s="1"/>
  <c r="C386" i="12766"/>
  <c r="G385" i="12766"/>
  <c r="D385" i="12766"/>
  <c r="H385" i="12766" s="1"/>
  <c r="G384" i="12766"/>
  <c r="D384" i="12766"/>
  <c r="H384" i="12766" s="1"/>
  <c r="D378" i="12766"/>
  <c r="K377" i="12766"/>
  <c r="H377" i="12766"/>
  <c r="G377" i="12766"/>
  <c r="D377" i="12766"/>
  <c r="C377" i="12766"/>
  <c r="D376" i="12766"/>
  <c r="I375" i="12766"/>
  <c r="G375" i="12766"/>
  <c r="I374" i="12766"/>
  <c r="G373" i="12766"/>
  <c r="E373" i="12766"/>
  <c r="E372" i="12766"/>
  <c r="E371" i="12766"/>
  <c r="I370" i="12766"/>
  <c r="E370" i="12766"/>
  <c r="I369" i="12766"/>
  <c r="E369" i="12766"/>
  <c r="I368" i="12766"/>
  <c r="E368" i="12766"/>
  <c r="E367" i="12766"/>
  <c r="E366" i="12766"/>
  <c r="I365" i="12766"/>
  <c r="I364" i="12766"/>
  <c r="I373" i="12766" s="1"/>
  <c r="G362" i="12766"/>
  <c r="C362" i="12766"/>
  <c r="I361" i="12766"/>
  <c r="C361" i="12766"/>
  <c r="I360" i="12766"/>
  <c r="C359" i="12766"/>
  <c r="I357" i="12766"/>
  <c r="C357" i="12766"/>
  <c r="H356" i="12766"/>
  <c r="C356" i="12766"/>
  <c r="G355" i="12766"/>
  <c r="C355" i="12766"/>
  <c r="D348" i="12766"/>
  <c r="C346" i="12766"/>
  <c r="C348" i="12766" s="1"/>
  <c r="I345" i="12766"/>
  <c r="K345" i="12766" s="1"/>
  <c r="H345" i="12766"/>
  <c r="G345" i="12766"/>
  <c r="I344" i="12766"/>
  <c r="K344" i="12766" s="1"/>
  <c r="H344" i="12766"/>
  <c r="G344" i="12766"/>
  <c r="H343" i="12766"/>
  <c r="E343" i="12766"/>
  <c r="G343" i="12766" s="1"/>
  <c r="H342" i="12766"/>
  <c r="E342" i="12766"/>
  <c r="G342" i="12766" s="1"/>
  <c r="G341" i="12766"/>
  <c r="E341" i="12766"/>
  <c r="H341" i="12766" s="1"/>
  <c r="H340" i="12766"/>
  <c r="G340" i="12766"/>
  <c r="E340" i="12766"/>
  <c r="H339" i="12766"/>
  <c r="G339" i="12766"/>
  <c r="E339" i="12766"/>
  <c r="I338" i="12766"/>
  <c r="K338" i="12766" s="1"/>
  <c r="G338" i="12766"/>
  <c r="E338" i="12766"/>
  <c r="H338" i="12766" s="1"/>
  <c r="K337" i="12766"/>
  <c r="I337" i="12766"/>
  <c r="E337" i="12766"/>
  <c r="I336" i="12766"/>
  <c r="K336" i="12766" s="1"/>
  <c r="E336" i="12766"/>
  <c r="H336" i="12766" s="1"/>
  <c r="I335" i="12766"/>
  <c r="I334" i="12766"/>
  <c r="H334" i="12766"/>
  <c r="G334" i="12766"/>
  <c r="H333" i="12766"/>
  <c r="H332" i="12766"/>
  <c r="G332" i="12766"/>
  <c r="I331" i="12766"/>
  <c r="D331" i="12766"/>
  <c r="H331" i="12766" s="1"/>
  <c r="C331" i="12766"/>
  <c r="C333" i="12766" s="1"/>
  <c r="G333" i="12766" s="1"/>
  <c r="K330" i="12766"/>
  <c r="K272" i="12766" s="1"/>
  <c r="I330" i="12766"/>
  <c r="I339" i="12766" s="1"/>
  <c r="K339" i="12766" s="1"/>
  <c r="H330" i="12766"/>
  <c r="G330" i="12766"/>
  <c r="C328" i="12766"/>
  <c r="D328" i="12766" s="1"/>
  <c r="K327" i="12766"/>
  <c r="I327" i="12766"/>
  <c r="H327" i="12766"/>
  <c r="G327" i="12766"/>
  <c r="G269" i="12766" s="1"/>
  <c r="K326" i="12766"/>
  <c r="K268" i="12766" s="1"/>
  <c r="I326" i="12766"/>
  <c r="H326" i="12766"/>
  <c r="G326" i="12766"/>
  <c r="K325" i="12766"/>
  <c r="I325" i="12766"/>
  <c r="G325" i="12766"/>
  <c r="D325" i="12766"/>
  <c r="H325" i="12766" s="1"/>
  <c r="D319" i="12766"/>
  <c r="I316" i="12766"/>
  <c r="G316" i="12766"/>
  <c r="I315" i="12766"/>
  <c r="G315" i="12766"/>
  <c r="E314" i="12766"/>
  <c r="G314" i="12766" s="1"/>
  <c r="G285" i="12766" s="1"/>
  <c r="E313" i="12766"/>
  <c r="G313" i="12766" s="1"/>
  <c r="E312" i="12766"/>
  <c r="I311" i="12766"/>
  <c r="G311" i="12766"/>
  <c r="G282" i="12766" s="1"/>
  <c r="E311" i="12766"/>
  <c r="E310" i="12766"/>
  <c r="G310" i="12766" s="1"/>
  <c r="G281" i="12766" s="1"/>
  <c r="I309" i="12766"/>
  <c r="E309" i="12766"/>
  <c r="G309" i="12766" s="1"/>
  <c r="K308" i="12766"/>
  <c r="K279" i="12766" s="1"/>
  <c r="I308" i="12766"/>
  <c r="E308" i="12766"/>
  <c r="H307" i="12766"/>
  <c r="H278" i="12766" s="1"/>
  <c r="G307" i="12766"/>
  <c r="E307" i="12766"/>
  <c r="I306" i="12766"/>
  <c r="I305" i="12766"/>
  <c r="G305" i="12766"/>
  <c r="G303" i="12766"/>
  <c r="C303" i="12766"/>
  <c r="I302" i="12766"/>
  <c r="C302" i="12766"/>
  <c r="I301" i="12766"/>
  <c r="K301" i="12766" s="1"/>
  <c r="H301" i="12766"/>
  <c r="G301" i="12766"/>
  <c r="C300" i="12766"/>
  <c r="C299" i="12766"/>
  <c r="K298" i="12766"/>
  <c r="I298" i="12766"/>
  <c r="H298" i="12766"/>
  <c r="G298" i="12766"/>
  <c r="I297" i="12766"/>
  <c r="K297" i="12766" s="1"/>
  <c r="H297" i="12766"/>
  <c r="H268" i="12766" s="1"/>
  <c r="G297" i="12766"/>
  <c r="I296" i="12766"/>
  <c r="G296" i="12766"/>
  <c r="C296" i="12766"/>
  <c r="K289" i="12766"/>
  <c r="H289" i="12766"/>
  <c r="G289" i="12766"/>
  <c r="G175" i="12766" s="1"/>
  <c r="D289" i="12766"/>
  <c r="C289" i="12766"/>
  <c r="D288" i="12766"/>
  <c r="D290" i="12766" s="1"/>
  <c r="I287" i="12766"/>
  <c r="G287" i="12766"/>
  <c r="I286" i="12766"/>
  <c r="G286" i="12766"/>
  <c r="E285" i="12766"/>
  <c r="G284" i="12766"/>
  <c r="E284" i="12766"/>
  <c r="E283" i="12766"/>
  <c r="E282" i="12766"/>
  <c r="E281" i="12766"/>
  <c r="I280" i="12766"/>
  <c r="G280" i="12766"/>
  <c r="E280" i="12766"/>
  <c r="E279" i="12766"/>
  <c r="I278" i="12766"/>
  <c r="E278" i="12766"/>
  <c r="I277" i="12766"/>
  <c r="I276" i="12766"/>
  <c r="I285" i="12766" s="1"/>
  <c r="G276" i="12766"/>
  <c r="C276" i="12766"/>
  <c r="G274" i="12766"/>
  <c r="C274" i="12766"/>
  <c r="I273" i="12766"/>
  <c r="I282" i="12766" s="1"/>
  <c r="I272" i="12766"/>
  <c r="I281" i="12766" s="1"/>
  <c r="H272" i="12766"/>
  <c r="G272" i="12766"/>
  <c r="D272" i="12766"/>
  <c r="C272" i="12766"/>
  <c r="D271" i="12766"/>
  <c r="C271" i="12766"/>
  <c r="K269" i="12766"/>
  <c r="I269" i="12766"/>
  <c r="I279" i="12766" s="1"/>
  <c r="H269" i="12766"/>
  <c r="D269" i="12766"/>
  <c r="C269" i="12766"/>
  <c r="I268" i="12766"/>
  <c r="G268" i="12766"/>
  <c r="D268" i="12766"/>
  <c r="C268" i="12766"/>
  <c r="I267" i="12766"/>
  <c r="C267" i="12766"/>
  <c r="C270" i="12766" s="1"/>
  <c r="D261" i="12766"/>
  <c r="I258" i="12766"/>
  <c r="G258" i="12766"/>
  <c r="I257" i="12766"/>
  <c r="G257" i="12766"/>
  <c r="I256" i="12766"/>
  <c r="G256" i="12766"/>
  <c r="E256" i="12766"/>
  <c r="G255" i="12766"/>
  <c r="E255" i="12766"/>
  <c r="E254" i="12766"/>
  <c r="I253" i="12766"/>
  <c r="E253" i="12766"/>
  <c r="G253" i="12766" s="1"/>
  <c r="I252" i="12766"/>
  <c r="G252" i="12766"/>
  <c r="E252" i="12766"/>
  <c r="G251" i="12766"/>
  <c r="E251" i="12766"/>
  <c r="E250" i="12766"/>
  <c r="I249" i="12766"/>
  <c r="E249" i="12766"/>
  <c r="G249" i="12766" s="1"/>
  <c r="I248" i="12766"/>
  <c r="I247" i="12766"/>
  <c r="G247" i="12766"/>
  <c r="C247" i="12766"/>
  <c r="C246" i="12766"/>
  <c r="G245" i="12766"/>
  <c r="C245" i="12766"/>
  <c r="I244" i="12766"/>
  <c r="C244" i="12766"/>
  <c r="I243" i="12766"/>
  <c r="G243" i="12766"/>
  <c r="C243" i="12766"/>
  <c r="I241" i="12766"/>
  <c r="I251" i="12766" s="1"/>
  <c r="G241" i="12766"/>
  <c r="C241" i="12766"/>
  <c r="I240" i="12766"/>
  <c r="I250" i="12766" s="1"/>
  <c r="C240" i="12766"/>
  <c r="I239" i="12766"/>
  <c r="C239" i="12766"/>
  <c r="D233" i="12766"/>
  <c r="C233" i="12766"/>
  <c r="C231" i="12766"/>
  <c r="I230" i="12766"/>
  <c r="C230" i="12766"/>
  <c r="I229" i="12766"/>
  <c r="H229" i="12766"/>
  <c r="G229" i="12766"/>
  <c r="G201" i="12766" s="1"/>
  <c r="G172" i="12766" s="1"/>
  <c r="C229" i="12766"/>
  <c r="D229" i="12766" s="1"/>
  <c r="K229" i="12766" s="1"/>
  <c r="I228" i="12766"/>
  <c r="K228" i="12766" s="1"/>
  <c r="E228" i="12766"/>
  <c r="D228" i="12766"/>
  <c r="C228" i="12766"/>
  <c r="E227" i="12766"/>
  <c r="D227" i="12766"/>
  <c r="C227" i="12766"/>
  <c r="G227" i="12766" s="1"/>
  <c r="G226" i="12766"/>
  <c r="E226" i="12766"/>
  <c r="C226" i="12766"/>
  <c r="K225" i="12766"/>
  <c r="E225" i="12766"/>
  <c r="D225" i="12766"/>
  <c r="C225" i="12766"/>
  <c r="I224" i="12766"/>
  <c r="K224" i="12766" s="1"/>
  <c r="G224" i="12766"/>
  <c r="E224" i="12766"/>
  <c r="D224" i="12766"/>
  <c r="C224" i="12766"/>
  <c r="E223" i="12766"/>
  <c r="C223" i="12766"/>
  <c r="H222" i="12766"/>
  <c r="G222" i="12766"/>
  <c r="E222" i="12766"/>
  <c r="C222" i="12766"/>
  <c r="I221" i="12766"/>
  <c r="K221" i="12766" s="1"/>
  <c r="E221" i="12766"/>
  <c r="C221" i="12766"/>
  <c r="C193" i="12766" s="1"/>
  <c r="I220" i="12766"/>
  <c r="I219" i="12766"/>
  <c r="C219" i="12766"/>
  <c r="G218" i="12766"/>
  <c r="D218" i="12766"/>
  <c r="H217" i="12766"/>
  <c r="G217" i="12766"/>
  <c r="D217" i="12766"/>
  <c r="K216" i="12766"/>
  <c r="I216" i="12766"/>
  <c r="I225" i="12766" s="1"/>
  <c r="H216" i="12766"/>
  <c r="G216" i="12766"/>
  <c r="D216" i="12766"/>
  <c r="I215" i="12766"/>
  <c r="K215" i="12766" s="1"/>
  <c r="G215" i="12766"/>
  <c r="G187" i="12766" s="1"/>
  <c r="C215" i="12766"/>
  <c r="D215" i="12766" s="1"/>
  <c r="H215" i="12766" s="1"/>
  <c r="D214" i="12766"/>
  <c r="K213" i="12766"/>
  <c r="I213" i="12766"/>
  <c r="I223" i="12766" s="1"/>
  <c r="G213" i="12766"/>
  <c r="G185" i="12766" s="1"/>
  <c r="G155" i="12766" s="1"/>
  <c r="C213" i="12766"/>
  <c r="D213" i="12766" s="1"/>
  <c r="H213" i="12766" s="1"/>
  <c r="K212" i="12766"/>
  <c r="I212" i="12766"/>
  <c r="I222" i="12766" s="1"/>
  <c r="K222" i="12766" s="1"/>
  <c r="H212" i="12766"/>
  <c r="G212" i="12766"/>
  <c r="C212" i="12766"/>
  <c r="K211" i="12766"/>
  <c r="I211" i="12766"/>
  <c r="H211" i="12766"/>
  <c r="G211" i="12766"/>
  <c r="C211" i="12766"/>
  <c r="C214" i="12766" s="1"/>
  <c r="D205" i="12766"/>
  <c r="K204" i="12766"/>
  <c r="K175" i="12766" s="1"/>
  <c r="H204" i="12766"/>
  <c r="H175" i="12766" s="1"/>
  <c r="G204" i="12766"/>
  <c r="D204" i="12766"/>
  <c r="C204" i="12766"/>
  <c r="C175" i="12766" s="1"/>
  <c r="D203" i="12766"/>
  <c r="D174" i="12766" s="1"/>
  <c r="D176" i="12766" s="1"/>
  <c r="I202" i="12766"/>
  <c r="I201" i="12766"/>
  <c r="E200" i="12766"/>
  <c r="C200" i="12766"/>
  <c r="C171" i="12766" s="1"/>
  <c r="G199" i="12766"/>
  <c r="E199" i="12766"/>
  <c r="C199" i="12766"/>
  <c r="C170" i="12766" s="1"/>
  <c r="E198" i="12766"/>
  <c r="I197" i="12766"/>
  <c r="E197" i="12766"/>
  <c r="C197" i="12766"/>
  <c r="E196" i="12766"/>
  <c r="C196" i="12766"/>
  <c r="C167" i="12766" s="1"/>
  <c r="E195" i="12766"/>
  <c r="E194" i="12766"/>
  <c r="C194" i="12766"/>
  <c r="I193" i="12766"/>
  <c r="E193" i="12766"/>
  <c r="I192" i="12766"/>
  <c r="I191" i="12766"/>
  <c r="I200" i="12766" s="1"/>
  <c r="C191" i="12766"/>
  <c r="I189" i="12766"/>
  <c r="I198" i="12766" s="1"/>
  <c r="G189" i="12766"/>
  <c r="C189" i="12766"/>
  <c r="I188" i="12766"/>
  <c r="C188" i="12766"/>
  <c r="I187" i="12766"/>
  <c r="I196" i="12766" s="1"/>
  <c r="C187" i="12766"/>
  <c r="C158" i="12766" s="1"/>
  <c r="I185" i="12766"/>
  <c r="I195" i="12766" s="1"/>
  <c r="C185" i="12766"/>
  <c r="I184" i="12766"/>
  <c r="I194" i="12766" s="1"/>
  <c r="I183" i="12766"/>
  <c r="C183" i="12766"/>
  <c r="O176" i="12766"/>
  <c r="D175" i="12766"/>
  <c r="I171" i="12766"/>
  <c r="E171" i="12766"/>
  <c r="E170" i="12766"/>
  <c r="I169" i="12766"/>
  <c r="E169" i="12766"/>
  <c r="I168" i="12766"/>
  <c r="E168" i="12766"/>
  <c r="C168" i="12766"/>
  <c r="I167" i="12766"/>
  <c r="E167" i="12766"/>
  <c r="I166" i="12766"/>
  <c r="E166" i="12766"/>
  <c r="I165" i="12766"/>
  <c r="E165" i="12766"/>
  <c r="C165" i="12766"/>
  <c r="I164" i="12766"/>
  <c r="E164" i="12766"/>
  <c r="C164" i="12766"/>
  <c r="O162" i="12766"/>
  <c r="O160" i="12766"/>
  <c r="I160" i="12766"/>
  <c r="I303" i="12766" s="1"/>
  <c r="G160" i="12766"/>
  <c r="C160" i="12766"/>
  <c r="O159" i="12766"/>
  <c r="O158" i="12766"/>
  <c r="G158" i="12766"/>
  <c r="O155" i="12766"/>
  <c r="C155" i="12766"/>
  <c r="O154" i="12766"/>
  <c r="O153" i="12766"/>
  <c r="C153" i="12766"/>
  <c r="O151" i="12766"/>
  <c r="G151" i="12766"/>
  <c r="C151" i="12766"/>
  <c r="O150" i="12766"/>
  <c r="I150" i="12766"/>
  <c r="H150" i="12766"/>
  <c r="C150" i="12766"/>
  <c r="O149" i="12766"/>
  <c r="M149" i="12766"/>
  <c r="I149" i="12766"/>
  <c r="G149" i="12766"/>
  <c r="E149" i="12766"/>
  <c r="D149" i="12766"/>
  <c r="C149" i="12766"/>
  <c r="D143" i="12766"/>
  <c r="C143" i="12766"/>
  <c r="C141" i="12766"/>
  <c r="G140" i="12766"/>
  <c r="E140" i="12766"/>
  <c r="H140" i="12766" s="1"/>
  <c r="I139" i="12766"/>
  <c r="K139" i="12766" s="1"/>
  <c r="H139" i="12766"/>
  <c r="G139" i="12766"/>
  <c r="K138" i="12766"/>
  <c r="I138" i="12766"/>
  <c r="H138" i="12766"/>
  <c r="H86" i="12766" s="1"/>
  <c r="G138" i="12766"/>
  <c r="I137" i="12766"/>
  <c r="K137" i="12766" s="1"/>
  <c r="H137" i="12766"/>
  <c r="G137" i="12766"/>
  <c r="C137" i="12766"/>
  <c r="I136" i="12766"/>
  <c r="K136" i="12766" s="1"/>
  <c r="H136" i="12766"/>
  <c r="G136" i="12766"/>
  <c r="I135" i="12766"/>
  <c r="K135" i="12766" s="1"/>
  <c r="H135" i="12766"/>
  <c r="G135" i="12766"/>
  <c r="D130" i="12766"/>
  <c r="C130" i="12766"/>
  <c r="H128" i="12766"/>
  <c r="H130" i="12766" s="1"/>
  <c r="C128" i="12766"/>
  <c r="E127" i="12766"/>
  <c r="H127" i="12766" s="1"/>
  <c r="K126" i="12766"/>
  <c r="I126" i="12766"/>
  <c r="H126" i="12766"/>
  <c r="G126" i="12766"/>
  <c r="I125" i="12766"/>
  <c r="K125" i="12766" s="1"/>
  <c r="H125" i="12766"/>
  <c r="G125" i="12766"/>
  <c r="K124" i="12766"/>
  <c r="I124" i="12766"/>
  <c r="H124" i="12766"/>
  <c r="G124" i="12766"/>
  <c r="I123" i="12766"/>
  <c r="K123" i="12766" s="1"/>
  <c r="H123" i="12766"/>
  <c r="G123" i="12766"/>
  <c r="K122" i="12766"/>
  <c r="I122" i="12766"/>
  <c r="H122" i="12766"/>
  <c r="G122" i="12766"/>
  <c r="D117" i="12766"/>
  <c r="I114" i="12766"/>
  <c r="K114" i="12766" s="1"/>
  <c r="E114" i="12766"/>
  <c r="G114" i="12766" s="1"/>
  <c r="K113" i="12766"/>
  <c r="I113" i="12766"/>
  <c r="G113" i="12766"/>
  <c r="I112" i="12766"/>
  <c r="K112" i="12766" s="1"/>
  <c r="G112" i="12766"/>
  <c r="I111" i="12766"/>
  <c r="K111" i="12766" s="1"/>
  <c r="H111" i="12766"/>
  <c r="C111" i="12766"/>
  <c r="G111" i="12766" s="1"/>
  <c r="G85" i="12766" s="1"/>
  <c r="I110" i="12766"/>
  <c r="K110" i="12766" s="1"/>
  <c r="H110" i="12766"/>
  <c r="G110" i="12766"/>
  <c r="K109" i="12766"/>
  <c r="K115" i="12766" s="1"/>
  <c r="K117" i="12766" s="1"/>
  <c r="I109" i="12766"/>
  <c r="H109" i="12766"/>
  <c r="H115" i="12766" s="1"/>
  <c r="H117" i="12766" s="1"/>
  <c r="G109" i="12766"/>
  <c r="G115" i="12766" s="1"/>
  <c r="G117" i="12766" s="1"/>
  <c r="D104" i="12766"/>
  <c r="C104" i="12766"/>
  <c r="C102" i="12766"/>
  <c r="I101" i="12766"/>
  <c r="K101" i="12766" s="1"/>
  <c r="E101" i="12766"/>
  <c r="G101" i="12766" s="1"/>
  <c r="K100" i="12766"/>
  <c r="I100" i="12766"/>
  <c r="G100" i="12766"/>
  <c r="G87" i="12766" s="1"/>
  <c r="I99" i="12766"/>
  <c r="K99" i="12766" s="1"/>
  <c r="G99" i="12766"/>
  <c r="I98" i="12766"/>
  <c r="K98" i="12766" s="1"/>
  <c r="H98" i="12766"/>
  <c r="G98" i="12766"/>
  <c r="K97" i="12766"/>
  <c r="K84" i="12766" s="1"/>
  <c r="I97" i="12766"/>
  <c r="H97" i="12766"/>
  <c r="G97" i="12766"/>
  <c r="G84" i="12766" s="1"/>
  <c r="I96" i="12766"/>
  <c r="K96" i="12766" s="1"/>
  <c r="H96" i="12766"/>
  <c r="H102" i="12766" s="1"/>
  <c r="C96" i="12766"/>
  <c r="G96" i="12766" s="1"/>
  <c r="O91" i="12766"/>
  <c r="K90" i="12766"/>
  <c r="H90" i="12766"/>
  <c r="G90" i="12766"/>
  <c r="D90" i="12766"/>
  <c r="C90" i="12766"/>
  <c r="D89" i="12766"/>
  <c r="O88" i="12766"/>
  <c r="M88" i="12766"/>
  <c r="I88" i="12766"/>
  <c r="I140" i="12766" s="1"/>
  <c r="K140" i="12766" s="1"/>
  <c r="E88" i="12766"/>
  <c r="D88" i="12766"/>
  <c r="C88" i="12766"/>
  <c r="O87" i="12766"/>
  <c r="H87" i="12766"/>
  <c r="D87" i="12766"/>
  <c r="M87" i="12766" s="1"/>
  <c r="C87" i="12766"/>
  <c r="O86" i="12766"/>
  <c r="M86" i="12766"/>
  <c r="G86" i="12766"/>
  <c r="D86" i="12766"/>
  <c r="C86" i="12766"/>
  <c r="T85" i="12766"/>
  <c r="Q85" i="12766"/>
  <c r="O85" i="12766"/>
  <c r="M85" i="12766"/>
  <c r="H85" i="12766"/>
  <c r="D85" i="12766"/>
  <c r="C85" i="12766"/>
  <c r="Q84" i="12766"/>
  <c r="O84" i="12766"/>
  <c r="H84" i="12766"/>
  <c r="T86" i="12766" s="1"/>
  <c r="D84" i="12766"/>
  <c r="M84" i="12766" s="1"/>
  <c r="C84" i="12766"/>
  <c r="O83" i="12766"/>
  <c r="M83" i="12766"/>
  <c r="D83" i="12766"/>
  <c r="N81" i="12766"/>
  <c r="D78" i="12766"/>
  <c r="C78" i="12766"/>
  <c r="C75" i="12766"/>
  <c r="I74" i="12766"/>
  <c r="C74" i="12766"/>
  <c r="G74" i="12766" s="1"/>
  <c r="I73" i="12766"/>
  <c r="K73" i="12766" s="1"/>
  <c r="D73" i="12766"/>
  <c r="H73" i="12766" s="1"/>
  <c r="C73" i="12766"/>
  <c r="G73" i="12766" s="1"/>
  <c r="I72" i="12766"/>
  <c r="K72" i="12766" s="1"/>
  <c r="H72" i="12766"/>
  <c r="G72" i="12766"/>
  <c r="D72" i="12766"/>
  <c r="C72" i="12766"/>
  <c r="I71" i="12766"/>
  <c r="C71" i="12766"/>
  <c r="I69" i="12766"/>
  <c r="C69" i="12766"/>
  <c r="G69" i="12766" s="1"/>
  <c r="I68" i="12766"/>
  <c r="D68" i="12766"/>
  <c r="H68" i="12766" s="1"/>
  <c r="C68" i="12766"/>
  <c r="G68" i="12766" s="1"/>
  <c r="I67" i="12766"/>
  <c r="K67" i="12766" s="1"/>
  <c r="H67" i="12766"/>
  <c r="G67" i="12766"/>
  <c r="D67" i="12766"/>
  <c r="C67" i="12766"/>
  <c r="D61" i="12766"/>
  <c r="C61" i="12766"/>
  <c r="I57" i="12766"/>
  <c r="C57" i="12766"/>
  <c r="I56" i="12766"/>
  <c r="C56" i="12766"/>
  <c r="G56" i="12766" s="1"/>
  <c r="I55" i="12766"/>
  <c r="G55" i="12766"/>
  <c r="D55" i="12766"/>
  <c r="H55" i="12766" s="1"/>
  <c r="C55" i="12766"/>
  <c r="I54" i="12766"/>
  <c r="K54" i="12766" s="1"/>
  <c r="H54" i="12766"/>
  <c r="G54" i="12766"/>
  <c r="D54" i="12766"/>
  <c r="C54" i="12766"/>
  <c r="I52" i="12766"/>
  <c r="C52" i="12766"/>
  <c r="I51" i="12766"/>
  <c r="C51" i="12766"/>
  <c r="G51" i="12766" s="1"/>
  <c r="I50" i="12766"/>
  <c r="K50" i="12766" s="1"/>
  <c r="G50" i="12766"/>
  <c r="D50" i="12766"/>
  <c r="H50" i="12766" s="1"/>
  <c r="C50" i="12766"/>
  <c r="D44" i="12766"/>
  <c r="C44" i="12766"/>
  <c r="I40" i="12766"/>
  <c r="K40" i="12766" s="1"/>
  <c r="H40" i="12766"/>
  <c r="G40" i="12766"/>
  <c r="D40" i="12766"/>
  <c r="C40" i="12766"/>
  <c r="I39" i="12766"/>
  <c r="C39" i="12766"/>
  <c r="I38" i="12766"/>
  <c r="C38" i="12766"/>
  <c r="G38" i="12766" s="1"/>
  <c r="G21" i="12766" s="1"/>
  <c r="I37" i="12766"/>
  <c r="D37" i="12766"/>
  <c r="C37" i="12766"/>
  <c r="G37" i="12766" s="1"/>
  <c r="I35" i="12766"/>
  <c r="K35" i="12766" s="1"/>
  <c r="H35" i="12766"/>
  <c r="G35" i="12766"/>
  <c r="D35" i="12766"/>
  <c r="C35" i="12766"/>
  <c r="I34" i="12766"/>
  <c r="C34" i="12766"/>
  <c r="I33" i="12766"/>
  <c r="C33" i="12766"/>
  <c r="G33" i="12766" s="1"/>
  <c r="O27" i="12766"/>
  <c r="C27" i="12766"/>
  <c r="K26" i="12766"/>
  <c r="G26" i="12766"/>
  <c r="C26" i="12766"/>
  <c r="D25" i="12766"/>
  <c r="D27" i="12766" s="1"/>
  <c r="C25" i="12766"/>
  <c r="D24" i="12766"/>
  <c r="C24" i="12766"/>
  <c r="C23" i="12766"/>
  <c r="C21" i="12766"/>
  <c r="C18" i="12766"/>
  <c r="C16" i="12766"/>
  <c r="G1043" i="12787"/>
  <c r="C1043" i="12787"/>
  <c r="G1042" i="12787"/>
  <c r="C1042" i="12787"/>
  <c r="K1037" i="12787"/>
  <c r="G1037" i="12787"/>
  <c r="O1032" i="12787"/>
  <c r="D1032" i="12787"/>
  <c r="G1031" i="12787"/>
  <c r="K1031" i="12787" s="1"/>
  <c r="C1031" i="12787"/>
  <c r="C1030" i="12787"/>
  <c r="C1029" i="12787"/>
  <c r="C1028" i="12787"/>
  <c r="G1028" i="12787" s="1"/>
  <c r="G1026" i="12787"/>
  <c r="C1025" i="12787"/>
  <c r="G1025" i="12787" s="1"/>
  <c r="C1024" i="12787"/>
  <c r="G1024" i="12787" s="1"/>
  <c r="G1022" i="12787"/>
  <c r="G1021" i="12787"/>
  <c r="D1021" i="12787"/>
  <c r="H1021" i="12787" s="1"/>
  <c r="G1019" i="12787"/>
  <c r="G1018" i="12787"/>
  <c r="G1017" i="12787"/>
  <c r="G1014" i="12787"/>
  <c r="D1014" i="12787"/>
  <c r="H1014" i="12787" s="1"/>
  <c r="G1013" i="12787"/>
  <c r="G1011" i="12787"/>
  <c r="D1011" i="12787"/>
  <c r="H1011" i="12787" s="1"/>
  <c r="C1010" i="12787"/>
  <c r="G1010" i="12787" s="1"/>
  <c r="G1009" i="12787"/>
  <c r="C1009" i="12787"/>
  <c r="G1006" i="12787"/>
  <c r="D1006" i="12787"/>
  <c r="H1006" i="12787" s="1"/>
  <c r="G1005" i="12787"/>
  <c r="C1005" i="12787"/>
  <c r="G1003" i="12787"/>
  <c r="C1002" i="12787"/>
  <c r="G1002" i="12787" s="1"/>
  <c r="C1001" i="12787"/>
  <c r="G1001" i="12787" s="1"/>
  <c r="O995" i="12787"/>
  <c r="D995" i="12787"/>
  <c r="C995" i="12787"/>
  <c r="K994" i="12787"/>
  <c r="G994" i="12787"/>
  <c r="C994" i="12787"/>
  <c r="D993" i="12787"/>
  <c r="C993" i="12787"/>
  <c r="M992" i="12787"/>
  <c r="H992" i="12787"/>
  <c r="G992" i="12787"/>
  <c r="C992" i="12787"/>
  <c r="K992" i="12787" s="1"/>
  <c r="C991" i="12787"/>
  <c r="M990" i="12787"/>
  <c r="I990" i="12787"/>
  <c r="K990" i="12787" s="1"/>
  <c r="K993" i="12787" s="1"/>
  <c r="K995" i="12787" s="1"/>
  <c r="H990" i="12787"/>
  <c r="G990" i="12787"/>
  <c r="M989" i="12787"/>
  <c r="I989" i="12787"/>
  <c r="K989" i="12787" s="1"/>
  <c r="H989" i="12787"/>
  <c r="H993" i="12787" s="1"/>
  <c r="H995" i="12787" s="1"/>
  <c r="G989" i="12787"/>
  <c r="G993" i="12787" s="1"/>
  <c r="G995" i="12787" s="1"/>
  <c r="D984" i="12787"/>
  <c r="G983" i="12787"/>
  <c r="K983" i="12787" s="1"/>
  <c r="C983" i="12787"/>
  <c r="G982" i="12787"/>
  <c r="G984" i="12787" s="1"/>
  <c r="C982" i="12787"/>
  <c r="C984" i="12787" s="1"/>
  <c r="E980" i="12787"/>
  <c r="G980" i="12787" s="1"/>
  <c r="I979" i="12787"/>
  <c r="G979" i="12787"/>
  <c r="E979" i="12787"/>
  <c r="K978" i="12787"/>
  <c r="D973" i="12787"/>
  <c r="G972" i="12787"/>
  <c r="K972" i="12787" s="1"/>
  <c r="C972" i="12787"/>
  <c r="C971" i="12787"/>
  <c r="C970" i="12787"/>
  <c r="C944" i="12787" s="1"/>
  <c r="C969" i="12787"/>
  <c r="Q969" i="12787" s="1"/>
  <c r="G968" i="12787"/>
  <c r="G942" i="12787" s="1"/>
  <c r="E968" i="12787"/>
  <c r="C968" i="12787"/>
  <c r="K968" i="12787" s="1"/>
  <c r="P966" i="12787"/>
  <c r="I966" i="12787"/>
  <c r="C966" i="12787"/>
  <c r="P965" i="12787"/>
  <c r="I965" i="12787"/>
  <c r="K965" i="12787" s="1"/>
  <c r="C965" i="12787"/>
  <c r="G965" i="12787" s="1"/>
  <c r="P964" i="12787"/>
  <c r="I964" i="12787"/>
  <c r="K964" i="12787" s="1"/>
  <c r="G964" i="12787"/>
  <c r="C964" i="12787"/>
  <c r="P963" i="12787"/>
  <c r="I963" i="12787"/>
  <c r="K963" i="12787" s="1"/>
  <c r="G963" i="12787"/>
  <c r="C963" i="12787"/>
  <c r="P962" i="12787"/>
  <c r="K962" i="12787"/>
  <c r="I962" i="12787"/>
  <c r="G962" i="12787"/>
  <c r="P959" i="12787"/>
  <c r="I959" i="12787"/>
  <c r="C959" i="12787"/>
  <c r="P958" i="12787"/>
  <c r="I958" i="12787"/>
  <c r="K958" i="12787" s="1"/>
  <c r="C958" i="12787"/>
  <c r="G958" i="12787" s="1"/>
  <c r="P957" i="12787"/>
  <c r="I957" i="12787"/>
  <c r="K957" i="12787" s="1"/>
  <c r="G957" i="12787"/>
  <c r="C957" i="12787"/>
  <c r="P956" i="12787"/>
  <c r="I956" i="12787"/>
  <c r="K956" i="12787" s="1"/>
  <c r="G956" i="12787"/>
  <c r="C956" i="12787"/>
  <c r="P955" i="12787"/>
  <c r="K955" i="12787"/>
  <c r="I955" i="12787"/>
  <c r="G955" i="12787"/>
  <c r="C955" i="12787"/>
  <c r="P954" i="12787"/>
  <c r="I954" i="12787"/>
  <c r="G954" i="12787"/>
  <c r="C954" i="12787"/>
  <c r="K954" i="12787" s="1"/>
  <c r="K952" i="12787"/>
  <c r="O947" i="12787"/>
  <c r="D947" i="12787"/>
  <c r="H946" i="12787"/>
  <c r="D946" i="12787"/>
  <c r="C946" i="12787"/>
  <c r="D945" i="12787"/>
  <c r="D944" i="12787"/>
  <c r="E943" i="12787"/>
  <c r="I942" i="12787"/>
  <c r="I943" i="12787" s="1"/>
  <c r="C942" i="12787"/>
  <c r="H941" i="12787"/>
  <c r="G941" i="12787"/>
  <c r="O936" i="12787"/>
  <c r="D936" i="12787"/>
  <c r="G935" i="12787"/>
  <c r="K935" i="12787" s="1"/>
  <c r="C935" i="12787"/>
  <c r="G934" i="12787"/>
  <c r="G936" i="12787" s="1"/>
  <c r="C934" i="12787"/>
  <c r="C936" i="12787" s="1"/>
  <c r="C933" i="12787"/>
  <c r="I932" i="12787"/>
  <c r="M932" i="12787" s="1"/>
  <c r="G932" i="12787"/>
  <c r="D932" i="12787"/>
  <c r="H932" i="12787" s="1"/>
  <c r="K931" i="12787"/>
  <c r="G931" i="12787"/>
  <c r="M930" i="12787"/>
  <c r="K930" i="12787"/>
  <c r="O925" i="12787"/>
  <c r="D925" i="12787"/>
  <c r="C925" i="12787"/>
  <c r="G924" i="12787"/>
  <c r="K924" i="12787" s="1"/>
  <c r="C924" i="12787"/>
  <c r="C922" i="12787"/>
  <c r="P921" i="12787"/>
  <c r="G921" i="12787"/>
  <c r="D921" i="12787"/>
  <c r="H921" i="12787" s="1"/>
  <c r="G920" i="12787"/>
  <c r="D920" i="12787"/>
  <c r="H920" i="12787" s="1"/>
  <c r="P919" i="12787"/>
  <c r="G919" i="12787"/>
  <c r="D919" i="12787"/>
  <c r="H919" i="12787" s="1"/>
  <c r="P918" i="12787"/>
  <c r="H918" i="12787"/>
  <c r="G918" i="12787"/>
  <c r="D918" i="12787"/>
  <c r="G917" i="12787"/>
  <c r="D917" i="12787"/>
  <c r="G916" i="12787"/>
  <c r="D916" i="12787"/>
  <c r="P916" i="12787" s="1"/>
  <c r="P915" i="12787"/>
  <c r="H915" i="12787"/>
  <c r="G915" i="12787"/>
  <c r="D915" i="12787"/>
  <c r="P913" i="12787"/>
  <c r="H913" i="12787"/>
  <c r="D913" i="12787"/>
  <c r="C913" i="12787"/>
  <c r="G913" i="12787" s="1"/>
  <c r="G912" i="12787"/>
  <c r="D912" i="12787"/>
  <c r="H912" i="12787" s="1"/>
  <c r="P911" i="12787"/>
  <c r="G911" i="12787"/>
  <c r="D911" i="12787"/>
  <c r="H911" i="12787" s="1"/>
  <c r="C911" i="12787"/>
  <c r="G910" i="12787"/>
  <c r="D910" i="12787"/>
  <c r="G909" i="12787"/>
  <c r="D909" i="12787"/>
  <c r="P909" i="12787" s="1"/>
  <c r="P908" i="12787"/>
  <c r="H908" i="12787"/>
  <c r="G908" i="12787"/>
  <c r="D908" i="12787"/>
  <c r="P907" i="12787"/>
  <c r="H907" i="12787"/>
  <c r="G907" i="12787"/>
  <c r="D907" i="12787"/>
  <c r="P906" i="12787"/>
  <c r="G906" i="12787"/>
  <c r="D906" i="12787"/>
  <c r="H906" i="12787" s="1"/>
  <c r="D905" i="12787"/>
  <c r="H905" i="12787" s="1"/>
  <c r="C905" i="12787"/>
  <c r="G905" i="12787" s="1"/>
  <c r="C904" i="12787"/>
  <c r="O898" i="12787"/>
  <c r="G897" i="12787"/>
  <c r="K897" i="12787" s="1"/>
  <c r="C897" i="12787"/>
  <c r="C898" i="12787" s="1"/>
  <c r="C896" i="12787"/>
  <c r="D895" i="12787" s="1"/>
  <c r="H895" i="12787"/>
  <c r="G895" i="12787"/>
  <c r="E895" i="12787"/>
  <c r="C895" i="12787"/>
  <c r="G894" i="12787"/>
  <c r="E894" i="12787"/>
  <c r="H894" i="12787" s="1"/>
  <c r="I893" i="12787"/>
  <c r="C893" i="12787"/>
  <c r="K892" i="12787"/>
  <c r="I892" i="12787"/>
  <c r="C892" i="12787"/>
  <c r="K891" i="12787"/>
  <c r="I891" i="12787"/>
  <c r="D891" i="12787"/>
  <c r="C891" i="12787"/>
  <c r="I890" i="12787"/>
  <c r="K890" i="12787" s="1"/>
  <c r="E890" i="12787"/>
  <c r="G890" i="12787" s="1"/>
  <c r="C890" i="12787"/>
  <c r="C779" i="12787" s="1"/>
  <c r="K889" i="12787"/>
  <c r="I889" i="12787"/>
  <c r="I888" i="12787"/>
  <c r="K888" i="12787" s="1"/>
  <c r="K887" i="12787"/>
  <c r="I887" i="12787"/>
  <c r="O885" i="12787"/>
  <c r="K885" i="12787"/>
  <c r="G885" i="12787"/>
  <c r="E885" i="12787"/>
  <c r="E893" i="12787" s="1"/>
  <c r="K884" i="12787"/>
  <c r="E884" i="12787"/>
  <c r="D884" i="12787"/>
  <c r="D898" i="12787" s="1"/>
  <c r="K882" i="12787"/>
  <c r="G882" i="12787"/>
  <c r="E882" i="12787"/>
  <c r="O882" i="12787" s="1"/>
  <c r="O881" i="12787"/>
  <c r="K881" i="12787"/>
  <c r="G881" i="12787"/>
  <c r="E881" i="12787"/>
  <c r="D881" i="12787"/>
  <c r="O880" i="12787"/>
  <c r="K880" i="12787"/>
  <c r="H880" i="12787"/>
  <c r="G880" i="12787"/>
  <c r="E880" i="12787"/>
  <c r="E889" i="12787" s="1"/>
  <c r="G889" i="12787" s="1"/>
  <c r="C879" i="12787"/>
  <c r="K878" i="12787"/>
  <c r="E878" i="12787"/>
  <c r="K877" i="12787"/>
  <c r="E877" i="12787"/>
  <c r="K870" i="12787"/>
  <c r="G870" i="12787"/>
  <c r="C870" i="12787"/>
  <c r="C871" i="12787" s="1"/>
  <c r="C869" i="12787"/>
  <c r="D863" i="12787" s="1"/>
  <c r="G868" i="12787"/>
  <c r="C868" i="12787"/>
  <c r="E867" i="12787"/>
  <c r="C867" i="12787"/>
  <c r="I866" i="12787"/>
  <c r="K866" i="12787" s="1"/>
  <c r="K810" i="12787" s="1"/>
  <c r="C866" i="12787"/>
  <c r="C810" i="12787" s="1"/>
  <c r="C865" i="12787"/>
  <c r="E864" i="12787"/>
  <c r="C864" i="12787"/>
  <c r="I863" i="12787"/>
  <c r="K863" i="12787" s="1"/>
  <c r="E863" i="12787"/>
  <c r="C863" i="12787"/>
  <c r="D862" i="12787"/>
  <c r="K861" i="12787"/>
  <c r="C861" i="12787"/>
  <c r="I860" i="12787"/>
  <c r="K860" i="12787" s="1"/>
  <c r="I858" i="12787"/>
  <c r="K858" i="12787" s="1"/>
  <c r="E858" i="12787"/>
  <c r="D858" i="12787"/>
  <c r="C858" i="12787"/>
  <c r="I857" i="12787"/>
  <c r="I865" i="12787" s="1"/>
  <c r="K865" i="12787" s="1"/>
  <c r="D857" i="12787"/>
  <c r="D871" i="12787" s="1"/>
  <c r="C857" i="12787"/>
  <c r="I855" i="12787"/>
  <c r="C855" i="12787"/>
  <c r="K854" i="12787"/>
  <c r="K798" i="12787" s="1"/>
  <c r="K770" i="12787" s="1"/>
  <c r="I854" i="12787"/>
  <c r="E854" i="12787"/>
  <c r="C854" i="12787"/>
  <c r="I853" i="12787"/>
  <c r="I862" i="12787" s="1"/>
  <c r="K862" i="12787" s="1"/>
  <c r="C853" i="12787"/>
  <c r="D852" i="12787"/>
  <c r="C852" i="12787"/>
  <c r="K851" i="12787"/>
  <c r="I851" i="12787"/>
  <c r="I861" i="12787" s="1"/>
  <c r="E851" i="12787"/>
  <c r="C851" i="12787"/>
  <c r="I850" i="12787"/>
  <c r="K850" i="12787" s="1"/>
  <c r="H850" i="12787"/>
  <c r="C850" i="12787"/>
  <c r="G842" i="12787"/>
  <c r="K842" i="12787" s="1"/>
  <c r="C842" i="12787"/>
  <c r="C841" i="12787"/>
  <c r="E840" i="12787"/>
  <c r="C840" i="12787"/>
  <c r="C839" i="12787"/>
  <c r="C811" i="12787" s="1"/>
  <c r="C783" i="12787" s="1"/>
  <c r="C838" i="12787"/>
  <c r="C837" i="12787"/>
  <c r="I836" i="12787"/>
  <c r="K836" i="12787" s="1"/>
  <c r="E836" i="12787"/>
  <c r="D836" i="12787"/>
  <c r="C836" i="12787"/>
  <c r="I833" i="12787"/>
  <c r="K833" i="12787" s="1"/>
  <c r="I832" i="12787"/>
  <c r="K832" i="12787" s="1"/>
  <c r="K804" i="12787" s="1"/>
  <c r="K776" i="12787" s="1"/>
  <c r="K830" i="12787"/>
  <c r="I830" i="12787"/>
  <c r="I838" i="12787" s="1"/>
  <c r="K838" i="12787" s="1"/>
  <c r="E830" i="12787"/>
  <c r="C830" i="12787"/>
  <c r="K829" i="12787"/>
  <c r="I829" i="12787"/>
  <c r="I837" i="12787" s="1"/>
  <c r="K837" i="12787" s="1"/>
  <c r="K809" i="12787" s="1"/>
  <c r="K781" i="12787" s="1"/>
  <c r="D829" i="12787"/>
  <c r="D801" i="12787" s="1"/>
  <c r="C829" i="12787"/>
  <c r="I827" i="12787"/>
  <c r="K827" i="12787" s="1"/>
  <c r="E827" i="12787"/>
  <c r="G827" i="12787" s="1"/>
  <c r="C827" i="12787"/>
  <c r="K826" i="12787"/>
  <c r="I826" i="12787"/>
  <c r="I835" i="12787" s="1"/>
  <c r="K835" i="12787" s="1"/>
  <c r="K807" i="12787" s="1"/>
  <c r="G826" i="12787"/>
  <c r="C826" i="12787"/>
  <c r="K825" i="12787"/>
  <c r="I825" i="12787"/>
  <c r="I834" i="12787" s="1"/>
  <c r="K834" i="12787" s="1"/>
  <c r="K806" i="12787" s="1"/>
  <c r="K778" i="12787" s="1"/>
  <c r="E825" i="12787"/>
  <c r="C825" i="12787"/>
  <c r="D824" i="12787"/>
  <c r="C824" i="12787"/>
  <c r="K823" i="12787"/>
  <c r="I823" i="12787"/>
  <c r="H823" i="12787"/>
  <c r="I822" i="12787"/>
  <c r="C822" i="12787"/>
  <c r="O815" i="12787"/>
  <c r="K814" i="12787"/>
  <c r="H814" i="12787"/>
  <c r="G814" i="12787"/>
  <c r="G786" i="12787" s="1"/>
  <c r="K786" i="12787" s="1"/>
  <c r="D814" i="12787"/>
  <c r="D815" i="12787" s="1"/>
  <c r="D813" i="12787"/>
  <c r="E812" i="12787"/>
  <c r="E868" i="12787" s="1"/>
  <c r="C812" i="12787"/>
  <c r="E811" i="12787"/>
  <c r="E839" i="12787" s="1"/>
  <c r="D811" i="12787"/>
  <c r="I810" i="12787"/>
  <c r="E810" i="12787"/>
  <c r="I809" i="12787"/>
  <c r="I808" i="12787"/>
  <c r="E808" i="12787"/>
  <c r="C808" i="12787"/>
  <c r="C780" i="12787" s="1"/>
  <c r="I807" i="12787"/>
  <c r="C807" i="12787"/>
  <c r="I806" i="12787"/>
  <c r="E806" i="12787"/>
  <c r="C806" i="12787"/>
  <c r="C778" i="12787" s="1"/>
  <c r="I805" i="12787"/>
  <c r="E805" i="12787"/>
  <c r="D805" i="12787"/>
  <c r="D777" i="12787" s="1"/>
  <c r="M777" i="12787" s="1"/>
  <c r="C805" i="12787"/>
  <c r="I804" i="12787"/>
  <c r="D804" i="12787"/>
  <c r="C804" i="12787"/>
  <c r="C776" i="12787" s="1"/>
  <c r="E802" i="12787"/>
  <c r="O802" i="12787" s="1"/>
  <c r="C802" i="12787"/>
  <c r="C774" i="12787" s="1"/>
  <c r="E801" i="12787"/>
  <c r="O799" i="12787"/>
  <c r="E799" i="12787"/>
  <c r="E855" i="12787" s="1"/>
  <c r="G855" i="12787" s="1"/>
  <c r="E798" i="12787"/>
  <c r="E826" i="12787" s="1"/>
  <c r="E835" i="12787" s="1"/>
  <c r="G835" i="12787" s="1"/>
  <c r="C798" i="12787"/>
  <c r="C770" i="12787" s="1"/>
  <c r="E797" i="12787"/>
  <c r="E853" i="12787" s="1"/>
  <c r="D796" i="12787"/>
  <c r="K795" i="12787"/>
  <c r="K767" i="12787" s="1"/>
  <c r="E795" i="12787"/>
  <c r="E823" i="12787" s="1"/>
  <c r="E833" i="12787" s="1"/>
  <c r="G833" i="12787" s="1"/>
  <c r="D795" i="12787"/>
  <c r="C795" i="12787"/>
  <c r="E794" i="12787"/>
  <c r="E850" i="12787" s="1"/>
  <c r="D794" i="12787"/>
  <c r="D766" i="12787" s="1"/>
  <c r="M766" i="12787" s="1"/>
  <c r="H786" i="12787"/>
  <c r="D786" i="12787"/>
  <c r="D785" i="12787"/>
  <c r="I784" i="12787"/>
  <c r="C784" i="12787"/>
  <c r="I783" i="12787"/>
  <c r="D783" i="12787"/>
  <c r="I782" i="12787"/>
  <c r="E782" i="12787"/>
  <c r="I781" i="12787"/>
  <c r="E781" i="12787"/>
  <c r="I780" i="12787"/>
  <c r="E780" i="12787"/>
  <c r="I779" i="12787"/>
  <c r="E779" i="12787"/>
  <c r="I778" i="12787"/>
  <c r="E778" i="12787"/>
  <c r="I777" i="12787"/>
  <c r="E777" i="12787"/>
  <c r="C777" i="12787"/>
  <c r="I776" i="12787"/>
  <c r="E776" i="12787"/>
  <c r="D776" i="12787"/>
  <c r="M776" i="12787" s="1"/>
  <c r="O774" i="12787"/>
  <c r="O773" i="12787"/>
  <c r="O771" i="12787"/>
  <c r="O770" i="12787"/>
  <c r="V769" i="12787"/>
  <c r="O769" i="12787"/>
  <c r="U767" i="12787"/>
  <c r="W767" i="12787" s="1"/>
  <c r="O767" i="12787"/>
  <c r="M767" i="12787"/>
  <c r="D767" i="12787"/>
  <c r="C767" i="12787"/>
  <c r="O766" i="12787"/>
  <c r="O760" i="12787"/>
  <c r="G759" i="12787"/>
  <c r="K759" i="12787" s="1"/>
  <c r="C759" i="12787"/>
  <c r="C760" i="12787" s="1"/>
  <c r="C758" i="12787"/>
  <c r="K757" i="12787"/>
  <c r="D757" i="12787"/>
  <c r="I756" i="12787"/>
  <c r="D756" i="12787"/>
  <c r="I755" i="12787"/>
  <c r="E755" i="12787"/>
  <c r="G755" i="12787" s="1"/>
  <c r="D755" i="12787"/>
  <c r="H754" i="12787"/>
  <c r="G754" i="12787"/>
  <c r="E754" i="12787"/>
  <c r="E753" i="12787"/>
  <c r="G752" i="12787"/>
  <c r="I749" i="12787"/>
  <c r="E749" i="12787"/>
  <c r="C749" i="12787"/>
  <c r="H748" i="12787"/>
  <c r="K747" i="12787"/>
  <c r="E747" i="12787"/>
  <c r="H747" i="12787" s="1"/>
  <c r="C747" i="12787"/>
  <c r="M746" i="12787"/>
  <c r="I746" i="12787"/>
  <c r="K746" i="12787" s="1"/>
  <c r="H746" i="12787"/>
  <c r="E746" i="12787"/>
  <c r="G746" i="12787" s="1"/>
  <c r="I745" i="12787"/>
  <c r="E745" i="12787"/>
  <c r="M744" i="12787"/>
  <c r="K744" i="12787"/>
  <c r="H744" i="12787"/>
  <c r="G744" i="12787"/>
  <c r="I743" i="12787"/>
  <c r="M743" i="12787" s="1"/>
  <c r="G743" i="12787"/>
  <c r="E743" i="12787"/>
  <c r="E752" i="12787" s="1"/>
  <c r="H752" i="12787" s="1"/>
  <c r="D743" i="12787"/>
  <c r="H743" i="12787" s="1"/>
  <c r="M742" i="12787"/>
  <c r="I742" i="12787"/>
  <c r="I757" i="12787" s="1"/>
  <c r="M757" i="12787" s="1"/>
  <c r="E742" i="12787"/>
  <c r="E751" i="12787" s="1"/>
  <c r="H751" i="12787" s="1"/>
  <c r="D742" i="12787"/>
  <c r="D760" i="12787" s="1"/>
  <c r="K740" i="12787"/>
  <c r="I740" i="12787"/>
  <c r="I750" i="12787" s="1"/>
  <c r="K750" i="12787" s="1"/>
  <c r="G740" i="12787"/>
  <c r="E740" i="12787"/>
  <c r="D740" i="12787"/>
  <c r="H740" i="12787" s="1"/>
  <c r="C740" i="12787"/>
  <c r="M739" i="12787"/>
  <c r="K739" i="12787"/>
  <c r="I739" i="12787"/>
  <c r="H739" i="12787"/>
  <c r="G739" i="12787"/>
  <c r="E739" i="12787"/>
  <c r="M738" i="12787"/>
  <c r="I738" i="12787"/>
  <c r="I748" i="12787" s="1"/>
  <c r="M748" i="12787" s="1"/>
  <c r="H738" i="12787"/>
  <c r="E738" i="12787"/>
  <c r="E748" i="12787" s="1"/>
  <c r="G748" i="12787" s="1"/>
  <c r="D738" i="12787"/>
  <c r="C738" i="12787"/>
  <c r="I737" i="12787"/>
  <c r="E737" i="12787"/>
  <c r="D737" i="12787"/>
  <c r="C737" i="12787"/>
  <c r="I736" i="12787"/>
  <c r="I747" i="12787" s="1"/>
  <c r="M747" i="12787" s="1"/>
  <c r="G736" i="12787"/>
  <c r="E736" i="12787"/>
  <c r="H736" i="12787" s="1"/>
  <c r="M735" i="12787"/>
  <c r="K735" i="12787"/>
  <c r="I735" i="12787"/>
  <c r="H735" i="12787"/>
  <c r="G735" i="12787"/>
  <c r="E735" i="12787"/>
  <c r="D729" i="12787"/>
  <c r="G728" i="12787"/>
  <c r="G626" i="12787" s="1"/>
  <c r="K626" i="12787" s="1"/>
  <c r="C728" i="12787"/>
  <c r="C727" i="12787"/>
  <c r="D702" i="12787" s="1"/>
  <c r="C726" i="12787"/>
  <c r="C725" i="12787"/>
  <c r="C623" i="12787" s="1"/>
  <c r="I724" i="12787"/>
  <c r="K724" i="12787" s="1"/>
  <c r="C723" i="12787"/>
  <c r="D721" i="12787"/>
  <c r="E717" i="12787"/>
  <c r="E715" i="12787"/>
  <c r="E712" i="12787"/>
  <c r="G712" i="12787" s="1"/>
  <c r="D712" i="12787"/>
  <c r="K705" i="12787"/>
  <c r="I705" i="12787"/>
  <c r="G705" i="12787"/>
  <c r="E705" i="12787"/>
  <c r="E724" i="12787" s="1"/>
  <c r="G724" i="12787" s="1"/>
  <c r="C705" i="12787"/>
  <c r="E704" i="12787"/>
  <c r="C704" i="12787"/>
  <c r="E701" i="12787"/>
  <c r="I699" i="12787"/>
  <c r="K699" i="12787" s="1"/>
  <c r="E699" i="12787"/>
  <c r="H699" i="12787" s="1"/>
  <c r="H597" i="12787" s="1"/>
  <c r="E698" i="12787"/>
  <c r="E697" i="12787"/>
  <c r="C697" i="12787"/>
  <c r="K696" i="12787"/>
  <c r="G696" i="12787"/>
  <c r="E696" i="12787"/>
  <c r="C696" i="12787"/>
  <c r="I695" i="12787"/>
  <c r="E695" i="12787"/>
  <c r="E714" i="12787" s="1"/>
  <c r="C695" i="12787"/>
  <c r="E693" i="12787"/>
  <c r="G693" i="12787" s="1"/>
  <c r="C691" i="12787"/>
  <c r="C690" i="12787"/>
  <c r="C689" i="12787"/>
  <c r="I688" i="12787"/>
  <c r="E688" i="12787"/>
  <c r="H688" i="12787" s="1"/>
  <c r="E687" i="12787"/>
  <c r="I686" i="12787"/>
  <c r="K686" i="12787" s="1"/>
  <c r="E686" i="12787"/>
  <c r="H686" i="12787" s="1"/>
  <c r="H584" i="12787" s="1"/>
  <c r="H684" i="12787"/>
  <c r="E684" i="12787"/>
  <c r="G684" i="12787" s="1"/>
  <c r="D678" i="12787"/>
  <c r="K677" i="12787"/>
  <c r="G677" i="12787"/>
  <c r="C677" i="12787"/>
  <c r="I675" i="12787"/>
  <c r="K675" i="12787" s="1"/>
  <c r="K624" i="12787" s="1"/>
  <c r="G674" i="12787"/>
  <c r="E669" i="12787"/>
  <c r="E666" i="12787"/>
  <c r="H666" i="12787" s="1"/>
  <c r="E665" i="12787"/>
  <c r="H661" i="12787"/>
  <c r="H660" i="12787"/>
  <c r="E660" i="12787"/>
  <c r="G660" i="12787" s="1"/>
  <c r="G658" i="12787"/>
  <c r="I654" i="12787"/>
  <c r="E654" i="12787"/>
  <c r="C654" i="12787"/>
  <c r="I653" i="12787"/>
  <c r="I672" i="12787" s="1"/>
  <c r="K672" i="12787" s="1"/>
  <c r="E653" i="12787"/>
  <c r="G653" i="12787" s="1"/>
  <c r="C653" i="12787"/>
  <c r="C676" i="12787" s="1"/>
  <c r="D650" i="12787" s="1"/>
  <c r="G651" i="12787"/>
  <c r="E650" i="12787"/>
  <c r="G650" i="12787" s="1"/>
  <c r="H648" i="12787"/>
  <c r="E648" i="12787"/>
  <c r="G648" i="12787" s="1"/>
  <c r="H647" i="12787"/>
  <c r="E647" i="12787"/>
  <c r="G647" i="12787" s="1"/>
  <c r="H646" i="12787"/>
  <c r="E646" i="12787"/>
  <c r="G646" i="12787" s="1"/>
  <c r="C646" i="12787"/>
  <c r="H645" i="12787"/>
  <c r="E645" i="12787"/>
  <c r="G645" i="12787" s="1"/>
  <c r="G594" i="12787" s="1"/>
  <c r="C645" i="12787"/>
  <c r="I644" i="12787"/>
  <c r="E644" i="12787"/>
  <c r="E651" i="12787" s="1"/>
  <c r="C644" i="12787"/>
  <c r="H642" i="12787"/>
  <c r="G642" i="12787"/>
  <c r="E642" i="12787"/>
  <c r="E661" i="12787" s="1"/>
  <c r="G661" i="12787" s="1"/>
  <c r="G610" i="12787" s="1"/>
  <c r="C642" i="12787"/>
  <c r="C640" i="12787"/>
  <c r="C639" i="12787"/>
  <c r="H637" i="12787"/>
  <c r="H586" i="12787" s="1"/>
  <c r="E637" i="12787"/>
  <c r="G637" i="12787" s="1"/>
  <c r="C637" i="12787"/>
  <c r="E636" i="12787"/>
  <c r="C636" i="12787"/>
  <c r="I635" i="12787"/>
  <c r="K635" i="12787" s="1"/>
  <c r="H635" i="12787"/>
  <c r="G635" i="12787"/>
  <c r="E635" i="12787"/>
  <c r="E658" i="12787" s="1"/>
  <c r="H658" i="12787" s="1"/>
  <c r="C635" i="12787"/>
  <c r="K633" i="12787"/>
  <c r="G633" i="12787"/>
  <c r="E633" i="12787"/>
  <c r="H633" i="12787" s="1"/>
  <c r="C633" i="12787"/>
  <c r="C582" i="12787" s="1"/>
  <c r="O627" i="12787"/>
  <c r="H626" i="12787"/>
  <c r="D626" i="12787"/>
  <c r="C626" i="12787"/>
  <c r="D625" i="12787"/>
  <c r="D627" i="12787" s="1"/>
  <c r="I624" i="12787"/>
  <c r="I726" i="12787" s="1"/>
  <c r="K726" i="12787" s="1"/>
  <c r="E624" i="12787"/>
  <c r="E675" i="12787" s="1"/>
  <c r="C624" i="12787"/>
  <c r="I623" i="12787"/>
  <c r="I725" i="12787" s="1"/>
  <c r="K725" i="12787" s="1"/>
  <c r="E623" i="12787"/>
  <c r="E674" i="12787" s="1"/>
  <c r="H674" i="12787" s="1"/>
  <c r="D623" i="12787"/>
  <c r="I622" i="12787"/>
  <c r="E622" i="12787"/>
  <c r="C622" i="12787"/>
  <c r="E621" i="12787"/>
  <c r="C621" i="12787"/>
  <c r="E619" i="12787"/>
  <c r="C619" i="12787"/>
  <c r="E618" i="12787"/>
  <c r="C618" i="12787"/>
  <c r="E616" i="12787"/>
  <c r="D616" i="12787"/>
  <c r="C616" i="12787"/>
  <c r="E615" i="12787"/>
  <c r="D615" i="12787"/>
  <c r="C615" i="12787"/>
  <c r="E614" i="12787"/>
  <c r="C614" i="12787"/>
  <c r="E613" i="12787"/>
  <c r="C613" i="12787"/>
  <c r="E612" i="12787"/>
  <c r="C612" i="12787"/>
  <c r="E610" i="12787"/>
  <c r="C610" i="12787"/>
  <c r="E609" i="12787"/>
  <c r="D609" i="12787"/>
  <c r="C609" i="12787"/>
  <c r="E608" i="12787"/>
  <c r="D608" i="12787"/>
  <c r="C608" i="12787"/>
  <c r="I607" i="12787"/>
  <c r="E607" i="12787"/>
  <c r="D607" i="12787"/>
  <c r="M607" i="12787" s="1"/>
  <c r="C607" i="12787"/>
  <c r="E605" i="12787"/>
  <c r="D605" i="12787"/>
  <c r="C605" i="12787"/>
  <c r="O603" i="12787"/>
  <c r="C603" i="12787"/>
  <c r="I602" i="12787"/>
  <c r="O602" i="12787" s="1"/>
  <c r="C602" i="12787"/>
  <c r="I600" i="12787"/>
  <c r="E600" i="12787"/>
  <c r="C600" i="12787"/>
  <c r="I599" i="12787"/>
  <c r="E599" i="12787"/>
  <c r="C599" i="12787"/>
  <c r="I597" i="12787"/>
  <c r="O597" i="12787" s="1"/>
  <c r="D597" i="12787"/>
  <c r="C597" i="12787"/>
  <c r="I596" i="12787"/>
  <c r="O596" i="12787" s="1"/>
  <c r="D596" i="12787"/>
  <c r="C596" i="12787"/>
  <c r="I595" i="12787"/>
  <c r="O595" i="12787" s="1"/>
  <c r="C595" i="12787"/>
  <c r="I594" i="12787"/>
  <c r="I696" i="12787" s="1"/>
  <c r="I715" i="12787" s="1"/>
  <c r="K715" i="12787" s="1"/>
  <c r="C594" i="12787"/>
  <c r="I593" i="12787"/>
  <c r="O593" i="12787" s="1"/>
  <c r="C593" i="12787"/>
  <c r="I591" i="12787"/>
  <c r="O591" i="12787" s="1"/>
  <c r="C591" i="12787"/>
  <c r="D589" i="12787"/>
  <c r="C589" i="12787"/>
  <c r="D588" i="12787"/>
  <c r="C588" i="12787"/>
  <c r="D587" i="12787"/>
  <c r="O586" i="12787"/>
  <c r="I586" i="12787"/>
  <c r="M586" i="12787" s="1"/>
  <c r="D586" i="12787"/>
  <c r="C586" i="12787"/>
  <c r="O585" i="12787"/>
  <c r="I585" i="12787"/>
  <c r="M585" i="12787" s="1"/>
  <c r="D585" i="12787"/>
  <c r="C585" i="12787"/>
  <c r="M584" i="12787"/>
  <c r="D584" i="12787"/>
  <c r="C584" i="12787"/>
  <c r="M582" i="12787"/>
  <c r="I582" i="12787"/>
  <c r="I633" i="12787" s="1"/>
  <c r="I656" i="12787" s="1"/>
  <c r="K656" i="12787" s="1"/>
  <c r="G582" i="12787"/>
  <c r="D582" i="12787"/>
  <c r="K575" i="12787"/>
  <c r="G575" i="12787"/>
  <c r="C575" i="12787"/>
  <c r="C573" i="12787"/>
  <c r="C572" i="12787"/>
  <c r="I571" i="12787"/>
  <c r="K571" i="12787" s="1"/>
  <c r="E571" i="12787"/>
  <c r="C571" i="12787"/>
  <c r="E570" i="12787"/>
  <c r="C569" i="12787"/>
  <c r="I567" i="12787"/>
  <c r="K567" i="12787" s="1"/>
  <c r="C567" i="12787"/>
  <c r="I566" i="12787"/>
  <c r="K566" i="12787" s="1"/>
  <c r="E565" i="12787"/>
  <c r="I564" i="12787"/>
  <c r="K564" i="12787" s="1"/>
  <c r="I563" i="12787"/>
  <c r="K563" i="12787" s="1"/>
  <c r="E563" i="12787"/>
  <c r="H563" i="12787" s="1"/>
  <c r="E562" i="12787"/>
  <c r="I560" i="12787"/>
  <c r="K560" i="12787" s="1"/>
  <c r="E560" i="12787"/>
  <c r="G560" i="12787" s="1"/>
  <c r="C560" i="12787"/>
  <c r="E559" i="12787"/>
  <c r="I558" i="12787"/>
  <c r="E558" i="12787"/>
  <c r="C558" i="12787"/>
  <c r="I555" i="12787"/>
  <c r="K555" i="12787" s="1"/>
  <c r="E555" i="12787"/>
  <c r="C555" i="12787"/>
  <c r="K553" i="12787"/>
  <c r="I553" i="12787"/>
  <c r="E553" i="12787"/>
  <c r="E566" i="12787" s="1"/>
  <c r="G566" i="12787" s="1"/>
  <c r="C553" i="12787"/>
  <c r="I552" i="12787"/>
  <c r="E552" i="12787"/>
  <c r="C552" i="12787"/>
  <c r="G552" i="12787" s="1"/>
  <c r="D551" i="12787"/>
  <c r="I550" i="12787"/>
  <c r="H550" i="12787"/>
  <c r="E550" i="12787"/>
  <c r="E564" i="12787" s="1"/>
  <c r="C550" i="12787"/>
  <c r="K550" i="12787" s="1"/>
  <c r="I549" i="12787"/>
  <c r="K549" i="12787" s="1"/>
  <c r="H549" i="12787"/>
  <c r="E549" i="12787"/>
  <c r="G549" i="12787" s="1"/>
  <c r="G481" i="12787" s="1"/>
  <c r="C549" i="12787"/>
  <c r="I548" i="12787"/>
  <c r="E548" i="12787"/>
  <c r="H548" i="12787" s="1"/>
  <c r="C548" i="12787"/>
  <c r="G541" i="12787"/>
  <c r="K541" i="12787" s="1"/>
  <c r="C541" i="12787"/>
  <c r="C540" i="12787"/>
  <c r="C539" i="12787"/>
  <c r="C538" i="12787"/>
  <c r="C537" i="12787"/>
  <c r="C536" i="12787"/>
  <c r="E535" i="12787"/>
  <c r="C535" i="12787"/>
  <c r="C533" i="12787"/>
  <c r="G532" i="12787"/>
  <c r="G498" i="12787" s="1"/>
  <c r="C531" i="12787"/>
  <c r="C530" i="12787"/>
  <c r="H529" i="12787"/>
  <c r="E529" i="12787"/>
  <c r="G529" i="12787" s="1"/>
  <c r="C529" i="12787"/>
  <c r="C495" i="12787" s="1"/>
  <c r="I526" i="12787"/>
  <c r="K526" i="12787" s="1"/>
  <c r="K492" i="12787" s="1"/>
  <c r="E526" i="12787"/>
  <c r="G526" i="12787" s="1"/>
  <c r="G492" i="12787" s="1"/>
  <c r="C526" i="12787"/>
  <c r="G525" i="12787"/>
  <c r="E525" i="12787"/>
  <c r="E536" i="12787" s="1"/>
  <c r="G536" i="12787" s="1"/>
  <c r="C525" i="12787"/>
  <c r="I524" i="12787"/>
  <c r="K524" i="12787" s="1"/>
  <c r="E524" i="12787"/>
  <c r="C524" i="12787"/>
  <c r="I521" i="12787"/>
  <c r="K521" i="12787" s="1"/>
  <c r="K487" i="12787" s="1"/>
  <c r="E521" i="12787"/>
  <c r="G521" i="12787" s="1"/>
  <c r="C521" i="12787"/>
  <c r="K519" i="12787"/>
  <c r="K485" i="12787" s="1"/>
  <c r="I519" i="12787"/>
  <c r="I532" i="12787" s="1"/>
  <c r="K532" i="12787" s="1"/>
  <c r="K498" i="12787" s="1"/>
  <c r="G519" i="12787"/>
  <c r="E519" i="12787"/>
  <c r="E532" i="12787" s="1"/>
  <c r="C519" i="12787"/>
  <c r="I518" i="12787"/>
  <c r="E518" i="12787"/>
  <c r="C518" i="12787"/>
  <c r="D517" i="12787"/>
  <c r="K516" i="12787"/>
  <c r="K482" i="12787" s="1"/>
  <c r="I516" i="12787"/>
  <c r="I530" i="12787" s="1"/>
  <c r="K530" i="12787" s="1"/>
  <c r="H516" i="12787"/>
  <c r="G516" i="12787"/>
  <c r="E516" i="12787"/>
  <c r="E530" i="12787" s="1"/>
  <c r="H530" i="12787" s="1"/>
  <c r="C516" i="12787"/>
  <c r="I515" i="12787"/>
  <c r="I529" i="12787" s="1"/>
  <c r="K529" i="12787" s="1"/>
  <c r="K495" i="12787" s="1"/>
  <c r="H515" i="12787"/>
  <c r="H481" i="12787" s="1"/>
  <c r="E515" i="12787"/>
  <c r="G515" i="12787" s="1"/>
  <c r="C515" i="12787"/>
  <c r="I514" i="12787"/>
  <c r="I528" i="12787" s="1"/>
  <c r="K528" i="12787" s="1"/>
  <c r="E514" i="12787"/>
  <c r="C514" i="12787"/>
  <c r="O508" i="12787"/>
  <c r="H507" i="12787"/>
  <c r="D507" i="12787"/>
  <c r="C507" i="12787"/>
  <c r="D506" i="12787"/>
  <c r="I505" i="12787"/>
  <c r="E505" i="12787"/>
  <c r="C505" i="12787"/>
  <c r="I504" i="12787"/>
  <c r="E504" i="12787"/>
  <c r="D504" i="12787"/>
  <c r="C504" i="12787"/>
  <c r="I503" i="12787"/>
  <c r="E503" i="12787"/>
  <c r="C503" i="12787"/>
  <c r="E502" i="12787"/>
  <c r="E464" i="12787" s="1"/>
  <c r="I501" i="12787"/>
  <c r="E501" i="12787"/>
  <c r="E463" i="12787" s="1"/>
  <c r="I500" i="12787"/>
  <c r="E500" i="12787"/>
  <c r="C500" i="12787"/>
  <c r="I499" i="12787"/>
  <c r="E499" i="12787"/>
  <c r="E462" i="12787" s="1"/>
  <c r="C499" i="12787"/>
  <c r="I498" i="12787"/>
  <c r="E498" i="12787"/>
  <c r="E461" i="12787" s="1"/>
  <c r="G461" i="12787" s="1"/>
  <c r="C498" i="12787"/>
  <c r="I497" i="12787"/>
  <c r="E497" i="12787"/>
  <c r="C497" i="12787"/>
  <c r="I496" i="12787"/>
  <c r="M496" i="12787" s="1"/>
  <c r="E496" i="12787"/>
  <c r="D496" i="12787"/>
  <c r="C496" i="12787"/>
  <c r="I495" i="12787"/>
  <c r="M495" i="12787" s="1"/>
  <c r="E495" i="12787"/>
  <c r="E458" i="12787" s="1"/>
  <c r="G458" i="12787" s="1"/>
  <c r="D495" i="12787"/>
  <c r="I494" i="12787"/>
  <c r="M494" i="12787" s="1"/>
  <c r="E494" i="12787"/>
  <c r="D494" i="12787"/>
  <c r="C494" i="12787"/>
  <c r="O492" i="12787"/>
  <c r="C492" i="12787"/>
  <c r="I491" i="12787"/>
  <c r="I502" i="12787" s="1"/>
  <c r="O490" i="12787"/>
  <c r="C490" i="12787"/>
  <c r="I488" i="12787"/>
  <c r="O488" i="12787" s="1"/>
  <c r="E488" i="12787"/>
  <c r="C488" i="12787"/>
  <c r="O487" i="12787"/>
  <c r="C487" i="12787"/>
  <c r="O485" i="12787"/>
  <c r="C485" i="12787"/>
  <c r="O484" i="12787"/>
  <c r="D483" i="12787"/>
  <c r="O482" i="12787"/>
  <c r="M482" i="12787"/>
  <c r="H482" i="12787"/>
  <c r="D482" i="12787"/>
  <c r="C482" i="12787"/>
  <c r="O481" i="12787"/>
  <c r="M481" i="12787"/>
  <c r="D481" i="12787"/>
  <c r="O480" i="12787"/>
  <c r="M480" i="12787"/>
  <c r="D480" i="12787"/>
  <c r="C480" i="12787"/>
  <c r="C474" i="12787"/>
  <c r="D472" i="12787"/>
  <c r="D474" i="12787" s="1"/>
  <c r="C472" i="12787"/>
  <c r="K471" i="12787"/>
  <c r="I471" i="12787"/>
  <c r="H471" i="12787"/>
  <c r="I470" i="12787"/>
  <c r="K470" i="12787" s="1"/>
  <c r="K469" i="12787"/>
  <c r="I469" i="12787"/>
  <c r="K468" i="12787"/>
  <c r="H468" i="12787"/>
  <c r="G468" i="12787"/>
  <c r="K467" i="12787"/>
  <c r="H467" i="12787"/>
  <c r="G467" i="12787"/>
  <c r="I466" i="12787"/>
  <c r="K466" i="12787" s="1"/>
  <c r="H466" i="12787"/>
  <c r="E466" i="12787"/>
  <c r="G466" i="12787" s="1"/>
  <c r="K465" i="12787"/>
  <c r="I465" i="12787"/>
  <c r="H465" i="12787"/>
  <c r="E465" i="12787"/>
  <c r="G465" i="12787" s="1"/>
  <c r="H464" i="12787"/>
  <c r="G464" i="12787"/>
  <c r="H463" i="12787"/>
  <c r="G463" i="12787"/>
  <c r="I462" i="12787"/>
  <c r="K462" i="12787" s="1"/>
  <c r="H462" i="12787"/>
  <c r="G462" i="12787"/>
  <c r="K461" i="12787"/>
  <c r="I461" i="12787"/>
  <c r="H461" i="12787"/>
  <c r="I460" i="12787"/>
  <c r="K460" i="12787" s="1"/>
  <c r="H460" i="12787"/>
  <c r="E460" i="12787"/>
  <c r="G460" i="12787" s="1"/>
  <c r="I459" i="12787"/>
  <c r="K459" i="12787" s="1"/>
  <c r="H459" i="12787"/>
  <c r="E459" i="12787"/>
  <c r="G459" i="12787" s="1"/>
  <c r="H458" i="12787"/>
  <c r="K457" i="12787"/>
  <c r="I457" i="12787"/>
  <c r="H457" i="12787"/>
  <c r="E457" i="12787"/>
  <c r="G457" i="12787" s="1"/>
  <c r="K455" i="12787"/>
  <c r="I455" i="12787"/>
  <c r="H455" i="12787"/>
  <c r="G455" i="12787"/>
  <c r="E455" i="12787"/>
  <c r="I454" i="12787"/>
  <c r="K454" i="12787" s="1"/>
  <c r="H454" i="12787"/>
  <c r="G454" i="12787"/>
  <c r="E454" i="12787"/>
  <c r="I453" i="12787"/>
  <c r="K453" i="12787" s="1"/>
  <c r="H453" i="12787"/>
  <c r="E453" i="12787"/>
  <c r="K452" i="12787"/>
  <c r="I452" i="12787"/>
  <c r="H452" i="12787"/>
  <c r="E452" i="12787"/>
  <c r="G452" i="12787" s="1"/>
  <c r="I450" i="12787"/>
  <c r="K450" i="12787" s="1"/>
  <c r="H450" i="12787"/>
  <c r="G450" i="12787"/>
  <c r="E450" i="12787"/>
  <c r="E470" i="12787" s="1"/>
  <c r="K448" i="12787"/>
  <c r="I448" i="12787"/>
  <c r="H448" i="12787"/>
  <c r="G448" i="12787"/>
  <c r="E448" i="12787"/>
  <c r="K447" i="12787"/>
  <c r="I447" i="12787"/>
  <c r="H447" i="12787"/>
  <c r="G447" i="12787"/>
  <c r="E447" i="12787"/>
  <c r="D446" i="12787"/>
  <c r="C446" i="12787"/>
  <c r="I445" i="12787"/>
  <c r="K445" i="12787" s="1"/>
  <c r="H445" i="12787"/>
  <c r="E445" i="12787"/>
  <c r="G445" i="12787" s="1"/>
  <c r="I444" i="12787"/>
  <c r="K444" i="12787" s="1"/>
  <c r="H444" i="12787"/>
  <c r="E444" i="12787"/>
  <c r="G444" i="12787" s="1"/>
  <c r="K443" i="12787"/>
  <c r="I443" i="12787"/>
  <c r="H443" i="12787"/>
  <c r="E443" i="12787"/>
  <c r="G443" i="12787" s="1"/>
  <c r="D436" i="12787"/>
  <c r="K435" i="12787"/>
  <c r="G435" i="12787"/>
  <c r="C435" i="12787"/>
  <c r="C434" i="12787"/>
  <c r="C436" i="12787" s="1"/>
  <c r="D432" i="12787"/>
  <c r="E430" i="12787"/>
  <c r="D430" i="12787"/>
  <c r="D428" i="12787"/>
  <c r="I426" i="12787"/>
  <c r="K426" i="12787" s="1"/>
  <c r="E426" i="12787"/>
  <c r="D426" i="12787"/>
  <c r="D425" i="12787"/>
  <c r="D424" i="12787"/>
  <c r="I422" i="12787"/>
  <c r="K422" i="12787" s="1"/>
  <c r="G422" i="12787"/>
  <c r="E422" i="12787"/>
  <c r="E431" i="12787" s="1"/>
  <c r="G431" i="12787" s="1"/>
  <c r="E421" i="12787"/>
  <c r="D421" i="12787"/>
  <c r="K419" i="12787"/>
  <c r="I419" i="12787"/>
  <c r="I428" i="12787" s="1"/>
  <c r="K428" i="12787" s="1"/>
  <c r="G419" i="12787"/>
  <c r="E419" i="12787"/>
  <c r="H419" i="12787" s="1"/>
  <c r="D419" i="12787"/>
  <c r="K418" i="12787"/>
  <c r="I418" i="12787"/>
  <c r="I427" i="12787" s="1"/>
  <c r="K427" i="12787" s="1"/>
  <c r="G418" i="12787"/>
  <c r="E418" i="12787"/>
  <c r="E427" i="12787" s="1"/>
  <c r="G427" i="12787" s="1"/>
  <c r="C416" i="12787"/>
  <c r="K415" i="12787"/>
  <c r="I415" i="12787"/>
  <c r="H415" i="12787"/>
  <c r="G415" i="12787"/>
  <c r="E415" i="12787"/>
  <c r="G414" i="12787"/>
  <c r="E414" i="12787"/>
  <c r="E425" i="12787" s="1"/>
  <c r="D414" i="12787"/>
  <c r="H414" i="12787" s="1"/>
  <c r="E413" i="12787"/>
  <c r="H413" i="12787" s="1"/>
  <c r="D413" i="12787"/>
  <c r="D407" i="12787"/>
  <c r="G406" i="12787"/>
  <c r="G377" i="12787" s="1"/>
  <c r="K377" i="12787" s="1"/>
  <c r="C406" i="12787"/>
  <c r="I402" i="12787"/>
  <c r="K402" i="12787" s="1"/>
  <c r="E399" i="12787"/>
  <c r="I398" i="12787"/>
  <c r="K398" i="12787" s="1"/>
  <c r="K369" i="12787" s="1"/>
  <c r="G397" i="12787"/>
  <c r="E397" i="12787"/>
  <c r="D396" i="12787"/>
  <c r="E395" i="12787"/>
  <c r="I393" i="12787"/>
  <c r="K393" i="12787" s="1"/>
  <c r="K364" i="12787" s="1"/>
  <c r="E393" i="12787"/>
  <c r="G393" i="12787" s="1"/>
  <c r="G392" i="12787"/>
  <c r="E392" i="12787"/>
  <c r="E401" i="12787" s="1"/>
  <c r="C391" i="12787"/>
  <c r="I390" i="12787"/>
  <c r="I399" i="12787" s="1"/>
  <c r="K399" i="12787" s="1"/>
  <c r="E390" i="12787"/>
  <c r="C390" i="12787"/>
  <c r="K389" i="12787"/>
  <c r="I389" i="12787"/>
  <c r="E389" i="12787"/>
  <c r="E398" i="12787" s="1"/>
  <c r="C388" i="12787"/>
  <c r="C359" i="12787" s="1"/>
  <c r="C387" i="12787"/>
  <c r="D384" i="12787" s="1"/>
  <c r="D355" i="12787" s="1"/>
  <c r="I386" i="12787"/>
  <c r="K386" i="12787" s="1"/>
  <c r="K357" i="12787" s="1"/>
  <c r="K151" i="12787" s="1"/>
  <c r="G386" i="12787"/>
  <c r="G357" i="12787" s="1"/>
  <c r="G151" i="12787" s="1"/>
  <c r="E386" i="12787"/>
  <c r="G385" i="12787"/>
  <c r="G356" i="12787" s="1"/>
  <c r="E385" i="12787"/>
  <c r="E396" i="12787" s="1"/>
  <c r="D385" i="12787"/>
  <c r="H385" i="12787" s="1"/>
  <c r="H356" i="12787" s="1"/>
  <c r="H150" i="12787" s="1"/>
  <c r="H384" i="12787"/>
  <c r="G384" i="12787"/>
  <c r="E384" i="12787"/>
  <c r="H377" i="12787"/>
  <c r="D377" i="12787"/>
  <c r="C377" i="12787"/>
  <c r="D376" i="12787"/>
  <c r="D378" i="12787" s="1"/>
  <c r="I370" i="12787"/>
  <c r="E370" i="12787"/>
  <c r="I364" i="12787"/>
  <c r="I373" i="12787" s="1"/>
  <c r="G364" i="12787"/>
  <c r="E364" i="12787"/>
  <c r="E373" i="12787" s="1"/>
  <c r="C364" i="12787"/>
  <c r="E363" i="12787"/>
  <c r="E372" i="12787" s="1"/>
  <c r="C363" i="12787"/>
  <c r="C362" i="12787"/>
  <c r="I361" i="12787"/>
  <c r="E361" i="12787"/>
  <c r="C361" i="12787"/>
  <c r="K360" i="12787"/>
  <c r="I360" i="12787"/>
  <c r="I369" i="12787" s="1"/>
  <c r="E360" i="12787"/>
  <c r="E369" i="12787" s="1"/>
  <c r="C360" i="12787"/>
  <c r="C358" i="12787"/>
  <c r="I357" i="12787"/>
  <c r="I368" i="12787" s="1"/>
  <c r="E357" i="12787"/>
  <c r="E368" i="12787" s="1"/>
  <c r="C357" i="12787"/>
  <c r="E356" i="12787"/>
  <c r="E367" i="12787" s="1"/>
  <c r="D356" i="12787"/>
  <c r="C356" i="12787"/>
  <c r="E355" i="12787"/>
  <c r="E366" i="12787" s="1"/>
  <c r="C355" i="12787"/>
  <c r="D348" i="12787"/>
  <c r="G347" i="12787"/>
  <c r="K347" i="12787" s="1"/>
  <c r="C347" i="12787"/>
  <c r="E342" i="12787"/>
  <c r="E341" i="12787"/>
  <c r="H341" i="12787" s="1"/>
  <c r="H340" i="12787"/>
  <c r="K338" i="12787"/>
  <c r="I338" i="12787"/>
  <c r="G337" i="12787"/>
  <c r="E337" i="12787"/>
  <c r="H337" i="12787" s="1"/>
  <c r="I334" i="12787"/>
  <c r="K334" i="12787" s="1"/>
  <c r="H334" i="12787"/>
  <c r="E334" i="12787"/>
  <c r="G334" i="12787" s="1"/>
  <c r="E333" i="12787"/>
  <c r="H332" i="12787"/>
  <c r="G332" i="12787"/>
  <c r="E332" i="12787"/>
  <c r="I331" i="12787"/>
  <c r="E331" i="12787"/>
  <c r="E340" i="12787" s="1"/>
  <c r="G340" i="12787" s="1"/>
  <c r="C331" i="12787"/>
  <c r="C333" i="12787" s="1"/>
  <c r="I330" i="12787"/>
  <c r="I339" i="12787" s="1"/>
  <c r="K339" i="12787" s="1"/>
  <c r="H330" i="12787"/>
  <c r="G330" i="12787"/>
  <c r="E330" i="12787"/>
  <c r="E339" i="12787" s="1"/>
  <c r="D328" i="12787"/>
  <c r="C328" i="12787"/>
  <c r="K327" i="12787"/>
  <c r="I327" i="12787"/>
  <c r="G327" i="12787"/>
  <c r="E327" i="12787"/>
  <c r="E338" i="12787" s="1"/>
  <c r="H326" i="12787"/>
  <c r="G326" i="12787"/>
  <c r="E326" i="12787"/>
  <c r="I325" i="12787"/>
  <c r="H325" i="12787"/>
  <c r="E325" i="12787"/>
  <c r="G325" i="12787" s="1"/>
  <c r="D325" i="12787"/>
  <c r="D319" i="12787"/>
  <c r="G318" i="12787"/>
  <c r="K318" i="12787" s="1"/>
  <c r="C318" i="12787"/>
  <c r="G314" i="12787"/>
  <c r="E314" i="12787"/>
  <c r="E312" i="12787"/>
  <c r="G310" i="12787"/>
  <c r="E310" i="12787"/>
  <c r="E308" i="12787"/>
  <c r="H308" i="12787" s="1"/>
  <c r="K305" i="12787"/>
  <c r="I305" i="12787"/>
  <c r="I314" i="12787" s="1"/>
  <c r="K314" i="12787" s="1"/>
  <c r="E305" i="12787"/>
  <c r="G305" i="12787" s="1"/>
  <c r="E304" i="12787"/>
  <c r="G303" i="12787"/>
  <c r="E303" i="12787"/>
  <c r="C303" i="12787"/>
  <c r="I302" i="12787"/>
  <c r="K302" i="12787" s="1"/>
  <c r="E302" i="12787"/>
  <c r="C302" i="12787"/>
  <c r="C304" i="12787" s="1"/>
  <c r="C275" i="12787" s="1"/>
  <c r="I301" i="12787"/>
  <c r="I310" i="12787" s="1"/>
  <c r="K310" i="12787" s="1"/>
  <c r="H301" i="12787"/>
  <c r="G301" i="12787"/>
  <c r="G272" i="12787" s="1"/>
  <c r="E301" i="12787"/>
  <c r="C300" i="12787"/>
  <c r="D299" i="12787" s="1"/>
  <c r="C299" i="12787"/>
  <c r="I298" i="12787"/>
  <c r="I309" i="12787" s="1"/>
  <c r="K309" i="12787" s="1"/>
  <c r="K280" i="12787" s="1"/>
  <c r="H298" i="12787"/>
  <c r="G298" i="12787"/>
  <c r="E298" i="12787"/>
  <c r="E309" i="12787" s="1"/>
  <c r="H297" i="12787"/>
  <c r="E297" i="12787"/>
  <c r="G297" i="12787" s="1"/>
  <c r="G268" i="12787" s="1"/>
  <c r="K296" i="12787"/>
  <c r="I296" i="12787"/>
  <c r="I307" i="12787" s="1"/>
  <c r="K307" i="12787" s="1"/>
  <c r="G296" i="12787"/>
  <c r="E296" i="12787"/>
  <c r="E307" i="12787" s="1"/>
  <c r="G307" i="12787" s="1"/>
  <c r="D296" i="12787"/>
  <c r="D267" i="12787" s="1"/>
  <c r="D270" i="12787" s="1"/>
  <c r="C296" i="12787"/>
  <c r="H289" i="12787"/>
  <c r="D289" i="12787"/>
  <c r="C289" i="12787"/>
  <c r="D288" i="12787"/>
  <c r="D290" i="12787" s="1"/>
  <c r="I282" i="12787"/>
  <c r="H279" i="12787"/>
  <c r="K276" i="12787"/>
  <c r="I276" i="12787"/>
  <c r="I285" i="12787" s="1"/>
  <c r="E276" i="12787"/>
  <c r="E285" i="12787" s="1"/>
  <c r="C276" i="12787"/>
  <c r="I275" i="12787"/>
  <c r="I284" i="12787" s="1"/>
  <c r="E275" i="12787"/>
  <c r="E284" i="12787" s="1"/>
  <c r="G274" i="12787"/>
  <c r="E274" i="12787"/>
  <c r="E283" i="12787" s="1"/>
  <c r="C274" i="12787"/>
  <c r="I273" i="12787"/>
  <c r="E273" i="12787"/>
  <c r="E282" i="12787" s="1"/>
  <c r="C273" i="12787"/>
  <c r="I272" i="12787"/>
  <c r="I281" i="12787" s="1"/>
  <c r="E272" i="12787"/>
  <c r="E281" i="12787" s="1"/>
  <c r="D272" i="12787"/>
  <c r="C272" i="12787"/>
  <c r="D271" i="12787"/>
  <c r="I269" i="12787"/>
  <c r="I280" i="12787" s="1"/>
  <c r="E269" i="12787"/>
  <c r="E280" i="12787" s="1"/>
  <c r="D269" i="12787"/>
  <c r="C269" i="12787"/>
  <c r="H268" i="12787"/>
  <c r="E268" i="12787"/>
  <c r="E279" i="12787" s="1"/>
  <c r="D268" i="12787"/>
  <c r="C268" i="12787"/>
  <c r="I267" i="12787"/>
  <c r="I278" i="12787" s="1"/>
  <c r="G267" i="12787"/>
  <c r="E267" i="12787"/>
  <c r="E278" i="12787" s="1"/>
  <c r="C267" i="12787"/>
  <c r="C270" i="12787" s="1"/>
  <c r="D261" i="12787"/>
  <c r="K260" i="12787"/>
  <c r="G260" i="12787"/>
  <c r="C260" i="12787"/>
  <c r="C204" i="12787" s="1"/>
  <c r="E256" i="12787"/>
  <c r="E252" i="12787"/>
  <c r="I251" i="12787"/>
  <c r="K251" i="12787" s="1"/>
  <c r="I247" i="12787"/>
  <c r="K247" i="12787" s="1"/>
  <c r="E247" i="12787"/>
  <c r="C247" i="12787"/>
  <c r="E246" i="12787"/>
  <c r="E255" i="12787" s="1"/>
  <c r="I245" i="12787"/>
  <c r="E245" i="12787"/>
  <c r="E254" i="12787" s="1"/>
  <c r="C245" i="12787"/>
  <c r="K244" i="12787"/>
  <c r="I244" i="12787"/>
  <c r="I253" i="12787" s="1"/>
  <c r="K253" i="12787" s="1"/>
  <c r="E244" i="12787"/>
  <c r="E253" i="12787" s="1"/>
  <c r="G253" i="12787" s="1"/>
  <c r="C244" i="12787"/>
  <c r="K243" i="12787"/>
  <c r="I243" i="12787"/>
  <c r="I252" i="12787" s="1"/>
  <c r="K252" i="12787" s="1"/>
  <c r="G243" i="12787"/>
  <c r="E243" i="12787"/>
  <c r="C243" i="12787"/>
  <c r="K241" i="12787"/>
  <c r="I241" i="12787"/>
  <c r="G241" i="12787"/>
  <c r="E241" i="12787"/>
  <c r="C241" i="12787"/>
  <c r="E240" i="12787"/>
  <c r="C240" i="12787"/>
  <c r="C184" i="12787" s="1"/>
  <c r="I239" i="12787"/>
  <c r="K239" i="12787" s="1"/>
  <c r="G239" i="12787"/>
  <c r="E239" i="12787"/>
  <c r="E249" i="12787" s="1"/>
  <c r="G249" i="12787" s="1"/>
  <c r="C239" i="12787"/>
  <c r="C242" i="12787" s="1"/>
  <c r="D240" i="12787" s="1"/>
  <c r="D184" i="12787" s="1"/>
  <c r="D154" i="12787" s="1"/>
  <c r="D233" i="12787"/>
  <c r="G232" i="12787"/>
  <c r="C232" i="12787"/>
  <c r="C231" i="12787"/>
  <c r="D224" i="12787" s="1"/>
  <c r="E230" i="12787"/>
  <c r="G230" i="12787" s="1"/>
  <c r="C230" i="12787"/>
  <c r="D229" i="12787"/>
  <c r="C229" i="12787"/>
  <c r="I228" i="12787"/>
  <c r="K228" i="12787" s="1"/>
  <c r="E228" i="12787"/>
  <c r="G228" i="12787" s="1"/>
  <c r="C228" i="12787"/>
  <c r="G226" i="12787"/>
  <c r="E226" i="12787"/>
  <c r="C226" i="12787"/>
  <c r="C198" i="12787" s="1"/>
  <c r="C169" i="12787" s="1"/>
  <c r="E225" i="12787"/>
  <c r="D225" i="12787"/>
  <c r="C225" i="12787"/>
  <c r="C227" i="12787" s="1"/>
  <c r="C199" i="12787" s="1"/>
  <c r="C170" i="12787" s="1"/>
  <c r="C224" i="12787"/>
  <c r="C196" i="12787" s="1"/>
  <c r="C167" i="12787" s="1"/>
  <c r="C223" i="12787"/>
  <c r="C195" i="12787" s="1"/>
  <c r="C166" i="12787" s="1"/>
  <c r="C222" i="12787"/>
  <c r="I221" i="12787"/>
  <c r="K221" i="12787" s="1"/>
  <c r="E221" i="12787"/>
  <c r="G221" i="12787" s="1"/>
  <c r="G193" i="12787" s="1"/>
  <c r="C221" i="12787"/>
  <c r="K219" i="12787"/>
  <c r="K191" i="12787" s="1"/>
  <c r="I219" i="12787"/>
  <c r="G219" i="12787"/>
  <c r="E219" i="12787"/>
  <c r="C219" i="12787"/>
  <c r="I218" i="12787"/>
  <c r="E218" i="12787"/>
  <c r="D218" i="12787"/>
  <c r="C218" i="12787"/>
  <c r="H217" i="12787"/>
  <c r="E217" i="12787"/>
  <c r="D217" i="12787"/>
  <c r="C217" i="12787"/>
  <c r="I216" i="12787"/>
  <c r="K216" i="12787" s="1"/>
  <c r="K188" i="12787" s="1"/>
  <c r="G216" i="12787"/>
  <c r="E216" i="12787"/>
  <c r="C216" i="12787"/>
  <c r="K215" i="12787"/>
  <c r="K187" i="12787" s="1"/>
  <c r="I215" i="12787"/>
  <c r="I224" i="12787" s="1"/>
  <c r="K224" i="12787" s="1"/>
  <c r="K196" i="12787" s="1"/>
  <c r="E215" i="12787"/>
  <c r="C215" i="12787"/>
  <c r="D214" i="12787"/>
  <c r="C214" i="12787"/>
  <c r="I213" i="12787"/>
  <c r="I223" i="12787" s="1"/>
  <c r="K223" i="12787" s="1"/>
  <c r="G213" i="12787"/>
  <c r="E213" i="12787"/>
  <c r="C213" i="12787"/>
  <c r="C185" i="12787" s="1"/>
  <c r="C155" i="12787" s="1"/>
  <c r="E212" i="12787"/>
  <c r="C212" i="12787"/>
  <c r="I211" i="12787"/>
  <c r="K211" i="12787" s="1"/>
  <c r="H211" i="12787"/>
  <c r="E211" i="12787"/>
  <c r="G211" i="12787" s="1"/>
  <c r="C211" i="12787"/>
  <c r="D205" i="12787"/>
  <c r="H204" i="12787"/>
  <c r="H175" i="12787" s="1"/>
  <c r="D204" i="12787"/>
  <c r="D175" i="12787" s="1"/>
  <c r="D203" i="12787"/>
  <c r="E202" i="12787"/>
  <c r="C202" i="12787"/>
  <c r="C201" i="12787"/>
  <c r="C172" i="12787" s="1"/>
  <c r="I200" i="12787"/>
  <c r="C200" i="12787"/>
  <c r="C171" i="12787" s="1"/>
  <c r="E197" i="12787"/>
  <c r="C197" i="12787"/>
  <c r="C168" i="12787" s="1"/>
  <c r="K195" i="12787"/>
  <c r="E194" i="12787"/>
  <c r="C194" i="12787"/>
  <c r="C193" i="12787"/>
  <c r="C164" i="12787" s="1"/>
  <c r="I191" i="12787"/>
  <c r="E191" i="12787"/>
  <c r="E200" i="12787" s="1"/>
  <c r="C191" i="12787"/>
  <c r="C162" i="12787" s="1"/>
  <c r="E190" i="12787"/>
  <c r="E199" i="12787" s="1"/>
  <c r="I189" i="12787"/>
  <c r="I198" i="12787" s="1"/>
  <c r="E189" i="12787"/>
  <c r="E198" i="12787" s="1"/>
  <c r="I188" i="12787"/>
  <c r="I197" i="12787" s="1"/>
  <c r="E188" i="12787"/>
  <c r="C188" i="12787"/>
  <c r="C159" i="12787" s="1"/>
  <c r="I187" i="12787"/>
  <c r="I196" i="12787" s="1"/>
  <c r="E187" i="12787"/>
  <c r="E196" i="12787" s="1"/>
  <c r="C187" i="12787"/>
  <c r="I185" i="12787"/>
  <c r="I195" i="12787" s="1"/>
  <c r="E185" i="12787"/>
  <c r="E195" i="12787" s="1"/>
  <c r="E184" i="12787"/>
  <c r="K183" i="12787"/>
  <c r="I183" i="12787"/>
  <c r="I193" i="12787" s="1"/>
  <c r="E183" i="12787"/>
  <c r="E193" i="12787" s="1"/>
  <c r="C183" i="12787"/>
  <c r="C186" i="12787" s="1"/>
  <c r="O176" i="12787"/>
  <c r="C175" i="12787"/>
  <c r="D174" i="12787"/>
  <c r="D176" i="12787" s="1"/>
  <c r="I173" i="12787"/>
  <c r="I202" i="12787" s="1"/>
  <c r="E173" i="12787"/>
  <c r="E345" i="12787" s="1"/>
  <c r="H345" i="12787" s="1"/>
  <c r="C173" i="12787"/>
  <c r="I172" i="12787"/>
  <c r="I315" i="12787" s="1"/>
  <c r="K315" i="12787" s="1"/>
  <c r="E172" i="12787"/>
  <c r="E257" i="12787" s="1"/>
  <c r="G257" i="12787" s="1"/>
  <c r="I171" i="12787"/>
  <c r="E171" i="12787"/>
  <c r="I170" i="12787"/>
  <c r="E170" i="12787"/>
  <c r="I169" i="12787"/>
  <c r="E169" i="12787"/>
  <c r="I168" i="12787"/>
  <c r="E168" i="12787"/>
  <c r="I167" i="12787"/>
  <c r="E167" i="12787"/>
  <c r="I166" i="12787"/>
  <c r="E166" i="12787"/>
  <c r="E165" i="12787"/>
  <c r="C165" i="12787"/>
  <c r="I164" i="12787"/>
  <c r="E164" i="12787"/>
  <c r="O162" i="12787"/>
  <c r="K162" i="12787"/>
  <c r="I161" i="12787"/>
  <c r="I304" i="12787" s="1"/>
  <c r="I160" i="12787"/>
  <c r="I303" i="12787" s="1"/>
  <c r="I312" i="12787" s="1"/>
  <c r="K312" i="12787" s="1"/>
  <c r="O159" i="12787"/>
  <c r="O158" i="12787"/>
  <c r="C158" i="12787"/>
  <c r="O155" i="12787"/>
  <c r="I154" i="12787"/>
  <c r="C154" i="12787"/>
  <c r="O153" i="12787"/>
  <c r="O151" i="12787"/>
  <c r="C151" i="12787"/>
  <c r="G150" i="12787"/>
  <c r="D150" i="12787"/>
  <c r="C150" i="12787"/>
  <c r="I149" i="12787"/>
  <c r="I413" i="12787" s="1"/>
  <c r="D149" i="12787"/>
  <c r="M149" i="12787" s="1"/>
  <c r="C149" i="12787"/>
  <c r="D143" i="12787"/>
  <c r="G142" i="12787"/>
  <c r="K142" i="12787" s="1"/>
  <c r="C142" i="12787"/>
  <c r="I140" i="12787"/>
  <c r="K140" i="12787" s="1"/>
  <c r="G140" i="12787"/>
  <c r="G139" i="12787"/>
  <c r="E139" i="12787"/>
  <c r="H139" i="12787" s="1"/>
  <c r="K138" i="12787"/>
  <c r="I138" i="12787"/>
  <c r="H138" i="12787"/>
  <c r="G138" i="12787"/>
  <c r="E138" i="12787"/>
  <c r="E140" i="12787" s="1"/>
  <c r="H140" i="12787" s="1"/>
  <c r="I137" i="12787"/>
  <c r="K137" i="12787" s="1"/>
  <c r="E137" i="12787"/>
  <c r="H137" i="12787" s="1"/>
  <c r="C137" i="12787"/>
  <c r="C141" i="12787" s="1"/>
  <c r="C143" i="12787" s="1"/>
  <c r="K136" i="12787"/>
  <c r="I136" i="12787"/>
  <c r="G136" i="12787"/>
  <c r="E136" i="12787"/>
  <c r="H136" i="12787" s="1"/>
  <c r="K135" i="12787"/>
  <c r="I135" i="12787"/>
  <c r="H135" i="12787"/>
  <c r="H141" i="12787" s="1"/>
  <c r="H143" i="12787" s="1"/>
  <c r="G135" i="12787"/>
  <c r="E135" i="12787"/>
  <c r="D130" i="12787"/>
  <c r="G129" i="12787"/>
  <c r="K129" i="12787" s="1"/>
  <c r="C129" i="12787"/>
  <c r="I127" i="12787"/>
  <c r="K127" i="12787" s="1"/>
  <c r="H127" i="12787"/>
  <c r="H88" i="12787" s="1"/>
  <c r="E126" i="12787"/>
  <c r="H126" i="12787" s="1"/>
  <c r="H87" i="12787" s="1"/>
  <c r="K125" i="12787"/>
  <c r="I125" i="12787"/>
  <c r="G125" i="12787"/>
  <c r="E125" i="12787"/>
  <c r="E127" i="12787" s="1"/>
  <c r="G127" i="12787" s="1"/>
  <c r="H124" i="12787"/>
  <c r="E124" i="12787"/>
  <c r="I123" i="12787"/>
  <c r="E123" i="12787"/>
  <c r="H123" i="12787" s="1"/>
  <c r="C123" i="12787"/>
  <c r="K122" i="12787"/>
  <c r="I122" i="12787"/>
  <c r="H122" i="12787"/>
  <c r="E122" i="12787"/>
  <c r="G122" i="12787" s="1"/>
  <c r="D117" i="12787"/>
  <c r="K116" i="12787"/>
  <c r="G116" i="12787"/>
  <c r="C116" i="12787"/>
  <c r="I113" i="12787"/>
  <c r="K113" i="12787" s="1"/>
  <c r="G113" i="12787"/>
  <c r="E113" i="12787"/>
  <c r="I112" i="12787"/>
  <c r="K112" i="12787" s="1"/>
  <c r="E112" i="12787"/>
  <c r="G112" i="12787" s="1"/>
  <c r="I111" i="12787"/>
  <c r="K111" i="12787" s="1"/>
  <c r="H111" i="12787"/>
  <c r="E111" i="12787"/>
  <c r="C111" i="12787"/>
  <c r="G111" i="12787" s="1"/>
  <c r="I110" i="12787"/>
  <c r="K110" i="12787" s="1"/>
  <c r="E110" i="12787"/>
  <c r="C110" i="12787"/>
  <c r="C115" i="12787" s="1"/>
  <c r="I109" i="12787"/>
  <c r="K109" i="12787" s="1"/>
  <c r="E109" i="12787"/>
  <c r="H109" i="12787" s="1"/>
  <c r="C109" i="12787"/>
  <c r="G109" i="12787" s="1"/>
  <c r="K103" i="12787"/>
  <c r="G103" i="12787"/>
  <c r="C103" i="12787"/>
  <c r="C90" i="12787" s="1"/>
  <c r="K102" i="12787"/>
  <c r="E101" i="12787"/>
  <c r="G101" i="12787" s="1"/>
  <c r="G100" i="12787"/>
  <c r="E100" i="12787"/>
  <c r="K99" i="12787"/>
  <c r="I99" i="12787"/>
  <c r="I101" i="12787" s="1"/>
  <c r="K101" i="12787" s="1"/>
  <c r="E99" i="12787"/>
  <c r="G99" i="12787" s="1"/>
  <c r="E98" i="12787"/>
  <c r="G98" i="12787" s="1"/>
  <c r="C98" i="12787"/>
  <c r="K97" i="12787"/>
  <c r="I97" i="12787"/>
  <c r="G97" i="12787"/>
  <c r="E97" i="12787"/>
  <c r="H97" i="12787" s="1"/>
  <c r="D97" i="12787"/>
  <c r="D98" i="12787" s="1"/>
  <c r="C97" i="12787"/>
  <c r="C102" i="12787" s="1"/>
  <c r="C104" i="12787" s="1"/>
  <c r="I96" i="12787"/>
  <c r="K96" i="12787" s="1"/>
  <c r="E96" i="12787"/>
  <c r="H96" i="12787" s="1"/>
  <c r="D96" i="12787"/>
  <c r="C96" i="12787"/>
  <c r="O91" i="12787"/>
  <c r="H90" i="12787"/>
  <c r="G90" i="12787"/>
  <c r="K90" i="12787" s="1"/>
  <c r="D90" i="12787"/>
  <c r="O88" i="12787"/>
  <c r="I88" i="12787"/>
  <c r="M88" i="12787" s="1"/>
  <c r="D88" i="12787"/>
  <c r="C88" i="12787"/>
  <c r="O87" i="12787"/>
  <c r="I87" i="12787"/>
  <c r="I139" i="12787" s="1"/>
  <c r="K139" i="12787" s="1"/>
  <c r="D87" i="12787"/>
  <c r="C87" i="12787"/>
  <c r="O86" i="12787"/>
  <c r="G86" i="12787"/>
  <c r="D86" i="12787"/>
  <c r="M86" i="12787" s="1"/>
  <c r="C86" i="12787"/>
  <c r="O85" i="12787"/>
  <c r="I85" i="12787"/>
  <c r="I98" i="12787" s="1"/>
  <c r="K98" i="12787" s="1"/>
  <c r="Q84" i="12787"/>
  <c r="O84" i="12787"/>
  <c r="D84" i="12787"/>
  <c r="O83" i="12787"/>
  <c r="M83" i="12787"/>
  <c r="D83" i="12787"/>
  <c r="C83" i="12787"/>
  <c r="D78" i="12787"/>
  <c r="G77" i="12787"/>
  <c r="K77" i="12787" s="1"/>
  <c r="C77" i="12787"/>
  <c r="C76" i="12787"/>
  <c r="C75" i="12787"/>
  <c r="I74" i="12787"/>
  <c r="K74" i="12787" s="1"/>
  <c r="H74" i="12787"/>
  <c r="G74" i="12787"/>
  <c r="E74" i="12787"/>
  <c r="D74" i="12787"/>
  <c r="D23" i="12787" s="1"/>
  <c r="C74" i="12787"/>
  <c r="G73" i="12787"/>
  <c r="E73" i="12787"/>
  <c r="C73" i="12787"/>
  <c r="C22" i="12787" s="1"/>
  <c r="E72" i="12787"/>
  <c r="D72" i="12787"/>
  <c r="C72" i="12787"/>
  <c r="E71" i="12787"/>
  <c r="H71" i="12787" s="1"/>
  <c r="D71" i="12787"/>
  <c r="C71" i="12787"/>
  <c r="E69" i="12787"/>
  <c r="C69" i="12787"/>
  <c r="E68" i="12787"/>
  <c r="G68" i="12787" s="1"/>
  <c r="C68" i="12787"/>
  <c r="D68" i="12787" s="1"/>
  <c r="H68" i="12787" s="1"/>
  <c r="G67" i="12787"/>
  <c r="E67" i="12787"/>
  <c r="D67" i="12787"/>
  <c r="H67" i="12787" s="1"/>
  <c r="C67" i="12787"/>
  <c r="D61" i="12787"/>
  <c r="C61" i="12787"/>
  <c r="G60" i="12787"/>
  <c r="K60" i="12787" s="1"/>
  <c r="C60" i="12787"/>
  <c r="C59" i="12787"/>
  <c r="C58" i="12787"/>
  <c r="E57" i="12787"/>
  <c r="D57" i="12787"/>
  <c r="C57" i="12787"/>
  <c r="E56" i="12787"/>
  <c r="D56" i="12787"/>
  <c r="C56" i="12787"/>
  <c r="E55" i="12787"/>
  <c r="C55" i="12787"/>
  <c r="E54" i="12787"/>
  <c r="G54" i="12787" s="1"/>
  <c r="C54" i="12787"/>
  <c r="D54" i="12787" s="1"/>
  <c r="H54" i="12787" s="1"/>
  <c r="G52" i="12787"/>
  <c r="E52" i="12787"/>
  <c r="D52" i="12787"/>
  <c r="H52" i="12787" s="1"/>
  <c r="C52" i="12787"/>
  <c r="E51" i="12787"/>
  <c r="C51" i="12787"/>
  <c r="D51" i="12787" s="1"/>
  <c r="H50" i="12787"/>
  <c r="G50" i="12787"/>
  <c r="E50" i="12787"/>
  <c r="D50" i="12787"/>
  <c r="C50" i="12787"/>
  <c r="D44" i="12787"/>
  <c r="C44" i="12787"/>
  <c r="G43" i="12787"/>
  <c r="K43" i="12787" s="1"/>
  <c r="C43" i="12787"/>
  <c r="K40" i="12787"/>
  <c r="I40" i="12787"/>
  <c r="G40" i="12787"/>
  <c r="E40" i="12787"/>
  <c r="H40" i="12787" s="1"/>
  <c r="D40" i="12787"/>
  <c r="C40" i="12787"/>
  <c r="E39" i="12787"/>
  <c r="C39" i="12787"/>
  <c r="D39" i="12787" s="1"/>
  <c r="H38" i="12787"/>
  <c r="G38" i="12787"/>
  <c r="E38" i="12787"/>
  <c r="D38" i="12787"/>
  <c r="C38" i="12787"/>
  <c r="G37" i="12787"/>
  <c r="E37" i="12787"/>
  <c r="C37" i="12787"/>
  <c r="D37" i="12787" s="1"/>
  <c r="E35" i="12787"/>
  <c r="D35" i="12787"/>
  <c r="E34" i="12787"/>
  <c r="C34" i="12787"/>
  <c r="E33" i="12787"/>
  <c r="G33" i="12787" s="1"/>
  <c r="C33" i="12787"/>
  <c r="C16" i="12787" s="1"/>
  <c r="O27" i="12787"/>
  <c r="D25" i="12787"/>
  <c r="D27" i="12787" s="1"/>
  <c r="C25" i="12787"/>
  <c r="D24" i="12787"/>
  <c r="C24" i="12787"/>
  <c r="I23" i="12787"/>
  <c r="C23" i="12787"/>
  <c r="C21" i="12787"/>
  <c r="N97" i="12761"/>
  <c r="M97" i="12761"/>
  <c r="L97" i="12761"/>
  <c r="K97" i="12761"/>
  <c r="J97" i="12761"/>
  <c r="I97" i="12761"/>
  <c r="H97" i="12761"/>
  <c r="G97" i="12761"/>
  <c r="F97" i="12761"/>
  <c r="E97" i="12761"/>
  <c r="D97" i="12761"/>
  <c r="C97" i="12761"/>
  <c r="O95" i="12761"/>
  <c r="O94" i="12761"/>
  <c r="O93" i="12761"/>
  <c r="O92" i="12761"/>
  <c r="O91" i="12761"/>
  <c r="R90" i="12761"/>
  <c r="O90" i="12761"/>
  <c r="R89" i="12761"/>
  <c r="O89" i="12761"/>
  <c r="R88" i="12761"/>
  <c r="O88" i="12761"/>
  <c r="O87" i="12761"/>
  <c r="R87" i="12761" s="1"/>
  <c r="R86" i="12761"/>
  <c r="O86" i="12761"/>
  <c r="O85" i="12761"/>
  <c r="O84" i="12761"/>
  <c r="K83" i="12761"/>
  <c r="L83" i="12761" s="1"/>
  <c r="M83" i="12761" s="1"/>
  <c r="N83" i="12761" s="1"/>
  <c r="J83" i="12761"/>
  <c r="E83" i="12761"/>
  <c r="F83" i="12761" s="1"/>
  <c r="G83" i="12761" s="1"/>
  <c r="H83" i="12761" s="1"/>
  <c r="N81" i="12761"/>
  <c r="M81" i="12761"/>
  <c r="L81" i="12761"/>
  <c r="K81" i="12761"/>
  <c r="J81" i="12761"/>
  <c r="I81" i="12761"/>
  <c r="H81" i="12761"/>
  <c r="G81" i="12761"/>
  <c r="F81" i="12761"/>
  <c r="E81" i="12761"/>
  <c r="D81" i="12761"/>
  <c r="C81" i="12761"/>
  <c r="R77" i="12761"/>
  <c r="O77" i="12761"/>
  <c r="R76" i="12761"/>
  <c r="O76" i="12761"/>
  <c r="O75" i="12761"/>
  <c r="R75" i="12761" s="1"/>
  <c r="R74" i="12761"/>
  <c r="O74" i="12761"/>
  <c r="R73" i="12761"/>
  <c r="O73" i="12761"/>
  <c r="O72" i="12761"/>
  <c r="O81" i="12761" s="1"/>
  <c r="L71" i="12761"/>
  <c r="M71" i="12761" s="1"/>
  <c r="N71" i="12761" s="1"/>
  <c r="K71" i="12761"/>
  <c r="J71" i="12761"/>
  <c r="F71" i="12761"/>
  <c r="G71" i="12761" s="1"/>
  <c r="H71" i="12761" s="1"/>
  <c r="E71" i="12761"/>
  <c r="G69" i="12761"/>
  <c r="C69" i="12761"/>
  <c r="O68" i="12761"/>
  <c r="O67" i="12761"/>
  <c r="O66" i="12761"/>
  <c r="O65" i="12761"/>
  <c r="O64" i="12761"/>
  <c r="O63" i="12761"/>
  <c r="O62" i="12761"/>
  <c r="O61" i="12761"/>
  <c r="O60" i="12761"/>
  <c r="O59" i="12761"/>
  <c r="O58" i="12761"/>
  <c r="R58" i="12761" s="1"/>
  <c r="O57" i="12761"/>
  <c r="R57" i="12761" s="1"/>
  <c r="N56" i="12761"/>
  <c r="K56" i="12761"/>
  <c r="L56" i="12761" s="1"/>
  <c r="M56" i="12761" s="1"/>
  <c r="J56" i="12761"/>
  <c r="E56" i="12761"/>
  <c r="F56" i="12761" s="1"/>
  <c r="G56" i="12761" s="1"/>
  <c r="H56" i="12761" s="1"/>
  <c r="N54" i="12761"/>
  <c r="M54" i="12761"/>
  <c r="L54" i="12761"/>
  <c r="K54" i="12761"/>
  <c r="J54" i="12761"/>
  <c r="I54" i="12761"/>
  <c r="H54" i="12761"/>
  <c r="G54" i="12761"/>
  <c r="F54" i="12761"/>
  <c r="E54" i="12761"/>
  <c r="D54" i="12761"/>
  <c r="C54" i="12761"/>
  <c r="O48" i="12761"/>
  <c r="R48" i="12761" s="1"/>
  <c r="R47" i="12761"/>
  <c r="O47" i="12761"/>
  <c r="O46" i="12761"/>
  <c r="R46" i="12761" s="1"/>
  <c r="O45" i="12761"/>
  <c r="R44" i="12761"/>
  <c r="O44" i="12761"/>
  <c r="O43" i="12761"/>
  <c r="R43" i="12761" s="1"/>
  <c r="R42" i="12761"/>
  <c r="O42" i="12761"/>
  <c r="R41" i="12761"/>
  <c r="O41" i="12761"/>
  <c r="R40" i="12761"/>
  <c r="O40" i="12761"/>
  <c r="O39" i="12761"/>
  <c r="R38" i="12761"/>
  <c r="O38" i="12761"/>
  <c r="R37" i="12761"/>
  <c r="O37" i="12761"/>
  <c r="R36" i="12761"/>
  <c r="O36" i="12761"/>
  <c r="J35" i="12761"/>
  <c r="K35" i="12761" s="1"/>
  <c r="L35" i="12761" s="1"/>
  <c r="M35" i="12761" s="1"/>
  <c r="N35" i="12761" s="1"/>
  <c r="E35" i="12761"/>
  <c r="F35" i="12761" s="1"/>
  <c r="G35" i="12761" s="1"/>
  <c r="H35" i="12761" s="1"/>
  <c r="N33" i="12761"/>
  <c r="M33" i="12761"/>
  <c r="L33" i="12761"/>
  <c r="K33" i="12761"/>
  <c r="J33" i="12761"/>
  <c r="I33" i="12761"/>
  <c r="H33" i="12761"/>
  <c r="G33" i="12761"/>
  <c r="F33" i="12761"/>
  <c r="E33" i="12761"/>
  <c r="D33" i="12761"/>
  <c r="C33" i="12761"/>
  <c r="O31" i="12761"/>
  <c r="O30" i="12761"/>
  <c r="O29" i="12761"/>
  <c r="O28" i="12761"/>
  <c r="O33" i="12761" s="1"/>
  <c r="R27" i="12761"/>
  <c r="O27" i="12761"/>
  <c r="R26" i="12761"/>
  <c r="O26" i="12761"/>
  <c r="R25" i="12761"/>
  <c r="O25" i="12761"/>
  <c r="O24" i="12761"/>
  <c r="R24" i="12761" s="1"/>
  <c r="O23" i="12761"/>
  <c r="O22" i="12761"/>
  <c r="O21" i="12761"/>
  <c r="O20" i="12761"/>
  <c r="O19" i="12761"/>
  <c r="O18" i="12761"/>
  <c r="O17" i="12761"/>
  <c r="O16" i="12761"/>
  <c r="R15" i="12761"/>
  <c r="O15" i="12761"/>
  <c r="R14" i="12761"/>
  <c r="O14" i="12761"/>
  <c r="R13" i="12761"/>
  <c r="O13" i="12761"/>
  <c r="O12" i="12761"/>
  <c r="R12" i="12761" s="1"/>
  <c r="R11" i="12761"/>
  <c r="O11" i="12761"/>
  <c r="R10" i="12761"/>
  <c r="O10" i="12761"/>
  <c r="R9" i="12761"/>
  <c r="O9" i="12761"/>
  <c r="O8" i="12761"/>
  <c r="R8" i="12761" s="1"/>
  <c r="J7" i="12761"/>
  <c r="K7" i="12761" s="1"/>
  <c r="L7" i="12761" s="1"/>
  <c r="M7" i="12761" s="1"/>
  <c r="N7" i="12761" s="1"/>
  <c r="F7" i="12761"/>
  <c r="G7" i="12761" s="1"/>
  <c r="H7" i="12761" s="1"/>
  <c r="E7" i="12761"/>
  <c r="A4" i="12761"/>
  <c r="A3" i="12761"/>
  <c r="A2" i="12761"/>
  <c r="L56" i="12837"/>
  <c r="P56" i="12837" s="1"/>
  <c r="L54" i="12837"/>
  <c r="R54" i="12837" s="1"/>
  <c r="P53" i="12837"/>
  <c r="R52" i="12837"/>
  <c r="L52" i="12837"/>
  <c r="P52" i="12837" s="1"/>
  <c r="V52" i="12837" s="1"/>
  <c r="J52" i="12837"/>
  <c r="N52" i="12837" s="1"/>
  <c r="T52" i="12837" s="1"/>
  <c r="H52" i="12837"/>
  <c r="T51" i="12837"/>
  <c r="N51" i="12837"/>
  <c r="L51" i="12837"/>
  <c r="P51" i="12837" s="1"/>
  <c r="V51" i="12837" s="1"/>
  <c r="J51" i="12837"/>
  <c r="R51" i="12837" s="1"/>
  <c r="H51" i="12837"/>
  <c r="V50" i="12837"/>
  <c r="P50" i="12837"/>
  <c r="L50" i="12837"/>
  <c r="R50" i="12837" s="1"/>
  <c r="J50" i="12837"/>
  <c r="N50" i="12837" s="1"/>
  <c r="T50" i="12837" s="1"/>
  <c r="H50" i="12837"/>
  <c r="R49" i="12837"/>
  <c r="L49" i="12837"/>
  <c r="P49" i="12837" s="1"/>
  <c r="J49" i="12837"/>
  <c r="J54" i="12837" s="1"/>
  <c r="H49" i="12837"/>
  <c r="H54" i="12837" s="1"/>
  <c r="L42" i="12837"/>
  <c r="J42" i="12837"/>
  <c r="P41" i="12837"/>
  <c r="P40" i="12837"/>
  <c r="V40" i="12837" s="1"/>
  <c r="N40" i="12837"/>
  <c r="L40" i="12837"/>
  <c r="R40" i="12837" s="1"/>
  <c r="J40" i="12837"/>
  <c r="H40" i="12837"/>
  <c r="H42" i="12837" s="1"/>
  <c r="L37" i="12837"/>
  <c r="P36" i="12837"/>
  <c r="P35" i="12837"/>
  <c r="V35" i="12837" s="1"/>
  <c r="L35" i="12837"/>
  <c r="J35" i="12837"/>
  <c r="N35" i="12837" s="1"/>
  <c r="T35" i="12837" s="1"/>
  <c r="H35" i="12837"/>
  <c r="R34" i="12837"/>
  <c r="L34" i="12837"/>
  <c r="P34" i="12837" s="1"/>
  <c r="V34" i="12837" s="1"/>
  <c r="J34" i="12837"/>
  <c r="N34" i="12837" s="1"/>
  <c r="T34" i="12837" s="1"/>
  <c r="H34" i="12837"/>
  <c r="T33" i="12837"/>
  <c r="N33" i="12837"/>
  <c r="L33" i="12837"/>
  <c r="R33" i="12837" s="1"/>
  <c r="J33" i="12837"/>
  <c r="H33" i="12837"/>
  <c r="V32" i="12837"/>
  <c r="P32" i="12837"/>
  <c r="L32" i="12837"/>
  <c r="R32" i="12837" s="1"/>
  <c r="J32" i="12837"/>
  <c r="N32" i="12837" s="1"/>
  <c r="T32" i="12837" s="1"/>
  <c r="H32" i="12837"/>
  <c r="R31" i="12837"/>
  <c r="L31" i="12837"/>
  <c r="P31" i="12837" s="1"/>
  <c r="J31" i="12837"/>
  <c r="J37" i="12837" s="1"/>
  <c r="J44" i="12837" s="1"/>
  <c r="H31" i="12837"/>
  <c r="H37" i="12837" s="1"/>
  <c r="P28" i="12837"/>
  <c r="H28" i="12837"/>
  <c r="P27" i="12837"/>
  <c r="N26" i="12837"/>
  <c r="T26" i="12837" s="1"/>
  <c r="L26" i="12837"/>
  <c r="J26" i="12837"/>
  <c r="H26" i="12837"/>
  <c r="P25" i="12837"/>
  <c r="V25" i="12837" s="1"/>
  <c r="N25" i="12837"/>
  <c r="T25" i="12837" s="1"/>
  <c r="L25" i="12837"/>
  <c r="R25" i="12837" s="1"/>
  <c r="J25" i="12837"/>
  <c r="H25" i="12837"/>
  <c r="P24" i="12837"/>
  <c r="V24" i="12837" s="1"/>
  <c r="L24" i="12837"/>
  <c r="J24" i="12837"/>
  <c r="N24" i="12837" s="1"/>
  <c r="T24" i="12837" s="1"/>
  <c r="H24" i="12837"/>
  <c r="T23" i="12837"/>
  <c r="R23" i="12837"/>
  <c r="N23" i="12837"/>
  <c r="L23" i="12837"/>
  <c r="P23" i="12837" s="1"/>
  <c r="V23" i="12837" s="1"/>
  <c r="J23" i="12837"/>
  <c r="H23" i="12837"/>
  <c r="V22" i="12837"/>
  <c r="T22" i="12837"/>
  <c r="P22" i="12837"/>
  <c r="N22" i="12837"/>
  <c r="N28" i="12837" s="1"/>
  <c r="L22" i="12837"/>
  <c r="R22" i="12837" s="1"/>
  <c r="J22" i="12837"/>
  <c r="J28" i="12837" s="1"/>
  <c r="H22" i="12837"/>
  <c r="H19" i="12837"/>
  <c r="P18" i="12837"/>
  <c r="N17" i="12837"/>
  <c r="T17" i="12837" s="1"/>
  <c r="L17" i="12837"/>
  <c r="J17" i="12837"/>
  <c r="H17" i="12837"/>
  <c r="B17" i="12837"/>
  <c r="P16" i="12837"/>
  <c r="V16" i="12837" s="1"/>
  <c r="N16" i="12837"/>
  <c r="T16" i="12837" s="1"/>
  <c r="L16" i="12837"/>
  <c r="R16" i="12837" s="1"/>
  <c r="J16" i="12837"/>
  <c r="H16" i="12837"/>
  <c r="B16" i="12837"/>
  <c r="P15" i="12837"/>
  <c r="L15" i="12837"/>
  <c r="L19" i="12837" s="1"/>
  <c r="J15" i="12837"/>
  <c r="N15" i="12837" s="1"/>
  <c r="H15" i="12837"/>
  <c r="F12" i="12837"/>
  <c r="V47" i="12859"/>
  <c r="Q46" i="12859"/>
  <c r="Q49" i="12859" s="1"/>
  <c r="N46" i="12859"/>
  <c r="N49" i="12859" s="1"/>
  <c r="V45" i="12859"/>
  <c r="U44" i="12859"/>
  <c r="U46" i="12859" s="1"/>
  <c r="U49" i="12859" s="1"/>
  <c r="T44" i="12859"/>
  <c r="T46" i="12859" s="1"/>
  <c r="T49" i="12859" s="1"/>
  <c r="S44" i="12859"/>
  <c r="S46" i="12859" s="1"/>
  <c r="S49" i="12859" s="1"/>
  <c r="R44" i="12859"/>
  <c r="R46" i="12859" s="1"/>
  <c r="R49" i="12859" s="1"/>
  <c r="Q44" i="12859"/>
  <c r="P44" i="12859"/>
  <c r="P46" i="12859" s="1"/>
  <c r="P49" i="12859" s="1"/>
  <c r="O44" i="12859"/>
  <c r="O46" i="12859" s="1"/>
  <c r="O49" i="12859" s="1"/>
  <c r="N44" i="12859"/>
  <c r="M44" i="12859"/>
  <c r="M46" i="12859" s="1"/>
  <c r="M49" i="12859" s="1"/>
  <c r="L44" i="12859"/>
  <c r="L46" i="12859" s="1"/>
  <c r="L49" i="12859" s="1"/>
  <c r="K44" i="12859"/>
  <c r="K46" i="12859" s="1"/>
  <c r="K49" i="12859" s="1"/>
  <c r="J44" i="12859"/>
  <c r="V43" i="12859"/>
  <c r="V42" i="12859"/>
  <c r="V41" i="12859"/>
  <c r="V40" i="12859"/>
  <c r="I33" i="12859"/>
  <c r="F33" i="12859"/>
  <c r="I32" i="12859"/>
  <c r="F32" i="12859"/>
  <c r="I31" i="12859"/>
  <c r="F31" i="12859"/>
  <c r="I29" i="12859"/>
  <c r="I28" i="12859"/>
  <c r="C20" i="12859"/>
  <c r="I20" i="12859" s="1"/>
  <c r="C19" i="12859"/>
  <c r="I19" i="12859" s="1"/>
  <c r="I18" i="12859"/>
  <c r="C18" i="12859"/>
  <c r="E29" i="12791"/>
  <c r="E28" i="12791"/>
  <c r="E27" i="12791"/>
  <c r="S25" i="12791"/>
  <c r="E24" i="12791"/>
  <c r="E23" i="12791"/>
  <c r="E21" i="12791"/>
  <c r="E20" i="12791"/>
  <c r="E19" i="12791"/>
  <c r="E17" i="12791"/>
  <c r="E16" i="12791"/>
  <c r="O15" i="12791"/>
  <c r="E15" i="12791"/>
  <c r="E29" i="12881"/>
  <c r="E28" i="12881"/>
  <c r="E27" i="12881"/>
  <c r="R25" i="12881"/>
  <c r="E25" i="12881"/>
  <c r="E24" i="12881"/>
  <c r="E23" i="12881"/>
  <c r="E21" i="12881"/>
  <c r="E20" i="12881"/>
  <c r="E19" i="12881"/>
  <c r="E17" i="12881"/>
  <c r="P16" i="12881"/>
  <c r="O16" i="12881"/>
  <c r="E16" i="12881"/>
  <c r="P15" i="12881"/>
  <c r="O15" i="12881"/>
  <c r="E15" i="12881"/>
  <c r="E29" i="12772"/>
  <c r="E28" i="12772"/>
  <c r="E27" i="12772"/>
  <c r="R25" i="12772"/>
  <c r="E25" i="12772"/>
  <c r="E24" i="12772"/>
  <c r="E23" i="12772"/>
  <c r="E21" i="12772"/>
  <c r="E20" i="12772"/>
  <c r="E19" i="12772"/>
  <c r="E17" i="12772"/>
  <c r="P16" i="12772"/>
  <c r="O16" i="12772"/>
  <c r="E16" i="12772"/>
  <c r="P15" i="12772"/>
  <c r="O15" i="12772"/>
  <c r="E15" i="12772"/>
  <c r="E33" i="12771"/>
  <c r="G33" i="12771" s="1"/>
  <c r="E32" i="12771"/>
  <c r="G32" i="12771" s="1"/>
  <c r="E31" i="12771"/>
  <c r="G31" i="12771" s="1"/>
  <c r="E29" i="12771"/>
  <c r="G29" i="12771" s="1"/>
  <c r="W28" i="12771"/>
  <c r="E28" i="12771"/>
  <c r="G28" i="12771" s="1"/>
  <c r="E27" i="12771"/>
  <c r="G27" i="12771" s="1"/>
  <c r="E25" i="12771"/>
  <c r="G25" i="12771" s="1"/>
  <c r="E24" i="12771"/>
  <c r="G24" i="12771" s="1"/>
  <c r="E23" i="12771"/>
  <c r="G23" i="12771" s="1"/>
  <c r="U21" i="12771"/>
  <c r="U20" i="12771"/>
  <c r="E20" i="12771"/>
  <c r="G20" i="12771" s="1"/>
  <c r="U19" i="12771"/>
  <c r="E19" i="12771"/>
  <c r="G19" i="12771" s="1"/>
  <c r="U18" i="12771"/>
  <c r="E18" i="12771"/>
  <c r="G18" i="12771" s="1"/>
  <c r="U17" i="12771"/>
  <c r="I23" i="12771" s="1"/>
  <c r="E40" i="12770"/>
  <c r="E39" i="12770"/>
  <c r="E38" i="12770"/>
  <c r="E36" i="12770"/>
  <c r="E35" i="12770"/>
  <c r="E34" i="12770"/>
  <c r="E32" i="12770"/>
  <c r="E31" i="12770"/>
  <c r="E30" i="12770"/>
  <c r="E28" i="12770"/>
  <c r="R27" i="12770"/>
  <c r="E27" i="12770"/>
  <c r="E26" i="12770"/>
  <c r="E24" i="12770"/>
  <c r="E23" i="12770"/>
  <c r="E22" i="12770"/>
  <c r="E20" i="12770"/>
  <c r="E19" i="12770"/>
  <c r="O18" i="12770"/>
  <c r="E18" i="12770"/>
  <c r="P16" i="12770"/>
  <c r="O16" i="12770"/>
  <c r="P15" i="12770"/>
  <c r="O15" i="12770"/>
  <c r="O14" i="12770"/>
  <c r="E32" i="12769"/>
  <c r="F32" i="12769" s="1"/>
  <c r="E31" i="12769"/>
  <c r="F31" i="12769" s="1"/>
  <c r="X30" i="12769"/>
  <c r="E30" i="12769"/>
  <c r="F30" i="12769" s="1"/>
  <c r="E28" i="12769"/>
  <c r="F28" i="12769" s="1"/>
  <c r="E27" i="12769"/>
  <c r="F27" i="12769" s="1"/>
  <c r="E26" i="12769"/>
  <c r="F26" i="12769" s="1"/>
  <c r="D24" i="12769"/>
  <c r="E24" i="12769" s="1"/>
  <c r="F24" i="12769" s="1"/>
  <c r="V23" i="12769"/>
  <c r="D23" i="12769"/>
  <c r="E23" i="12769" s="1"/>
  <c r="F23" i="12769" s="1"/>
  <c r="V22" i="12769"/>
  <c r="D22" i="12769"/>
  <c r="E22" i="12769" s="1"/>
  <c r="F22" i="12769" s="1"/>
  <c r="V21" i="12769"/>
  <c r="U20" i="12769"/>
  <c r="V20" i="12769" s="1"/>
  <c r="E20" i="12769"/>
  <c r="F20" i="12769" s="1"/>
  <c r="E19" i="12769"/>
  <c r="F19" i="12769" s="1"/>
  <c r="U18" i="12769"/>
  <c r="V18" i="12769" s="1"/>
  <c r="E18" i="12769"/>
  <c r="F18" i="12769" s="1"/>
  <c r="F16" i="12769"/>
  <c r="F15" i="12769"/>
  <c r="V14" i="12769"/>
  <c r="V15" i="12769" s="1"/>
  <c r="U14" i="12769"/>
  <c r="U15" i="12769" s="1"/>
  <c r="F14" i="12769"/>
  <c r="M8" i="12833"/>
  <c r="I1118" i="12843"/>
  <c r="F1104" i="12843"/>
  <c r="I1103" i="12843"/>
  <c r="L1103" i="12843" s="1"/>
  <c r="C1078" i="12843"/>
  <c r="F1076" i="12843"/>
  <c r="G38" i="12783"/>
  <c r="F1061" i="12843"/>
  <c r="F1056" i="12843"/>
  <c r="F1052" i="12843"/>
  <c r="F1042" i="12843"/>
  <c r="I1035" i="12843"/>
  <c r="F1035" i="12843"/>
  <c r="C1034" i="12843"/>
  <c r="I1032" i="12843"/>
  <c r="F1032" i="12843"/>
  <c r="C1017" i="12843"/>
  <c r="C1014" i="12843"/>
  <c r="C997" i="12843"/>
  <c r="C994" i="12843"/>
  <c r="F984" i="12843"/>
  <c r="L984" i="12843" s="1"/>
  <c r="D978" i="12843"/>
  <c r="F978" i="12843" s="1"/>
  <c r="D977" i="12843"/>
  <c r="D975" i="12843"/>
  <c r="F975" i="12843" s="1"/>
  <c r="D974" i="12843"/>
  <c r="D959" i="12843"/>
  <c r="F959" i="12843" s="1"/>
  <c r="D958" i="12843"/>
  <c r="D956" i="12843"/>
  <c r="F956" i="12843" s="1"/>
  <c r="D955" i="12843"/>
  <c r="C938" i="12843"/>
  <c r="C935" i="12843"/>
  <c r="F924" i="12843"/>
  <c r="D918" i="12843"/>
  <c r="F918" i="12843" s="1"/>
  <c r="D917" i="12843"/>
  <c r="D915" i="12843"/>
  <c r="F915" i="12843" s="1"/>
  <c r="D914" i="12843"/>
  <c r="F905" i="12843"/>
  <c r="D899" i="12843"/>
  <c r="F899" i="12843" s="1"/>
  <c r="D898" i="12843"/>
  <c r="D896" i="12843"/>
  <c r="F896" i="12843" s="1"/>
  <c r="D895" i="12843"/>
  <c r="C897" i="12843"/>
  <c r="C879" i="12843"/>
  <c r="C876" i="12843"/>
  <c r="I863" i="12843"/>
  <c r="I843" i="12843" s="1"/>
  <c r="D823" i="12843"/>
  <c r="F823" i="12843" s="1"/>
  <c r="L823" i="12843" s="1"/>
  <c r="C828" i="12843"/>
  <c r="D817" i="12843"/>
  <c r="F817" i="12843" s="1"/>
  <c r="D816" i="12843"/>
  <c r="D814" i="12843"/>
  <c r="F814" i="12843" s="1"/>
  <c r="D813" i="12843"/>
  <c r="F802" i="12843"/>
  <c r="F801" i="12843"/>
  <c r="D781" i="12843"/>
  <c r="D800" i="12843" s="1"/>
  <c r="F800" i="12843" s="1"/>
  <c r="D780" i="12843"/>
  <c r="D799" i="12843" s="1"/>
  <c r="F799" i="12843" s="1"/>
  <c r="D773" i="12843"/>
  <c r="D792" i="12843" s="1"/>
  <c r="F792" i="12843" s="1"/>
  <c r="D772" i="12843"/>
  <c r="D791" i="12843" s="1"/>
  <c r="F791" i="12843" s="1"/>
  <c r="D771" i="12843"/>
  <c r="D790" i="12843" s="1"/>
  <c r="F790" i="12843" s="1"/>
  <c r="D769" i="12843"/>
  <c r="D788" i="12843" s="1"/>
  <c r="F788" i="12843" s="1"/>
  <c r="D764" i="12843"/>
  <c r="D787" i="12843" s="1"/>
  <c r="F787" i="12843" s="1"/>
  <c r="D763" i="12843"/>
  <c r="D786" i="12843" s="1"/>
  <c r="F786" i="12843" s="1"/>
  <c r="D762" i="12843"/>
  <c r="D785" i="12843" s="1"/>
  <c r="F785" i="12843" s="1"/>
  <c r="D761" i="12843"/>
  <c r="D760" i="12843"/>
  <c r="D783" i="12843" s="1"/>
  <c r="F783" i="12843" s="1"/>
  <c r="C700" i="12843"/>
  <c r="F732" i="12843"/>
  <c r="D730" i="12843"/>
  <c r="D749" i="12843" s="1"/>
  <c r="F749" i="12843" s="1"/>
  <c r="D729" i="12843"/>
  <c r="D748" i="12843" s="1"/>
  <c r="D722" i="12843"/>
  <c r="D741" i="12843" s="1"/>
  <c r="F741" i="12843" s="1"/>
  <c r="D721" i="12843"/>
  <c r="D740" i="12843" s="1"/>
  <c r="F740" i="12843" s="1"/>
  <c r="D720" i="12843"/>
  <c r="D739" i="12843" s="1"/>
  <c r="D718" i="12843"/>
  <c r="D713" i="12843"/>
  <c r="D736" i="12843" s="1"/>
  <c r="F736" i="12843" s="1"/>
  <c r="D712" i="12843"/>
  <c r="D735" i="12843" s="1"/>
  <c r="F735" i="12843" s="1"/>
  <c r="D711" i="12843"/>
  <c r="D734" i="12843" s="1"/>
  <c r="D709" i="12843"/>
  <c r="D737" i="12843" s="1"/>
  <c r="F737" i="12843" s="1"/>
  <c r="I802" i="12843"/>
  <c r="I801" i="12843"/>
  <c r="D698" i="12843"/>
  <c r="C698" i="12843"/>
  <c r="C697" i="12843"/>
  <c r="C696" i="12843"/>
  <c r="D695" i="12843"/>
  <c r="C693" i="12843"/>
  <c r="C692" i="12843"/>
  <c r="C690" i="12843"/>
  <c r="C689" i="12843"/>
  <c r="D688" i="12843"/>
  <c r="C688" i="12843"/>
  <c r="D687" i="12843"/>
  <c r="C687" i="12843"/>
  <c r="D686" i="12843"/>
  <c r="D684" i="12843"/>
  <c r="C684" i="12843"/>
  <c r="D683" i="12843"/>
  <c r="C683" i="12843"/>
  <c r="D682" i="12843"/>
  <c r="C682" i="12843"/>
  <c r="D681" i="12843"/>
  <c r="D679" i="12843"/>
  <c r="C679" i="12843"/>
  <c r="C673" i="12843"/>
  <c r="D672" i="12843"/>
  <c r="D778" i="12843" s="1"/>
  <c r="D797" i="12843" s="1"/>
  <c r="F797" i="12843" s="1"/>
  <c r="D671" i="12843"/>
  <c r="D777" i="12843" s="1"/>
  <c r="D796" i="12843" s="1"/>
  <c r="F796" i="12843" s="1"/>
  <c r="F644" i="12843"/>
  <c r="F643" i="12843"/>
  <c r="D631" i="12843"/>
  <c r="D642" i="12843" s="1"/>
  <c r="D630" i="12843"/>
  <c r="D641" i="12843" s="1"/>
  <c r="D629" i="12843"/>
  <c r="D640" i="12843" s="1"/>
  <c r="D626" i="12843"/>
  <c r="D627" i="12843" s="1"/>
  <c r="D624" i="12843"/>
  <c r="D637" i="12843" s="1"/>
  <c r="F637" i="12843" s="1"/>
  <c r="D623" i="12843"/>
  <c r="D636" i="12843" s="1"/>
  <c r="D621" i="12843"/>
  <c r="D635" i="12843" s="1"/>
  <c r="F635" i="12843" s="1"/>
  <c r="D620" i="12843"/>
  <c r="D634" i="12843" s="1"/>
  <c r="D619" i="12843"/>
  <c r="D633" i="12843" s="1"/>
  <c r="F633" i="12843" s="1"/>
  <c r="D597" i="12843"/>
  <c r="D608" i="12843" s="1"/>
  <c r="D596" i="12843"/>
  <c r="D607" i="12843" s="1"/>
  <c r="D595" i="12843"/>
  <c r="D606" i="12843" s="1"/>
  <c r="D592" i="12843"/>
  <c r="D590" i="12843"/>
  <c r="D603" i="12843" s="1"/>
  <c r="D589" i="12843"/>
  <c r="D602" i="12843" s="1"/>
  <c r="D587" i="12843"/>
  <c r="D601" i="12843" s="1"/>
  <c r="D586" i="12843"/>
  <c r="D600" i="12843" s="1"/>
  <c r="D585" i="12843"/>
  <c r="D599" i="12843" s="1"/>
  <c r="F599" i="12843" s="1"/>
  <c r="I644" i="12843"/>
  <c r="D570" i="12843"/>
  <c r="D569" i="12843"/>
  <c r="D568" i="12843"/>
  <c r="D566" i="12843"/>
  <c r="D567" i="12843" s="1"/>
  <c r="D565" i="12843"/>
  <c r="D564" i="12843"/>
  <c r="D563" i="12843"/>
  <c r="D562" i="12843"/>
  <c r="D561" i="12843"/>
  <c r="C539" i="12843"/>
  <c r="C541" i="12843" s="1"/>
  <c r="I535" i="12843"/>
  <c r="F535" i="12843"/>
  <c r="I534" i="12843"/>
  <c r="F534" i="12843"/>
  <c r="D533" i="12843"/>
  <c r="I522" i="12843"/>
  <c r="F522" i="12843"/>
  <c r="D521" i="12843"/>
  <c r="D532" i="12843" s="1"/>
  <c r="F532" i="12843" s="1"/>
  <c r="D520" i="12843"/>
  <c r="D531" i="12843" s="1"/>
  <c r="F531" i="12843" s="1"/>
  <c r="D519" i="12843"/>
  <c r="D538" i="12843" s="1"/>
  <c r="F538" i="12843" s="1"/>
  <c r="D517" i="12843"/>
  <c r="D537" i="12843" s="1"/>
  <c r="F537" i="12843" s="1"/>
  <c r="D515" i="12843"/>
  <c r="D528" i="12843" s="1"/>
  <c r="F528" i="12843" s="1"/>
  <c r="D514" i="12843"/>
  <c r="F514" i="12843" s="1"/>
  <c r="C513" i="12843"/>
  <c r="D512" i="12843"/>
  <c r="D511" i="12843"/>
  <c r="D510" i="12843"/>
  <c r="F489" i="12843"/>
  <c r="F488" i="12843"/>
  <c r="D479" i="12843"/>
  <c r="C472" i="12843"/>
  <c r="F460" i="12843"/>
  <c r="F459" i="12843"/>
  <c r="D450" i="12843"/>
  <c r="D449" i="12843"/>
  <c r="D458" i="12843" s="1"/>
  <c r="D448" i="12843"/>
  <c r="D457" i="12843" s="1"/>
  <c r="D447" i="12843"/>
  <c r="D456" i="12843" s="1"/>
  <c r="D446" i="12843"/>
  <c r="D445" i="12843"/>
  <c r="D442" i="12843"/>
  <c r="D441" i="12843"/>
  <c r="D470" i="12843" s="1"/>
  <c r="D481" i="12843" s="1"/>
  <c r="F481" i="12843" s="1"/>
  <c r="D440" i="12843"/>
  <c r="D451" i="12843" s="1"/>
  <c r="F451" i="12843" s="1"/>
  <c r="C411" i="12843"/>
  <c r="D421" i="12843"/>
  <c r="D420" i="12843"/>
  <c r="D429" i="12843" s="1"/>
  <c r="D419" i="12843"/>
  <c r="D428" i="12843" s="1"/>
  <c r="C419" i="12843"/>
  <c r="D418" i="12843"/>
  <c r="D427" i="12843" s="1"/>
  <c r="D417" i="12843"/>
  <c r="D426" i="12843" s="1"/>
  <c r="D416" i="12843"/>
  <c r="D425" i="12843" s="1"/>
  <c r="D413" i="12843"/>
  <c r="D424" i="12843" s="1"/>
  <c r="D412" i="12843"/>
  <c r="D423" i="12843" s="1"/>
  <c r="D411" i="12843"/>
  <c r="D422" i="12843" s="1"/>
  <c r="F401" i="12843"/>
  <c r="F400" i="12843"/>
  <c r="D391" i="12843"/>
  <c r="D390" i="12843"/>
  <c r="F390" i="12843" s="1"/>
  <c r="D389" i="12843"/>
  <c r="F389" i="12843" s="1"/>
  <c r="D388" i="12843"/>
  <c r="F388" i="12843" s="1"/>
  <c r="D387" i="12843"/>
  <c r="C402" i="12843"/>
  <c r="D386" i="12843"/>
  <c r="F386" i="12843" s="1"/>
  <c r="D383" i="12843"/>
  <c r="F383" i="12843" s="1"/>
  <c r="D382" i="12843"/>
  <c r="F382" i="12843" s="1"/>
  <c r="D381" i="12843"/>
  <c r="C384" i="12843"/>
  <c r="F372" i="12843"/>
  <c r="F371" i="12843"/>
  <c r="D362" i="12843"/>
  <c r="D361" i="12843"/>
  <c r="F361" i="12843" s="1"/>
  <c r="D360" i="12843"/>
  <c r="F360" i="12843" s="1"/>
  <c r="D359" i="12843"/>
  <c r="C330" i="12843"/>
  <c r="D358" i="12843"/>
  <c r="D357" i="12843"/>
  <c r="F357" i="12843" s="1"/>
  <c r="D354" i="12843"/>
  <c r="F354" i="12843" s="1"/>
  <c r="D353" i="12843"/>
  <c r="F353" i="12843" s="1"/>
  <c r="D352" i="12843"/>
  <c r="F343" i="12843"/>
  <c r="F342" i="12843"/>
  <c r="D333" i="12843"/>
  <c r="D332" i="12843"/>
  <c r="C332" i="12843"/>
  <c r="D331" i="12843"/>
  <c r="C331" i="12843"/>
  <c r="D330" i="12843"/>
  <c r="D329" i="12843"/>
  <c r="D328" i="12843"/>
  <c r="C328" i="12843"/>
  <c r="D325" i="12843"/>
  <c r="C325" i="12843"/>
  <c r="D324" i="12843"/>
  <c r="C324" i="12843"/>
  <c r="D323" i="12843"/>
  <c r="D304" i="12843"/>
  <c r="D303" i="12843"/>
  <c r="D302" i="12843"/>
  <c r="D301" i="12843"/>
  <c r="D300" i="12843"/>
  <c r="D299" i="12843"/>
  <c r="D297" i="12843"/>
  <c r="D296" i="12843"/>
  <c r="D295" i="12843"/>
  <c r="D276" i="12843"/>
  <c r="D275" i="12843"/>
  <c r="D274" i="12843"/>
  <c r="D273" i="12843"/>
  <c r="D272" i="12843"/>
  <c r="D271" i="12843"/>
  <c r="D269" i="12843"/>
  <c r="D268" i="12843"/>
  <c r="D267" i="12843"/>
  <c r="F257" i="12843"/>
  <c r="F256" i="12843"/>
  <c r="C251" i="12843"/>
  <c r="D247" i="12843"/>
  <c r="D246" i="12843"/>
  <c r="D245" i="12843"/>
  <c r="D244" i="12843"/>
  <c r="D243" i="12843"/>
  <c r="D242" i="12843"/>
  <c r="D240" i="12843"/>
  <c r="D239" i="12843"/>
  <c r="D238" i="12843"/>
  <c r="D219" i="12843"/>
  <c r="D218" i="12843"/>
  <c r="D341" i="12843" s="1"/>
  <c r="D217" i="12843"/>
  <c r="D216" i="12843"/>
  <c r="D310" i="12843" s="1"/>
  <c r="D215" i="12843"/>
  <c r="D214" i="12843"/>
  <c r="D280" i="12843" s="1"/>
  <c r="D212" i="12843"/>
  <c r="D222" i="12843" s="1"/>
  <c r="D211" i="12843"/>
  <c r="D306" i="12843" s="1"/>
  <c r="D210" i="12843"/>
  <c r="D305" i="12843" s="1"/>
  <c r="F305" i="12843" s="1"/>
  <c r="I257" i="12843"/>
  <c r="D161" i="12843"/>
  <c r="D160" i="12843"/>
  <c r="D159" i="12843"/>
  <c r="D158" i="12843"/>
  <c r="D157" i="12843"/>
  <c r="D156" i="12843"/>
  <c r="D148" i="12843"/>
  <c r="D147" i="12843"/>
  <c r="D146" i="12843"/>
  <c r="D145" i="12843"/>
  <c r="D144" i="12843"/>
  <c r="D143" i="12843"/>
  <c r="D116" i="12843"/>
  <c r="D115" i="12843"/>
  <c r="D114" i="12843"/>
  <c r="D113" i="12843"/>
  <c r="D112" i="12843"/>
  <c r="D111" i="12843"/>
  <c r="D103" i="12843"/>
  <c r="D102" i="12843"/>
  <c r="D101" i="12843"/>
  <c r="D100" i="12843"/>
  <c r="D99" i="12843"/>
  <c r="D98" i="12843"/>
  <c r="D89" i="12843"/>
  <c r="D88" i="12843"/>
  <c r="D87" i="12843"/>
  <c r="D86" i="12843"/>
  <c r="D85" i="12843"/>
  <c r="D84" i="12843"/>
  <c r="D74" i="12843"/>
  <c r="D73" i="12843"/>
  <c r="D56" i="12843"/>
  <c r="D55" i="12843"/>
  <c r="D54" i="12843"/>
  <c r="D44" i="12843"/>
  <c r="D43" i="12843"/>
  <c r="D42" i="12843"/>
  <c r="D32" i="12843"/>
  <c r="F32" i="12843" s="1"/>
  <c r="D31" i="12843"/>
  <c r="D30" i="12843"/>
  <c r="B21" i="12783"/>
  <c r="L885" i="12843" l="1"/>
  <c r="F879" i="12843"/>
  <c r="L879" i="12843"/>
  <c r="F938" i="12843"/>
  <c r="L938" i="12843"/>
  <c r="L696" i="12843"/>
  <c r="L1023" i="12843"/>
  <c r="L697" i="12843"/>
  <c r="F876" i="12843"/>
  <c r="L876" i="12843"/>
  <c r="F935" i="12843"/>
  <c r="L935" i="12843"/>
  <c r="L251" i="12843"/>
  <c r="G21" i="12881"/>
  <c r="G17" i="12881"/>
  <c r="G20" i="12881"/>
  <c r="G15" i="12881"/>
  <c r="G16" i="12881"/>
  <c r="G19" i="12881"/>
  <c r="G23" i="12881"/>
  <c r="G25" i="12881"/>
  <c r="G24" i="12881"/>
  <c r="G28" i="12881"/>
  <c r="G29" i="12881"/>
  <c r="G27" i="12881"/>
  <c r="G20" i="12772"/>
  <c r="G19" i="12772"/>
  <c r="G17" i="12772"/>
  <c r="G15" i="12772"/>
  <c r="G16" i="12772"/>
  <c r="G21" i="12772"/>
  <c r="G23" i="12772"/>
  <c r="G28" i="12772"/>
  <c r="G27" i="12772"/>
  <c r="G29" i="12772"/>
  <c r="G24" i="12772"/>
  <c r="G25" i="12772"/>
  <c r="F341" i="12843"/>
  <c r="D693" i="12843"/>
  <c r="F533" i="12843"/>
  <c r="I533" i="12843"/>
  <c r="D527" i="12843"/>
  <c r="F527" i="12843" s="1"/>
  <c r="D452" i="12843"/>
  <c r="F452" i="12843" s="1"/>
  <c r="F423" i="12843" s="1"/>
  <c r="D221" i="12843"/>
  <c r="D393" i="12843"/>
  <c r="F393" i="12843" s="1"/>
  <c r="D476" i="12843"/>
  <c r="D485" i="12843" s="1"/>
  <c r="F485" i="12843" s="1"/>
  <c r="F330" i="12843"/>
  <c r="F431" i="12843"/>
  <c r="D692" i="12843"/>
  <c r="D726" i="12843" s="1"/>
  <c r="D745" i="12843" s="1"/>
  <c r="F745" i="12843" s="1"/>
  <c r="F692" i="12843" s="1"/>
  <c r="D638" i="12843"/>
  <c r="D639" i="12843" s="1"/>
  <c r="F639" i="12843" s="1"/>
  <c r="D278" i="12843"/>
  <c r="F278" i="12843" s="1"/>
  <c r="D220" i="12843"/>
  <c r="D251" i="12843"/>
  <c r="F251" i="12843" s="1"/>
  <c r="D335" i="12843"/>
  <c r="F335" i="12843" s="1"/>
  <c r="D368" i="12843"/>
  <c r="F368" i="12843" s="1"/>
  <c r="H534" i="12766"/>
  <c r="I609" i="12843"/>
  <c r="I643" i="12843"/>
  <c r="D307" i="12843"/>
  <c r="F307" i="12843" s="1"/>
  <c r="D394" i="12843"/>
  <c r="F394" i="12843" s="1"/>
  <c r="D254" i="12843"/>
  <c r="F254" i="12843" s="1"/>
  <c r="D311" i="12843"/>
  <c r="F311" i="12843" s="1"/>
  <c r="D604" i="12843"/>
  <c r="D605" i="12843" s="1"/>
  <c r="F605" i="12843" s="1"/>
  <c r="D593" i="12843"/>
  <c r="F593" i="12843" s="1"/>
  <c r="D474" i="12843"/>
  <c r="D483" i="12843" s="1"/>
  <c r="F483" i="12843" s="1"/>
  <c r="D454" i="12843"/>
  <c r="F454" i="12843" s="1"/>
  <c r="D367" i="12843"/>
  <c r="F367" i="12843" s="1"/>
  <c r="D396" i="12843"/>
  <c r="F396" i="12843" s="1"/>
  <c r="D224" i="12843"/>
  <c r="D223" i="12843"/>
  <c r="D469" i="12843"/>
  <c r="D480" i="12843" s="1"/>
  <c r="F480" i="12843" s="1"/>
  <c r="F422" i="12843" s="1"/>
  <c r="F687" i="12843"/>
  <c r="C117" i="12787"/>
  <c r="D530" i="12843"/>
  <c r="F530" i="12843" s="1"/>
  <c r="H83" i="12787"/>
  <c r="T84" i="12787" s="1"/>
  <c r="K104" i="12787"/>
  <c r="D529" i="12843"/>
  <c r="F529" i="12843" s="1"/>
  <c r="H35" i="12787"/>
  <c r="G35" i="12787"/>
  <c r="G188" i="12787"/>
  <c r="G159" i="12787" s="1"/>
  <c r="D225" i="12843"/>
  <c r="D477" i="12843"/>
  <c r="F477" i="12843" s="1"/>
  <c r="F515" i="12843"/>
  <c r="F517" i="12843"/>
  <c r="F519" i="12843"/>
  <c r="F520" i="12843"/>
  <c r="F521" i="12843"/>
  <c r="D774" i="12843"/>
  <c r="D793" i="12843" s="1"/>
  <c r="F793" i="12843" s="1"/>
  <c r="D689" i="12843"/>
  <c r="F457" i="12843"/>
  <c r="D249" i="12843"/>
  <c r="F249" i="12843" s="1"/>
  <c r="I256" i="12843"/>
  <c r="D282" i="12843"/>
  <c r="F282" i="12843" s="1"/>
  <c r="D308" i="12843"/>
  <c r="F308" i="12843" s="1"/>
  <c r="D364" i="12843"/>
  <c r="F364" i="12843" s="1"/>
  <c r="F448" i="12843"/>
  <c r="P19" i="12837"/>
  <c r="V15" i="12837"/>
  <c r="R26" i="12837"/>
  <c r="P26" i="12837"/>
  <c r="V26" i="12837" s="1"/>
  <c r="V31" i="12837"/>
  <c r="P37" i="12837"/>
  <c r="O97" i="12761"/>
  <c r="D20" i="12787"/>
  <c r="H37" i="12787"/>
  <c r="H20" i="12787" s="1"/>
  <c r="K23" i="12787"/>
  <c r="H56" i="12787"/>
  <c r="K83" i="12787"/>
  <c r="U84" i="12787" s="1"/>
  <c r="W84" i="12787" s="1"/>
  <c r="H110" i="12787"/>
  <c r="G110" i="12787"/>
  <c r="G115" i="12787" s="1"/>
  <c r="G117" i="12787" s="1"/>
  <c r="H704" i="12787"/>
  <c r="G704" i="12787"/>
  <c r="E723" i="12787"/>
  <c r="D1105" i="12843"/>
  <c r="F1105" i="12843" s="1"/>
  <c r="J46" i="12837"/>
  <c r="H39" i="12787"/>
  <c r="V44" i="12859"/>
  <c r="R17" i="12837"/>
  <c r="P17" i="12837"/>
  <c r="V17" i="12837" s="1"/>
  <c r="T40" i="12837"/>
  <c r="N42" i="12837"/>
  <c r="T42" i="12837" s="1"/>
  <c r="V49" i="12837"/>
  <c r="P54" i="12837"/>
  <c r="V54" i="12837" s="1"/>
  <c r="M23" i="12787"/>
  <c r="G20" i="12787"/>
  <c r="H72" i="12787"/>
  <c r="G72" i="12787"/>
  <c r="D102" i="12787"/>
  <c r="H98" i="12787"/>
  <c r="H85" i="12787" s="1"/>
  <c r="D85" i="12787"/>
  <c r="M85" i="12787" s="1"/>
  <c r="G212" i="12787"/>
  <c r="E222" i="12787"/>
  <c r="H212" i="12787"/>
  <c r="G183" i="12787"/>
  <c r="G153" i="12787" s="1"/>
  <c r="G675" i="12787"/>
  <c r="F825" i="12843"/>
  <c r="T28" i="12837"/>
  <c r="G16" i="12787"/>
  <c r="H51" i="12787"/>
  <c r="H57" i="12787"/>
  <c r="G57" i="12787"/>
  <c r="G23" i="12787" s="1"/>
  <c r="G69" i="12787"/>
  <c r="G76" i="12787" s="1"/>
  <c r="G78" i="12787" s="1"/>
  <c r="C18" i="12787"/>
  <c r="D69" i="12787"/>
  <c r="H69" i="12787" s="1"/>
  <c r="H76" i="12787" s="1"/>
  <c r="H78" i="12787" s="1"/>
  <c r="H84" i="12787"/>
  <c r="K86" i="12787"/>
  <c r="H46" i="12837"/>
  <c r="O54" i="12761"/>
  <c r="R39" i="12761"/>
  <c r="R97" i="12761" s="1"/>
  <c r="G34" i="12787"/>
  <c r="G17" i="12787" s="1"/>
  <c r="C17" i="12787"/>
  <c r="D34" i="12787"/>
  <c r="D17" i="12787" s="1"/>
  <c r="G55" i="12787"/>
  <c r="D55" i="12787"/>
  <c r="D21" i="12787" s="1"/>
  <c r="V63" i="12859"/>
  <c r="V48" i="12859"/>
  <c r="H34" i="12787"/>
  <c r="H23" i="12787"/>
  <c r="D91" i="12787"/>
  <c r="U85" i="12787"/>
  <c r="W85" i="12787" s="1"/>
  <c r="M84" i="12787"/>
  <c r="M89" i="12787" s="1"/>
  <c r="T85" i="12787"/>
  <c r="H115" i="12787"/>
  <c r="H117" i="12787" s="1"/>
  <c r="C84" i="12787"/>
  <c r="C124" i="12787"/>
  <c r="G124" i="12787" s="1"/>
  <c r="G85" i="12787" s="1"/>
  <c r="K123" i="12787"/>
  <c r="K128" i="12787" s="1"/>
  <c r="K130" i="12787" s="1"/>
  <c r="C128" i="12787"/>
  <c r="C130" i="12787" s="1"/>
  <c r="N19" i="12837"/>
  <c r="T15" i="12837"/>
  <c r="H44" i="12837"/>
  <c r="H58" i="12837"/>
  <c r="G21" i="12787"/>
  <c r="C26" i="12787"/>
  <c r="C27" i="12787" s="1"/>
  <c r="C78" i="12787"/>
  <c r="K84" i="12787"/>
  <c r="J46" i="12859"/>
  <c r="R15" i="12837"/>
  <c r="R24" i="12837"/>
  <c r="R35" i="12837"/>
  <c r="R42" i="12837"/>
  <c r="O69" i="12761"/>
  <c r="C20" i="12787"/>
  <c r="E227" i="12787"/>
  <c r="H218" i="12787"/>
  <c r="G218" i="12787"/>
  <c r="H225" i="12787"/>
  <c r="G225" i="12787"/>
  <c r="G197" i="12787" s="1"/>
  <c r="I229" i="12787"/>
  <c r="K229" i="12787" s="1"/>
  <c r="G255" i="12787"/>
  <c r="G256" i="12787"/>
  <c r="G200" i="12787" s="1"/>
  <c r="H307" i="12787"/>
  <c r="H342" i="12787"/>
  <c r="G342" i="12787"/>
  <c r="H396" i="12787"/>
  <c r="H367" i="12787" s="1"/>
  <c r="G396" i="12787"/>
  <c r="G398" i="12787"/>
  <c r="G369" i="12787" s="1"/>
  <c r="H430" i="12787"/>
  <c r="G430" i="12787"/>
  <c r="E528" i="12787"/>
  <c r="H514" i="12787"/>
  <c r="G514" i="12787"/>
  <c r="O878" i="12787"/>
  <c r="H878" i="12787"/>
  <c r="G878" i="12787"/>
  <c r="E888" i="12787"/>
  <c r="J19" i="12837"/>
  <c r="J58" i="12837" s="1"/>
  <c r="D33" i="12787"/>
  <c r="G56" i="12787"/>
  <c r="G71" i="12787"/>
  <c r="Q85" i="12787"/>
  <c r="G123" i="12787"/>
  <c r="G128" i="12787" s="1"/>
  <c r="G130" i="12787" s="1"/>
  <c r="I124" i="12787"/>
  <c r="G126" i="12787"/>
  <c r="G87" i="12787" s="1"/>
  <c r="I424" i="12787"/>
  <c r="K424" i="12787" s="1"/>
  <c r="K413" i="12787"/>
  <c r="G215" i="12787"/>
  <c r="G187" i="12787" s="1"/>
  <c r="E224" i="12787"/>
  <c r="G217" i="12787"/>
  <c r="C189" i="12787"/>
  <c r="C160" i="12787" s="1"/>
  <c r="K218" i="12787"/>
  <c r="I227" i="12787"/>
  <c r="K227" i="12787" s="1"/>
  <c r="H221" i="12787"/>
  <c r="I225" i="12787"/>
  <c r="K225" i="12787" s="1"/>
  <c r="K197" i="12787" s="1"/>
  <c r="K232" i="12787"/>
  <c r="G204" i="12787"/>
  <c r="I343" i="12787"/>
  <c r="K343" i="12787" s="1"/>
  <c r="K285" i="12787" s="1"/>
  <c r="G363" i="12787"/>
  <c r="H421" i="12787"/>
  <c r="G421" i="12787"/>
  <c r="H431" i="12787"/>
  <c r="E471" i="12787"/>
  <c r="G471" i="12787" s="1"/>
  <c r="G472" i="12787" s="1"/>
  <c r="G474" i="12787" s="1"/>
  <c r="G453" i="12787"/>
  <c r="H650" i="12787"/>
  <c r="D599" i="12787"/>
  <c r="L28" i="12837"/>
  <c r="R28" i="12837" s="1"/>
  <c r="N31" i="12837"/>
  <c r="P42" i="12837"/>
  <c r="V42" i="12837" s="1"/>
  <c r="N49" i="12837"/>
  <c r="I57" i="12787"/>
  <c r="K57" i="12787" s="1"/>
  <c r="E114" i="12787"/>
  <c r="G114" i="12787" s="1"/>
  <c r="G88" i="12787" s="1"/>
  <c r="K141" i="12787"/>
  <c r="K143" i="12787" s="1"/>
  <c r="G137" i="12787"/>
  <c r="G141" i="12787" s="1"/>
  <c r="G143" i="12787" s="1"/>
  <c r="C153" i="12787"/>
  <c r="C156" i="12787" s="1"/>
  <c r="I212" i="12787"/>
  <c r="O154" i="12787"/>
  <c r="I326" i="12787"/>
  <c r="I297" i="12787"/>
  <c r="I268" i="12787"/>
  <c r="I279" i="12787" s="1"/>
  <c r="I184" i="12787"/>
  <c r="I194" i="12787" s="1"/>
  <c r="I150" i="12787"/>
  <c r="K304" i="12787"/>
  <c r="I313" i="12787"/>
  <c r="K313" i="12787" s="1"/>
  <c r="C233" i="12787"/>
  <c r="G252" i="12787"/>
  <c r="G309" i="12787"/>
  <c r="H272" i="12787"/>
  <c r="K303" i="12787"/>
  <c r="I336" i="12787"/>
  <c r="K336" i="12787" s="1"/>
  <c r="K325" i="12787"/>
  <c r="I340" i="12787"/>
  <c r="K340" i="12787" s="1"/>
  <c r="K331" i="12787"/>
  <c r="K273" i="12787" s="1"/>
  <c r="K159" i="12787" s="1"/>
  <c r="G345" i="12787"/>
  <c r="H426" i="12787"/>
  <c r="G426" i="12787"/>
  <c r="G368" i="12787" s="1"/>
  <c r="H12" i="12837"/>
  <c r="I126" i="12787"/>
  <c r="K126" i="12787" s="1"/>
  <c r="M154" i="12787"/>
  <c r="I165" i="12787"/>
  <c r="G231" i="12787"/>
  <c r="H219" i="12787"/>
  <c r="H240" i="12787"/>
  <c r="G240" i="12787"/>
  <c r="E250" i="12787"/>
  <c r="G247" i="12787"/>
  <c r="G191" i="12787" s="1"/>
  <c r="G162" i="12787" s="1"/>
  <c r="G269" i="12787"/>
  <c r="K281" i="12787"/>
  <c r="K167" i="12787" s="1"/>
  <c r="C317" i="12787"/>
  <c r="C405" i="12787"/>
  <c r="G390" i="12787"/>
  <c r="G361" i="12787" s="1"/>
  <c r="G401" i="12787"/>
  <c r="G372" i="12787" s="1"/>
  <c r="D416" i="12787"/>
  <c r="D358" i="12787" s="1"/>
  <c r="G565" i="12787"/>
  <c r="P58" i="12837"/>
  <c r="V58" i="12837" s="1"/>
  <c r="O1035" i="12787"/>
  <c r="I114" i="12787"/>
  <c r="K114" i="12787" s="1"/>
  <c r="K115" i="12787" s="1"/>
  <c r="I258" i="12787"/>
  <c r="K258" i="12787" s="1"/>
  <c r="I316" i="12787"/>
  <c r="K316" i="12787" s="1"/>
  <c r="I230" i="12787"/>
  <c r="K230" i="12787" s="1"/>
  <c r="K202" i="12787" s="1"/>
  <c r="I433" i="12787"/>
  <c r="K433" i="12787" s="1"/>
  <c r="I404" i="12787"/>
  <c r="K404" i="12787" s="1"/>
  <c r="I375" i="12787"/>
  <c r="I345" i="12787"/>
  <c r="K345" i="12787" s="1"/>
  <c r="I287" i="12787"/>
  <c r="G185" i="12787"/>
  <c r="G155" i="12787" s="1"/>
  <c r="I240" i="12787"/>
  <c r="C246" i="12787"/>
  <c r="C190" i="12787" s="1"/>
  <c r="C161" i="12787" s="1"/>
  <c r="G245" i="12787"/>
  <c r="G281" i="12787"/>
  <c r="H339" i="12787"/>
  <c r="G339" i="12787"/>
  <c r="G502" i="12787"/>
  <c r="V62" i="12859"/>
  <c r="B18" i="12837"/>
  <c r="P33" i="12837"/>
  <c r="V33" i="12837" s="1"/>
  <c r="G26" i="12787"/>
  <c r="K26" i="12787" s="1"/>
  <c r="G39" i="12787"/>
  <c r="G22" i="12787" s="1"/>
  <c r="G51" i="12787"/>
  <c r="G59" i="12787" s="1"/>
  <c r="G61" i="12787" s="1"/>
  <c r="D73" i="12787"/>
  <c r="H73" i="12787" s="1"/>
  <c r="M87" i="12787"/>
  <c r="G96" i="12787"/>
  <c r="I100" i="12787"/>
  <c r="K100" i="12787" s="1"/>
  <c r="K87" i="12787" s="1"/>
  <c r="H125" i="12787"/>
  <c r="H86" i="12787" s="1"/>
  <c r="K213" i="12787"/>
  <c r="K185" i="12787" s="1"/>
  <c r="K155" i="12787" s="1"/>
  <c r="U151" i="12787" s="1"/>
  <c r="W151" i="12787" s="1"/>
  <c r="D239" i="12787"/>
  <c r="G254" i="12787"/>
  <c r="G198" i="12787" s="1"/>
  <c r="G276" i="12787"/>
  <c r="I311" i="12787"/>
  <c r="K311" i="12787" s="1"/>
  <c r="K370" i="12787"/>
  <c r="E572" i="12787"/>
  <c r="E538" i="12787"/>
  <c r="G491" i="12787"/>
  <c r="H712" i="12787"/>
  <c r="H610" i="12787" s="1"/>
  <c r="D610" i="12787"/>
  <c r="I432" i="12787"/>
  <c r="K432" i="12787" s="1"/>
  <c r="I374" i="12787"/>
  <c r="I403" i="12787"/>
  <c r="K403" i="12787" s="1"/>
  <c r="K374" i="12787" s="1"/>
  <c r="I344" i="12787"/>
  <c r="K344" i="12787" s="1"/>
  <c r="K286" i="12787" s="1"/>
  <c r="I286" i="12787"/>
  <c r="I201" i="12787"/>
  <c r="I257" i="12787"/>
  <c r="K257" i="12787" s="1"/>
  <c r="D227" i="12787"/>
  <c r="D226" i="12787"/>
  <c r="D219" i="12787"/>
  <c r="D228" i="12787"/>
  <c r="H228" i="12787" s="1"/>
  <c r="D230" i="12787"/>
  <c r="D215" i="12787"/>
  <c r="D223" i="12787"/>
  <c r="D216" i="12787"/>
  <c r="D213" i="12787"/>
  <c r="I254" i="12787"/>
  <c r="K254" i="12787" s="1"/>
  <c r="K245" i="12787"/>
  <c r="K278" i="12787"/>
  <c r="H338" i="12787"/>
  <c r="G338" i="12787"/>
  <c r="H333" i="12787"/>
  <c r="G333" i="12787"/>
  <c r="H355" i="12787"/>
  <c r="H149" i="12787" s="1"/>
  <c r="H425" i="12787"/>
  <c r="G425" i="12787"/>
  <c r="D535" i="12787"/>
  <c r="D524" i="12787"/>
  <c r="H524" i="12787" s="1"/>
  <c r="D536" i="12787"/>
  <c r="D525" i="12787"/>
  <c r="D518" i="12787"/>
  <c r="D532" i="12787"/>
  <c r="D519" i="12787"/>
  <c r="D539" i="12787"/>
  <c r="D533" i="12787"/>
  <c r="D521" i="12787"/>
  <c r="D531" i="12787"/>
  <c r="D534" i="12787"/>
  <c r="D537" i="12787"/>
  <c r="D526" i="12787"/>
  <c r="D522" i="12787"/>
  <c r="K584" i="12787"/>
  <c r="O160" i="12787"/>
  <c r="O161" i="12787"/>
  <c r="E201" i="12787"/>
  <c r="I249" i="12787"/>
  <c r="K249" i="12787" s="1"/>
  <c r="K193" i="12787" s="1"/>
  <c r="I274" i="12787"/>
  <c r="I283" i="12787" s="1"/>
  <c r="E286" i="12787"/>
  <c r="E313" i="12787"/>
  <c r="H327" i="12787"/>
  <c r="E362" i="12787"/>
  <c r="E371" i="12787" s="1"/>
  <c r="E375" i="12787"/>
  <c r="I384" i="12787"/>
  <c r="D388" i="12787"/>
  <c r="D359" i="12787" s="1"/>
  <c r="E391" i="12787"/>
  <c r="E404" i="12787"/>
  <c r="D420" i="12787"/>
  <c r="D429" i="12787"/>
  <c r="I431" i="12787"/>
  <c r="K431" i="12787" s="1"/>
  <c r="K373" i="12787" s="1"/>
  <c r="D433" i="12787"/>
  <c r="I538" i="12787"/>
  <c r="K538" i="12787" s="1"/>
  <c r="K504" i="12787" s="1"/>
  <c r="M504" i="12787"/>
  <c r="I572" i="12787"/>
  <c r="K572" i="12787" s="1"/>
  <c r="H495" i="12787"/>
  <c r="C542" i="12787"/>
  <c r="E556" i="12787"/>
  <c r="E567" i="12787"/>
  <c r="G555" i="12787"/>
  <c r="G571" i="12787"/>
  <c r="H582" i="12787"/>
  <c r="H654" i="12787"/>
  <c r="H603" i="12787" s="1"/>
  <c r="G665" i="12787"/>
  <c r="E710" i="12787"/>
  <c r="H687" i="12787"/>
  <c r="G687" i="12787"/>
  <c r="C814" i="12787"/>
  <c r="K934" i="12787"/>
  <c r="K936" i="12787" s="1"/>
  <c r="E223" i="12787"/>
  <c r="G246" i="12787"/>
  <c r="E251" i="12787"/>
  <c r="G289" i="12787"/>
  <c r="K289" i="12787" s="1"/>
  <c r="K298" i="12787"/>
  <c r="K269" i="12787" s="1"/>
  <c r="K301" i="12787"/>
  <c r="K330" i="12787"/>
  <c r="E336" i="12787"/>
  <c r="E344" i="12787"/>
  <c r="I392" i="12787"/>
  <c r="D395" i="12787"/>
  <c r="H395" i="12787" s="1"/>
  <c r="I397" i="12787"/>
  <c r="K397" i="12787" s="1"/>
  <c r="K368" i="12787" s="1"/>
  <c r="K166" i="12787" s="1"/>
  <c r="D403" i="12787"/>
  <c r="E420" i="12787"/>
  <c r="E433" i="12787"/>
  <c r="C481" i="12787"/>
  <c r="C483" i="12787" s="1"/>
  <c r="C517" i="12787"/>
  <c r="K496" i="12787"/>
  <c r="K552" i="12787"/>
  <c r="E659" i="12787"/>
  <c r="H636" i="12787"/>
  <c r="G636" i="12787"/>
  <c r="G585" i="12787" s="1"/>
  <c r="G591" i="12787"/>
  <c r="G599" i="12787"/>
  <c r="I673" i="12787"/>
  <c r="K673" i="12787" s="1"/>
  <c r="K622" i="12787" s="1"/>
  <c r="K654" i="12787"/>
  <c r="K603" i="12787" s="1"/>
  <c r="H714" i="12787"/>
  <c r="H698" i="12787"/>
  <c r="H596" i="12787" s="1"/>
  <c r="G698" i="12787"/>
  <c r="G714" i="12787"/>
  <c r="H724" i="12787"/>
  <c r="K749" i="12787"/>
  <c r="M749" i="12787"/>
  <c r="G864" i="12787"/>
  <c r="I256" i="12787"/>
  <c r="K256" i="12787" s="1"/>
  <c r="K200" i="12787" s="1"/>
  <c r="K171" i="12787" s="1"/>
  <c r="E316" i="12787"/>
  <c r="I333" i="12787"/>
  <c r="I363" i="12787"/>
  <c r="I372" i="12787" s="1"/>
  <c r="E403" i="12787"/>
  <c r="I421" i="12787"/>
  <c r="I559" i="12787"/>
  <c r="O491" i="12787"/>
  <c r="I525" i="12787"/>
  <c r="E573" i="12787"/>
  <c r="E539" i="12787"/>
  <c r="G595" i="12787"/>
  <c r="I711" i="12787"/>
  <c r="K711" i="12787" s="1"/>
  <c r="K688" i="12787"/>
  <c r="I702" i="12787"/>
  <c r="I714" i="12787"/>
  <c r="K714" i="12787" s="1"/>
  <c r="K695" i="12787"/>
  <c r="H715" i="12787"/>
  <c r="D773" i="12787"/>
  <c r="M773" i="12787" s="1"/>
  <c r="O149" i="12787"/>
  <c r="I217" i="12787"/>
  <c r="E229" i="12787"/>
  <c r="G244" i="12787"/>
  <c r="I246" i="12787"/>
  <c r="E258" i="12787"/>
  <c r="C271" i="12787"/>
  <c r="G304" i="12787"/>
  <c r="G275" i="12787" s="1"/>
  <c r="G308" i="12787"/>
  <c r="G279" i="12787" s="1"/>
  <c r="G312" i="12787"/>
  <c r="G283" i="12787" s="1"/>
  <c r="G341" i="12787"/>
  <c r="C346" i="12787"/>
  <c r="I362" i="12787"/>
  <c r="I371" i="12787" s="1"/>
  <c r="E374" i="12787"/>
  <c r="G389" i="12787"/>
  <c r="I391" i="12787"/>
  <c r="G395" i="12787"/>
  <c r="G399" i="12787"/>
  <c r="K406" i="12787"/>
  <c r="G413" i="12787"/>
  <c r="E424" i="12787"/>
  <c r="E428" i="12787"/>
  <c r="E432" i="12787"/>
  <c r="I539" i="12787"/>
  <c r="K539" i="12787" s="1"/>
  <c r="G524" i="12787"/>
  <c r="G530" i="12787"/>
  <c r="G496" i="12787" s="1"/>
  <c r="C551" i="12787"/>
  <c r="H564" i="12787"/>
  <c r="H496" i="12787" s="1"/>
  <c r="G564" i="12787"/>
  <c r="H562" i="12787"/>
  <c r="G562" i="12787"/>
  <c r="G586" i="12787"/>
  <c r="D669" i="12787"/>
  <c r="D665" i="12787"/>
  <c r="C625" i="12787"/>
  <c r="C627" i="12787" s="1"/>
  <c r="D651" i="12787"/>
  <c r="D600" i="12787" s="1"/>
  <c r="M600" i="12787" s="1"/>
  <c r="D670" i="12787"/>
  <c r="D619" i="12787" s="1"/>
  <c r="D653" i="12787"/>
  <c r="D675" i="12787"/>
  <c r="H675" i="12787" s="1"/>
  <c r="D654" i="12787"/>
  <c r="D672" i="12787"/>
  <c r="D621" i="12787" s="1"/>
  <c r="D663" i="12787"/>
  <c r="C678" i="12787"/>
  <c r="D673" i="12787"/>
  <c r="D622" i="12787" s="1"/>
  <c r="M622" i="12787" s="1"/>
  <c r="D664" i="12787"/>
  <c r="G669" i="12787"/>
  <c r="M756" i="12787"/>
  <c r="K756" i="12787"/>
  <c r="E311" i="12787"/>
  <c r="E315" i="12787"/>
  <c r="I332" i="12787"/>
  <c r="E343" i="12787"/>
  <c r="I355" i="12787"/>
  <c r="I366" i="12787" s="1"/>
  <c r="E402" i="12787"/>
  <c r="D418" i="12787"/>
  <c r="H418" i="12787" s="1"/>
  <c r="I420" i="12787"/>
  <c r="D422" i="12787"/>
  <c r="H422" i="12787" s="1"/>
  <c r="D427" i="12787"/>
  <c r="H427" i="12787" s="1"/>
  <c r="D431" i="12787"/>
  <c r="H472" i="12787"/>
  <c r="H474" i="12787" s="1"/>
  <c r="C484" i="12787"/>
  <c r="K490" i="12787"/>
  <c r="U482" i="12787" s="1"/>
  <c r="W482" i="12787" s="1"/>
  <c r="C570" i="12787"/>
  <c r="C502" i="12787" s="1"/>
  <c r="C501" i="12787"/>
  <c r="E670" i="12787"/>
  <c r="H651" i="12787"/>
  <c r="G596" i="12787"/>
  <c r="G602" i="12787"/>
  <c r="H701" i="12787"/>
  <c r="H717" i="12787"/>
  <c r="H615" i="12787" s="1"/>
  <c r="G717" i="12787"/>
  <c r="H839" i="12787"/>
  <c r="H811" i="12787" s="1"/>
  <c r="H783" i="12787" s="1"/>
  <c r="G839" i="12787"/>
  <c r="I190" i="12787"/>
  <c r="I199" i="12787" s="1"/>
  <c r="E287" i="12787"/>
  <c r="H296" i="12787"/>
  <c r="G302" i="12787"/>
  <c r="G273" i="12787" s="1"/>
  <c r="G331" i="12787"/>
  <c r="K390" i="12787"/>
  <c r="K361" i="12787" s="1"/>
  <c r="E469" i="12787"/>
  <c r="H518" i="12787"/>
  <c r="E531" i="12787"/>
  <c r="G518" i="12787"/>
  <c r="G484" i="12787" s="1"/>
  <c r="G487" i="12787"/>
  <c r="I562" i="12787"/>
  <c r="K562" i="12787" s="1"/>
  <c r="K494" i="12787" s="1"/>
  <c r="K548" i="12787"/>
  <c r="I569" i="12787"/>
  <c r="K569" i="12787" s="1"/>
  <c r="K558" i="12787"/>
  <c r="I573" i="12787"/>
  <c r="K573" i="12787" s="1"/>
  <c r="I663" i="12787"/>
  <c r="K663" i="12787" s="1"/>
  <c r="K612" i="12787" s="1"/>
  <c r="I651" i="12787"/>
  <c r="K644" i="12787"/>
  <c r="K593" i="12787" s="1"/>
  <c r="I718" i="12787"/>
  <c r="K718" i="12787" s="1"/>
  <c r="O996" i="12787"/>
  <c r="P996" i="12787"/>
  <c r="I531" i="12787"/>
  <c r="K531" i="12787" s="1"/>
  <c r="K518" i="12787"/>
  <c r="H536" i="12787"/>
  <c r="H535" i="12787"/>
  <c r="G535" i="12787"/>
  <c r="G570" i="12787"/>
  <c r="M599" i="12787"/>
  <c r="C729" i="12787"/>
  <c r="D723" i="12787"/>
  <c r="D704" i="12787"/>
  <c r="D714" i="12787"/>
  <c r="D705" i="12787"/>
  <c r="H705" i="12787" s="1"/>
  <c r="D724" i="12787"/>
  <c r="D693" i="12787"/>
  <c r="D715" i="12787"/>
  <c r="D695" i="12787"/>
  <c r="D593" i="12787" s="1"/>
  <c r="M593" i="12787" s="1"/>
  <c r="D696" i="12787"/>
  <c r="D726" i="12787"/>
  <c r="D720" i="12787"/>
  <c r="D716" i="12787"/>
  <c r="D701" i="12787"/>
  <c r="D697" i="12787"/>
  <c r="D595" i="12787" s="1"/>
  <c r="E522" i="12787"/>
  <c r="I537" i="12787"/>
  <c r="K537" i="12787" s="1"/>
  <c r="K503" i="12787" s="1"/>
  <c r="I556" i="12787"/>
  <c r="I637" i="12787"/>
  <c r="I647" i="12787"/>
  <c r="I684" i="12787"/>
  <c r="I693" i="12787"/>
  <c r="E702" i="12787"/>
  <c r="E709" i="12787"/>
  <c r="M740" i="12787"/>
  <c r="I752" i="12787"/>
  <c r="K822" i="12787"/>
  <c r="C794" i="12787"/>
  <c r="C813" i="12787"/>
  <c r="C785" i="12787" s="1"/>
  <c r="D838" i="12787"/>
  <c r="D826" i="12787"/>
  <c r="D840" i="12787"/>
  <c r="D834" i="12787"/>
  <c r="D806" i="12787" s="1"/>
  <c r="D778" i="12787" s="1"/>
  <c r="M778" i="12787" s="1"/>
  <c r="D830" i="12787"/>
  <c r="D802" i="12787" s="1"/>
  <c r="H881" i="12787"/>
  <c r="O884" i="12787"/>
  <c r="E892" i="12787"/>
  <c r="H884" i="12787"/>
  <c r="G884" i="12787"/>
  <c r="P910" i="12787"/>
  <c r="H910" i="12787"/>
  <c r="G356" i="12766"/>
  <c r="G150" i="12766" s="1"/>
  <c r="K515" i="12787"/>
  <c r="K481" i="12787" s="1"/>
  <c r="G550" i="12787"/>
  <c r="G482" i="12787" s="1"/>
  <c r="G553" i="12787"/>
  <c r="G485" i="12787" s="1"/>
  <c r="C559" i="12787"/>
  <c r="G559" i="12787" s="1"/>
  <c r="E569" i="12787"/>
  <c r="I642" i="12787"/>
  <c r="K653" i="12787"/>
  <c r="E656" i="12787"/>
  <c r="I658" i="12787"/>
  <c r="K658" i="12787" s="1"/>
  <c r="E664" i="12787"/>
  <c r="E667" i="12787"/>
  <c r="E673" i="12787"/>
  <c r="I674" i="12787"/>
  <c r="K674" i="12787" s="1"/>
  <c r="K623" i="12787" s="1"/>
  <c r="K738" i="12787"/>
  <c r="T767" i="12787"/>
  <c r="G850" i="12787"/>
  <c r="E860" i="12787"/>
  <c r="D825" i="12787"/>
  <c r="K779" i="12787"/>
  <c r="H833" i="12787"/>
  <c r="H836" i="12787"/>
  <c r="G836" i="12787"/>
  <c r="G808" i="12787" s="1"/>
  <c r="D853" i="12787"/>
  <c r="E866" i="12787"/>
  <c r="H858" i="12787"/>
  <c r="G858" i="12787"/>
  <c r="H867" i="12787"/>
  <c r="G867" i="12787"/>
  <c r="K893" i="12787"/>
  <c r="K782" i="12787" s="1"/>
  <c r="K959" i="12787"/>
  <c r="G959" i="12787"/>
  <c r="C20" i="12766"/>
  <c r="G71" i="12766"/>
  <c r="D71" i="12766"/>
  <c r="G507" i="12787"/>
  <c r="K507" i="12787" s="1"/>
  <c r="E533" i="12787"/>
  <c r="I535" i="12787"/>
  <c r="K535" i="12787" s="1"/>
  <c r="K501" i="12787" s="1"/>
  <c r="I565" i="12787"/>
  <c r="K565" i="12787" s="1"/>
  <c r="I636" i="12787"/>
  <c r="C638" i="12787"/>
  <c r="C587" i="12787" s="1"/>
  <c r="I687" i="12787"/>
  <c r="I698" i="12787"/>
  <c r="I704" i="12787"/>
  <c r="E711" i="12787"/>
  <c r="E716" i="12787"/>
  <c r="E720" i="12787"/>
  <c r="E726" i="12787"/>
  <c r="H753" i="12787"/>
  <c r="G753" i="12787"/>
  <c r="E757" i="12787"/>
  <c r="H853" i="12787"/>
  <c r="G853" i="12787"/>
  <c r="E862" i="12787"/>
  <c r="H825" i="12787"/>
  <c r="K805" i="12787"/>
  <c r="K777" i="12787" s="1"/>
  <c r="K855" i="12787"/>
  <c r="K799" i="12787" s="1"/>
  <c r="K771" i="12787" s="1"/>
  <c r="U770" i="12787" s="1"/>
  <c r="W770" i="12787" s="1"/>
  <c r="G893" i="12787"/>
  <c r="I980" i="12787"/>
  <c r="K980" i="12787" s="1"/>
  <c r="K943" i="12787" s="1"/>
  <c r="H37" i="12766"/>
  <c r="K514" i="12787"/>
  <c r="I522" i="12787"/>
  <c r="I605" i="12787"/>
  <c r="M605" i="12787" s="1"/>
  <c r="I608" i="12787"/>
  <c r="M608" i="12787" s="1"/>
  <c r="I609" i="12787"/>
  <c r="M609" i="12787" s="1"/>
  <c r="I610" i="12787"/>
  <c r="M610" i="12787" s="1"/>
  <c r="I612" i="12787"/>
  <c r="I613" i="12787"/>
  <c r="I614" i="12787"/>
  <c r="I615" i="12787"/>
  <c r="M615" i="12787" s="1"/>
  <c r="I616" i="12787"/>
  <c r="M616" i="12787" s="1"/>
  <c r="I618" i="12787"/>
  <c r="I619" i="12787"/>
  <c r="M619" i="12787" s="1"/>
  <c r="I621" i="12787"/>
  <c r="I646" i="12787"/>
  <c r="E663" i="12787"/>
  <c r="E672" i="12787"/>
  <c r="G686" i="12787"/>
  <c r="G584" i="12787" s="1"/>
  <c r="G697" i="12787"/>
  <c r="G701" i="12787"/>
  <c r="E707" i="12787"/>
  <c r="I709" i="12787"/>
  <c r="K709" i="12787" s="1"/>
  <c r="E725" i="12787"/>
  <c r="E750" i="12787"/>
  <c r="E756" i="12787"/>
  <c r="G742" i="12787"/>
  <c r="K748" i="12787"/>
  <c r="M750" i="12787"/>
  <c r="H755" i="12787"/>
  <c r="D768" i="12787"/>
  <c r="I811" i="12787"/>
  <c r="I894" i="12787"/>
  <c r="K894" i="12787" s="1"/>
  <c r="M783" i="12787"/>
  <c r="D787" i="12787"/>
  <c r="G823" i="12787"/>
  <c r="G825" i="12787"/>
  <c r="G797" i="12787" s="1"/>
  <c r="G769" i="12787" s="1"/>
  <c r="D827" i="12787"/>
  <c r="C799" i="12787"/>
  <c r="C771" i="12787" s="1"/>
  <c r="E834" i="12787"/>
  <c r="D837" i="12787"/>
  <c r="H851" i="12787"/>
  <c r="G851" i="12787"/>
  <c r="K853" i="12787"/>
  <c r="K857" i="12787"/>
  <c r="K801" i="12787" s="1"/>
  <c r="K773" i="12787" s="1"/>
  <c r="U771" i="12787" s="1"/>
  <c r="W771" i="12787" s="1"/>
  <c r="C801" i="12787"/>
  <c r="C773" i="12787" s="1"/>
  <c r="H889" i="12787"/>
  <c r="K966" i="12787"/>
  <c r="K971" i="12787" s="1"/>
  <c r="G966" i="12787"/>
  <c r="C973" i="12787"/>
  <c r="D968" i="12787"/>
  <c r="D969" i="12787"/>
  <c r="C945" i="12787"/>
  <c r="C947" i="12787" s="1"/>
  <c r="E718" i="12787"/>
  <c r="H742" i="12787"/>
  <c r="G751" i="12787"/>
  <c r="M755" i="12787"/>
  <c r="K755" i="12787"/>
  <c r="G799" i="12787"/>
  <c r="G771" i="12787" s="1"/>
  <c r="E838" i="12787"/>
  <c r="H830" i="12787"/>
  <c r="H802" i="12787" s="1"/>
  <c r="H774" i="12787" s="1"/>
  <c r="G830" i="12787"/>
  <c r="G802" i="12787" s="1"/>
  <c r="G774" i="12787" s="1"/>
  <c r="C843" i="12787"/>
  <c r="H863" i="12787"/>
  <c r="G863" i="12787"/>
  <c r="G807" i="12787" s="1"/>
  <c r="G779" i="12787" s="1"/>
  <c r="H877" i="12787"/>
  <c r="G877" i="12787"/>
  <c r="E887" i="12787"/>
  <c r="G904" i="12787"/>
  <c r="G923" i="12787" s="1"/>
  <c r="G925" i="12787" s="1"/>
  <c r="P925" i="12787" s="1"/>
  <c r="D904" i="12787"/>
  <c r="I533" i="12787"/>
  <c r="K533" i="12787" s="1"/>
  <c r="K499" i="12787" s="1"/>
  <c r="E537" i="12787"/>
  <c r="G548" i="12787"/>
  <c r="G558" i="12787"/>
  <c r="G563" i="12787"/>
  <c r="G495" i="12787" s="1"/>
  <c r="M595" i="12787"/>
  <c r="M596" i="12787"/>
  <c r="M597" i="12787"/>
  <c r="M623" i="12787"/>
  <c r="G644" i="12787"/>
  <c r="I645" i="12787"/>
  <c r="I648" i="12787"/>
  <c r="G654" i="12787"/>
  <c r="G603" i="12787" s="1"/>
  <c r="G666" i="12787"/>
  <c r="G615" i="12787" s="1"/>
  <c r="G688" i="12787"/>
  <c r="G695" i="12787"/>
  <c r="I697" i="12787"/>
  <c r="G699" i="12787"/>
  <c r="G597" i="12787" s="1"/>
  <c r="G715" i="12787"/>
  <c r="K728" i="12787"/>
  <c r="K736" i="12787"/>
  <c r="K743" i="12787"/>
  <c r="G747" i="12787"/>
  <c r="G749" i="12787"/>
  <c r="I751" i="12787"/>
  <c r="E829" i="12787"/>
  <c r="E809" i="12787"/>
  <c r="E857" i="12787"/>
  <c r="K797" i="12787"/>
  <c r="K769" i="12787" s="1"/>
  <c r="D835" i="12787"/>
  <c r="D807" i="12787" s="1"/>
  <c r="D843" i="12787"/>
  <c r="H854" i="12787"/>
  <c r="G854" i="12787"/>
  <c r="G798" i="12787" s="1"/>
  <c r="G770" i="12787" s="1"/>
  <c r="C782" i="12787"/>
  <c r="D864" i="12787"/>
  <c r="D808" i="12787" s="1"/>
  <c r="D780" i="12787" s="1"/>
  <c r="M780" i="12787" s="1"/>
  <c r="D865" i="12787"/>
  <c r="D866" i="12787"/>
  <c r="D854" i="12787"/>
  <c r="D868" i="12787"/>
  <c r="H868" i="12787" s="1"/>
  <c r="D855" i="12787"/>
  <c r="H855" i="12787" s="1"/>
  <c r="K896" i="12787"/>
  <c r="K898" i="12787" s="1"/>
  <c r="O888" i="12787" s="1"/>
  <c r="P917" i="12787"/>
  <c r="H917" i="12787"/>
  <c r="G128" i="12766"/>
  <c r="G130" i="12766" s="1"/>
  <c r="H83" i="12766"/>
  <c r="T84" i="12766" s="1"/>
  <c r="H141" i="12766"/>
  <c r="H143" i="12766" s="1"/>
  <c r="K589" i="12787"/>
  <c r="O594" i="12787"/>
  <c r="H644" i="12787"/>
  <c r="M736" i="12787"/>
  <c r="G738" i="12787"/>
  <c r="K742" i="12787"/>
  <c r="H749" i="12787"/>
  <c r="I812" i="12787"/>
  <c r="I895" i="12787"/>
  <c r="K895" i="12787" s="1"/>
  <c r="O801" i="12787"/>
  <c r="K802" i="12787"/>
  <c r="K774" i="12787" s="1"/>
  <c r="G840" i="12787"/>
  <c r="G812" i="12787" s="1"/>
  <c r="G784" i="12787" s="1"/>
  <c r="E861" i="12787"/>
  <c r="O877" i="12787"/>
  <c r="G943" i="12787"/>
  <c r="G945" i="12787" s="1"/>
  <c r="G947" i="12787" s="1"/>
  <c r="G971" i="12787"/>
  <c r="G973" i="12787" s="1"/>
  <c r="O795" i="12787"/>
  <c r="O798" i="12787"/>
  <c r="E804" i="12787"/>
  <c r="E822" i="12787"/>
  <c r="D882" i="12787"/>
  <c r="H882" i="12787" s="1"/>
  <c r="D893" i="12787"/>
  <c r="H893" i="12787" s="1"/>
  <c r="P905" i="12787"/>
  <c r="H909" i="12787"/>
  <c r="P912" i="12787"/>
  <c r="H916" i="12787"/>
  <c r="P920" i="12787"/>
  <c r="K941" i="12787"/>
  <c r="M941" i="12787" s="1"/>
  <c r="G1030" i="12787"/>
  <c r="G1032" i="12787" s="1"/>
  <c r="K37" i="12766"/>
  <c r="G102" i="12766"/>
  <c r="G83" i="12766"/>
  <c r="K88" i="12766"/>
  <c r="K87" i="12766"/>
  <c r="K141" i="12766"/>
  <c r="K143" i="12766" s="1"/>
  <c r="O794" i="12787"/>
  <c r="O797" i="12787"/>
  <c r="C809" i="12787"/>
  <c r="C781" i="12787" s="1"/>
  <c r="I864" i="12787"/>
  <c r="K864" i="12787" s="1"/>
  <c r="K808" i="12787" s="1"/>
  <c r="K780" i="12787" s="1"/>
  <c r="D892" i="12787"/>
  <c r="C943" i="12787"/>
  <c r="D980" i="12787"/>
  <c r="H980" i="12787" s="1"/>
  <c r="M993" i="12787"/>
  <c r="D1026" i="12787"/>
  <c r="H1026" i="12787" s="1"/>
  <c r="D1019" i="12787"/>
  <c r="H1019" i="12787" s="1"/>
  <c r="D1013" i="12787"/>
  <c r="H1013" i="12787" s="1"/>
  <c r="D1005" i="12787"/>
  <c r="H1005" i="12787" s="1"/>
  <c r="D1028" i="12787"/>
  <c r="H1028" i="12787" s="1"/>
  <c r="D1009" i="12787"/>
  <c r="H1009" i="12787" s="1"/>
  <c r="D1022" i="12787"/>
  <c r="H1022" i="12787" s="1"/>
  <c r="D1017" i="12787"/>
  <c r="H1017" i="12787" s="1"/>
  <c r="D1010" i="12787"/>
  <c r="H1010" i="12787" s="1"/>
  <c r="D1001" i="12787"/>
  <c r="H1001" i="12787" s="1"/>
  <c r="D1024" i="12787"/>
  <c r="H1024" i="12787" s="1"/>
  <c r="D1002" i="12787"/>
  <c r="H1002" i="12787" s="1"/>
  <c r="D1025" i="12787"/>
  <c r="H1025" i="12787" s="1"/>
  <c r="D1018" i="12787"/>
  <c r="H1018" i="12787" s="1"/>
  <c r="G23" i="12766"/>
  <c r="K55" i="12766"/>
  <c r="H89" i="12766"/>
  <c r="H91" i="12766" s="1"/>
  <c r="H104" i="12766"/>
  <c r="K85" i="12766"/>
  <c r="U86" i="12766" s="1"/>
  <c r="W86" i="12766" s="1"/>
  <c r="H88" i="12766"/>
  <c r="D223" i="12766"/>
  <c r="K223" i="12766" s="1"/>
  <c r="C195" i="12766"/>
  <c r="C166" i="12766" s="1"/>
  <c r="D931" i="12787"/>
  <c r="M89" i="12766"/>
  <c r="K102" i="12766"/>
  <c r="K83" i="12766"/>
  <c r="U84" i="12766" s="1"/>
  <c r="W84" i="12766" s="1"/>
  <c r="C162" i="12766"/>
  <c r="C797" i="12787"/>
  <c r="C769" i="12787" s="1"/>
  <c r="D890" i="12787"/>
  <c r="H890" i="12787" s="1"/>
  <c r="E891" i="12787"/>
  <c r="K932" i="12787"/>
  <c r="G946" i="12787"/>
  <c r="K946" i="12787" s="1"/>
  <c r="G42" i="12766"/>
  <c r="G16" i="12766"/>
  <c r="G18" i="12766"/>
  <c r="K68" i="12766"/>
  <c r="K86" i="12766"/>
  <c r="I312" i="12766"/>
  <c r="D885" i="12787"/>
  <c r="H885" i="12787" s="1"/>
  <c r="D979" i="12787"/>
  <c r="C22" i="12766"/>
  <c r="G39" i="12766"/>
  <c r="G22" i="12766" s="1"/>
  <c r="D39" i="12766"/>
  <c r="C304" i="12766"/>
  <c r="C317" i="12766"/>
  <c r="G302" i="12766"/>
  <c r="C273" i="12766"/>
  <c r="C159" i="12766" s="1"/>
  <c r="E807" i="12787"/>
  <c r="D1003" i="12787"/>
  <c r="H1003" i="12787" s="1"/>
  <c r="C1032" i="12787"/>
  <c r="G57" i="12766"/>
  <c r="D57" i="12766"/>
  <c r="G141" i="12766"/>
  <c r="G143" i="12766" s="1"/>
  <c r="H218" i="12766"/>
  <c r="C17" i="12766"/>
  <c r="G34" i="12766"/>
  <c r="G17" i="12766" s="1"/>
  <c r="D34" i="12766"/>
  <c r="G20" i="12766"/>
  <c r="G52" i="12766"/>
  <c r="G59" i="12766" s="1"/>
  <c r="G61" i="12766" s="1"/>
  <c r="D52" i="12766"/>
  <c r="G76" i="12766"/>
  <c r="G78" i="12766" s="1"/>
  <c r="G198" i="12766"/>
  <c r="G223" i="12766"/>
  <c r="G195" i="12766" s="1"/>
  <c r="I314" i="12766"/>
  <c r="H337" i="12766"/>
  <c r="H346" i="12766" s="1"/>
  <c r="H348" i="12766" s="1"/>
  <c r="G337" i="12766"/>
  <c r="C364" i="12766"/>
  <c r="G393" i="12766"/>
  <c r="G364" i="12766" s="1"/>
  <c r="G127" i="12766"/>
  <c r="G88" i="12766" s="1"/>
  <c r="H221" i="12766"/>
  <c r="G221" i="12766"/>
  <c r="G193" i="12766" s="1"/>
  <c r="G240" i="12766"/>
  <c r="G184" i="12766" s="1"/>
  <c r="G154" i="12766" s="1"/>
  <c r="C184" i="12766"/>
  <c r="C154" i="12766" s="1"/>
  <c r="C156" i="12766" s="1"/>
  <c r="G267" i="12766"/>
  <c r="P1032" i="12787"/>
  <c r="D33" i="12766"/>
  <c r="D38" i="12766"/>
  <c r="D51" i="12766"/>
  <c r="D56" i="12766"/>
  <c r="D69" i="12766"/>
  <c r="D74" i="12766"/>
  <c r="C83" i="12766"/>
  <c r="G246" i="12766"/>
  <c r="G190" i="12766" s="1"/>
  <c r="C190" i="12766"/>
  <c r="G254" i="12766"/>
  <c r="G346" i="12766"/>
  <c r="G348" i="12766" s="1"/>
  <c r="C115" i="12766"/>
  <c r="I127" i="12766"/>
  <c r="K127" i="12766" s="1"/>
  <c r="K128" i="12766" s="1"/>
  <c r="K130" i="12766" s="1"/>
  <c r="G219" i="12766"/>
  <c r="G191" i="12766" s="1"/>
  <c r="G162" i="12766" s="1"/>
  <c r="D219" i="12766"/>
  <c r="H225" i="12766"/>
  <c r="G225" i="12766"/>
  <c r="G197" i="12766" s="1"/>
  <c r="H227" i="12766"/>
  <c r="D296" i="12766"/>
  <c r="D299" i="12766"/>
  <c r="G395" i="12766"/>
  <c r="G366" i="12766" s="1"/>
  <c r="H224" i="12766"/>
  <c r="G230" i="12766"/>
  <c r="G202" i="12766" s="1"/>
  <c r="G173" i="12766" s="1"/>
  <c r="D230" i="12766"/>
  <c r="C202" i="12766"/>
  <c r="C173" i="12766" s="1"/>
  <c r="I340" i="12766"/>
  <c r="K340" i="12766" s="1"/>
  <c r="K331" i="12766"/>
  <c r="H355" i="12766"/>
  <c r="H149" i="12766" s="1"/>
  <c r="I399" i="12766"/>
  <c r="U85" i="12766"/>
  <c r="W85" i="12766" s="1"/>
  <c r="D91" i="12766"/>
  <c r="D226" i="12766"/>
  <c r="C198" i="12766"/>
  <c r="C169" i="12766" s="1"/>
  <c r="C242" i="12766"/>
  <c r="C259" i="12766"/>
  <c r="G244" i="12766"/>
  <c r="G188" i="12766" s="1"/>
  <c r="G250" i="12766"/>
  <c r="G194" i="12766" s="1"/>
  <c r="D355" i="12766"/>
  <c r="K419" i="12766"/>
  <c r="I413" i="12766"/>
  <c r="I355" i="12766"/>
  <c r="I366" i="12766" s="1"/>
  <c r="I384" i="12766"/>
  <c r="I414" i="12766"/>
  <c r="I356" i="12766"/>
  <c r="I367" i="12766" s="1"/>
  <c r="I385" i="12766"/>
  <c r="I362" i="12766"/>
  <c r="I371" i="12766" s="1"/>
  <c r="I332" i="12766"/>
  <c r="I420" i="12766"/>
  <c r="I274" i="12766"/>
  <c r="I283" i="12766" s="1"/>
  <c r="I245" i="12766"/>
  <c r="I217" i="12766"/>
  <c r="I161" i="12766"/>
  <c r="G196" i="12766"/>
  <c r="H228" i="12766"/>
  <c r="G228" i="12766"/>
  <c r="G200" i="12766" s="1"/>
  <c r="G171" i="12766" s="1"/>
  <c r="G336" i="12766"/>
  <c r="G278" i="12766" s="1"/>
  <c r="I391" i="12766"/>
  <c r="K444" i="12766"/>
  <c r="I458" i="12766"/>
  <c r="G453" i="12766"/>
  <c r="E471" i="12766"/>
  <c r="G471" i="12766" s="1"/>
  <c r="E464" i="12766"/>
  <c r="G464" i="12766" s="1"/>
  <c r="I397" i="12766"/>
  <c r="D420" i="12766"/>
  <c r="H420" i="12766" s="1"/>
  <c r="D403" i="12766"/>
  <c r="D395" i="12766"/>
  <c r="H395" i="12766" s="1"/>
  <c r="H366" i="12766" s="1"/>
  <c r="D388" i="12766"/>
  <c r="D359" i="12766" s="1"/>
  <c r="D396" i="12766"/>
  <c r="H396" i="12766" s="1"/>
  <c r="G369" i="12766"/>
  <c r="I565" i="12766"/>
  <c r="G239" i="12766"/>
  <c r="I307" i="12766"/>
  <c r="K307" i="12766" s="1"/>
  <c r="K278" i="12766" s="1"/>
  <c r="D356" i="12766"/>
  <c r="D150" i="12766" s="1"/>
  <c r="M150" i="12766" s="1"/>
  <c r="G399" i="12766"/>
  <c r="G370" i="12766" s="1"/>
  <c r="H308" i="12766"/>
  <c r="H279" i="12766" s="1"/>
  <c r="G308" i="12766"/>
  <c r="I343" i="12766"/>
  <c r="K343" i="12766" s="1"/>
  <c r="K334" i="12766"/>
  <c r="C436" i="12766"/>
  <c r="D429" i="12766"/>
  <c r="H429" i="12766" s="1"/>
  <c r="D421" i="12766"/>
  <c r="H421" i="12766" s="1"/>
  <c r="D430" i="12766"/>
  <c r="D426" i="12766"/>
  <c r="H426" i="12766" s="1"/>
  <c r="D418" i="12766"/>
  <c r="D427" i="12766"/>
  <c r="H427" i="12766" s="1"/>
  <c r="D422" i="12766"/>
  <c r="D419" i="12766"/>
  <c r="H419" i="12766" s="1"/>
  <c r="D433" i="12766"/>
  <c r="H433" i="12766" s="1"/>
  <c r="D431" i="12766"/>
  <c r="H431" i="12766" s="1"/>
  <c r="K532" i="12766"/>
  <c r="G567" i="12766"/>
  <c r="C201" i="12766"/>
  <c r="C172" i="12766" s="1"/>
  <c r="G312" i="12766"/>
  <c r="G283" i="12766" s="1"/>
  <c r="C363" i="12766"/>
  <c r="C405" i="12766"/>
  <c r="D416" i="12766"/>
  <c r="D358" i="12766" s="1"/>
  <c r="E469" i="12766"/>
  <c r="G450" i="12766"/>
  <c r="E462" i="12766"/>
  <c r="G462" i="12766" s="1"/>
  <c r="E457" i="12766"/>
  <c r="G457" i="12766" s="1"/>
  <c r="I533" i="12766"/>
  <c r="K533" i="12766" s="1"/>
  <c r="K521" i="12766"/>
  <c r="H532" i="12766"/>
  <c r="G556" i="12766"/>
  <c r="G488" i="12766" s="1"/>
  <c r="E568" i="12766"/>
  <c r="M767" i="12766"/>
  <c r="D768" i="12766"/>
  <c r="I464" i="12766"/>
  <c r="K453" i="12766"/>
  <c r="C482" i="12766"/>
  <c r="G550" i="12766"/>
  <c r="G482" i="12766" s="1"/>
  <c r="G586" i="12766"/>
  <c r="K645" i="12766"/>
  <c r="K594" i="12766" s="1"/>
  <c r="I664" i="12766"/>
  <c r="K664" i="12766" s="1"/>
  <c r="K433" i="12766"/>
  <c r="K496" i="12766"/>
  <c r="H522" i="12766"/>
  <c r="K494" i="12766"/>
  <c r="C505" i="12766"/>
  <c r="G539" i="12766"/>
  <c r="G505" i="12766" s="1"/>
  <c r="C559" i="12766"/>
  <c r="G559" i="12766" s="1"/>
  <c r="G491" i="12766" s="1"/>
  <c r="G558" i="12766"/>
  <c r="G490" i="12766" s="1"/>
  <c r="I571" i="12766"/>
  <c r="I310" i="12766"/>
  <c r="G427" i="12766"/>
  <c r="I428" i="12766"/>
  <c r="K428" i="12766" s="1"/>
  <c r="I431" i="12766"/>
  <c r="H472" i="12766"/>
  <c r="H474" i="12766" s="1"/>
  <c r="E458" i="12766"/>
  <c r="G458" i="12766" s="1"/>
  <c r="K480" i="12766"/>
  <c r="G531" i="12766"/>
  <c r="G497" i="12766" s="1"/>
  <c r="H535" i="12766"/>
  <c r="G535" i="12766"/>
  <c r="K550" i="12766"/>
  <c r="K482" i="12766" s="1"/>
  <c r="I564" i="12766"/>
  <c r="K564" i="12766" s="1"/>
  <c r="G564" i="12766"/>
  <c r="G496" i="12766" s="1"/>
  <c r="I672" i="12766"/>
  <c r="K672" i="12766" s="1"/>
  <c r="H430" i="12766"/>
  <c r="D432" i="12766"/>
  <c r="H432" i="12766" s="1"/>
  <c r="E463" i="12766"/>
  <c r="G463" i="12766" s="1"/>
  <c r="G452" i="12766"/>
  <c r="K519" i="12766"/>
  <c r="C492" i="12766"/>
  <c r="G526" i="12766"/>
  <c r="G492" i="12766" s="1"/>
  <c r="H529" i="12766"/>
  <c r="H495" i="12766" s="1"/>
  <c r="G529" i="12766"/>
  <c r="G495" i="12766" s="1"/>
  <c r="K535" i="12766"/>
  <c r="G555" i="12766"/>
  <c r="G487" i="12766" s="1"/>
  <c r="C487" i="12766"/>
  <c r="H562" i="12766"/>
  <c r="H494" i="12766" s="1"/>
  <c r="G562" i="12766"/>
  <c r="G494" i="12766" s="1"/>
  <c r="I619" i="12766"/>
  <c r="I618" i="12766"/>
  <c r="H752" i="12766"/>
  <c r="G752" i="12766"/>
  <c r="G331" i="12766"/>
  <c r="D425" i="12766"/>
  <c r="H425" i="12766" s="1"/>
  <c r="G426" i="12766"/>
  <c r="G430" i="12766"/>
  <c r="G372" i="12766" s="1"/>
  <c r="G170" i="12766" s="1"/>
  <c r="C517" i="12766"/>
  <c r="C480" i="12766"/>
  <c r="I522" i="12766"/>
  <c r="I529" i="12766"/>
  <c r="K529" i="12766" s="1"/>
  <c r="K495" i="12766" s="1"/>
  <c r="K531" i="12766"/>
  <c r="G533" i="12766"/>
  <c r="C551" i="12766"/>
  <c r="G549" i="12766"/>
  <c r="I567" i="12766"/>
  <c r="I556" i="12766"/>
  <c r="G569" i="12766"/>
  <c r="C638" i="12766"/>
  <c r="C587" i="12766" s="1"/>
  <c r="K452" i="12766"/>
  <c r="I463" i="12766"/>
  <c r="E470" i="12766"/>
  <c r="G514" i="12766"/>
  <c r="H536" i="12766"/>
  <c r="C504" i="12766"/>
  <c r="G538" i="12766"/>
  <c r="G504" i="12766" s="1"/>
  <c r="I663" i="12766"/>
  <c r="I651" i="12766"/>
  <c r="K644" i="12766"/>
  <c r="G670" i="12766"/>
  <c r="K704" i="12766"/>
  <c r="H709" i="12766"/>
  <c r="H607" i="12766" s="1"/>
  <c r="G709" i="12766"/>
  <c r="G607" i="12766" s="1"/>
  <c r="D518" i="12766"/>
  <c r="D524" i="12766"/>
  <c r="I525" i="12766"/>
  <c r="D539" i="12766"/>
  <c r="C542" i="12766"/>
  <c r="M610" i="12766"/>
  <c r="E669" i="12766"/>
  <c r="G650" i="12766"/>
  <c r="G599" i="12766" s="1"/>
  <c r="I720" i="12766"/>
  <c r="K720" i="12766" s="1"/>
  <c r="H724" i="12766"/>
  <c r="W481" i="12766"/>
  <c r="D533" i="12766"/>
  <c r="I559" i="12766"/>
  <c r="I647" i="12766"/>
  <c r="I698" i="12766"/>
  <c r="I699" i="12766"/>
  <c r="I648" i="12766"/>
  <c r="I695" i="12766"/>
  <c r="I724" i="12766"/>
  <c r="G755" i="12766"/>
  <c r="G830" i="12766"/>
  <c r="G802" i="12766" s="1"/>
  <c r="G774" i="12766" s="1"/>
  <c r="C802" i="12766"/>
  <c r="C774" i="12766" s="1"/>
  <c r="D830" i="12766"/>
  <c r="C955" i="12766"/>
  <c r="D950" i="12766"/>
  <c r="H950" i="12766" s="1"/>
  <c r="D951" i="12766"/>
  <c r="H951" i="12766" s="1"/>
  <c r="H715" i="12766"/>
  <c r="M747" i="12766"/>
  <c r="K747" i="12766"/>
  <c r="E748" i="12766"/>
  <c r="G738" i="12766"/>
  <c r="M752" i="12766"/>
  <c r="K752" i="12766"/>
  <c r="M918" i="12766"/>
  <c r="K918" i="12766"/>
  <c r="H918" i="12766"/>
  <c r="D526" i="12766"/>
  <c r="D531" i="12766"/>
  <c r="S587" i="12766"/>
  <c r="O593" i="12766"/>
  <c r="M596" i="12766"/>
  <c r="M597" i="12766"/>
  <c r="I615" i="12766"/>
  <c r="M615" i="12766" s="1"/>
  <c r="I669" i="12766"/>
  <c r="G651" i="12766"/>
  <c r="G600" i="12766" s="1"/>
  <c r="H664" i="12766"/>
  <c r="H613" i="12766" s="1"/>
  <c r="H702" i="12766"/>
  <c r="H746" i="12766"/>
  <c r="G746" i="12766"/>
  <c r="M748" i="12766"/>
  <c r="K748" i="12766"/>
  <c r="K607" i="12766"/>
  <c r="D650" i="12766"/>
  <c r="D669" i="12766"/>
  <c r="D665" i="12766"/>
  <c r="D651" i="12766"/>
  <c r="D600" i="12766" s="1"/>
  <c r="M600" i="12766" s="1"/>
  <c r="D670" i="12766"/>
  <c r="D619" i="12766" s="1"/>
  <c r="C625" i="12766"/>
  <c r="C627" i="12766" s="1"/>
  <c r="C678" i="12766"/>
  <c r="D654" i="12766"/>
  <c r="D675" i="12766"/>
  <c r="D672" i="12766"/>
  <c r="D663" i="12766"/>
  <c r="H660" i="12766"/>
  <c r="H609" i="12766" s="1"/>
  <c r="G660" i="12766"/>
  <c r="G609" i="12766" s="1"/>
  <c r="D673" i="12766"/>
  <c r="H721" i="12766"/>
  <c r="G721" i="12766"/>
  <c r="D738" i="12766"/>
  <c r="H738" i="12766" s="1"/>
  <c r="C760" i="12766"/>
  <c r="D743" i="12766"/>
  <c r="D742" i="12766"/>
  <c r="D740" i="12766"/>
  <c r="D755" i="12766"/>
  <c r="K755" i="12766" s="1"/>
  <c r="D756" i="12766"/>
  <c r="K756" i="12766" s="1"/>
  <c r="D757" i="12766"/>
  <c r="I809" i="12766"/>
  <c r="I742" i="12766"/>
  <c r="M480" i="12766"/>
  <c r="D525" i="12766"/>
  <c r="D653" i="12766"/>
  <c r="H661" i="12766"/>
  <c r="G661" i="12766"/>
  <c r="G610" i="12766" s="1"/>
  <c r="G712" i="12766"/>
  <c r="H665" i="12766"/>
  <c r="K716" i="12766"/>
  <c r="H723" i="12766"/>
  <c r="K726" i="12766"/>
  <c r="H726" i="12766"/>
  <c r="M980" i="12766"/>
  <c r="K980" i="12766"/>
  <c r="H980" i="12766"/>
  <c r="P980" i="12766"/>
  <c r="D697" i="12766"/>
  <c r="D701" i="12766"/>
  <c r="H701" i="12766" s="1"/>
  <c r="D716" i="12766"/>
  <c r="H716" i="12766" s="1"/>
  <c r="D720" i="12766"/>
  <c r="C729" i="12766"/>
  <c r="E747" i="12766"/>
  <c r="I749" i="12766"/>
  <c r="G869" i="12766"/>
  <c r="G871" i="12766" s="1"/>
  <c r="H862" i="12766"/>
  <c r="I887" i="12766"/>
  <c r="K887" i="12766" s="1"/>
  <c r="K877" i="12766"/>
  <c r="I665" i="12766"/>
  <c r="K665" i="12766" s="1"/>
  <c r="E720" i="12766"/>
  <c r="I723" i="12766"/>
  <c r="E751" i="12766"/>
  <c r="K830" i="12766"/>
  <c r="K802" i="12766" s="1"/>
  <c r="G806" i="12766"/>
  <c r="G778" i="12766" s="1"/>
  <c r="K811" i="12766"/>
  <c r="K783" i="12766" s="1"/>
  <c r="K853" i="12766"/>
  <c r="H853" i="12766"/>
  <c r="K868" i="12766"/>
  <c r="H868" i="12766"/>
  <c r="G942" i="12766"/>
  <c r="P974" i="12766"/>
  <c r="M974" i="12766"/>
  <c r="K974" i="12766"/>
  <c r="H974" i="12766"/>
  <c r="K684" i="12766"/>
  <c r="D696" i="12766"/>
  <c r="D715" i="12766"/>
  <c r="K715" i="12766" s="1"/>
  <c r="M740" i="12766"/>
  <c r="M743" i="12766"/>
  <c r="E756" i="12766"/>
  <c r="G825" i="12766"/>
  <c r="G797" i="12766" s="1"/>
  <c r="G769" i="12766" s="1"/>
  <c r="C797" i="12766"/>
  <c r="C769" i="12766" s="1"/>
  <c r="D825" i="12766"/>
  <c r="I836" i="12766"/>
  <c r="K836" i="12766" s="1"/>
  <c r="K827" i="12766"/>
  <c r="H835" i="12766"/>
  <c r="H807" i="12766" s="1"/>
  <c r="G835" i="12766"/>
  <c r="H863" i="12766"/>
  <c r="G863" i="12766"/>
  <c r="I673" i="12766"/>
  <c r="K673" i="12766" s="1"/>
  <c r="D724" i="12766"/>
  <c r="E750" i="12766"/>
  <c r="C843" i="12766"/>
  <c r="D834" i="12766"/>
  <c r="D835" i="12766"/>
  <c r="D807" i="12766" s="1"/>
  <c r="D826" i="12766"/>
  <c r="C813" i="12766"/>
  <c r="C785" i="12766" s="1"/>
  <c r="C787" i="12766" s="1"/>
  <c r="K835" i="12766"/>
  <c r="D838" i="12766"/>
  <c r="K838" i="12766" s="1"/>
  <c r="K810" i="12766" s="1"/>
  <c r="D840" i="12766"/>
  <c r="C795" i="12766"/>
  <c r="C852" i="12766"/>
  <c r="G851" i="12766"/>
  <c r="G795" i="12766" s="1"/>
  <c r="G767" i="12766" s="1"/>
  <c r="K862" i="12766"/>
  <c r="H866" i="12766"/>
  <c r="P907" i="12766"/>
  <c r="M907" i="12766"/>
  <c r="K907" i="12766"/>
  <c r="H907" i="12766"/>
  <c r="K950" i="12766"/>
  <c r="G976" i="12766"/>
  <c r="G1001" i="12766" s="1"/>
  <c r="G1003" i="12766" s="1"/>
  <c r="D976" i="12766"/>
  <c r="D843" i="12766"/>
  <c r="K829" i="12766"/>
  <c r="H829" i="12766"/>
  <c r="D801" i="12766"/>
  <c r="K840" i="12766"/>
  <c r="K812" i="12766" s="1"/>
  <c r="K866" i="12766"/>
  <c r="G929" i="12766"/>
  <c r="C929" i="12766"/>
  <c r="G951" i="12766"/>
  <c r="G953" i="12766" s="1"/>
  <c r="G955" i="12766" s="1"/>
  <c r="G653" i="12766"/>
  <c r="G602" i="12766" s="1"/>
  <c r="I659" i="12766"/>
  <c r="K659" i="12766" s="1"/>
  <c r="K608" i="12766" s="1"/>
  <c r="G710" i="12766"/>
  <c r="G608" i="12766" s="1"/>
  <c r="D723" i="12766"/>
  <c r="G724" i="12766"/>
  <c r="G622" i="12766" s="1"/>
  <c r="K746" i="12766"/>
  <c r="E749" i="12766"/>
  <c r="I756" i="12766"/>
  <c r="I832" i="12766"/>
  <c r="K832" i="12766" s="1"/>
  <c r="K804" i="12766" s="1"/>
  <c r="K776" i="12766" s="1"/>
  <c r="K822" i="12766"/>
  <c r="H836" i="12766"/>
  <c r="H808" i="12766" s="1"/>
  <c r="D693" i="12766"/>
  <c r="K696" i="12766"/>
  <c r="D704" i="12766"/>
  <c r="H704" i="12766" s="1"/>
  <c r="D712" i="12766"/>
  <c r="D610" i="12766" s="1"/>
  <c r="I750" i="12766"/>
  <c r="G798" i="12766"/>
  <c r="G770" i="12766" s="1"/>
  <c r="K837" i="12766"/>
  <c r="K809" i="12766" s="1"/>
  <c r="K863" i="12766"/>
  <c r="K858" i="12766"/>
  <c r="H858" i="12766"/>
  <c r="M964" i="12766"/>
  <c r="P973" i="12766"/>
  <c r="M973" i="12766"/>
  <c r="K973" i="12766"/>
  <c r="H973" i="12766"/>
  <c r="I860" i="12766"/>
  <c r="K860" i="12766" s="1"/>
  <c r="I865" i="12766"/>
  <c r="K865" i="12766" s="1"/>
  <c r="C871" i="12766"/>
  <c r="I892" i="12766"/>
  <c r="P904" i="12766"/>
  <c r="M905" i="12766"/>
  <c r="C942" i="12766"/>
  <c r="P981" i="12766"/>
  <c r="P982" i="12766"/>
  <c r="P984" i="12766"/>
  <c r="P985" i="12766"/>
  <c r="P988" i="12766"/>
  <c r="P989" i="12766"/>
  <c r="P990" i="12766"/>
  <c r="K823" i="12766"/>
  <c r="K795" i="12766" s="1"/>
  <c r="K767" i="12766" s="1"/>
  <c r="K825" i="12766"/>
  <c r="D827" i="12766"/>
  <c r="G833" i="12766"/>
  <c r="G805" i="12766" s="1"/>
  <c r="G777" i="12766" s="1"/>
  <c r="D837" i="12766"/>
  <c r="K854" i="12766"/>
  <c r="D857" i="12766"/>
  <c r="K857" i="12766" s="1"/>
  <c r="G862" i="12766"/>
  <c r="K880" i="12766"/>
  <c r="G887" i="12766"/>
  <c r="G776" i="12766" s="1"/>
  <c r="G890" i="12766"/>
  <c r="C896" i="12766"/>
  <c r="P905" i="12766"/>
  <c r="D917" i="12766"/>
  <c r="C922" i="12766"/>
  <c r="D977" i="12766"/>
  <c r="G963" i="12766"/>
  <c r="G964" i="12766" s="1"/>
  <c r="G966" i="12766" s="1"/>
  <c r="H794" i="12766"/>
  <c r="H766" i="12766" s="1"/>
  <c r="D855" i="12766"/>
  <c r="D866" i="12766"/>
  <c r="I890" i="12766"/>
  <c r="C892" i="12766"/>
  <c r="D995" i="12766"/>
  <c r="D854" i="12766"/>
  <c r="H854" i="12766" s="1"/>
  <c r="D864" i="12766"/>
  <c r="H864" i="12766" s="1"/>
  <c r="G866" i="12766"/>
  <c r="G810" i="12766" s="1"/>
  <c r="G782" i="12766" s="1"/>
  <c r="H904" i="12766"/>
  <c r="D906" i="12766"/>
  <c r="D972" i="12766"/>
  <c r="H981" i="12766"/>
  <c r="H982" i="12766"/>
  <c r="H984" i="12766"/>
  <c r="H985" i="12766"/>
  <c r="H988" i="12766"/>
  <c r="H989" i="12766"/>
  <c r="H990" i="12766"/>
  <c r="H992" i="12766"/>
  <c r="H993" i="12766"/>
  <c r="D996" i="12766"/>
  <c r="I28" i="12771"/>
  <c r="G28" i="12770"/>
  <c r="G39" i="12770"/>
  <c r="G15" i="12770"/>
  <c r="G32" i="12769"/>
  <c r="G30" i="12769"/>
  <c r="G14" i="12769"/>
  <c r="G22" i="12769"/>
  <c r="G16" i="12769"/>
  <c r="G19" i="12769"/>
  <c r="G27" i="12769"/>
  <c r="I31" i="12771"/>
  <c r="I32" i="12771"/>
  <c r="I29" i="12771"/>
  <c r="D19" i="12833"/>
  <c r="R19" i="12833" s="1"/>
  <c r="D32" i="12833"/>
  <c r="R32" i="12833" s="1"/>
  <c r="D10" i="12833"/>
  <c r="R10" i="12833" s="1"/>
  <c r="D20" i="12833"/>
  <c r="R20" i="12833" s="1"/>
  <c r="D33" i="12833"/>
  <c r="R33" i="12833" s="1"/>
  <c r="D12" i="12833"/>
  <c r="R12" i="12833" s="1"/>
  <c r="D23" i="12833"/>
  <c r="R23" i="12833" s="1"/>
  <c r="D11" i="12833"/>
  <c r="R11" i="12833" s="1"/>
  <c r="D22" i="12833"/>
  <c r="R22" i="12833" s="1"/>
  <c r="D14" i="12833"/>
  <c r="R14" i="12833" s="1"/>
  <c r="D25" i="12833"/>
  <c r="R25" i="12833" s="1"/>
  <c r="D15" i="12833"/>
  <c r="R15" i="12833" s="1"/>
  <c r="D27" i="12833"/>
  <c r="R27" i="12833" s="1"/>
  <c r="D16" i="12833"/>
  <c r="R16" i="12833" s="1"/>
  <c r="D28" i="12833"/>
  <c r="R28" i="12833" s="1"/>
  <c r="D17" i="12833"/>
  <c r="R17" i="12833" s="1"/>
  <c r="D29" i="12833"/>
  <c r="R29" i="12833" s="1"/>
  <c r="D26" i="12833"/>
  <c r="R26" i="12833" s="1"/>
  <c r="D31" i="12833"/>
  <c r="R31" i="12833" s="1"/>
  <c r="D21" i="12833"/>
  <c r="R21" i="12833" s="1"/>
  <c r="C420" i="12843"/>
  <c r="C417" i="12843"/>
  <c r="C1077" i="12843"/>
  <c r="C880" i="12843"/>
  <c r="C416" i="12843"/>
  <c r="F994" i="12843"/>
  <c r="F1014" i="12843"/>
  <c r="F1017" i="12843"/>
  <c r="F332" i="12843"/>
  <c r="F324" i="12843"/>
  <c r="F430" i="12843"/>
  <c r="F325" i="12843"/>
  <c r="I160" i="12843"/>
  <c r="I147" i="12843"/>
  <c r="I88" i="12843"/>
  <c r="I102" i="12843"/>
  <c r="I115" i="12843"/>
  <c r="D524" i="12843"/>
  <c r="F524" i="12843" s="1"/>
  <c r="F510" i="12843"/>
  <c r="I313" i="12843"/>
  <c r="D284" i="12843"/>
  <c r="F284" i="12843" s="1"/>
  <c r="D312" i="12843"/>
  <c r="F312" i="12843" s="1"/>
  <c r="D226" i="12843"/>
  <c r="D250" i="12843"/>
  <c r="F250" i="12843" s="1"/>
  <c r="D253" i="12843"/>
  <c r="F253" i="12843" s="1"/>
  <c r="D277" i="12843"/>
  <c r="F277" i="12843" s="1"/>
  <c r="D279" i="12843"/>
  <c r="F279" i="12843" s="1"/>
  <c r="D281" i="12843"/>
  <c r="F281" i="12843" s="1"/>
  <c r="D283" i="12843"/>
  <c r="F283" i="12843" s="1"/>
  <c r="I285" i="12843"/>
  <c r="F328" i="12843"/>
  <c r="D336" i="12843"/>
  <c r="F336" i="12843" s="1"/>
  <c r="D339" i="12843"/>
  <c r="F339" i="12843" s="1"/>
  <c r="D365" i="12843"/>
  <c r="F365" i="12843" s="1"/>
  <c r="D370" i="12843"/>
  <c r="F370" i="12843" s="1"/>
  <c r="I372" i="12843"/>
  <c r="D399" i="12843"/>
  <c r="F399" i="12843" s="1"/>
  <c r="I401" i="12843"/>
  <c r="D471" i="12843"/>
  <c r="D453" i="12843"/>
  <c r="F453" i="12843" s="1"/>
  <c r="I371" i="12843"/>
  <c r="I459" i="12843"/>
  <c r="I400" i="12843"/>
  <c r="D309" i="12843"/>
  <c r="F309" i="12843" s="1"/>
  <c r="D340" i="12843"/>
  <c r="F340" i="12843" s="1"/>
  <c r="D363" i="12843"/>
  <c r="F363" i="12843" s="1"/>
  <c r="D397" i="12843"/>
  <c r="F397" i="12843" s="1"/>
  <c r="D478" i="12843"/>
  <c r="D487" i="12843" s="1"/>
  <c r="F487" i="12843" s="1"/>
  <c r="D227" i="12843"/>
  <c r="D252" i="12843"/>
  <c r="F252" i="12843" s="1"/>
  <c r="D255" i="12843"/>
  <c r="F255" i="12843" s="1"/>
  <c r="D334" i="12843"/>
  <c r="F334" i="12843" s="1"/>
  <c r="D337" i="12843"/>
  <c r="F337" i="12843" s="1"/>
  <c r="D366" i="12843"/>
  <c r="F366" i="12843" s="1"/>
  <c r="D392" i="12843"/>
  <c r="F392" i="12843" s="1"/>
  <c r="D248" i="12843"/>
  <c r="F248" i="12843" s="1"/>
  <c r="D369" i="12843"/>
  <c r="F369" i="12843" s="1"/>
  <c r="D395" i="12843"/>
  <c r="F395" i="12843" s="1"/>
  <c r="D475" i="12843"/>
  <c r="D484" i="12843" s="1"/>
  <c r="F484" i="12843" s="1"/>
  <c r="D455" i="12843"/>
  <c r="F455" i="12843" s="1"/>
  <c r="D338" i="12843"/>
  <c r="F338" i="12843" s="1"/>
  <c r="D398" i="12843"/>
  <c r="F398" i="12843" s="1"/>
  <c r="D526" i="12843"/>
  <c r="F526" i="12843" s="1"/>
  <c r="F512" i="12843"/>
  <c r="D775" i="12843"/>
  <c r="D794" i="12843" s="1"/>
  <c r="F794" i="12843" s="1"/>
  <c r="D724" i="12843"/>
  <c r="D743" i="12843" s="1"/>
  <c r="F743" i="12843" s="1"/>
  <c r="D690" i="12843"/>
  <c r="F99" i="12843"/>
  <c r="I286" i="12843"/>
  <c r="I489" i="12843"/>
  <c r="I314" i="12843"/>
  <c r="I460" i="12843"/>
  <c r="F458" i="12843"/>
  <c r="F456" i="12843"/>
  <c r="I488" i="12843"/>
  <c r="D525" i="12843"/>
  <c r="F525" i="12843" s="1"/>
  <c r="F511" i="12843"/>
  <c r="D536" i="12843"/>
  <c r="F536" i="12843" s="1"/>
  <c r="G22" i="12770"/>
  <c r="I24" i="12771"/>
  <c r="I20" i="12771"/>
  <c r="I18" i="12771"/>
  <c r="I19" i="12771"/>
  <c r="I25" i="12771"/>
  <c r="I610" i="12843"/>
  <c r="F331" i="12843"/>
  <c r="G30" i="12770"/>
  <c r="G40" i="12770"/>
  <c r="D727" i="12843"/>
  <c r="D746" i="12843" s="1"/>
  <c r="F746" i="12843" s="1"/>
  <c r="F693" i="12843" s="1"/>
  <c r="F816" i="12843"/>
  <c r="G18" i="12769"/>
  <c r="G20" i="12769"/>
  <c r="G24" i="12770"/>
  <c r="G32" i="12770"/>
  <c r="I27" i="12771"/>
  <c r="I33" i="12771"/>
  <c r="D723" i="12843"/>
  <c r="D742" i="12843" s="1"/>
  <c r="F742" i="12843" s="1"/>
  <c r="F824" i="12843"/>
  <c r="G15" i="12769"/>
  <c r="G24" i="12769"/>
  <c r="G31" i="12769"/>
  <c r="G34" i="12770"/>
  <c r="G28" i="12769"/>
  <c r="G35" i="12770"/>
  <c r="I14" i="12769"/>
  <c r="G18" i="12770"/>
  <c r="G27" i="12770"/>
  <c r="F813" i="12843"/>
  <c r="G23" i="12769"/>
  <c r="G26" i="12769"/>
  <c r="G23" i="12770"/>
  <c r="G38" i="12770"/>
  <c r="F826" i="12843"/>
  <c r="G30" i="12783"/>
  <c r="F997" i="12843"/>
  <c r="F860" i="12843"/>
  <c r="F857" i="12843"/>
  <c r="F688" i="12843"/>
  <c r="F683" i="12843"/>
  <c r="F684" i="12843"/>
  <c r="F697" i="12843"/>
  <c r="F679" i="12843"/>
  <c r="F696" i="12843"/>
  <c r="F682" i="12843"/>
  <c r="F698" i="12843"/>
  <c r="F561" i="12843"/>
  <c r="C171" i="12843"/>
  <c r="F739" i="12843"/>
  <c r="F686" i="12843" s="1"/>
  <c r="C1119" i="12843"/>
  <c r="C329" i="12843"/>
  <c r="I750" i="12843"/>
  <c r="C665" i="12843"/>
  <c r="C681" i="12843"/>
  <c r="C695" i="12843"/>
  <c r="C1079" i="12843"/>
  <c r="F44" i="12843"/>
  <c r="C686" i="12843"/>
  <c r="C660" i="12843"/>
  <c r="C699" i="12843"/>
  <c r="F43" i="12843"/>
  <c r="C661" i="12843"/>
  <c r="I23" i="12769"/>
  <c r="I15" i="12769"/>
  <c r="I18" i="12769"/>
  <c r="I20" i="12769"/>
  <c r="I22" i="12769"/>
  <c r="C554" i="12843"/>
  <c r="C645" i="12843"/>
  <c r="C925" i="12843"/>
  <c r="C985" i="12843"/>
  <c r="C1043" i="12843"/>
  <c r="G19" i="12770"/>
  <c r="G16" i="12770"/>
  <c r="G20" i="12770"/>
  <c r="G26" i="12770"/>
  <c r="G31" i="12770"/>
  <c r="G36" i="12770"/>
  <c r="G14" i="12770"/>
  <c r="C860" i="12843"/>
  <c r="C840" i="12843" s="1"/>
  <c r="C1013" i="12843"/>
  <c r="C162" i="12843"/>
  <c r="F630" i="12843"/>
  <c r="F587" i="12843"/>
  <c r="F592" i="12843"/>
  <c r="C996" i="12843"/>
  <c r="F156" i="12843"/>
  <c r="F98" i="12843"/>
  <c r="C210" i="12843"/>
  <c r="F358" i="12843"/>
  <c r="C559" i="12843"/>
  <c r="F720" i="12843"/>
  <c r="F721" i="12843"/>
  <c r="F442" i="12843"/>
  <c r="C561" i="12843"/>
  <c r="F713" i="12843"/>
  <c r="F914" i="12843"/>
  <c r="F157" i="12843"/>
  <c r="C413" i="12843"/>
  <c r="C173" i="12843" s="1"/>
  <c r="C418" i="12843"/>
  <c r="F601" i="12843"/>
  <c r="F563" i="12843" s="1"/>
  <c r="C656" i="12843"/>
  <c r="C667" i="12843"/>
  <c r="C714" i="12843"/>
  <c r="C993" i="12843"/>
  <c r="C653" i="12843"/>
  <c r="C666" i="12843"/>
  <c r="F751" i="12843"/>
  <c r="F700" i="12843" s="1"/>
  <c r="F895" i="12843"/>
  <c r="C222" i="12843"/>
  <c r="C188" i="12843" s="1"/>
  <c r="C104" i="12843"/>
  <c r="F285" i="12843"/>
  <c r="C567" i="12843"/>
  <c r="C663" i="12843"/>
  <c r="C857" i="12843"/>
  <c r="C837" i="12843" s="1"/>
  <c r="C885" i="12843"/>
  <c r="F885" i="12843" s="1"/>
  <c r="B24" i="12783"/>
  <c r="B25" i="12783" s="1"/>
  <c r="C226" i="12843"/>
  <c r="C555" i="12843"/>
  <c r="C562" i="12843"/>
  <c r="C563" i="12843"/>
  <c r="F597" i="12843"/>
  <c r="F609" i="12843"/>
  <c r="F571" i="12843" s="1"/>
  <c r="C875" i="12843"/>
  <c r="C1003" i="12843"/>
  <c r="F602" i="12843"/>
  <c r="F302" i="12843"/>
  <c r="F301" i="12843"/>
  <c r="C549" i="12843"/>
  <c r="F624" i="12843"/>
  <c r="C69" i="12843"/>
  <c r="F147" i="12843"/>
  <c r="F161" i="12843"/>
  <c r="C211" i="12843"/>
  <c r="C176" i="12843" s="1"/>
  <c r="C315" i="12843"/>
  <c r="C415" i="12843"/>
  <c r="C548" i="12843"/>
  <c r="F620" i="12843"/>
  <c r="F634" i="12843"/>
  <c r="F640" i="12843"/>
  <c r="C657" i="12843"/>
  <c r="C658" i="12843"/>
  <c r="C668" i="12843"/>
  <c r="C669" i="12843"/>
  <c r="F771" i="12843"/>
  <c r="F772" i="12843"/>
  <c r="F777" i="12843"/>
  <c r="F965" i="12843"/>
  <c r="C1023" i="12843"/>
  <c r="F1055" i="12843"/>
  <c r="F1060" i="12843"/>
  <c r="F1064" i="12843"/>
  <c r="F1117" i="12843"/>
  <c r="C16" i="12859"/>
  <c r="L44" i="12837"/>
  <c r="R44" i="12837" s="1"/>
  <c r="F146" i="12843"/>
  <c r="C214" i="12843"/>
  <c r="F271" i="12843"/>
  <c r="F280" i="12843"/>
  <c r="C298" i="12843"/>
  <c r="C547" i="12843"/>
  <c r="F619" i="12843"/>
  <c r="C671" i="12843"/>
  <c r="I751" i="12843"/>
  <c r="F763" i="12843"/>
  <c r="F764" i="12843"/>
  <c r="C976" i="12843"/>
  <c r="C1095" i="12843"/>
  <c r="C17" i="12843"/>
  <c r="O17" i="12843" s="1"/>
  <c r="C218" i="12843"/>
  <c r="C672" i="12843"/>
  <c r="C878" i="12843"/>
  <c r="C957" i="12843"/>
  <c r="I1117" i="12843"/>
  <c r="F28" i="12859"/>
  <c r="P44" i="12837"/>
  <c r="V44" i="12837" s="1"/>
  <c r="C414" i="12843"/>
  <c r="C815" i="12843"/>
  <c r="F55" i="12843"/>
  <c r="C220" i="12843"/>
  <c r="C223" i="12843"/>
  <c r="C189" i="12843" s="1"/>
  <c r="F240" i="12843"/>
  <c r="F268" i="12843"/>
  <c r="F275" i="12843"/>
  <c r="C412" i="12843"/>
  <c r="C172" i="12843" s="1"/>
  <c r="C564" i="12843"/>
  <c r="C565" i="12843"/>
  <c r="C566" i="12843"/>
  <c r="F623" i="12843"/>
  <c r="F629" i="12843"/>
  <c r="F712" i="12843"/>
  <c r="C765" i="12843"/>
  <c r="F974" i="12843"/>
  <c r="F1053" i="12843"/>
  <c r="F1057" i="12843"/>
  <c r="F1062" i="12843"/>
  <c r="V37" i="12837"/>
  <c r="C18" i="12843"/>
  <c r="G37" i="12783" s="1"/>
  <c r="F56" i="12843"/>
  <c r="C229" i="12843"/>
  <c r="C195" i="12843" s="1"/>
  <c r="F239" i="12843"/>
  <c r="F267" i="12843"/>
  <c r="F297" i="12843"/>
  <c r="C327" i="12843"/>
  <c r="F381" i="12843"/>
  <c r="C490" i="12843"/>
  <c r="C552" i="12843"/>
  <c r="C568" i="12843"/>
  <c r="C569" i="12843"/>
  <c r="C570" i="12843"/>
  <c r="C622" i="12843"/>
  <c r="C677" i="12843"/>
  <c r="F750" i="12843"/>
  <c r="F699" i="12843" s="1"/>
  <c r="C937" i="12843"/>
  <c r="C944" i="12843"/>
  <c r="F955" i="12843"/>
  <c r="V28" i="12837"/>
  <c r="C227" i="12843"/>
  <c r="C193" i="12843" s="1"/>
  <c r="C270" i="12843"/>
  <c r="C323" i="12843"/>
  <c r="F323" i="12843" s="1"/>
  <c r="C461" i="12843"/>
  <c r="C551" i="12843"/>
  <c r="C934" i="12843"/>
  <c r="I30" i="12769"/>
  <c r="I16" i="12769"/>
  <c r="I32" i="12769"/>
  <c r="I26" i="12769"/>
  <c r="I28" i="12769"/>
  <c r="I31" i="12769"/>
  <c r="I19" i="12769"/>
  <c r="I24" i="12769"/>
  <c r="I27" i="12769"/>
  <c r="F42" i="12843"/>
  <c r="C15" i="12843"/>
  <c r="O15" i="12843" s="1"/>
  <c r="F54" i="12843"/>
  <c r="C19" i="12843"/>
  <c r="C16" i="12843"/>
  <c r="O16" i="12843" s="1"/>
  <c r="F31" i="12843"/>
  <c r="C224" i="12843"/>
  <c r="C228" i="12843"/>
  <c r="C194" i="12843" s="1"/>
  <c r="F313" i="12843"/>
  <c r="C355" i="12843"/>
  <c r="F1023" i="12843"/>
  <c r="I148" i="12843"/>
  <c r="C68" i="12843"/>
  <c r="C70" i="12843"/>
  <c r="I146" i="12843"/>
  <c r="F148" i="12843"/>
  <c r="F159" i="12843"/>
  <c r="I161" i="12843"/>
  <c r="C212" i="12843"/>
  <c r="C177" i="12843" s="1"/>
  <c r="C221" i="12843"/>
  <c r="C225" i="12843"/>
  <c r="F269" i="12843"/>
  <c r="F286" i="12843"/>
  <c r="F295" i="12843"/>
  <c r="F299" i="12843"/>
  <c r="F303" i="12843"/>
  <c r="F352" i="12843"/>
  <c r="F359" i="12843"/>
  <c r="I159" i="12843"/>
  <c r="F30" i="12843"/>
  <c r="C65" i="12843"/>
  <c r="F84" i="12843"/>
  <c r="F100" i="12843"/>
  <c r="F111" i="12843"/>
  <c r="F143" i="12843"/>
  <c r="F158" i="12843"/>
  <c r="F160" i="12843"/>
  <c r="F238" i="12843"/>
  <c r="F242" i="12843"/>
  <c r="F246" i="12843"/>
  <c r="F296" i="12843"/>
  <c r="F300" i="12843"/>
  <c r="F306" i="12843"/>
  <c r="F310" i="12843"/>
  <c r="F314" i="12843"/>
  <c r="C373" i="12843"/>
  <c r="F441" i="12843"/>
  <c r="F445" i="12843"/>
  <c r="F585" i="12843"/>
  <c r="F589" i="12843"/>
  <c r="F603" i="12843"/>
  <c r="F565" i="12843" s="1"/>
  <c r="F607" i="12843"/>
  <c r="F621" i="12843"/>
  <c r="F626" i="12843"/>
  <c r="F631" i="12843"/>
  <c r="F636" i="12843"/>
  <c r="F641" i="12843"/>
  <c r="F711" i="12843"/>
  <c r="F718" i="12843"/>
  <c r="F760" i="12843"/>
  <c r="F762" i="12843"/>
  <c r="F769" i="12843"/>
  <c r="F780" i="12843"/>
  <c r="C803" i="12843"/>
  <c r="F898" i="12843"/>
  <c r="C916" i="12843"/>
  <c r="C877" i="12843" s="1"/>
  <c r="F958" i="12843"/>
  <c r="F977" i="12843"/>
  <c r="F1054" i="12843"/>
  <c r="F1059" i="12843"/>
  <c r="F1063" i="12843"/>
  <c r="C1107" i="12843"/>
  <c r="F1118" i="12843"/>
  <c r="F1120" i="12843"/>
  <c r="C1121" i="12843"/>
  <c r="F446" i="12843"/>
  <c r="F586" i="12843"/>
  <c r="C588" i="12843"/>
  <c r="F590" i="12843"/>
  <c r="F600" i="12843"/>
  <c r="F608" i="12843"/>
  <c r="F627" i="12843"/>
  <c r="F642" i="12843"/>
  <c r="F709" i="12843"/>
  <c r="F722" i="12843"/>
  <c r="F730" i="12843"/>
  <c r="F734" i="12843"/>
  <c r="F681" i="12843" s="1"/>
  <c r="F748" i="12843"/>
  <c r="F695" i="12843" s="1"/>
  <c r="F773" i="12843"/>
  <c r="F778" i="12843"/>
  <c r="F781" i="12843"/>
  <c r="C1016" i="12843"/>
  <c r="C1020" i="12843"/>
  <c r="F447" i="12843"/>
  <c r="F387" i="12843"/>
  <c r="F440" i="12843"/>
  <c r="F449" i="12843"/>
  <c r="F470" i="12843"/>
  <c r="F606" i="12843"/>
  <c r="F610" i="12843"/>
  <c r="F572" i="12843" s="1"/>
  <c r="F917" i="12843"/>
  <c r="F29" i="12859"/>
  <c r="L46" i="12837"/>
  <c r="L58" i="12837"/>
  <c r="R58" i="12837" s="1"/>
  <c r="R37" i="12837"/>
  <c r="C15" i="12859"/>
  <c r="I15" i="12859" s="1"/>
  <c r="I21" i="12859" s="1"/>
  <c r="C34" i="12859"/>
  <c r="P46" i="12837"/>
  <c r="F1003" i="12843" l="1"/>
  <c r="L965" i="12843"/>
  <c r="L1003" i="12843" s="1"/>
  <c r="F937" i="12843"/>
  <c r="L937" i="12843"/>
  <c r="F875" i="12843"/>
  <c r="F856" i="12843" s="1"/>
  <c r="L875" i="12843"/>
  <c r="F880" i="12843"/>
  <c r="L880" i="12843"/>
  <c r="L223" i="12843"/>
  <c r="L189" i="12843" s="1"/>
  <c r="L860" i="12843"/>
  <c r="L840" i="12843" s="1"/>
  <c r="F934" i="12843"/>
  <c r="L934" i="12843"/>
  <c r="L878" i="12843"/>
  <c r="L857" i="12843"/>
  <c r="L837" i="12843" s="1"/>
  <c r="F474" i="12843"/>
  <c r="F416" i="12843" s="1"/>
  <c r="F638" i="12843"/>
  <c r="C187" i="12843"/>
  <c r="C186" i="12843"/>
  <c r="F604" i="12843"/>
  <c r="F1069" i="12843"/>
  <c r="F1071" i="12843" s="1"/>
  <c r="F727" i="12843"/>
  <c r="F774" i="12843"/>
  <c r="F726" i="12843"/>
  <c r="F671" i="12843" s="1"/>
  <c r="F723" i="12843"/>
  <c r="F469" i="12843"/>
  <c r="F476" i="12843"/>
  <c r="F418" i="12843" s="1"/>
  <c r="F724" i="12843"/>
  <c r="F427" i="12843"/>
  <c r="F425" i="12843"/>
  <c r="F689" i="12843"/>
  <c r="C184" i="12843"/>
  <c r="F419" i="12843"/>
  <c r="D486" i="12843"/>
  <c r="F486" i="12843" s="1"/>
  <c r="F428" i="12843" s="1"/>
  <c r="I572" i="12843"/>
  <c r="I699" i="12843"/>
  <c r="I700" i="12843"/>
  <c r="I571" i="12843"/>
  <c r="F329" i="12843"/>
  <c r="F775" i="12843"/>
  <c r="F475" i="12843"/>
  <c r="K525" i="12787"/>
  <c r="I536" i="12787"/>
  <c r="K536" i="12787" s="1"/>
  <c r="D482" i="12843"/>
  <c r="F482" i="12843" s="1"/>
  <c r="F424" i="12843" s="1"/>
  <c r="F471" i="12843"/>
  <c r="F413" i="12843" s="1"/>
  <c r="F173" i="12843" s="1"/>
  <c r="K582" i="12766"/>
  <c r="H747" i="12766"/>
  <c r="G747" i="12766"/>
  <c r="G368" i="12766"/>
  <c r="G434" i="12766"/>
  <c r="G436" i="12766" s="1"/>
  <c r="I921" i="12787"/>
  <c r="I906" i="12787"/>
  <c r="I920" i="12787"/>
  <c r="I912" i="12787"/>
  <c r="I905" i="12787"/>
  <c r="I919" i="12787"/>
  <c r="I911" i="12787"/>
  <c r="I918" i="12787"/>
  <c r="I904" i="12787"/>
  <c r="I917" i="12787"/>
  <c r="I910" i="12787"/>
  <c r="I916" i="12787"/>
  <c r="I909" i="12787"/>
  <c r="I915" i="12787"/>
  <c r="I908" i="12787"/>
  <c r="I913" i="12787"/>
  <c r="I907" i="12787"/>
  <c r="H391" i="12787"/>
  <c r="H362" i="12787" s="1"/>
  <c r="G391" i="12787"/>
  <c r="E400" i="12787"/>
  <c r="H226" i="12787"/>
  <c r="D23" i="12766"/>
  <c r="M23" i="12766" s="1"/>
  <c r="H57" i="12766"/>
  <c r="K57" i="12766"/>
  <c r="H526" i="12787"/>
  <c r="C781" i="12766"/>
  <c r="G892" i="12766"/>
  <c r="G781" i="12766" s="1"/>
  <c r="M917" i="12766"/>
  <c r="M920" i="12766" s="1"/>
  <c r="K917" i="12766"/>
  <c r="K920" i="12766" s="1"/>
  <c r="K922" i="12766" s="1"/>
  <c r="H917" i="12766"/>
  <c r="H920" i="12766" s="1"/>
  <c r="H922" i="12766" s="1"/>
  <c r="K892" i="12766"/>
  <c r="K781" i="12766" s="1"/>
  <c r="K463" i="12766"/>
  <c r="I463" i="12787"/>
  <c r="K463" i="12787" s="1"/>
  <c r="K602" i="12787"/>
  <c r="U584" i="12787" s="1"/>
  <c r="W584" i="12787" s="1"/>
  <c r="G405" i="12766"/>
  <c r="H696" i="12787"/>
  <c r="H594" i="12787" s="1"/>
  <c r="D594" i="12787"/>
  <c r="M594" i="12787" s="1"/>
  <c r="P972" i="12766"/>
  <c r="M972" i="12766"/>
  <c r="K972" i="12766"/>
  <c r="H972" i="12766"/>
  <c r="H422" i="12766"/>
  <c r="K422" i="12766"/>
  <c r="I400" i="12766"/>
  <c r="K400" i="12766" s="1"/>
  <c r="K371" i="12766" s="1"/>
  <c r="D17" i="12766"/>
  <c r="H34" i="12766"/>
  <c r="K34" i="12766"/>
  <c r="H336" i="12787"/>
  <c r="G336" i="12787"/>
  <c r="G278" i="12787" s="1"/>
  <c r="G164" i="12787" s="1"/>
  <c r="O937" i="12787"/>
  <c r="P937" i="12787"/>
  <c r="H979" i="12787"/>
  <c r="H982" i="12787" s="1"/>
  <c r="H984" i="12787" s="1"/>
  <c r="K979" i="12787"/>
  <c r="I534" i="12787"/>
  <c r="K534" i="12787" s="1"/>
  <c r="K522" i="12787"/>
  <c r="G862" i="12787"/>
  <c r="H862" i="12787"/>
  <c r="H716" i="12787"/>
  <c r="G716" i="12787"/>
  <c r="D812" i="12787"/>
  <c r="D784" i="12787" s="1"/>
  <c r="M784" i="12787" s="1"/>
  <c r="H840" i="12787"/>
  <c r="H812" i="12787" s="1"/>
  <c r="H784" i="12787" s="1"/>
  <c r="D618" i="12787"/>
  <c r="H669" i="12787"/>
  <c r="H834" i="12766"/>
  <c r="H806" i="12766" s="1"/>
  <c r="H778" i="12766" s="1"/>
  <c r="D806" i="12766"/>
  <c r="D778" i="12766" s="1"/>
  <c r="M778" i="12766" s="1"/>
  <c r="K834" i="12766"/>
  <c r="K806" i="12766" s="1"/>
  <c r="K778" i="12766" s="1"/>
  <c r="D198" i="12766"/>
  <c r="D169" i="12766" s="1"/>
  <c r="M169" i="12766" s="1"/>
  <c r="H226" i="12766"/>
  <c r="H230" i="12766"/>
  <c r="K230" i="12766"/>
  <c r="M751" i="12787"/>
  <c r="K751" i="12787"/>
  <c r="K697" i="12787"/>
  <c r="I716" i="12787"/>
  <c r="K716" i="12787" s="1"/>
  <c r="H795" i="12787"/>
  <c r="H767" i="12787" s="1"/>
  <c r="G567" i="12787"/>
  <c r="K117" i="12787"/>
  <c r="K89" i="12787"/>
  <c r="K91" i="12787" s="1"/>
  <c r="D815" i="12766"/>
  <c r="I717" i="12766"/>
  <c r="K717" i="12766" s="1"/>
  <c r="K698" i="12766"/>
  <c r="I568" i="12766"/>
  <c r="G472" i="12766"/>
  <c r="G474" i="12766" s="1"/>
  <c r="I341" i="12766"/>
  <c r="K341" i="12766" s="1"/>
  <c r="K332" i="12766"/>
  <c r="G273" i="12766"/>
  <c r="H891" i="12787"/>
  <c r="G891" i="12787"/>
  <c r="G780" i="12787" s="1"/>
  <c r="H432" i="12787"/>
  <c r="G432" i="12787"/>
  <c r="G360" i="12787"/>
  <c r="C157" i="12787"/>
  <c r="H585" i="12787"/>
  <c r="D624" i="12766"/>
  <c r="M624" i="12766" s="1"/>
  <c r="H675" i="12766"/>
  <c r="H624" i="12766" s="1"/>
  <c r="K675" i="12766"/>
  <c r="K624" i="12766" s="1"/>
  <c r="D599" i="12766"/>
  <c r="M599" i="12766" s="1"/>
  <c r="H650" i="12766"/>
  <c r="K650" i="12766"/>
  <c r="K599" i="12766" s="1"/>
  <c r="K219" i="12766"/>
  <c r="H219" i="12766"/>
  <c r="I1009" i="12787"/>
  <c r="I1022" i="12787"/>
  <c r="I1017" i="12787"/>
  <c r="I1010" i="12787"/>
  <c r="I1001" i="12787"/>
  <c r="I1025" i="12787"/>
  <c r="I1018" i="12787"/>
  <c r="I1011" i="12787"/>
  <c r="I1003" i="12787"/>
  <c r="I1026" i="12787"/>
  <c r="I1019" i="12787"/>
  <c r="I1013" i="12787"/>
  <c r="I1005" i="12787"/>
  <c r="I1028" i="12787"/>
  <c r="I1021" i="12787"/>
  <c r="I1006" i="12787"/>
  <c r="I1014" i="12787"/>
  <c r="I1002" i="12787"/>
  <c r="I1024" i="12787"/>
  <c r="K973" i="12787"/>
  <c r="H267" i="12787"/>
  <c r="G402" i="12787"/>
  <c r="G373" i="12787" s="1"/>
  <c r="H519" i="12787"/>
  <c r="I612" i="12843"/>
  <c r="L612" i="12843" s="1"/>
  <c r="P906" i="12766"/>
  <c r="M906" i="12766"/>
  <c r="M909" i="12766" s="1"/>
  <c r="K906" i="12766"/>
  <c r="K909" i="12766" s="1"/>
  <c r="K911" i="12766" s="1"/>
  <c r="H906" i="12766"/>
  <c r="D809" i="12766"/>
  <c r="H837" i="12766"/>
  <c r="H809" i="12766" s="1"/>
  <c r="C767" i="12766"/>
  <c r="C768" i="12766" s="1"/>
  <c r="C796" i="12766"/>
  <c r="D603" i="12766"/>
  <c r="M603" i="12766" s="1"/>
  <c r="H654" i="12766"/>
  <c r="H603" i="12766" s="1"/>
  <c r="H531" i="12766"/>
  <c r="H755" i="12766"/>
  <c r="I666" i="12766"/>
  <c r="K666" i="12766" s="1"/>
  <c r="K647" i="12766"/>
  <c r="K596" i="12766" s="1"/>
  <c r="G619" i="12766"/>
  <c r="K464" i="12766"/>
  <c r="I464" i="12787"/>
  <c r="K464" i="12787" s="1"/>
  <c r="H403" i="12766"/>
  <c r="H374" i="12766" s="1"/>
  <c r="K403" i="12766"/>
  <c r="K374" i="12766" s="1"/>
  <c r="G169" i="12766"/>
  <c r="D303" i="12766"/>
  <c r="D315" i="12766"/>
  <c r="D311" i="12766"/>
  <c r="C319" i="12766"/>
  <c r="D312" i="12766"/>
  <c r="H312" i="12766" s="1"/>
  <c r="H283" i="12766" s="1"/>
  <c r="D316" i="12766"/>
  <c r="D305" i="12766"/>
  <c r="D314" i="12766"/>
  <c r="H314" i="12766" s="1"/>
  <c r="H285" i="12766" s="1"/>
  <c r="D310" i="12766"/>
  <c r="H310" i="12766" s="1"/>
  <c r="H281" i="12766" s="1"/>
  <c r="D304" i="12766"/>
  <c r="C288" i="12766"/>
  <c r="C290" i="12766" s="1"/>
  <c r="D313" i="12766"/>
  <c r="H313" i="12766" s="1"/>
  <c r="H284" i="12766" s="1"/>
  <c r="D309" i="12766"/>
  <c r="D302" i="12766"/>
  <c r="K89" i="12766"/>
  <c r="K91" i="12766" s="1"/>
  <c r="K104" i="12766"/>
  <c r="H887" i="12787"/>
  <c r="G887" i="12787"/>
  <c r="H838" i="12787"/>
  <c r="G838" i="12787"/>
  <c r="H718" i="12787"/>
  <c r="G718" i="12787"/>
  <c r="D809" i="12787"/>
  <c r="D781" i="12787" s="1"/>
  <c r="M781" i="12787" s="1"/>
  <c r="H756" i="12787"/>
  <c r="G756" i="12787"/>
  <c r="H672" i="12787"/>
  <c r="G672" i="12787"/>
  <c r="K540" i="12787"/>
  <c r="K480" i="12787"/>
  <c r="H711" i="12787"/>
  <c r="H609" i="12787" s="1"/>
  <c r="G711" i="12787"/>
  <c r="G609" i="12787" s="1"/>
  <c r="G533" i="12787"/>
  <c r="H533" i="12787"/>
  <c r="H808" i="12787"/>
  <c r="H780" i="12787" s="1"/>
  <c r="I650" i="12787"/>
  <c r="K642" i="12787"/>
  <c r="K591" i="12787" s="1"/>
  <c r="I661" i="12787"/>
  <c r="K661" i="12787" s="1"/>
  <c r="D798" i="12787"/>
  <c r="D770" i="12787" s="1"/>
  <c r="M770" i="12787" s="1"/>
  <c r="H826" i="12787"/>
  <c r="H798" i="12787" s="1"/>
  <c r="H770" i="12787" s="1"/>
  <c r="H709" i="12787"/>
  <c r="H607" i="12787" s="1"/>
  <c r="G709" i="12787"/>
  <c r="G607" i="12787" s="1"/>
  <c r="H522" i="12787"/>
  <c r="G522" i="12787"/>
  <c r="E534" i="12787"/>
  <c r="G531" i="12787"/>
  <c r="G497" i="12787" s="1"/>
  <c r="H531" i="12787"/>
  <c r="D603" i="12787"/>
  <c r="M603" i="12787" s="1"/>
  <c r="H428" i="12787"/>
  <c r="G428" i="12787"/>
  <c r="G258" i="12787"/>
  <c r="G202" i="12787" s="1"/>
  <c r="G173" i="12787" s="1"/>
  <c r="H659" i="12787"/>
  <c r="G659" i="12787"/>
  <c r="H433" i="12787"/>
  <c r="G433" i="12787"/>
  <c r="C815" i="12787"/>
  <c r="C786" i="12787"/>
  <c r="C787" i="12787" s="1"/>
  <c r="G556" i="12787"/>
  <c r="E568" i="12787"/>
  <c r="I308" i="12787"/>
  <c r="K308" i="12787" s="1"/>
  <c r="K279" i="12787" s="1"/>
  <c r="K297" i="12787"/>
  <c r="G528" i="12787"/>
  <c r="G494" i="12787" s="1"/>
  <c r="H528" i="12787"/>
  <c r="H494" i="12787" s="1"/>
  <c r="H55" i="12787"/>
  <c r="H21" i="12787" s="1"/>
  <c r="H128" i="12787"/>
  <c r="H130" i="12787" s="1"/>
  <c r="C259" i="12787"/>
  <c r="V19" i="12837"/>
  <c r="C85" i="12787"/>
  <c r="I35" i="12843"/>
  <c r="L35" i="12843" s="1"/>
  <c r="I1122" i="12843"/>
  <c r="L1122" i="12843" s="1"/>
  <c r="V46" i="12837"/>
  <c r="R46" i="12837"/>
  <c r="H909" i="12766"/>
  <c r="H911" i="12766" s="1"/>
  <c r="P909" i="12766" s="1"/>
  <c r="P910" i="12766" s="1"/>
  <c r="C898" i="12766"/>
  <c r="D891" i="12766"/>
  <c r="D884" i="12766"/>
  <c r="D773" i="12766" s="1"/>
  <c r="D895" i="12766"/>
  <c r="D892" i="12766"/>
  <c r="H892" i="12766" s="1"/>
  <c r="D893" i="12766"/>
  <c r="D885" i="12766"/>
  <c r="D881" i="12766"/>
  <c r="D882" i="12766"/>
  <c r="D890" i="12766"/>
  <c r="H890" i="12766" s="1"/>
  <c r="K951" i="12766"/>
  <c r="K953" i="12766" s="1"/>
  <c r="K955" i="12766" s="1"/>
  <c r="M750" i="12766"/>
  <c r="K750" i="12766"/>
  <c r="K801" i="12766"/>
  <c r="P976" i="12766"/>
  <c r="M976" i="12766"/>
  <c r="K976" i="12766"/>
  <c r="H976" i="12766"/>
  <c r="H840" i="12766"/>
  <c r="H812" i="12766" s="1"/>
  <c r="D812" i="12766"/>
  <c r="D784" i="12766" s="1"/>
  <c r="M784" i="12766" s="1"/>
  <c r="G841" i="12766"/>
  <c r="H756" i="12766"/>
  <c r="G756" i="12766"/>
  <c r="K712" i="12766"/>
  <c r="K610" i="12766" s="1"/>
  <c r="H653" i="12766"/>
  <c r="H602" i="12766" s="1"/>
  <c r="R593" i="12766" s="1"/>
  <c r="D602" i="12766"/>
  <c r="M602" i="12766" s="1"/>
  <c r="K740" i="12766"/>
  <c r="H740" i="12766"/>
  <c r="H758" i="12766" s="1"/>
  <c r="H760" i="12766" s="1"/>
  <c r="M755" i="12766"/>
  <c r="K669" i="12766"/>
  <c r="K618" i="12766" s="1"/>
  <c r="H526" i="12766"/>
  <c r="H953" i="12766"/>
  <c r="H955" i="12766" s="1"/>
  <c r="K724" i="12766"/>
  <c r="I570" i="12766"/>
  <c r="K701" i="12766"/>
  <c r="K539" i="12766"/>
  <c r="H539" i="12766"/>
  <c r="H670" i="12766"/>
  <c r="H619" i="12766" s="1"/>
  <c r="D613" i="12766"/>
  <c r="M613" i="12766" s="1"/>
  <c r="G481" i="12766"/>
  <c r="K310" i="12766"/>
  <c r="K281" i="12766" s="1"/>
  <c r="C574" i="12766"/>
  <c r="K426" i="12766"/>
  <c r="H418" i="12766"/>
  <c r="H434" i="12766" s="1"/>
  <c r="H436" i="12766" s="1"/>
  <c r="K418" i="12766"/>
  <c r="K432" i="12766"/>
  <c r="K385" i="12766"/>
  <c r="I396" i="12766"/>
  <c r="K396" i="12766" s="1"/>
  <c r="G231" i="12766"/>
  <c r="K74" i="12766"/>
  <c r="H74" i="12766"/>
  <c r="G304" i="12766"/>
  <c r="G275" i="12766" s="1"/>
  <c r="C275" i="12766"/>
  <c r="H1030" i="12787"/>
  <c r="H1032" i="12787" s="1"/>
  <c r="G89" i="12766"/>
  <c r="G91" i="12766" s="1"/>
  <c r="G104" i="12766"/>
  <c r="G822" i="12787"/>
  <c r="H822" i="12787"/>
  <c r="E832" i="12787"/>
  <c r="H695" i="12787"/>
  <c r="H593" i="12787" s="1"/>
  <c r="H834" i="12787"/>
  <c r="H806" i="12787" s="1"/>
  <c r="H778" i="12787" s="1"/>
  <c r="G834" i="12787"/>
  <c r="G806" i="12787" s="1"/>
  <c r="G778" i="12787" s="1"/>
  <c r="H750" i="12787"/>
  <c r="G750" i="12787"/>
  <c r="H663" i="12787"/>
  <c r="H612" i="12787" s="1"/>
  <c r="G663" i="12787"/>
  <c r="G612" i="12787" s="1"/>
  <c r="K704" i="12787"/>
  <c r="I723" i="12787"/>
  <c r="K723" i="12787" s="1"/>
  <c r="K621" i="12787" s="1"/>
  <c r="H805" i="12787"/>
  <c r="G569" i="12787"/>
  <c r="G501" i="12787" s="1"/>
  <c r="H892" i="12787"/>
  <c r="G892" i="12787"/>
  <c r="D810" i="12787"/>
  <c r="D782" i="12787" s="1"/>
  <c r="M782" i="12787" s="1"/>
  <c r="H702" i="12787"/>
  <c r="G702" i="12787"/>
  <c r="G600" i="12787" s="1"/>
  <c r="E721" i="12787"/>
  <c r="D624" i="12787"/>
  <c r="M624" i="12787" s="1"/>
  <c r="H424" i="12787"/>
  <c r="H366" i="12787" s="1"/>
  <c r="G424" i="12787"/>
  <c r="K246" i="12787"/>
  <c r="K190" i="12787" s="1"/>
  <c r="I255" i="12787"/>
  <c r="K255" i="12787" s="1"/>
  <c r="I570" i="12787"/>
  <c r="K570" i="12787" s="1"/>
  <c r="K559" i="12787"/>
  <c r="H864" i="12787"/>
  <c r="H420" i="12787"/>
  <c r="G420" i="12787"/>
  <c r="E429" i="12787"/>
  <c r="K272" i="12787"/>
  <c r="K158" i="12787" s="1"/>
  <c r="H697" i="12787"/>
  <c r="H595" i="12787" s="1"/>
  <c r="I395" i="12787"/>
  <c r="K395" i="12787" s="1"/>
  <c r="K366" i="12787" s="1"/>
  <c r="K164" i="12787" s="1"/>
  <c r="K384" i="12787"/>
  <c r="H216" i="12787"/>
  <c r="H538" i="12787"/>
  <c r="G538" i="12787"/>
  <c r="H269" i="12787"/>
  <c r="K326" i="12787"/>
  <c r="K346" i="12787" s="1"/>
  <c r="K348" i="12787" s="1"/>
  <c r="I337" i="12787"/>
  <c r="K337" i="12787" s="1"/>
  <c r="G189" i="12787"/>
  <c r="K124" i="12787"/>
  <c r="K85" i="12787" s="1"/>
  <c r="H888" i="12787"/>
  <c r="H896" i="12787" s="1"/>
  <c r="H898" i="12787" s="1"/>
  <c r="G888" i="12787"/>
  <c r="G896" i="12787" s="1"/>
  <c r="G898" i="12787" s="1"/>
  <c r="S57" i="12859"/>
  <c r="S67" i="12859" s="1"/>
  <c r="K88" i="12787"/>
  <c r="G18" i="12787"/>
  <c r="C89" i="12787"/>
  <c r="C91" i="12787" s="1"/>
  <c r="I259" i="12843"/>
  <c r="L259" i="12843" s="1"/>
  <c r="I1096" i="12843"/>
  <c r="L1096" i="12843" s="1"/>
  <c r="H855" i="12766"/>
  <c r="H869" i="12766" s="1"/>
  <c r="H871" i="12766" s="1"/>
  <c r="K855" i="12766"/>
  <c r="K869" i="12766" s="1"/>
  <c r="K871" i="12766" s="1"/>
  <c r="H827" i="12766"/>
  <c r="D799" i="12766"/>
  <c r="D771" i="12766" s="1"/>
  <c r="M771" i="12766" s="1"/>
  <c r="H838" i="12766"/>
  <c r="H810" i="12766" s="1"/>
  <c r="D810" i="12766"/>
  <c r="D782" i="12766" s="1"/>
  <c r="M782" i="12766" s="1"/>
  <c r="H750" i="12766"/>
  <c r="G750" i="12766"/>
  <c r="G758" i="12766" s="1"/>
  <c r="G760" i="12766" s="1"/>
  <c r="G807" i="12766"/>
  <c r="G779" i="12766" s="1"/>
  <c r="K864" i="12766"/>
  <c r="H751" i="12766"/>
  <c r="G751" i="12766"/>
  <c r="H614" i="12766"/>
  <c r="H525" i="12766"/>
  <c r="D760" i="12766"/>
  <c r="H742" i="12766"/>
  <c r="D622" i="12766"/>
  <c r="M622" i="12766" s="1"/>
  <c r="I702" i="12766"/>
  <c r="I714" i="12766"/>
  <c r="K714" i="12766" s="1"/>
  <c r="K695" i="12766"/>
  <c r="I536" i="12766"/>
  <c r="K536" i="12766" s="1"/>
  <c r="K525" i="12766"/>
  <c r="K654" i="12766"/>
  <c r="K603" i="12766" s="1"/>
  <c r="I534" i="12766"/>
  <c r="K534" i="12766" s="1"/>
  <c r="K522" i="12766"/>
  <c r="G279" i="12766"/>
  <c r="G165" i="12766" s="1"/>
  <c r="I392" i="12766"/>
  <c r="I218" i="12766"/>
  <c r="I421" i="12766"/>
  <c r="I363" i="12766"/>
  <c r="I372" i="12766" s="1"/>
  <c r="I333" i="12766"/>
  <c r="I304" i="12766"/>
  <c r="I190" i="12766"/>
  <c r="I199" i="12766" s="1"/>
  <c r="I246" i="12766"/>
  <c r="I170" i="12766"/>
  <c r="O161" i="12766"/>
  <c r="I275" i="12766"/>
  <c r="I284" i="12766" s="1"/>
  <c r="H296" i="12766"/>
  <c r="K296" i="12766"/>
  <c r="D267" i="12766"/>
  <c r="D270" i="12766" s="1"/>
  <c r="K69" i="12766"/>
  <c r="K76" i="12766" s="1"/>
  <c r="K78" i="12766" s="1"/>
  <c r="H69" i="12766"/>
  <c r="H76" i="12766" s="1"/>
  <c r="H78" i="12766" s="1"/>
  <c r="G166" i="12766"/>
  <c r="H861" i="12787"/>
  <c r="G861" i="12787"/>
  <c r="G805" i="12787" s="1"/>
  <c r="G777" i="12787" s="1"/>
  <c r="D779" i="12787"/>
  <c r="M779" i="12787" s="1"/>
  <c r="I867" i="12787"/>
  <c r="K867" i="12787" s="1"/>
  <c r="K869" i="12787" s="1"/>
  <c r="K871" i="12787" s="1"/>
  <c r="I839" i="12787"/>
  <c r="K839" i="12787" s="1"/>
  <c r="I753" i="12787"/>
  <c r="H725" i="12787"/>
  <c r="H623" i="12787" s="1"/>
  <c r="G725" i="12787"/>
  <c r="G623" i="12787" s="1"/>
  <c r="K646" i="12787"/>
  <c r="K595" i="12787" s="1"/>
  <c r="I665" i="12787"/>
  <c r="K665" i="12787" s="1"/>
  <c r="G757" i="12787"/>
  <c r="H757" i="12787"/>
  <c r="K698" i="12787"/>
  <c r="I717" i="12787"/>
  <c r="K717" i="12787" s="1"/>
  <c r="H71" i="12766"/>
  <c r="K71" i="12766"/>
  <c r="H673" i="12787"/>
  <c r="H622" i="12787" s="1"/>
  <c r="G673" i="12787"/>
  <c r="G622" i="12787" s="1"/>
  <c r="I701" i="12787"/>
  <c r="I712" i="12787"/>
  <c r="K712" i="12787" s="1"/>
  <c r="K693" i="12787"/>
  <c r="D591" i="12787"/>
  <c r="M591" i="12787" s="1"/>
  <c r="H693" i="12787"/>
  <c r="K484" i="12787"/>
  <c r="H343" i="12787"/>
  <c r="G343" i="12787"/>
  <c r="G285" i="12787" s="1"/>
  <c r="D602" i="12787"/>
  <c r="M602" i="12787" s="1"/>
  <c r="H653" i="12787"/>
  <c r="H602" i="12787" s="1"/>
  <c r="T584" i="12787" s="1"/>
  <c r="G490" i="12787"/>
  <c r="G355" i="12787"/>
  <c r="G149" i="12787" s="1"/>
  <c r="D331" i="12787"/>
  <c r="H331" i="12787" s="1"/>
  <c r="H346" i="12787" s="1"/>
  <c r="H348" i="12787" s="1"/>
  <c r="C348" i="12787"/>
  <c r="K421" i="12787"/>
  <c r="I430" i="12787"/>
  <c r="K430" i="12787" s="1"/>
  <c r="H525" i="12787"/>
  <c r="G572" i="12787"/>
  <c r="H572" i="12787"/>
  <c r="G102" i="12787"/>
  <c r="G83" i="12787"/>
  <c r="K375" i="12787"/>
  <c r="T49" i="12837"/>
  <c r="N54" i="12837"/>
  <c r="T54" i="12837" s="1"/>
  <c r="K204" i="12787"/>
  <c r="G175" i="12787"/>
  <c r="K175" i="12787" s="1"/>
  <c r="G224" i="12787"/>
  <c r="G196" i="12787" s="1"/>
  <c r="G167" i="12787" s="1"/>
  <c r="H224" i="12787"/>
  <c r="K201" i="12787"/>
  <c r="K172" i="12787" s="1"/>
  <c r="D18" i="12787"/>
  <c r="K267" i="12787"/>
  <c r="K153" i="12787" s="1"/>
  <c r="H17" i="12787"/>
  <c r="O99" i="12761"/>
  <c r="I462" i="12843"/>
  <c r="L462" i="12843" s="1"/>
  <c r="H18" i="12787"/>
  <c r="H102" i="12787"/>
  <c r="H540" i="12787"/>
  <c r="H480" i="12787"/>
  <c r="H227" i="12787"/>
  <c r="G227" i="12787"/>
  <c r="G199" i="12787" s="1"/>
  <c r="T19" i="12837"/>
  <c r="I804" i="12843"/>
  <c r="L804" i="12843" s="1"/>
  <c r="K797" i="12766"/>
  <c r="K769" i="12766" s="1"/>
  <c r="G896" i="12766"/>
  <c r="G898" i="12766" s="1"/>
  <c r="K794" i="12766"/>
  <c r="K766" i="12766" s="1"/>
  <c r="K807" i="12766"/>
  <c r="H779" i="12766"/>
  <c r="K723" i="12766"/>
  <c r="K621" i="12766" s="1"/>
  <c r="K743" i="12766"/>
  <c r="H743" i="12766"/>
  <c r="H830" i="12766"/>
  <c r="H802" i="12766" s="1"/>
  <c r="D802" i="12766"/>
  <c r="D774" i="12766" s="1"/>
  <c r="M774" i="12766" s="1"/>
  <c r="K524" i="12766"/>
  <c r="D542" i="12766"/>
  <c r="H524" i="12766"/>
  <c r="K593" i="12766"/>
  <c r="K526" i="12766"/>
  <c r="C483" i="12766"/>
  <c r="D399" i="12766"/>
  <c r="H399" i="12766" s="1"/>
  <c r="H370" i="12766" s="1"/>
  <c r="D390" i="12766"/>
  <c r="C376" i="12766"/>
  <c r="C378" i="12766" s="1"/>
  <c r="C407" i="12766"/>
  <c r="D404" i="12766"/>
  <c r="D402" i="12766"/>
  <c r="D398" i="12766"/>
  <c r="D393" i="12766"/>
  <c r="D389" i="12766"/>
  <c r="D400" i="12766"/>
  <c r="H400" i="12766" s="1"/>
  <c r="H371" i="12766" s="1"/>
  <c r="D391" i="12766"/>
  <c r="D386" i="12766"/>
  <c r="D397" i="12766"/>
  <c r="H397" i="12766" s="1"/>
  <c r="H368" i="12766" s="1"/>
  <c r="D401" i="12766"/>
  <c r="H401" i="12766" s="1"/>
  <c r="H372" i="12766" s="1"/>
  <c r="D392" i="12766"/>
  <c r="G183" i="12766"/>
  <c r="G153" i="12766" s="1"/>
  <c r="G259" i="12766"/>
  <c r="G261" i="12766" s="1"/>
  <c r="I226" i="12766"/>
  <c r="K226" i="12766" s="1"/>
  <c r="K217" i="12766"/>
  <c r="I425" i="12766"/>
  <c r="K425" i="12766" s="1"/>
  <c r="K414" i="12766"/>
  <c r="G159" i="12766"/>
  <c r="C89" i="12766"/>
  <c r="C91" i="12766" s="1"/>
  <c r="C117" i="12766"/>
  <c r="C161" i="12766"/>
  <c r="K56" i="12766"/>
  <c r="H56" i="12766"/>
  <c r="C186" i="12766"/>
  <c r="C157" i="12766" s="1"/>
  <c r="M931" i="12787"/>
  <c r="M934" i="12787" s="1"/>
  <c r="H931" i="12787"/>
  <c r="H934" i="12787" s="1"/>
  <c r="H936" i="12787" s="1"/>
  <c r="G537" i="12787"/>
  <c r="G503" i="12787" s="1"/>
  <c r="H537" i="12787"/>
  <c r="H969" i="12787"/>
  <c r="H943" i="12787" s="1"/>
  <c r="D943" i="12787"/>
  <c r="M943" i="12787" s="1"/>
  <c r="H827" i="12787"/>
  <c r="H799" i="12787" s="1"/>
  <c r="H771" i="12787" s="1"/>
  <c r="T770" i="12787" s="1"/>
  <c r="D799" i="12787"/>
  <c r="D771" i="12787" s="1"/>
  <c r="M771" i="12787" s="1"/>
  <c r="M621" i="12787"/>
  <c r="D20" i="12766"/>
  <c r="K687" i="12787"/>
  <c r="I710" i="12787"/>
  <c r="K710" i="12787" s="1"/>
  <c r="D797" i="12787"/>
  <c r="D769" i="12787" s="1"/>
  <c r="M769" i="12787" s="1"/>
  <c r="H667" i="12787"/>
  <c r="G667" i="12787"/>
  <c r="G616" i="12787" s="1"/>
  <c r="I707" i="12787"/>
  <c r="K707" i="12787" s="1"/>
  <c r="K605" i="12787" s="1"/>
  <c r="K684" i="12787"/>
  <c r="K497" i="12787"/>
  <c r="G811" i="12787"/>
  <c r="G783" i="12787" s="1"/>
  <c r="I341" i="12787"/>
  <c r="K341" i="12787" s="1"/>
  <c r="K283" i="12787" s="1"/>
  <c r="K332" i="12787"/>
  <c r="D613" i="12787"/>
  <c r="M613" i="12787" s="1"/>
  <c r="K702" i="12787"/>
  <c r="I721" i="12787"/>
  <c r="K721" i="12787" s="1"/>
  <c r="H539" i="12787"/>
  <c r="G539" i="12787"/>
  <c r="H403" i="12787"/>
  <c r="H374" i="12787" s="1"/>
  <c r="G403" i="12787"/>
  <c r="G374" i="12787" s="1"/>
  <c r="H532" i="12787"/>
  <c r="H521" i="12787"/>
  <c r="H215" i="12787"/>
  <c r="D183" i="12787"/>
  <c r="H239" i="12787"/>
  <c r="K274" i="12787"/>
  <c r="K284" i="12787"/>
  <c r="I222" i="12787"/>
  <c r="K222" i="12787" s="1"/>
  <c r="K212" i="12787"/>
  <c r="G158" i="12787"/>
  <c r="G84" i="12787"/>
  <c r="C931" i="12766"/>
  <c r="C933" i="12766" s="1"/>
  <c r="C944" i="12766"/>
  <c r="D939" i="12766"/>
  <c r="D940" i="12766"/>
  <c r="K622" i="12766"/>
  <c r="K799" i="12766"/>
  <c r="H720" i="12766"/>
  <c r="G720" i="12766"/>
  <c r="G727" i="12766" s="1"/>
  <c r="G729" i="12766" s="1"/>
  <c r="H697" i="12766"/>
  <c r="H595" i="12766" s="1"/>
  <c r="K697" i="12766"/>
  <c r="K595" i="12766" s="1"/>
  <c r="D595" i="12766"/>
  <c r="M595" i="12766" s="1"/>
  <c r="I757" i="12766"/>
  <c r="M757" i="12766" s="1"/>
  <c r="I751" i="12766"/>
  <c r="M742" i="12766"/>
  <c r="K742" i="12766"/>
  <c r="H748" i="12766"/>
  <c r="G748" i="12766"/>
  <c r="W482" i="12766"/>
  <c r="K518" i="12766"/>
  <c r="H518" i="12766"/>
  <c r="K651" i="12766"/>
  <c r="I670" i="12766"/>
  <c r="K670" i="12766" s="1"/>
  <c r="M618" i="12766"/>
  <c r="K458" i="12766"/>
  <c r="K472" i="12766" s="1"/>
  <c r="K474" i="12766" s="1"/>
  <c r="I458" i="12787"/>
  <c r="K458" i="12787" s="1"/>
  <c r="K472" i="12787" s="1"/>
  <c r="K474" i="12787" s="1"/>
  <c r="I254" i="12766"/>
  <c r="K254" i="12766" s="1"/>
  <c r="K245" i="12766"/>
  <c r="K384" i="12766"/>
  <c r="I395" i="12766"/>
  <c r="K395" i="12766" s="1"/>
  <c r="D256" i="12766"/>
  <c r="D252" i="12766"/>
  <c r="D247" i="12766"/>
  <c r="D243" i="12766"/>
  <c r="D257" i="12766"/>
  <c r="D253" i="12766"/>
  <c r="D249" i="12766"/>
  <c r="D244" i="12766"/>
  <c r="C261" i="12766"/>
  <c r="D254" i="12766"/>
  <c r="H254" i="12766" s="1"/>
  <c r="D250" i="12766"/>
  <c r="D245" i="12766"/>
  <c r="D258" i="12766"/>
  <c r="D241" i="12766"/>
  <c r="D255" i="12766"/>
  <c r="D246" i="12766"/>
  <c r="C203" i="12766"/>
  <c r="D251" i="12766"/>
  <c r="G161" i="12766"/>
  <c r="K51" i="12766"/>
  <c r="H51" i="12766"/>
  <c r="H59" i="12766" s="1"/>
  <c r="H61" i="12766" s="1"/>
  <c r="D18" i="12766"/>
  <c r="H52" i="12766"/>
  <c r="K52" i="12766"/>
  <c r="K18" i="12766" s="1"/>
  <c r="D22" i="12766"/>
  <c r="H39" i="12766"/>
  <c r="H22" i="12766" s="1"/>
  <c r="K39" i="12766"/>
  <c r="K22" i="12766" s="1"/>
  <c r="G44" i="12766"/>
  <c r="G25" i="12766"/>
  <c r="G27" i="12766" s="1"/>
  <c r="K20" i="12766"/>
  <c r="I840" i="12787"/>
  <c r="K840" i="12787" s="1"/>
  <c r="K812" i="12787" s="1"/>
  <c r="K784" i="12787" s="1"/>
  <c r="I868" i="12787"/>
  <c r="K868" i="12787" s="1"/>
  <c r="I754" i="12787"/>
  <c r="E865" i="12787"/>
  <c r="G857" i="12787"/>
  <c r="H857" i="12787"/>
  <c r="K648" i="12787"/>
  <c r="K597" i="12787" s="1"/>
  <c r="I667" i="12787"/>
  <c r="K667" i="12787" s="1"/>
  <c r="K616" i="12787" s="1"/>
  <c r="D942" i="12787"/>
  <c r="M942" i="12787" s="1"/>
  <c r="M945" i="12787" s="1"/>
  <c r="H968" i="12787"/>
  <c r="H707" i="12787"/>
  <c r="G707" i="12787"/>
  <c r="H20" i="12766"/>
  <c r="G866" i="12787"/>
  <c r="H866" i="12787"/>
  <c r="G860" i="12787"/>
  <c r="H860" i="12787"/>
  <c r="H664" i="12787"/>
  <c r="H613" i="12787" s="1"/>
  <c r="G664" i="12787"/>
  <c r="G613" i="12787" s="1"/>
  <c r="C796" i="12787"/>
  <c r="C766" i="12787"/>
  <c r="C768" i="12787" s="1"/>
  <c r="C1049" i="12787" s="1"/>
  <c r="K647" i="12787"/>
  <c r="K596" i="12787" s="1"/>
  <c r="I666" i="12787"/>
  <c r="K666" i="12787" s="1"/>
  <c r="H600" i="12787"/>
  <c r="G315" i="12787"/>
  <c r="G370" i="12787"/>
  <c r="H229" i="12787"/>
  <c r="G229" i="12787"/>
  <c r="G201" i="12787" s="1"/>
  <c r="G573" i="12787"/>
  <c r="G251" i="12787"/>
  <c r="G710" i="12787"/>
  <c r="H710" i="12787"/>
  <c r="D542" i="12787"/>
  <c r="H230" i="12787"/>
  <c r="B19" i="12837"/>
  <c r="D401" i="12787"/>
  <c r="H401" i="12787" s="1"/>
  <c r="H372" i="12787" s="1"/>
  <c r="D397" i="12787"/>
  <c r="H397" i="12787" s="1"/>
  <c r="H368" i="12787" s="1"/>
  <c r="D392" i="12787"/>
  <c r="C376" i="12787"/>
  <c r="C378" i="12787" s="1"/>
  <c r="C407" i="12787"/>
  <c r="D402" i="12787"/>
  <c r="H402" i="12787" s="1"/>
  <c r="H373" i="12787" s="1"/>
  <c r="D398" i="12787"/>
  <c r="H398" i="12787" s="1"/>
  <c r="H369" i="12787" s="1"/>
  <c r="D393" i="12787"/>
  <c r="D399" i="12787"/>
  <c r="H399" i="12787" s="1"/>
  <c r="H370" i="12787" s="1"/>
  <c r="D389" i="12787"/>
  <c r="D390" i="12787"/>
  <c r="D386" i="12787"/>
  <c r="D404" i="12787"/>
  <c r="D400" i="12787"/>
  <c r="D391" i="12787"/>
  <c r="D362" i="12787" s="1"/>
  <c r="K168" i="12787"/>
  <c r="H278" i="12787"/>
  <c r="V61" i="12859"/>
  <c r="H59" i="12787"/>
  <c r="H61" i="12787" s="1"/>
  <c r="H184" i="12787"/>
  <c r="H154" i="12787" s="1"/>
  <c r="D104" i="12787"/>
  <c r="D89" i="12787"/>
  <c r="I1070" i="12843"/>
  <c r="L1070" i="12843" s="1"/>
  <c r="D22" i="12787"/>
  <c r="C106" i="12843"/>
  <c r="F690" i="12843"/>
  <c r="P996" i="12766"/>
  <c r="M996" i="12766"/>
  <c r="K996" i="12766"/>
  <c r="H996" i="12766"/>
  <c r="H995" i="12766"/>
  <c r="P995" i="12766"/>
  <c r="M995" i="12766"/>
  <c r="K995" i="12766"/>
  <c r="P977" i="12766"/>
  <c r="M977" i="12766"/>
  <c r="K977" i="12766"/>
  <c r="H977" i="12766"/>
  <c r="H693" i="12766"/>
  <c r="D591" i="12766"/>
  <c r="M591" i="12766" s="1"/>
  <c r="M756" i="12766"/>
  <c r="H826" i="12766"/>
  <c r="H798" i="12766" s="1"/>
  <c r="D798" i="12766"/>
  <c r="K826" i="12766"/>
  <c r="K798" i="12766" s="1"/>
  <c r="K808" i="12766"/>
  <c r="H696" i="12766"/>
  <c r="H594" i="12766" s="1"/>
  <c r="D594" i="12766"/>
  <c r="M594" i="12766" s="1"/>
  <c r="K614" i="12766"/>
  <c r="C815" i="12766"/>
  <c r="H712" i="12766"/>
  <c r="H610" i="12766" s="1"/>
  <c r="M738" i="12766"/>
  <c r="K738" i="12766"/>
  <c r="D612" i="12766"/>
  <c r="M612" i="12766" s="1"/>
  <c r="H663" i="12766"/>
  <c r="H612" i="12766" s="1"/>
  <c r="D614" i="12766"/>
  <c r="M614" i="12766" s="1"/>
  <c r="I667" i="12766"/>
  <c r="K667" i="12766" s="1"/>
  <c r="K648" i="12766"/>
  <c r="K597" i="12766" s="1"/>
  <c r="H669" i="12766"/>
  <c r="H618" i="12766" s="1"/>
  <c r="G669" i="12766"/>
  <c r="G618" i="12766" s="1"/>
  <c r="K663" i="12766"/>
  <c r="K612" i="12766" s="1"/>
  <c r="G540" i="12766"/>
  <c r="G480" i="12766"/>
  <c r="G499" i="12766"/>
  <c r="G501" i="12766"/>
  <c r="H651" i="12766"/>
  <c r="H600" i="12766" s="1"/>
  <c r="G568" i="12766"/>
  <c r="G500" i="12766" s="1"/>
  <c r="H367" i="12766"/>
  <c r="G167" i="12766"/>
  <c r="D240" i="12766"/>
  <c r="D239" i="12766"/>
  <c r="K427" i="12766"/>
  <c r="G168" i="12766"/>
  <c r="K38" i="12766"/>
  <c r="K21" i="12766" s="1"/>
  <c r="D21" i="12766"/>
  <c r="H38" i="12766"/>
  <c r="H21" i="12766" s="1"/>
  <c r="D195" i="12766"/>
  <c r="D166" i="12766" s="1"/>
  <c r="M166" i="12766" s="1"/>
  <c r="H223" i="12766"/>
  <c r="H835" i="12787"/>
  <c r="H807" i="12787" s="1"/>
  <c r="H779" i="12787" s="1"/>
  <c r="K645" i="12787"/>
  <c r="K594" i="12787" s="1"/>
  <c r="I664" i="12787"/>
  <c r="K664" i="12787" s="1"/>
  <c r="K613" i="12787" s="1"/>
  <c r="G795" i="12787"/>
  <c r="G767" i="12787" s="1"/>
  <c r="M618" i="12787"/>
  <c r="H797" i="12787"/>
  <c r="H769" i="12787" s="1"/>
  <c r="H726" i="12787"/>
  <c r="H624" i="12787" s="1"/>
  <c r="G726" i="12787"/>
  <c r="G624" i="12787" s="1"/>
  <c r="I659" i="12787"/>
  <c r="K659" i="12787" s="1"/>
  <c r="K608" i="12787" s="1"/>
  <c r="K636" i="12787"/>
  <c r="K607" i="12787"/>
  <c r="D774" i="12787"/>
  <c r="M774" i="12787" s="1"/>
  <c r="K794" i="12787"/>
  <c r="K766" i="12787" s="1"/>
  <c r="U768" i="12787" s="1"/>
  <c r="I660" i="12787"/>
  <c r="K660" i="12787" s="1"/>
  <c r="K609" i="12787" s="1"/>
  <c r="K637" i="12787"/>
  <c r="K586" i="12787" s="1"/>
  <c r="C1019" i="12766"/>
  <c r="K651" i="12787"/>
  <c r="K600" i="12787" s="1"/>
  <c r="I670" i="12787"/>
  <c r="K670" i="12787" s="1"/>
  <c r="C491" i="12787"/>
  <c r="G670" i="12787"/>
  <c r="H670" i="12787"/>
  <c r="K420" i="12787"/>
  <c r="I429" i="12787"/>
  <c r="K429" i="12787" s="1"/>
  <c r="G311" i="12787"/>
  <c r="C574" i="12787"/>
  <c r="K505" i="12787"/>
  <c r="G366" i="12787"/>
  <c r="I226" i="12787"/>
  <c r="K226" i="12787" s="1"/>
  <c r="K198" i="12787" s="1"/>
  <c r="K217" i="12787"/>
  <c r="K189" i="12787" s="1"/>
  <c r="K333" i="12787"/>
  <c r="K275" i="12787" s="1"/>
  <c r="I342" i="12787"/>
  <c r="K342" i="12787" s="1"/>
  <c r="K392" i="12787"/>
  <c r="K363" i="12787" s="1"/>
  <c r="I401" i="12787"/>
  <c r="K401" i="12787" s="1"/>
  <c r="G614" i="12787"/>
  <c r="H404" i="12787"/>
  <c r="H375" i="12787" s="1"/>
  <c r="G404" i="12787"/>
  <c r="G375" i="12787" s="1"/>
  <c r="G313" i="12787"/>
  <c r="G284" i="12787" s="1"/>
  <c r="K282" i="12787"/>
  <c r="K287" i="12787"/>
  <c r="K173" i="12787" s="1"/>
  <c r="H213" i="12787"/>
  <c r="G280" i="12787"/>
  <c r="I385" i="12787"/>
  <c r="I414" i="12787"/>
  <c r="I356" i="12787"/>
  <c r="I367" i="12787" s="1"/>
  <c r="O150" i="12787"/>
  <c r="M150" i="12787"/>
  <c r="T31" i="12837"/>
  <c r="N37" i="12837"/>
  <c r="H599" i="12787"/>
  <c r="G190" i="12787"/>
  <c r="G161" i="12787" s="1"/>
  <c r="V46" i="12859"/>
  <c r="J49" i="12859"/>
  <c r="V49" i="12859" s="1"/>
  <c r="S52" i="12859" s="1"/>
  <c r="T86" i="12787"/>
  <c r="G42" i="12787"/>
  <c r="G222" i="12787"/>
  <c r="H222" i="12787"/>
  <c r="H723" i="12787"/>
  <c r="G723" i="12787"/>
  <c r="R19" i="12837"/>
  <c r="I1108" i="12843"/>
  <c r="L1108" i="12843" s="1"/>
  <c r="H857" i="12766"/>
  <c r="H801" i="12766" s="1"/>
  <c r="D871" i="12766"/>
  <c r="P908" i="12766"/>
  <c r="G749" i="12766"/>
  <c r="H749" i="12766"/>
  <c r="D808" i="12766"/>
  <c r="D780" i="12766" s="1"/>
  <c r="M780" i="12766" s="1"/>
  <c r="D779" i="12766"/>
  <c r="M779" i="12766" s="1"/>
  <c r="D797" i="12766"/>
  <c r="D769" i="12766" s="1"/>
  <c r="M769" i="12766" s="1"/>
  <c r="H825" i="12766"/>
  <c r="K693" i="12766"/>
  <c r="K591" i="12766" s="1"/>
  <c r="G944" i="12766"/>
  <c r="G931" i="12766"/>
  <c r="G933" i="12766" s="1"/>
  <c r="M749" i="12766"/>
  <c r="K749" i="12766"/>
  <c r="H673" i="12766"/>
  <c r="H622" i="12766" s="1"/>
  <c r="K757" i="12766"/>
  <c r="H757" i="12766"/>
  <c r="D621" i="12766"/>
  <c r="M621" i="12766" s="1"/>
  <c r="H672" i="12766"/>
  <c r="H621" i="12766" s="1"/>
  <c r="D618" i="12766"/>
  <c r="I718" i="12766"/>
  <c r="K718" i="12766" s="1"/>
  <c r="K699" i="12766"/>
  <c r="H533" i="12766"/>
  <c r="M619" i="12766"/>
  <c r="K653" i="12766"/>
  <c r="K602" i="12766" s="1"/>
  <c r="S593" i="12766" s="1"/>
  <c r="U593" i="12766" s="1"/>
  <c r="K431" i="12766"/>
  <c r="K613" i="12766"/>
  <c r="K420" i="12766"/>
  <c r="I429" i="12766"/>
  <c r="K429" i="12766" s="1"/>
  <c r="K413" i="12766"/>
  <c r="I424" i="12766"/>
  <c r="K424" i="12766" s="1"/>
  <c r="K33" i="12766"/>
  <c r="D16" i="12766"/>
  <c r="H33" i="12766"/>
  <c r="G164" i="12766"/>
  <c r="K314" i="12766"/>
  <c r="K285" i="12766" s="1"/>
  <c r="H829" i="12787"/>
  <c r="G829" i="12787"/>
  <c r="G801" i="12787" s="1"/>
  <c r="G773" i="12787" s="1"/>
  <c r="E837" i="12787"/>
  <c r="G593" i="12787"/>
  <c r="P904" i="12787"/>
  <c r="P922" i="12787" s="1"/>
  <c r="H904" i="12787"/>
  <c r="H923" i="12787" s="1"/>
  <c r="H925" i="12787" s="1"/>
  <c r="P923" i="12787" s="1"/>
  <c r="H758" i="12787"/>
  <c r="H760" i="12787" s="1"/>
  <c r="H720" i="12787"/>
  <c r="G720" i="12787"/>
  <c r="G618" i="12787" s="1"/>
  <c r="H656" i="12787"/>
  <c r="H605" i="12787" s="1"/>
  <c r="G656" i="12787"/>
  <c r="G605" i="12787" s="1"/>
  <c r="K752" i="12787"/>
  <c r="M752" i="12787"/>
  <c r="I568" i="12787"/>
  <c r="K568" i="12787" s="1"/>
  <c r="K556" i="12787"/>
  <c r="K574" i="12787" s="1"/>
  <c r="K576" i="12787" s="1"/>
  <c r="D612" i="12787"/>
  <c r="M612" i="12787" s="1"/>
  <c r="D614" i="12787"/>
  <c r="M614" i="12787" s="1"/>
  <c r="K391" i="12787"/>
  <c r="K362" i="12787" s="1"/>
  <c r="I400" i="12787"/>
  <c r="K400" i="12787" s="1"/>
  <c r="H316" i="12787"/>
  <c r="H287" i="12787" s="1"/>
  <c r="G316" i="12787"/>
  <c r="G287" i="12787" s="1"/>
  <c r="H344" i="12787"/>
  <c r="G344" i="12787"/>
  <c r="H223" i="12787"/>
  <c r="G223" i="12787"/>
  <c r="G195" i="12787" s="1"/>
  <c r="G166" i="12787" s="1"/>
  <c r="H665" i="12787"/>
  <c r="H614" i="12787" s="1"/>
  <c r="I250" i="12787"/>
  <c r="K250" i="12787" s="1"/>
  <c r="K240" i="12787"/>
  <c r="C319" i="12787"/>
  <c r="D314" i="12787"/>
  <c r="H314" i="12787" s="1"/>
  <c r="H285" i="12787" s="1"/>
  <c r="D310" i="12787"/>
  <c r="H310" i="12787" s="1"/>
  <c r="H281" i="12787" s="1"/>
  <c r="D315" i="12787"/>
  <c r="H315" i="12787" s="1"/>
  <c r="H286" i="12787" s="1"/>
  <c r="D311" i="12787"/>
  <c r="H311" i="12787" s="1"/>
  <c r="H282" i="12787" s="1"/>
  <c r="D302" i="12787"/>
  <c r="D303" i="12787"/>
  <c r="C288" i="12787"/>
  <c r="C290" i="12787" s="1"/>
  <c r="D316" i="12787"/>
  <c r="D312" i="12787"/>
  <c r="H312" i="12787" s="1"/>
  <c r="H283" i="12787" s="1"/>
  <c r="D304" i="12787"/>
  <c r="D305" i="12787"/>
  <c r="D309" i="12787"/>
  <c r="H309" i="12787" s="1"/>
  <c r="H280" i="12787" s="1"/>
  <c r="D313" i="12787"/>
  <c r="H313" i="12787" s="1"/>
  <c r="H284" i="12787" s="1"/>
  <c r="G250" i="12787"/>
  <c r="G259" i="12787" s="1"/>
  <c r="G233" i="12787"/>
  <c r="J12" i="12837"/>
  <c r="K199" i="12787"/>
  <c r="H33" i="12787"/>
  <c r="D16" i="12787"/>
  <c r="G540" i="12787"/>
  <c r="G480" i="12787"/>
  <c r="G367" i="12787"/>
  <c r="G171" i="12787"/>
  <c r="U86" i="12787"/>
  <c r="W86" i="12787" s="1"/>
  <c r="G184" i="12787"/>
  <c r="G154" i="12787" s="1"/>
  <c r="H22" i="12787"/>
  <c r="C180" i="12843"/>
  <c r="F17" i="12843"/>
  <c r="F554" i="12843"/>
  <c r="F665" i="12843"/>
  <c r="I228" i="12843"/>
  <c r="F551" i="12843"/>
  <c r="F993" i="12843"/>
  <c r="F562" i="12843"/>
  <c r="F559" i="12843"/>
  <c r="F426" i="12843"/>
  <c r="F429" i="12843"/>
  <c r="F417" i="12843"/>
  <c r="F478" i="12843"/>
  <c r="F211" i="12843"/>
  <c r="F176" i="12843" s="1"/>
  <c r="F220" i="12843"/>
  <c r="F186" i="12843" s="1"/>
  <c r="I342" i="12843"/>
  <c r="F70" i="12843"/>
  <c r="F104" i="12843"/>
  <c r="I431" i="12843"/>
  <c r="I89" i="12843"/>
  <c r="I87" i="12843"/>
  <c r="I103" i="12843"/>
  <c r="I101" i="12843"/>
  <c r="I116" i="12843"/>
  <c r="I114" i="12843"/>
  <c r="F539" i="12843"/>
  <c r="F541" i="12843" s="1"/>
  <c r="F227" i="12843"/>
  <c r="I430" i="12843"/>
  <c r="I343" i="12843"/>
  <c r="I69" i="12843"/>
  <c r="C659" i="12843"/>
  <c r="K46" i="12783"/>
  <c r="M46" i="12783" s="1"/>
  <c r="O46" i="12783" s="1"/>
  <c r="I1128" i="12843"/>
  <c r="L1128" i="12843" s="1"/>
  <c r="F658" i="12843"/>
  <c r="F666" i="12843"/>
  <c r="F549" i="12843"/>
  <c r="F228" i="12843"/>
  <c r="F194" i="12843" s="1"/>
  <c r="F212" i="12843"/>
  <c r="F177" i="12843" s="1"/>
  <c r="C1024" i="12843"/>
  <c r="G39" i="12783"/>
  <c r="G42" i="12783" s="1"/>
  <c r="F1121" i="12843"/>
  <c r="F568" i="12843"/>
  <c r="F402" i="12843"/>
  <c r="F996" i="12843"/>
  <c r="F69" i="12843"/>
  <c r="C432" i="12843"/>
  <c r="G31" i="12783"/>
  <c r="F1095" i="12843"/>
  <c r="F224" i="12843"/>
  <c r="F16" i="12843"/>
  <c r="F567" i="12843"/>
  <c r="F555" i="12843"/>
  <c r="F548" i="12843"/>
  <c r="F564" i="12843"/>
  <c r="C550" i="12843"/>
  <c r="F226" i="12843"/>
  <c r="F1013" i="12843"/>
  <c r="F552" i="12843"/>
  <c r="B26" i="12783"/>
  <c r="F922" i="12843"/>
  <c r="C923" i="12843"/>
  <c r="F210" i="12843"/>
  <c r="F175" i="12843" s="1"/>
  <c r="F68" i="12843"/>
  <c r="F566" i="12843"/>
  <c r="F222" i="12843"/>
  <c r="I229" i="12843"/>
  <c r="C213" i="12843"/>
  <c r="C179" i="12843" s="1"/>
  <c r="F223" i="12843"/>
  <c r="C192" i="12843"/>
  <c r="C198" i="12843" s="1"/>
  <c r="F412" i="12843"/>
  <c r="F172" i="12843" s="1"/>
  <c r="F214" i="12843"/>
  <c r="C326" i="12843"/>
  <c r="C175" i="12843"/>
  <c r="F657" i="12843"/>
  <c r="F663" i="12843"/>
  <c r="C995" i="12843"/>
  <c r="C936" i="12843"/>
  <c r="C859" i="12843"/>
  <c r="C839" i="12843" s="1"/>
  <c r="F878" i="12843"/>
  <c r="F859" i="12843" s="1"/>
  <c r="F944" i="12843"/>
  <c r="C866" i="12843"/>
  <c r="C846" i="12843" s="1"/>
  <c r="C856" i="12843"/>
  <c r="C836" i="12843" s="1"/>
  <c r="C21" i="12859"/>
  <c r="C23" i="12859" s="1"/>
  <c r="I16" i="12859"/>
  <c r="F569" i="12843"/>
  <c r="F162" i="12843"/>
  <c r="F218" i="12843"/>
  <c r="G28" i="12783"/>
  <c r="F1016" i="12843"/>
  <c r="F373" i="12843"/>
  <c r="F570" i="12843"/>
  <c r="F65" i="12843"/>
  <c r="F225" i="12843"/>
  <c r="C190" i="12843"/>
  <c r="C196" i="12843" s="1"/>
  <c r="C1021" i="12843"/>
  <c r="F1107" i="12843"/>
  <c r="F1077" i="12843"/>
  <c r="F667" i="12843"/>
  <c r="F645" i="12843"/>
  <c r="G18" i="12783"/>
  <c r="F229" i="12843"/>
  <c r="F195" i="12843" s="1"/>
  <c r="C983" i="12843"/>
  <c r="C1015" i="12843"/>
  <c r="F46" i="12843"/>
  <c r="F30" i="12859"/>
  <c r="F34" i="12859" s="1"/>
  <c r="C17" i="12859"/>
  <c r="I17" i="12859" s="1"/>
  <c r="I30" i="12859"/>
  <c r="I34" i="12859" s="1"/>
  <c r="F411" i="12843"/>
  <c r="F171" i="12843" s="1"/>
  <c r="F461" i="12843"/>
  <c r="F672" i="12843"/>
  <c r="C1080" i="12843"/>
  <c r="F656" i="12843"/>
  <c r="F547" i="12843"/>
  <c r="C344" i="12843"/>
  <c r="C191" i="12843"/>
  <c r="C197" i="12843" s="1"/>
  <c r="F58" i="12843"/>
  <c r="I23" i="12859"/>
  <c r="I22" i="12859"/>
  <c r="F1040" i="12843"/>
  <c r="F677" i="12843"/>
  <c r="F653" i="12843"/>
  <c r="C939" i="12843"/>
  <c r="F15" i="12843"/>
  <c r="F34" i="12843"/>
  <c r="F315" i="12843"/>
  <c r="F221" i="12843"/>
  <c r="F187" i="12843" s="1"/>
  <c r="C1041" i="12843"/>
  <c r="L859" i="12843" l="1"/>
  <c r="L839" i="12843" s="1"/>
  <c r="L856" i="12843"/>
  <c r="L836" i="12843" s="1"/>
  <c r="F983" i="12843"/>
  <c r="F866" i="12843"/>
  <c r="F846" i="12843" s="1"/>
  <c r="L866" i="12843"/>
  <c r="L846" i="12843" s="1"/>
  <c r="L939" i="12843"/>
  <c r="L861" i="12843" s="1"/>
  <c r="L841" i="12843" s="1"/>
  <c r="F192" i="12843"/>
  <c r="F668" i="12843"/>
  <c r="M57" i="12859"/>
  <c r="M67" i="12859" s="1"/>
  <c r="N57" i="12859"/>
  <c r="N67" i="12859" s="1"/>
  <c r="L53" i="12859"/>
  <c r="M53" i="12859"/>
  <c r="N53" i="12859"/>
  <c r="N55" i="12859"/>
  <c r="B27" i="12783"/>
  <c r="B28" i="12783" s="1"/>
  <c r="F669" i="12843"/>
  <c r="F191" i="12843"/>
  <c r="F189" i="12843"/>
  <c r="C1123" i="12843"/>
  <c r="F188" i="12843"/>
  <c r="C463" i="12843"/>
  <c r="F803" i="12843"/>
  <c r="F805" i="12843" s="1"/>
  <c r="C375" i="12843"/>
  <c r="I70" i="12843"/>
  <c r="I574" i="12843"/>
  <c r="C861" i="12843"/>
  <c r="C841" i="12843" s="1"/>
  <c r="F939" i="12843"/>
  <c r="F861" i="12843" s="1"/>
  <c r="F841" i="12843" s="1"/>
  <c r="F490" i="12843"/>
  <c r="F432" i="12843" s="1"/>
  <c r="F190" i="12843"/>
  <c r="I68" i="12843"/>
  <c r="G261" i="12787"/>
  <c r="G203" i="12787"/>
  <c r="M773" i="12766"/>
  <c r="D787" i="12766"/>
  <c r="K161" i="12787"/>
  <c r="M906" i="12787"/>
  <c r="K906" i="12787"/>
  <c r="H305" i="12787"/>
  <c r="H276" i="12787" s="1"/>
  <c r="D276" i="12787"/>
  <c r="K371" i="12787"/>
  <c r="H837" i="12787"/>
  <c r="G837" i="12787"/>
  <c r="G809" i="12787" s="1"/>
  <c r="G781" i="12787" s="1"/>
  <c r="K42" i="12766"/>
  <c r="K16" i="12766"/>
  <c r="H231" i="12787"/>
  <c r="K160" i="12787"/>
  <c r="H239" i="12766"/>
  <c r="D183" i="12766"/>
  <c r="K239" i="12766"/>
  <c r="K616" i="12766"/>
  <c r="M625" i="12766"/>
  <c r="K59" i="12766"/>
  <c r="K61" i="12766" s="1"/>
  <c r="K258" i="12766"/>
  <c r="H258" i="12766"/>
  <c r="H257" i="12766"/>
  <c r="H201" i="12766" s="1"/>
  <c r="D201" i="12766"/>
  <c r="D172" i="12766" s="1"/>
  <c r="M172" i="12766" s="1"/>
  <c r="K257" i="12766"/>
  <c r="K201" i="12766" s="1"/>
  <c r="H540" i="12766"/>
  <c r="M751" i="12766"/>
  <c r="K751" i="12766"/>
  <c r="H404" i="12766"/>
  <c r="H375" i="12766" s="1"/>
  <c r="K404" i="12766"/>
  <c r="K375" i="12766" s="1"/>
  <c r="K841" i="12766"/>
  <c r="H542" i="12787"/>
  <c r="G104" i="12787"/>
  <c r="G89" i="12787"/>
  <c r="G91" i="12787" s="1"/>
  <c r="I401" i="12766"/>
  <c r="K401" i="12766" s="1"/>
  <c r="K392" i="12766"/>
  <c r="O53" i="12859"/>
  <c r="L57" i="12859"/>
  <c r="L67" i="12859" s="1"/>
  <c r="U57" i="12859"/>
  <c r="U67" i="12859" s="1"/>
  <c r="P52" i="12859"/>
  <c r="T53" i="12859"/>
  <c r="U53" i="12859"/>
  <c r="Q54" i="12859"/>
  <c r="G676" i="12766"/>
  <c r="H885" i="12766"/>
  <c r="K885" i="12766"/>
  <c r="K774" i="12766" s="1"/>
  <c r="I105" i="12843"/>
  <c r="L105" i="12843" s="1"/>
  <c r="G488" i="12787"/>
  <c r="K650" i="12787"/>
  <c r="I669" i="12787"/>
  <c r="K669" i="12787" s="1"/>
  <c r="G810" i="12787"/>
  <c r="G782" i="12787" s="1"/>
  <c r="K615" i="12766"/>
  <c r="M1013" i="12787"/>
  <c r="K1013" i="12787"/>
  <c r="K1010" i="12787"/>
  <c r="M1010" i="12787"/>
  <c r="H599" i="12766"/>
  <c r="H676" i="12766"/>
  <c r="C1048" i="12787"/>
  <c r="K23" i="12766"/>
  <c r="M907" i="12787"/>
  <c r="K907" i="12787"/>
  <c r="M904" i="12787"/>
  <c r="M923" i="12787" s="1"/>
  <c r="K904" i="12787"/>
  <c r="K923" i="12787" s="1"/>
  <c r="K925" i="12787" s="1"/>
  <c r="M921" i="12787"/>
  <c r="K921" i="12787"/>
  <c r="O16" i="12766"/>
  <c r="M16" i="12766"/>
  <c r="H241" i="12766"/>
  <c r="H185" i="12766" s="1"/>
  <c r="H155" i="12766" s="1"/>
  <c r="R167" i="12766" s="1"/>
  <c r="D185" i="12766"/>
  <c r="D155" i="12766" s="1"/>
  <c r="M155" i="12766" s="1"/>
  <c r="K241" i="12766"/>
  <c r="K185" i="12766" s="1"/>
  <c r="K155" i="12766" s="1"/>
  <c r="S167" i="12766" s="1"/>
  <c r="U167" i="12766" s="1"/>
  <c r="Q907" i="12766"/>
  <c r="R907" i="12766" s="1"/>
  <c r="Q906" i="12766"/>
  <c r="R906" i="12766" s="1"/>
  <c r="Q905" i="12766"/>
  <c r="R905" i="12766" s="1"/>
  <c r="Q904" i="12766"/>
  <c r="R904" i="12766" s="1"/>
  <c r="F193" i="12843"/>
  <c r="L12" i="12837"/>
  <c r="D275" i="12787"/>
  <c r="H304" i="12787"/>
  <c r="H275" i="12787" s="1"/>
  <c r="K169" i="12787"/>
  <c r="K841" i="12787"/>
  <c r="K240" i="12766"/>
  <c r="K184" i="12766" s="1"/>
  <c r="K154" i="12766" s="1"/>
  <c r="H240" i="12766"/>
  <c r="H184" i="12766" s="1"/>
  <c r="H154" i="12766" s="1"/>
  <c r="D184" i="12766"/>
  <c r="D154" i="12766" s="1"/>
  <c r="M154" i="12766" s="1"/>
  <c r="H591" i="12766"/>
  <c r="R592" i="12766" s="1"/>
  <c r="H727" i="12766"/>
  <c r="H729" i="12766" s="1"/>
  <c r="D357" i="12787"/>
  <c r="D151" i="12787" s="1"/>
  <c r="M151" i="12787" s="1"/>
  <c r="H386" i="12787"/>
  <c r="H865" i="12787"/>
  <c r="H869" i="12787" s="1"/>
  <c r="H871" i="12787" s="1"/>
  <c r="G865" i="12787"/>
  <c r="G869" i="12787" s="1"/>
  <c r="G871" i="12787" s="1"/>
  <c r="H245" i="12766"/>
  <c r="H189" i="12766" s="1"/>
  <c r="D189" i="12766"/>
  <c r="K243" i="12766"/>
  <c r="K187" i="12766" s="1"/>
  <c r="H243" i="12766"/>
  <c r="H187" i="12766" s="1"/>
  <c r="D187" i="12766"/>
  <c r="K540" i="12766"/>
  <c r="K189" i="12766"/>
  <c r="D357" i="12766"/>
  <c r="D151" i="12766" s="1"/>
  <c r="M151" i="12766" s="1"/>
  <c r="H386" i="12766"/>
  <c r="K386" i="12766"/>
  <c r="K357" i="12766" s="1"/>
  <c r="K151" i="12766" s="1"/>
  <c r="H774" i="12766"/>
  <c r="K614" i="12787"/>
  <c r="I255" i="12766"/>
  <c r="K255" i="12766" s="1"/>
  <c r="K246" i="12766"/>
  <c r="I374" i="12843"/>
  <c r="L374" i="12843" s="1"/>
  <c r="R54" i="12859"/>
  <c r="J54" i="12859"/>
  <c r="T57" i="12859"/>
  <c r="T67" i="12859" s="1"/>
  <c r="O52" i="12859"/>
  <c r="K53" i="12859"/>
  <c r="O54" i="12859"/>
  <c r="P54" i="12859"/>
  <c r="L55" i="12859"/>
  <c r="K367" i="12766"/>
  <c r="D570" i="12766"/>
  <c r="D553" i="12766"/>
  <c r="D571" i="12766"/>
  <c r="D565" i="12766"/>
  <c r="D560" i="12766"/>
  <c r="D555" i="12766"/>
  <c r="D567" i="12766"/>
  <c r="D556" i="12766"/>
  <c r="C576" i="12766"/>
  <c r="D573" i="12766"/>
  <c r="D558" i="12766"/>
  <c r="D552" i="12766"/>
  <c r="D559" i="12766"/>
  <c r="D569" i="12766"/>
  <c r="D568" i="12766"/>
  <c r="K568" i="12766" s="1"/>
  <c r="K500" i="12766" s="1"/>
  <c r="D566" i="12766"/>
  <c r="C506" i="12766"/>
  <c r="C508" i="12766" s="1"/>
  <c r="K893" i="12766"/>
  <c r="K782" i="12766" s="1"/>
  <c r="H893" i="12766"/>
  <c r="G621" i="12787"/>
  <c r="H810" i="12787"/>
  <c r="H782" i="12787" s="1"/>
  <c r="K311" i="12766"/>
  <c r="K282" i="12766" s="1"/>
  <c r="H311" i="12766"/>
  <c r="H282" i="12766" s="1"/>
  <c r="M1024" i="12787"/>
  <c r="K1024" i="12787"/>
  <c r="M1019" i="12787"/>
  <c r="K1019" i="12787"/>
  <c r="K1017" i="12787"/>
  <c r="M1017" i="12787"/>
  <c r="K942" i="12787"/>
  <c r="K982" i="12787"/>
  <c r="P923" i="12766"/>
  <c r="O923" i="12766"/>
  <c r="H23" i="12766"/>
  <c r="M913" i="12787"/>
  <c r="K913" i="12787"/>
  <c r="M918" i="12787"/>
  <c r="K918" i="12787"/>
  <c r="K701" i="12787"/>
  <c r="I720" i="12787"/>
  <c r="K720" i="12787" s="1"/>
  <c r="H429" i="12787"/>
  <c r="H434" i="12787" s="1"/>
  <c r="H436" i="12787" s="1"/>
  <c r="G429" i="12787"/>
  <c r="G434" i="12787" s="1"/>
  <c r="G436" i="12787" s="1"/>
  <c r="G203" i="12766"/>
  <c r="G233" i="12766"/>
  <c r="K1001" i="12787"/>
  <c r="K1030" i="12787" s="1"/>
  <c r="K1032" i="12787" s="1"/>
  <c r="M1001" i="12787"/>
  <c r="M1030" i="12787" s="1"/>
  <c r="S592" i="12766"/>
  <c r="U592" i="12766" s="1"/>
  <c r="G542" i="12787"/>
  <c r="H801" i="12787"/>
  <c r="H773" i="12787" s="1"/>
  <c r="T771" i="12787" s="1"/>
  <c r="I1005" i="12843"/>
  <c r="L1005" i="12843" s="1"/>
  <c r="W768" i="12787"/>
  <c r="U769" i="12787"/>
  <c r="W769" i="12787" s="1"/>
  <c r="K312" i="12766"/>
  <c r="K283" i="12766" s="1"/>
  <c r="D361" i="12787"/>
  <c r="H390" i="12787"/>
  <c r="H361" i="12787" s="1"/>
  <c r="D363" i="12787"/>
  <c r="H392" i="12787"/>
  <c r="H363" i="12787" s="1"/>
  <c r="G286" i="12787"/>
  <c r="G172" i="12787" s="1"/>
  <c r="K754" i="12787"/>
  <c r="K758" i="12787" s="1"/>
  <c r="K760" i="12787" s="1"/>
  <c r="M754" i="12787"/>
  <c r="M758" i="12787" s="1"/>
  <c r="O22" i="12766"/>
  <c r="M22" i="12766"/>
  <c r="D194" i="12766"/>
  <c r="D165" i="12766" s="1"/>
  <c r="M165" i="12766" s="1"/>
  <c r="K250" i="12766"/>
  <c r="K194" i="12766" s="1"/>
  <c r="K165" i="12766" s="1"/>
  <c r="H250" i="12766"/>
  <c r="H194" i="12766" s="1"/>
  <c r="H165" i="12766" s="1"/>
  <c r="K247" i="12766"/>
  <c r="H247" i="12766"/>
  <c r="H940" i="12766"/>
  <c r="H929" i="12766" s="1"/>
  <c r="D929" i="12766"/>
  <c r="M929" i="12766" s="1"/>
  <c r="K940" i="12766"/>
  <c r="K929" i="12766" s="1"/>
  <c r="H616" i="12787"/>
  <c r="K198" i="12766"/>
  <c r="H391" i="12766"/>
  <c r="H362" i="12766" s="1"/>
  <c r="D362" i="12766"/>
  <c r="K267" i="12766"/>
  <c r="H782" i="12766"/>
  <c r="M55" i="12859"/>
  <c r="M52" i="12859"/>
  <c r="N52" i="12859"/>
  <c r="J53" i="12859"/>
  <c r="S53" i="12859"/>
  <c r="J55" i="12859"/>
  <c r="K55" i="12859"/>
  <c r="T55" i="12859"/>
  <c r="G676" i="12787"/>
  <c r="H832" i="12787"/>
  <c r="H804" i="12787" s="1"/>
  <c r="H776" i="12787" s="1"/>
  <c r="G832" i="12787"/>
  <c r="G804" i="12787" s="1"/>
  <c r="G776" i="12787" s="1"/>
  <c r="K356" i="12766"/>
  <c r="K150" i="12766" s="1"/>
  <c r="G843" i="12766"/>
  <c r="G813" i="12766"/>
  <c r="H621" i="12787"/>
  <c r="H304" i="12766"/>
  <c r="H275" i="12766" s="1"/>
  <c r="D275" i="12766"/>
  <c r="H315" i="12766"/>
  <c r="H286" i="12766" s="1"/>
  <c r="K315" i="12766"/>
  <c r="K286" i="12766" s="1"/>
  <c r="M1002" i="12787"/>
  <c r="K1002" i="12787"/>
  <c r="M1026" i="12787"/>
  <c r="K1026" i="12787"/>
  <c r="K1022" i="12787"/>
  <c r="M1022" i="12787"/>
  <c r="M908" i="12787"/>
  <c r="K908" i="12787"/>
  <c r="M911" i="12787"/>
  <c r="K911" i="12787"/>
  <c r="T37" i="12837"/>
  <c r="N44" i="12837"/>
  <c r="T44" i="12837" s="1"/>
  <c r="N46" i="12837"/>
  <c r="T46" i="12837" s="1"/>
  <c r="K727" i="12787"/>
  <c r="K729" i="12787" s="1"/>
  <c r="K582" i="12787"/>
  <c r="K402" i="12766"/>
  <c r="K373" i="12766" s="1"/>
  <c r="H402" i="12766"/>
  <c r="H373" i="12766" s="1"/>
  <c r="F702" i="12843"/>
  <c r="I753" i="12843"/>
  <c r="L753" i="12843" s="1"/>
  <c r="I47" i="12843"/>
  <c r="L47" i="12843" s="1"/>
  <c r="H534" i="12787"/>
  <c r="G534" i="12787"/>
  <c r="O912" i="12766"/>
  <c r="P912" i="12766"/>
  <c r="M1005" i="12787"/>
  <c r="K1005" i="12787"/>
  <c r="M917" i="12787"/>
  <c r="K917" i="12787"/>
  <c r="I288" i="12843"/>
  <c r="L288" i="12843" s="1"/>
  <c r="H797" i="12766"/>
  <c r="H769" i="12766" s="1"/>
  <c r="H841" i="12766"/>
  <c r="G542" i="12766"/>
  <c r="D360" i="12787"/>
  <c r="H389" i="12787"/>
  <c r="H360" i="12787" s="1"/>
  <c r="H942" i="12787"/>
  <c r="H971" i="12787"/>
  <c r="H251" i="12766"/>
  <c r="H195" i="12766" s="1"/>
  <c r="H166" i="12766" s="1"/>
  <c r="K251" i="12766"/>
  <c r="K195" i="12766" s="1"/>
  <c r="K252" i="12766"/>
  <c r="K196" i="12766" s="1"/>
  <c r="H252" i="12766"/>
  <c r="H196" i="12766" s="1"/>
  <c r="D196" i="12766"/>
  <c r="D167" i="12766" s="1"/>
  <c r="M167" i="12766" s="1"/>
  <c r="D928" i="12766"/>
  <c r="M928" i="12766" s="1"/>
  <c r="M931" i="12766" s="1"/>
  <c r="H939" i="12766"/>
  <c r="K939" i="12766"/>
  <c r="H183" i="12787"/>
  <c r="H153" i="12787" s="1"/>
  <c r="T150" i="12787" s="1"/>
  <c r="M785" i="12787"/>
  <c r="D361" i="12766"/>
  <c r="H390" i="12766"/>
  <c r="H361" i="12766" s="1"/>
  <c r="K390" i="12766"/>
  <c r="K361" i="12766" s="1"/>
  <c r="N58" i="12837"/>
  <c r="T58" i="12837" s="1"/>
  <c r="H104" i="12787"/>
  <c r="H89" i="12787"/>
  <c r="H91" i="12787" s="1"/>
  <c r="H591" i="12787"/>
  <c r="T583" i="12787" s="1"/>
  <c r="H267" i="12766"/>
  <c r="I313" i="12766"/>
  <c r="K313" i="12766" s="1"/>
  <c r="K304" i="12766"/>
  <c r="U55" i="12859"/>
  <c r="U52" i="12859"/>
  <c r="Q53" i="12859"/>
  <c r="R53" i="12859"/>
  <c r="N54" i="12859"/>
  <c r="R55" i="12859"/>
  <c r="S55" i="12859"/>
  <c r="J57" i="12859"/>
  <c r="K355" i="12787"/>
  <c r="K149" i="12787" s="1"/>
  <c r="K405" i="12787"/>
  <c r="H841" i="12787"/>
  <c r="H794" i="12787"/>
  <c r="H766" i="12787" s="1"/>
  <c r="T768" i="12787" s="1"/>
  <c r="T769" i="12787" s="1"/>
  <c r="K570" i="12766"/>
  <c r="K502" i="12766" s="1"/>
  <c r="H895" i="12766"/>
  <c r="H784" i="12766" s="1"/>
  <c r="K895" i="12766"/>
  <c r="K784" i="12766" s="1"/>
  <c r="I118" i="12843"/>
  <c r="L118" i="12843" s="1"/>
  <c r="D256" i="12787"/>
  <c r="D252" i="12787"/>
  <c r="D247" i="12787"/>
  <c r="D257" i="12787"/>
  <c r="D258" i="12787"/>
  <c r="D254" i="12787"/>
  <c r="D250" i="12787"/>
  <c r="D243" i="12787"/>
  <c r="D241" i="12787"/>
  <c r="D244" i="12787"/>
  <c r="D255" i="12787"/>
  <c r="D251" i="12787"/>
  <c r="D245" i="12787"/>
  <c r="C261" i="12787"/>
  <c r="D249" i="12787"/>
  <c r="D253" i="12787"/>
  <c r="D246" i="12787"/>
  <c r="C203" i="12787"/>
  <c r="G499" i="12787"/>
  <c r="D274" i="12766"/>
  <c r="H303" i="12766"/>
  <c r="H274" i="12766" s="1"/>
  <c r="K303" i="12766"/>
  <c r="K274" i="12766" s="1"/>
  <c r="H781" i="12766"/>
  <c r="M1014" i="12787"/>
  <c r="K1014" i="12787"/>
  <c r="K1003" i="12787"/>
  <c r="M1003" i="12787"/>
  <c r="M1009" i="12787"/>
  <c r="K1009" i="12787"/>
  <c r="G317" i="12766"/>
  <c r="P92" i="12787"/>
  <c r="O92" i="12787"/>
  <c r="K202" i="12766"/>
  <c r="K17" i="12766"/>
  <c r="M915" i="12787"/>
  <c r="K915" i="12787"/>
  <c r="M919" i="12787"/>
  <c r="K919" i="12787"/>
  <c r="C48" i="12843"/>
  <c r="H16" i="12787"/>
  <c r="H42" i="12787"/>
  <c r="M785" i="12766"/>
  <c r="I425" i="12787"/>
  <c r="K425" i="12787" s="1"/>
  <c r="K414" i="12787"/>
  <c r="K434" i="12787" s="1"/>
  <c r="K436" i="12787" s="1"/>
  <c r="K372" i="12787"/>
  <c r="K170" i="12787" s="1"/>
  <c r="D571" i="12787"/>
  <c r="D565" i="12787"/>
  <c r="D555" i="12787"/>
  <c r="D566" i="12787"/>
  <c r="D556" i="12787"/>
  <c r="D573" i="12787"/>
  <c r="D567" i="12787"/>
  <c r="D558" i="12787"/>
  <c r="D559" i="12787"/>
  <c r="D568" i="12787"/>
  <c r="D500" i="12787" s="1"/>
  <c r="M500" i="12787" s="1"/>
  <c r="D560" i="12787"/>
  <c r="C576" i="12787"/>
  <c r="D569" i="12787"/>
  <c r="D552" i="12787"/>
  <c r="D570" i="12787"/>
  <c r="D553" i="12787"/>
  <c r="C506" i="12787"/>
  <c r="C508" i="12787" s="1"/>
  <c r="K619" i="12787"/>
  <c r="O21" i="12766"/>
  <c r="M21" i="12766"/>
  <c r="K758" i="12766"/>
  <c r="K760" i="12766" s="1"/>
  <c r="C205" i="12766"/>
  <c r="C174" i="12766"/>
  <c r="C176" i="12766" s="1"/>
  <c r="D200" i="12766"/>
  <c r="D171" i="12766" s="1"/>
  <c r="M171" i="12766" s="1"/>
  <c r="K256" i="12766"/>
  <c r="K200" i="12766" s="1"/>
  <c r="K171" i="12766" s="1"/>
  <c r="H256" i="12766"/>
  <c r="H200" i="12766" s="1"/>
  <c r="H171" i="12766" s="1"/>
  <c r="D186" i="12787"/>
  <c r="D153" i="12787"/>
  <c r="H389" i="12766"/>
  <c r="H360" i="12766" s="1"/>
  <c r="D360" i="12766"/>
  <c r="K389" i="12766"/>
  <c r="K360" i="12766" s="1"/>
  <c r="M625" i="12787"/>
  <c r="I342" i="12766"/>
  <c r="K342" i="12766" s="1"/>
  <c r="K333" i="12766"/>
  <c r="K346" i="12766" s="1"/>
  <c r="K348" i="12766" s="1"/>
  <c r="I721" i="12766"/>
  <c r="K721" i="12766" s="1"/>
  <c r="K702" i="12766"/>
  <c r="K600" i="12766" s="1"/>
  <c r="L52" i="12859"/>
  <c r="P53" i="12859"/>
  <c r="L54" i="12859"/>
  <c r="M54" i="12859"/>
  <c r="Q55" i="12859"/>
  <c r="P57" i="12859"/>
  <c r="P67" i="12859" s="1"/>
  <c r="Q57" i="12859"/>
  <c r="Q67" i="12859" s="1"/>
  <c r="R57" i="12859"/>
  <c r="R67" i="12859" s="1"/>
  <c r="G758" i="12787"/>
  <c r="G760" i="12787" s="1"/>
  <c r="G841" i="12787"/>
  <c r="G794" i="12787"/>
  <c r="G766" i="12787" s="1"/>
  <c r="D898" i="12766"/>
  <c r="H884" i="12766"/>
  <c r="H773" i="12766" s="1"/>
  <c r="R777" i="12766" s="1"/>
  <c r="K884" i="12766"/>
  <c r="K773" i="12766" s="1"/>
  <c r="S777" i="12766" s="1"/>
  <c r="U777" i="12766" s="1"/>
  <c r="I163" i="12843"/>
  <c r="L163" i="12843" s="1"/>
  <c r="D781" i="12766"/>
  <c r="M781" i="12766" s="1"/>
  <c r="M1006" i="12787"/>
  <c r="K1006" i="12787"/>
  <c r="M1011" i="12787"/>
  <c r="K1011" i="12787"/>
  <c r="D191" i="12766"/>
  <c r="G346" i="12787"/>
  <c r="G348" i="12787" s="1"/>
  <c r="D202" i="12766"/>
  <c r="D173" i="12766" s="1"/>
  <c r="M173" i="12766" s="1"/>
  <c r="H17" i="12766"/>
  <c r="H1001" i="12766"/>
  <c r="H1003" i="12766" s="1"/>
  <c r="P1000" i="12766" s="1"/>
  <c r="P1001" i="12766" s="1"/>
  <c r="M909" i="12787"/>
  <c r="K909" i="12787"/>
  <c r="K905" i="12787"/>
  <c r="M905" i="12787"/>
  <c r="K502" i="12787"/>
  <c r="H253" i="12766"/>
  <c r="H197" i="12766" s="1"/>
  <c r="H168" i="12766" s="1"/>
  <c r="D197" i="12766"/>
  <c r="D168" i="12766" s="1"/>
  <c r="M168" i="12766" s="1"/>
  <c r="K253" i="12766"/>
  <c r="K197" i="12766" s="1"/>
  <c r="H881" i="12766"/>
  <c r="K881" i="12766"/>
  <c r="K770" i="12766" s="1"/>
  <c r="I150" i="12843"/>
  <c r="L150" i="12843" s="1"/>
  <c r="K506" i="12787"/>
  <c r="K508" i="12787" s="1"/>
  <c r="K542" i="12787"/>
  <c r="D274" i="12787"/>
  <c r="H303" i="12787"/>
  <c r="H274" i="12787" s="1"/>
  <c r="K259" i="12787"/>
  <c r="K261" i="12787" s="1"/>
  <c r="P924" i="12787"/>
  <c r="K676" i="12766"/>
  <c r="G194" i="12787"/>
  <c r="G165" i="12787" s="1"/>
  <c r="I396" i="12787"/>
  <c r="K396" i="12787" s="1"/>
  <c r="K367" i="12787" s="1"/>
  <c r="K385" i="12787"/>
  <c r="G282" i="12787"/>
  <c r="G168" i="12787" s="1"/>
  <c r="G317" i="12787"/>
  <c r="M758" i="12766"/>
  <c r="D770" i="12766"/>
  <c r="M770" i="12766" s="1"/>
  <c r="H393" i="12787"/>
  <c r="H364" i="12787" s="1"/>
  <c r="D364" i="12787"/>
  <c r="K615" i="12787"/>
  <c r="H18" i="12766"/>
  <c r="H246" i="12766"/>
  <c r="H190" i="12766" s="1"/>
  <c r="H161" i="12766" s="1"/>
  <c r="D190" i="12766"/>
  <c r="H244" i="12766"/>
  <c r="H188" i="12766" s="1"/>
  <c r="D188" i="12766"/>
  <c r="K244" i="12766"/>
  <c r="K188" i="12766" s="1"/>
  <c r="K159" i="12766" s="1"/>
  <c r="K366" i="12766"/>
  <c r="K619" i="12766"/>
  <c r="K184" i="12787"/>
  <c r="K154" i="12787" s="1"/>
  <c r="K231" i="12787"/>
  <c r="G505" i="12787"/>
  <c r="C1006" i="12766"/>
  <c r="C1009" i="12766" s="1"/>
  <c r="C1016" i="12766" s="1"/>
  <c r="K393" i="12766"/>
  <c r="K364" i="12766" s="1"/>
  <c r="H393" i="12766"/>
  <c r="H364" i="12766" s="1"/>
  <c r="D364" i="12766"/>
  <c r="G170" i="12787"/>
  <c r="K753" i="12787"/>
  <c r="M753" i="12787"/>
  <c r="H799" i="12766"/>
  <c r="H771" i="12766" s="1"/>
  <c r="R776" i="12766" s="1"/>
  <c r="F1081" i="12843"/>
  <c r="I1081" i="12843" s="1"/>
  <c r="L1081" i="12843" s="1"/>
  <c r="K57" i="12859"/>
  <c r="K67" i="12859" s="1"/>
  <c r="K54" i="12859"/>
  <c r="T54" i="12859"/>
  <c r="U54" i="12859"/>
  <c r="O57" i="12859"/>
  <c r="O67" i="12859" s="1"/>
  <c r="J52" i="12859"/>
  <c r="K52" i="12859"/>
  <c r="B22" i="12837"/>
  <c r="G504" i="12787"/>
  <c r="H891" i="12766"/>
  <c r="H780" i="12766" s="1"/>
  <c r="K891" i="12766"/>
  <c r="K780" i="12766" s="1"/>
  <c r="G608" i="12787"/>
  <c r="M80" i="12766"/>
  <c r="P92" i="12766"/>
  <c r="O92" i="12766"/>
  <c r="H305" i="12766"/>
  <c r="H276" i="12766" s="1"/>
  <c r="D276" i="12766"/>
  <c r="K305" i="12766"/>
  <c r="K276" i="12766" s="1"/>
  <c r="C1020" i="12766"/>
  <c r="K890" i="12766"/>
  <c r="K779" i="12766" s="1"/>
  <c r="M1021" i="12787"/>
  <c r="K1021" i="12787"/>
  <c r="M1018" i="12787"/>
  <c r="K1018" i="12787"/>
  <c r="H191" i="12766"/>
  <c r="H162" i="12766" s="1"/>
  <c r="H231" i="12766"/>
  <c r="K399" i="12766"/>
  <c r="K370" i="12766" s="1"/>
  <c r="H202" i="12766"/>
  <c r="H618" i="12787"/>
  <c r="K488" i="12787"/>
  <c r="U483" i="12787" s="1"/>
  <c r="W483" i="12787" s="1"/>
  <c r="O17" i="12766"/>
  <c r="M17" i="12766"/>
  <c r="K1001" i="12766"/>
  <c r="K1003" i="12766" s="1"/>
  <c r="H400" i="12787"/>
  <c r="H371" i="12787" s="1"/>
  <c r="G400" i="12787"/>
  <c r="G371" i="12787" s="1"/>
  <c r="G169" i="12787" s="1"/>
  <c r="M916" i="12787"/>
  <c r="K916" i="12787"/>
  <c r="K912" i="12787"/>
  <c r="M912" i="12787"/>
  <c r="K491" i="12787"/>
  <c r="I227" i="12766"/>
  <c r="K227" i="12766" s="1"/>
  <c r="K199" i="12766" s="1"/>
  <c r="K218" i="12766"/>
  <c r="K190" i="12766" s="1"/>
  <c r="H309" i="12766"/>
  <c r="H280" i="12766" s="1"/>
  <c r="K309" i="12766"/>
  <c r="K280" i="12766" s="1"/>
  <c r="D273" i="12787"/>
  <c r="H302" i="12787"/>
  <c r="H16" i="12766"/>
  <c r="H42" i="12766"/>
  <c r="G44" i="12787"/>
  <c r="G25" i="12787"/>
  <c r="G27" i="12787" s="1"/>
  <c r="K585" i="12787"/>
  <c r="K676" i="12787"/>
  <c r="O18" i="12766"/>
  <c r="M18" i="12766"/>
  <c r="H255" i="12766"/>
  <c r="H199" i="12766" s="1"/>
  <c r="H170" i="12766" s="1"/>
  <c r="D199" i="12766"/>
  <c r="D170" i="12766" s="1"/>
  <c r="M170" i="12766" s="1"/>
  <c r="D193" i="12766"/>
  <c r="D164" i="12766" s="1"/>
  <c r="M164" i="12766" s="1"/>
  <c r="H249" i="12766"/>
  <c r="H193" i="12766" s="1"/>
  <c r="H164" i="12766" s="1"/>
  <c r="K249" i="12766"/>
  <c r="K193" i="12766" s="1"/>
  <c r="K355" i="12766"/>
  <c r="K149" i="12766" s="1"/>
  <c r="K194" i="12787"/>
  <c r="K165" i="12787" s="1"/>
  <c r="M20" i="12766"/>
  <c r="O20" i="12766"/>
  <c r="H392" i="12766"/>
  <c r="H363" i="12766" s="1"/>
  <c r="D363" i="12766"/>
  <c r="K398" i="12766"/>
  <c r="K369" i="12766" s="1"/>
  <c r="H398" i="12766"/>
  <c r="H369" i="12766" s="1"/>
  <c r="C752" i="12843"/>
  <c r="C701" i="12843" s="1"/>
  <c r="C674" i="12843"/>
  <c r="F729" i="12843"/>
  <c r="K811" i="12787"/>
  <c r="K783" i="12787" s="1"/>
  <c r="I430" i="12766"/>
  <c r="K430" i="12766" s="1"/>
  <c r="K421" i="12766"/>
  <c r="K434" i="12766" s="1"/>
  <c r="K436" i="12766" s="1"/>
  <c r="T52" i="12859"/>
  <c r="S54" i="12859"/>
  <c r="O55" i="12859"/>
  <c r="P55" i="12859"/>
  <c r="Q52" i="12859"/>
  <c r="R52" i="12859"/>
  <c r="H504" i="12787"/>
  <c r="H721" i="12787"/>
  <c r="H727" i="12787" s="1"/>
  <c r="H729" i="12787" s="1"/>
  <c r="G721" i="12787"/>
  <c r="G727" i="12787" s="1"/>
  <c r="G729" i="12787" s="1"/>
  <c r="H777" i="12787"/>
  <c r="K882" i="12766"/>
  <c r="K771" i="12766" s="1"/>
  <c r="S776" i="12766" s="1"/>
  <c r="U776" i="12766" s="1"/>
  <c r="H882" i="12766"/>
  <c r="K268" i="12787"/>
  <c r="K317" i="12787"/>
  <c r="H568" i="12787"/>
  <c r="G568" i="12787"/>
  <c r="G574" i="12787" s="1"/>
  <c r="H608" i="12787"/>
  <c r="K610" i="12787"/>
  <c r="U481" i="12787"/>
  <c r="W481" i="12787" s="1"/>
  <c r="K302" i="12766"/>
  <c r="K273" i="12766" s="1"/>
  <c r="D273" i="12766"/>
  <c r="H302" i="12766"/>
  <c r="H273" i="12766" s="1"/>
  <c r="H316" i="12766"/>
  <c r="H287" i="12766" s="1"/>
  <c r="K316" i="12766"/>
  <c r="K287" i="12766" s="1"/>
  <c r="K397" i="12766"/>
  <c r="K368" i="12766" s="1"/>
  <c r="N12" i="12837"/>
  <c r="M1028" i="12787"/>
  <c r="K1028" i="12787"/>
  <c r="M1025" i="12787"/>
  <c r="K1025" i="12787"/>
  <c r="K191" i="12766"/>
  <c r="H676" i="12787"/>
  <c r="H198" i="12766"/>
  <c r="H169" i="12766" s="1"/>
  <c r="K500" i="12787"/>
  <c r="G574" i="12766"/>
  <c r="G576" i="12766" s="1"/>
  <c r="K391" i="12766"/>
  <c r="K362" i="12766" s="1"/>
  <c r="M1001" i="12766"/>
  <c r="G407" i="12766"/>
  <c r="G376" i="12766"/>
  <c r="G378" i="12766" s="1"/>
  <c r="G362" i="12787"/>
  <c r="G160" i="12787" s="1"/>
  <c r="M910" i="12787"/>
  <c r="K910" i="12787"/>
  <c r="K920" i="12787"/>
  <c r="M920" i="12787"/>
  <c r="G27" i="12783"/>
  <c r="F420" i="12843"/>
  <c r="F184" i="12843" s="1"/>
  <c r="F344" i="12843"/>
  <c r="I573" i="12843"/>
  <c r="F1097" i="12843"/>
  <c r="F112" i="12843"/>
  <c r="F1080" i="12843"/>
  <c r="F836" i="12843"/>
  <c r="I194" i="12843"/>
  <c r="F1123" i="12843"/>
  <c r="I195" i="12843"/>
  <c r="C805" i="12843"/>
  <c r="F180" i="12843"/>
  <c r="G26" i="12783"/>
  <c r="F923" i="12843"/>
  <c r="F925" i="12843" s="1"/>
  <c r="F1021" i="12843"/>
  <c r="G24" i="12783"/>
  <c r="C178" i="12843"/>
  <c r="F839" i="12843"/>
  <c r="F463" i="12843"/>
  <c r="I35" i="12859"/>
  <c r="F35" i="12859" s="1"/>
  <c r="F36" i="12859" s="1"/>
  <c r="G21" i="12783"/>
  <c r="I31" i="12783"/>
  <c r="C858" i="12843"/>
  <c r="F1109" i="12843"/>
  <c r="K38" i="12783"/>
  <c r="C1022" i="12843"/>
  <c r="F36" i="12843"/>
  <c r="F19" i="12843"/>
  <c r="F1041" i="12843"/>
  <c r="C702" i="12843"/>
  <c r="C1071" i="12843"/>
  <c r="C492" i="12843"/>
  <c r="C433" i="12843"/>
  <c r="C434" i="12843" s="1"/>
  <c r="L702" i="12843" l="1"/>
  <c r="S56" i="12859"/>
  <c r="S58" i="12859" s="1"/>
  <c r="B29" i="12783"/>
  <c r="F48" i="12843"/>
  <c r="F375" i="12843"/>
  <c r="F106" i="12843"/>
  <c r="C754" i="12843"/>
  <c r="F1082" i="12843"/>
  <c r="I702" i="12843"/>
  <c r="P766" i="12766"/>
  <c r="S775" i="12766"/>
  <c r="U775" i="12766" s="1"/>
  <c r="P761" i="12787"/>
  <c r="O761" i="12787"/>
  <c r="G576" i="12787"/>
  <c r="G506" i="12787"/>
  <c r="G508" i="12787" s="1"/>
  <c r="T56" i="12859"/>
  <c r="T58" i="12859" s="1"/>
  <c r="T66" i="12859"/>
  <c r="K405" i="12766"/>
  <c r="P27" i="12787"/>
  <c r="H173" i="12766"/>
  <c r="H896" i="12766"/>
  <c r="H898" i="12766" s="1"/>
  <c r="M153" i="12787"/>
  <c r="D156" i="12787"/>
  <c r="H570" i="12787"/>
  <c r="H502" i="12787" s="1"/>
  <c r="D502" i="12787"/>
  <c r="M502" i="12787" s="1"/>
  <c r="H567" i="12787"/>
  <c r="H499" i="12787" s="1"/>
  <c r="D499" i="12787"/>
  <c r="M499" i="12787" s="1"/>
  <c r="H44" i="12787"/>
  <c r="H25" i="12787"/>
  <c r="H27" i="12787" s="1"/>
  <c r="D193" i="12787"/>
  <c r="D164" i="12787" s="1"/>
  <c r="M164" i="12787" s="1"/>
  <c r="H249" i="12787"/>
  <c r="H193" i="12787" s="1"/>
  <c r="H164" i="12787" s="1"/>
  <c r="D194" i="12787"/>
  <c r="D165" i="12787" s="1"/>
  <c r="M165" i="12787" s="1"/>
  <c r="H250" i="12787"/>
  <c r="H194" i="12787" s="1"/>
  <c r="H165" i="12787" s="1"/>
  <c r="U150" i="12787"/>
  <c r="W150" i="12787" s="1"/>
  <c r="H813" i="12766"/>
  <c r="H843" i="12766"/>
  <c r="V55" i="12859"/>
  <c r="K317" i="12766"/>
  <c r="H559" i="12766"/>
  <c r="H491" i="12766" s="1"/>
  <c r="K559" i="12766"/>
  <c r="K491" i="12766" s="1"/>
  <c r="D491" i="12766"/>
  <c r="M491" i="12766" s="1"/>
  <c r="H560" i="12766"/>
  <c r="H492" i="12766" s="1"/>
  <c r="K560" i="12766"/>
  <c r="K492" i="12766" s="1"/>
  <c r="D492" i="12766"/>
  <c r="M492" i="12766" s="1"/>
  <c r="H357" i="12766"/>
  <c r="H151" i="12766" s="1"/>
  <c r="H405" i="12766"/>
  <c r="D158" i="12766"/>
  <c r="M158" i="12766" s="1"/>
  <c r="H542" i="12766"/>
  <c r="H809" i="12787"/>
  <c r="H781" i="12787" s="1"/>
  <c r="G405" i="12787"/>
  <c r="K288" i="12787"/>
  <c r="K290" i="12787" s="1"/>
  <c r="K319" i="12787"/>
  <c r="B23" i="12837"/>
  <c r="F752" i="12843"/>
  <c r="F674" i="12843"/>
  <c r="K56" i="12859"/>
  <c r="K58" i="12859" s="1"/>
  <c r="K66" i="12859"/>
  <c r="D159" i="12766"/>
  <c r="M159" i="12766" s="1"/>
  <c r="K356" i="12787"/>
  <c r="K150" i="12787" s="1"/>
  <c r="D157" i="12787"/>
  <c r="D1048" i="12787" s="1"/>
  <c r="D1049" i="12787"/>
  <c r="H552" i="12787"/>
  <c r="D484" i="12787"/>
  <c r="M484" i="12787" s="1"/>
  <c r="M506" i="12787" s="1"/>
  <c r="H573" i="12787"/>
  <c r="H505" i="12787" s="1"/>
  <c r="D505" i="12787"/>
  <c r="M505" i="12787" s="1"/>
  <c r="H254" i="12787"/>
  <c r="H198" i="12787" s="1"/>
  <c r="H169" i="12787" s="1"/>
  <c r="D198" i="12787"/>
  <c r="D169" i="12787" s="1"/>
  <c r="M169" i="12787" s="1"/>
  <c r="J67" i="12859"/>
  <c r="V67" i="12859" s="1"/>
  <c r="V57" i="12859"/>
  <c r="C35" i="12859" s="1"/>
  <c r="C36" i="12859" s="1"/>
  <c r="K275" i="12766"/>
  <c r="K161" i="12766" s="1"/>
  <c r="H167" i="12766"/>
  <c r="K169" i="12766"/>
  <c r="G619" i="12787"/>
  <c r="H552" i="12766"/>
  <c r="K552" i="12766"/>
  <c r="D484" i="12766"/>
  <c r="M484" i="12766" s="1"/>
  <c r="H565" i="12766"/>
  <c r="H497" i="12766" s="1"/>
  <c r="K565" i="12766"/>
  <c r="K497" i="12766" s="1"/>
  <c r="D497" i="12766"/>
  <c r="M497" i="12766" s="1"/>
  <c r="H158" i="12766"/>
  <c r="K813" i="12766"/>
  <c r="K843" i="12766"/>
  <c r="S66" i="12859"/>
  <c r="K164" i="12766"/>
  <c r="H233" i="12766"/>
  <c r="J56" i="12859"/>
  <c r="V52" i="12859"/>
  <c r="J66" i="12859"/>
  <c r="H159" i="12766"/>
  <c r="K168" i="12766"/>
  <c r="C164" i="12843"/>
  <c r="P761" i="12766"/>
  <c r="O761" i="12766"/>
  <c r="H569" i="12787"/>
  <c r="H501" i="12787" s="1"/>
  <c r="D501" i="12787"/>
  <c r="M501" i="12787" s="1"/>
  <c r="H556" i="12787"/>
  <c r="H488" i="12787" s="1"/>
  <c r="D488" i="12787"/>
  <c r="M488" i="12787" s="1"/>
  <c r="D189" i="12787"/>
  <c r="D160" i="12787" s="1"/>
  <c r="M160" i="12787" s="1"/>
  <c r="H245" i="12787"/>
  <c r="H189" i="12787" s="1"/>
  <c r="H160" i="12787" s="1"/>
  <c r="D202" i="12787"/>
  <c r="D173" i="12787" s="1"/>
  <c r="M173" i="12787" s="1"/>
  <c r="H258" i="12787"/>
  <c r="H202" i="12787" s="1"/>
  <c r="H173" i="12787" s="1"/>
  <c r="K284" i="12766"/>
  <c r="K170" i="12766" s="1"/>
  <c r="K167" i="12766"/>
  <c r="V53" i="12859"/>
  <c r="K558" i="12766"/>
  <c r="K490" i="12766" s="1"/>
  <c r="D576" i="12766"/>
  <c r="H558" i="12766"/>
  <c r="H490" i="12766" s="1"/>
  <c r="S494" i="12766" s="1"/>
  <c r="D490" i="12766"/>
  <c r="H571" i="12766"/>
  <c r="H503" i="12766" s="1"/>
  <c r="D503" i="12766"/>
  <c r="M503" i="12766" s="1"/>
  <c r="K571" i="12766"/>
  <c r="K503" i="12766" s="1"/>
  <c r="K231" i="12766"/>
  <c r="K158" i="12766"/>
  <c r="M25" i="12766"/>
  <c r="K618" i="12787"/>
  <c r="G625" i="12766"/>
  <c r="G627" i="12766" s="1"/>
  <c r="G678" i="12766"/>
  <c r="K172" i="12766"/>
  <c r="H233" i="12787"/>
  <c r="R56" i="12859"/>
  <c r="R58" i="12859" s="1"/>
  <c r="R66" i="12859"/>
  <c r="O1004" i="12766"/>
  <c r="P1004" i="12766"/>
  <c r="D161" i="12766"/>
  <c r="M161" i="12766" s="1"/>
  <c r="D162" i="12766"/>
  <c r="M162" i="12766" s="1"/>
  <c r="G843" i="12787"/>
  <c r="G813" i="12787"/>
  <c r="H566" i="12787"/>
  <c r="H498" i="12787" s="1"/>
  <c r="D498" i="12787"/>
  <c r="M498" i="12787" s="1"/>
  <c r="H251" i="12787"/>
  <c r="H195" i="12787" s="1"/>
  <c r="H166" i="12787" s="1"/>
  <c r="D195" i="12787"/>
  <c r="D166" i="12787" s="1"/>
  <c r="M166" i="12787" s="1"/>
  <c r="D201" i="12787"/>
  <c r="D172" i="12787" s="1"/>
  <c r="M172" i="12787" s="1"/>
  <c r="H257" i="12787"/>
  <c r="H201" i="12787" s="1"/>
  <c r="H172" i="12787" s="1"/>
  <c r="H317" i="12766"/>
  <c r="K166" i="12766"/>
  <c r="N56" i="12859"/>
  <c r="N58" i="12859" s="1"/>
  <c r="N66" i="12859"/>
  <c r="C36" i="12843"/>
  <c r="K573" i="12766"/>
  <c r="K505" i="12766" s="1"/>
  <c r="H573" i="12766"/>
  <c r="H505" i="12766" s="1"/>
  <c r="D505" i="12766"/>
  <c r="M505" i="12766" s="1"/>
  <c r="K553" i="12766"/>
  <c r="K485" i="12766" s="1"/>
  <c r="H553" i="12766"/>
  <c r="H485" i="12766" s="1"/>
  <c r="D485" i="12766"/>
  <c r="M485" i="12766" s="1"/>
  <c r="K160" i="12766"/>
  <c r="R159" i="12766" s="1"/>
  <c r="S168" i="12766" s="1"/>
  <c r="U168" i="12766" s="1"/>
  <c r="D160" i="12766"/>
  <c r="M160" i="12766" s="1"/>
  <c r="K813" i="12787"/>
  <c r="K843" i="12787"/>
  <c r="O23" i="12766"/>
  <c r="O25" i="12766" s="1"/>
  <c r="K599" i="12787"/>
  <c r="Q56" i="12859"/>
  <c r="Q58" i="12859" s="1"/>
  <c r="Q66" i="12859"/>
  <c r="K678" i="12766"/>
  <c r="K625" i="12766"/>
  <c r="K627" i="12766" s="1"/>
  <c r="P509" i="12787"/>
  <c r="O509" i="12787"/>
  <c r="O511" i="12787" s="1"/>
  <c r="L56" i="12859"/>
  <c r="L58" i="12859" s="1"/>
  <c r="L66" i="12859"/>
  <c r="H560" i="12787"/>
  <c r="H492" i="12787" s="1"/>
  <c r="D492" i="12787"/>
  <c r="M492" i="12787" s="1"/>
  <c r="H555" i="12787"/>
  <c r="H487" i="12787" s="1"/>
  <c r="T483" i="12787" s="1"/>
  <c r="D487" i="12787"/>
  <c r="M487" i="12787" s="1"/>
  <c r="K173" i="12766"/>
  <c r="H255" i="12787"/>
  <c r="H199" i="12787" s="1"/>
  <c r="H170" i="12787" s="1"/>
  <c r="D199" i="12787"/>
  <c r="D170" i="12787" s="1"/>
  <c r="M170" i="12787" s="1"/>
  <c r="H247" i="12787"/>
  <c r="H191" i="12787" s="1"/>
  <c r="H162" i="12787" s="1"/>
  <c r="D191" i="12787"/>
  <c r="D162" i="12787" s="1"/>
  <c r="M162" i="12787" s="1"/>
  <c r="G500" i="12787"/>
  <c r="G678" i="12787"/>
  <c r="G625" i="12787"/>
  <c r="G627" i="12787" s="1"/>
  <c r="M56" i="12859"/>
  <c r="M58" i="12859" s="1"/>
  <c r="M66" i="12859"/>
  <c r="D502" i="12766"/>
  <c r="M502" i="12766" s="1"/>
  <c r="H570" i="12766"/>
  <c r="H502" i="12766" s="1"/>
  <c r="H160" i="12766"/>
  <c r="H619" i="12787"/>
  <c r="K727" i="12766"/>
  <c r="K729" i="12766" s="1"/>
  <c r="K363" i="12766"/>
  <c r="H172" i="12766"/>
  <c r="H770" i="12766"/>
  <c r="R775" i="12766" s="1"/>
  <c r="H44" i="12766"/>
  <c r="H25" i="12766"/>
  <c r="H27" i="12766" s="1"/>
  <c r="Q917" i="12787"/>
  <c r="R917" i="12787" s="1"/>
  <c r="Q910" i="12787"/>
  <c r="R910" i="12787" s="1"/>
  <c r="Q916" i="12787"/>
  <c r="R916" i="12787" s="1"/>
  <c r="Q909" i="12787"/>
  <c r="R909" i="12787" s="1"/>
  <c r="Q915" i="12787"/>
  <c r="R915" i="12787" s="1"/>
  <c r="Q908" i="12787"/>
  <c r="R908" i="12787" s="1"/>
  <c r="Q913" i="12787"/>
  <c r="R913" i="12787" s="1"/>
  <c r="Q907" i="12787"/>
  <c r="R907" i="12787" s="1"/>
  <c r="Q921" i="12787"/>
  <c r="R921" i="12787" s="1"/>
  <c r="Q906" i="12787"/>
  <c r="R906" i="12787" s="1"/>
  <c r="Q920" i="12787"/>
  <c r="R920" i="12787" s="1"/>
  <c r="Q912" i="12787"/>
  <c r="R912" i="12787" s="1"/>
  <c r="Q905" i="12787"/>
  <c r="R905" i="12787" s="1"/>
  <c r="Q919" i="12787"/>
  <c r="R919" i="12787" s="1"/>
  <c r="Q911" i="12787"/>
  <c r="R911" i="12787" s="1"/>
  <c r="Q904" i="12787"/>
  <c r="R904" i="12787" s="1"/>
  <c r="Q918" i="12787"/>
  <c r="R918" i="12787" s="1"/>
  <c r="Q976" i="12766"/>
  <c r="R976" i="12766" s="1"/>
  <c r="Q974" i="12766"/>
  <c r="R974" i="12766" s="1"/>
  <c r="Q999" i="12766"/>
  <c r="R999" i="12766" s="1"/>
  <c r="Q973" i="12766"/>
  <c r="R973" i="12766" s="1"/>
  <c r="Q997" i="12766"/>
  <c r="R997" i="12766" s="1"/>
  <c r="Q996" i="12766"/>
  <c r="R996" i="12766" s="1"/>
  <c r="Q972" i="12766"/>
  <c r="R972" i="12766" s="1"/>
  <c r="Q995" i="12766"/>
  <c r="R995" i="12766" s="1"/>
  <c r="Q993" i="12766"/>
  <c r="R993" i="12766" s="1"/>
  <c r="Q992" i="12766"/>
  <c r="R992" i="12766" s="1"/>
  <c r="Q990" i="12766"/>
  <c r="R990" i="12766" s="1"/>
  <c r="Q989" i="12766"/>
  <c r="R989" i="12766" s="1"/>
  <c r="Q988" i="12766"/>
  <c r="R988" i="12766" s="1"/>
  <c r="Q985" i="12766"/>
  <c r="R985" i="12766" s="1"/>
  <c r="Q984" i="12766"/>
  <c r="R984" i="12766" s="1"/>
  <c r="Q982" i="12766"/>
  <c r="R982" i="12766" s="1"/>
  <c r="Q981" i="12766"/>
  <c r="R981" i="12766" s="1"/>
  <c r="Q980" i="12766"/>
  <c r="R980" i="12766" s="1"/>
  <c r="Q977" i="12766"/>
  <c r="R977" i="12766" s="1"/>
  <c r="H565" i="12787"/>
  <c r="H497" i="12787" s="1"/>
  <c r="D497" i="12787"/>
  <c r="M497" i="12787" s="1"/>
  <c r="C174" i="12787"/>
  <c r="C176" i="12787" s="1"/>
  <c r="C1035" i="12787" s="1"/>
  <c r="C1038" i="12787" s="1"/>
  <c r="C1045" i="12787" s="1"/>
  <c r="C205" i="12787"/>
  <c r="H244" i="12787"/>
  <c r="H188" i="12787" s="1"/>
  <c r="H159" i="12787" s="1"/>
  <c r="D188" i="12787"/>
  <c r="D159" i="12787" s="1"/>
  <c r="M159" i="12787" s="1"/>
  <c r="D196" i="12787"/>
  <c r="D167" i="12787" s="1"/>
  <c r="M167" i="12787" s="1"/>
  <c r="H252" i="12787"/>
  <c r="H196" i="12787" s="1"/>
  <c r="H167" i="12787" s="1"/>
  <c r="K942" i="12766"/>
  <c r="K928" i="12766"/>
  <c r="H945" i="12787"/>
  <c r="H947" i="12787" s="1"/>
  <c r="H973" i="12787"/>
  <c r="G506" i="12766"/>
  <c r="G508" i="12766" s="1"/>
  <c r="F164" i="12843"/>
  <c r="H500" i="12787"/>
  <c r="B24" i="12837"/>
  <c r="C76" i="12843"/>
  <c r="P1033" i="12787"/>
  <c r="O1033" i="12787"/>
  <c r="H566" i="12766"/>
  <c r="H498" i="12766" s="1"/>
  <c r="K566" i="12766"/>
  <c r="K498" i="12766" s="1"/>
  <c r="D498" i="12766"/>
  <c r="M498" i="12766" s="1"/>
  <c r="D488" i="12766"/>
  <c r="M488" i="12766" s="1"/>
  <c r="H556" i="12766"/>
  <c r="H488" i="12766" s="1"/>
  <c r="K556" i="12766"/>
  <c r="K488" i="12766" s="1"/>
  <c r="O56" i="12859"/>
  <c r="O58" i="12859" s="1"/>
  <c r="O66" i="12859"/>
  <c r="K372" i="12766"/>
  <c r="K259" i="12766"/>
  <c r="K261" i="12766" s="1"/>
  <c r="K183" i="12766"/>
  <c r="K153" i="12766" s="1"/>
  <c r="S166" i="12766" s="1"/>
  <c r="U166" i="12766" s="1"/>
  <c r="G205" i="12787"/>
  <c r="H678" i="12787"/>
  <c r="H625" i="12787"/>
  <c r="H627" i="12787" s="1"/>
  <c r="K678" i="12787"/>
  <c r="K625" i="12787"/>
  <c r="K627" i="12787" s="1"/>
  <c r="H559" i="12787"/>
  <c r="H491" i="12787" s="1"/>
  <c r="D491" i="12787"/>
  <c r="M491" i="12787" s="1"/>
  <c r="H571" i="12787"/>
  <c r="H503" i="12787" s="1"/>
  <c r="D503" i="12787"/>
  <c r="M503" i="12787" s="1"/>
  <c r="H246" i="12787"/>
  <c r="H190" i="12787" s="1"/>
  <c r="H161" i="12787" s="1"/>
  <c r="D190" i="12787"/>
  <c r="D161" i="12787" s="1"/>
  <c r="M161" i="12787" s="1"/>
  <c r="H241" i="12787"/>
  <c r="D185" i="12787"/>
  <c r="D155" i="12787" s="1"/>
  <c r="M155" i="12787" s="1"/>
  <c r="H256" i="12787"/>
  <c r="H200" i="12787" s="1"/>
  <c r="H171" i="12787" s="1"/>
  <c r="D200" i="12787"/>
  <c r="D171" i="12787" s="1"/>
  <c r="M171" i="12787" s="1"/>
  <c r="H843" i="12787"/>
  <c r="H813" i="12787"/>
  <c r="H942" i="12766"/>
  <c r="H928" i="12766"/>
  <c r="U583" i="12787"/>
  <c r="W583" i="12787" s="1"/>
  <c r="D500" i="12766"/>
  <c r="M500" i="12766" s="1"/>
  <c r="H568" i="12766"/>
  <c r="H500" i="12766" s="1"/>
  <c r="H567" i="12766"/>
  <c r="H499" i="12766" s="1"/>
  <c r="K567" i="12766"/>
  <c r="K499" i="12766" s="1"/>
  <c r="D499" i="12766"/>
  <c r="M499" i="12766" s="1"/>
  <c r="K542" i="12766"/>
  <c r="H625" i="12766"/>
  <c r="H627" i="12766" s="1"/>
  <c r="H678" i="12766"/>
  <c r="P56" i="12859"/>
  <c r="P58" i="12859" s="1"/>
  <c r="P66" i="12859"/>
  <c r="D186" i="12766"/>
  <c r="D153" i="12766"/>
  <c r="K44" i="12766"/>
  <c r="K25" i="12766"/>
  <c r="K27" i="12766" s="1"/>
  <c r="K162" i="12766"/>
  <c r="F76" i="12843"/>
  <c r="I91" i="12843"/>
  <c r="L91" i="12843" s="1"/>
  <c r="L76" i="12843" s="1"/>
  <c r="H273" i="12787"/>
  <c r="H317" i="12787"/>
  <c r="K233" i="12787"/>
  <c r="K203" i="12787"/>
  <c r="G288" i="12787"/>
  <c r="G290" i="12787" s="1"/>
  <c r="G319" i="12787"/>
  <c r="K896" i="12766"/>
  <c r="K898" i="12766" s="1"/>
  <c r="H553" i="12787"/>
  <c r="H485" i="12787" s="1"/>
  <c r="D485" i="12787"/>
  <c r="M485" i="12787" s="1"/>
  <c r="D576" i="12787"/>
  <c r="H558" i="12787"/>
  <c r="H490" i="12787" s="1"/>
  <c r="T482" i="12787" s="1"/>
  <c r="D490" i="12787"/>
  <c r="G319" i="12766"/>
  <c r="G288" i="12766"/>
  <c r="G290" i="12766" s="1"/>
  <c r="D197" i="12787"/>
  <c r="D168" i="12787" s="1"/>
  <c r="M168" i="12787" s="1"/>
  <c r="H253" i="12787"/>
  <c r="H197" i="12787" s="1"/>
  <c r="H168" i="12787" s="1"/>
  <c r="H243" i="12787"/>
  <c r="H187" i="12787" s="1"/>
  <c r="H158" i="12787" s="1"/>
  <c r="D187" i="12787"/>
  <c r="D158" i="12787" s="1"/>
  <c r="M158" i="12787" s="1"/>
  <c r="K376" i="12787"/>
  <c r="K378" i="12787" s="1"/>
  <c r="K407" i="12787"/>
  <c r="U56" i="12859"/>
  <c r="U58" i="12859" s="1"/>
  <c r="U66" i="12859"/>
  <c r="G815" i="12766"/>
  <c r="G785" i="12766"/>
  <c r="G787" i="12766" s="1"/>
  <c r="G205" i="12766"/>
  <c r="G174" i="12766"/>
  <c r="G176" i="12766" s="1"/>
  <c r="K984" i="12787"/>
  <c r="K945" i="12787"/>
  <c r="K947" i="12787" s="1"/>
  <c r="O953" i="12787" s="1"/>
  <c r="D501" i="12766"/>
  <c r="M501" i="12766" s="1"/>
  <c r="H569" i="12766"/>
  <c r="H501" i="12766" s="1"/>
  <c r="K569" i="12766"/>
  <c r="K501" i="12766" s="1"/>
  <c r="H555" i="12766"/>
  <c r="H487" i="12766" s="1"/>
  <c r="D487" i="12766"/>
  <c r="M487" i="12766" s="1"/>
  <c r="K555" i="12766"/>
  <c r="K487" i="12766" s="1"/>
  <c r="V54" i="12859"/>
  <c r="H357" i="12787"/>
  <c r="H151" i="12787" s="1"/>
  <c r="H405" i="12787"/>
  <c r="P12" i="12837"/>
  <c r="O926" i="12787"/>
  <c r="P926" i="12787"/>
  <c r="H259" i="12766"/>
  <c r="H261" i="12766" s="1"/>
  <c r="H183" i="12766"/>
  <c r="H153" i="12766" s="1"/>
  <c r="R166" i="12766" s="1"/>
  <c r="F595" i="12843"/>
  <c r="F557" i="12843" s="1"/>
  <c r="C557" i="12843"/>
  <c r="C906" i="12843"/>
  <c r="C904" i="12843" s="1"/>
  <c r="C882" i="12843"/>
  <c r="C886" i="12843" s="1"/>
  <c r="F86" i="12843"/>
  <c r="F85" i="12843"/>
  <c r="K31" i="12783"/>
  <c r="C117" i="12843"/>
  <c r="C119" i="12843" s="1"/>
  <c r="F144" i="12843"/>
  <c r="C66" i="12843"/>
  <c r="F274" i="12843"/>
  <c r="C703" i="12843"/>
  <c r="F1022" i="12843"/>
  <c r="F985" i="12843"/>
  <c r="F1024" i="12843" s="1"/>
  <c r="F903" i="12843"/>
  <c r="C883" i="12843"/>
  <c r="C838" i="12843"/>
  <c r="G29" i="12783"/>
  <c r="I36" i="12859"/>
  <c r="C1081" i="12843"/>
  <c r="C1082" i="12843" s="1"/>
  <c r="C1097" i="12843"/>
  <c r="C231" i="12843"/>
  <c r="C317" i="12843"/>
  <c r="C1109" i="12843"/>
  <c r="C1045" i="12843"/>
  <c r="C404" i="12843"/>
  <c r="C345" i="12843"/>
  <c r="C346" i="12843" s="1"/>
  <c r="C576" i="12843"/>
  <c r="C574" i="12843"/>
  <c r="C647" i="12843"/>
  <c r="I38" i="12783"/>
  <c r="C1026" i="12843"/>
  <c r="C986" i="12843"/>
  <c r="C926" i="12843"/>
  <c r="C20" i="12843"/>
  <c r="C21" i="12843" s="1"/>
  <c r="C60" i="12843"/>
  <c r="C830" i="12843"/>
  <c r="B30" i="12783" l="1"/>
  <c r="K39" i="12783"/>
  <c r="C821" i="12843"/>
  <c r="F882" i="12843"/>
  <c r="Q161" i="12766"/>
  <c r="M630" i="12766"/>
  <c r="O628" i="12766"/>
  <c r="O630" i="12766" s="1"/>
  <c r="P628" i="12766"/>
  <c r="G785" i="12787"/>
  <c r="G787" i="12787" s="1"/>
  <c r="G815" i="12787"/>
  <c r="R12" i="12837"/>
  <c r="K174" i="12787"/>
  <c r="K176" i="12787" s="1"/>
  <c r="K205" i="12787"/>
  <c r="H185" i="12787"/>
  <c r="H155" i="12787" s="1"/>
  <c r="T151" i="12787" s="1"/>
  <c r="H259" i="12787"/>
  <c r="H319" i="12766"/>
  <c r="H288" i="12766"/>
  <c r="H290" i="12766" s="1"/>
  <c r="H203" i="12766"/>
  <c r="K815" i="12766"/>
  <c r="K785" i="12766"/>
  <c r="K787" i="12766" s="1"/>
  <c r="M174" i="12787"/>
  <c r="I76" i="12843"/>
  <c r="M153" i="12766"/>
  <c r="M174" i="12766" s="1"/>
  <c r="D156" i="12766"/>
  <c r="Q159" i="12766"/>
  <c r="R168" i="12766" s="1"/>
  <c r="R169" i="12766"/>
  <c r="K574" i="12766"/>
  <c r="K484" i="12766"/>
  <c r="K319" i="12766"/>
  <c r="K288" i="12766"/>
  <c r="K290" i="12766" s="1"/>
  <c r="B25" i="12837"/>
  <c r="I17" i="12787"/>
  <c r="I18" i="12787"/>
  <c r="I20" i="12787"/>
  <c r="I21" i="12787"/>
  <c r="I22" i="12787"/>
  <c r="I16" i="12787"/>
  <c r="T495" i="12766"/>
  <c r="V495" i="12766" s="1"/>
  <c r="G1006" i="12766"/>
  <c r="G1009" i="12766" s="1"/>
  <c r="G1016" i="12766" s="1"/>
  <c r="D157" i="12766"/>
  <c r="D1019" i="12766" s="1"/>
  <c r="D1020" i="12766"/>
  <c r="H931" i="12766"/>
  <c r="H933" i="12766" s="1"/>
  <c r="H944" i="12766"/>
  <c r="Q159" i="12787"/>
  <c r="T152" i="12787" s="1"/>
  <c r="H574" i="12766"/>
  <c r="H484" i="12766"/>
  <c r="T12" i="12837"/>
  <c r="V12" i="12837" s="1"/>
  <c r="H376" i="12787"/>
  <c r="H378" i="12787" s="1"/>
  <c r="H407" i="12787"/>
  <c r="O28" i="12766"/>
  <c r="O29" i="12766" s="1"/>
  <c r="P28" i="12766"/>
  <c r="H785" i="12787"/>
  <c r="H787" i="12787" s="1"/>
  <c r="H815" i="12787"/>
  <c r="P628" i="12787"/>
  <c r="O628" i="12787"/>
  <c r="O630" i="12787" s="1"/>
  <c r="M490" i="12766"/>
  <c r="M506" i="12766" s="1"/>
  <c r="D508" i="12766"/>
  <c r="D1006" i="12766" s="1"/>
  <c r="D1009" i="12766" s="1"/>
  <c r="D1016" i="12766" s="1"/>
  <c r="K407" i="12766"/>
  <c r="K376" i="12766"/>
  <c r="K378" i="12766" s="1"/>
  <c r="H288" i="12787"/>
  <c r="H290" i="12787" s="1"/>
  <c r="H319" i="12787"/>
  <c r="C941" i="12843"/>
  <c r="C863" i="12843" s="1"/>
  <c r="C843" i="12843" s="1"/>
  <c r="S495" i="12766"/>
  <c r="M490" i="12787"/>
  <c r="D508" i="12787"/>
  <c r="D1035" i="12787" s="1"/>
  <c r="D1038" i="12787" s="1"/>
  <c r="D1045" i="12787" s="1"/>
  <c r="P20" i="12766"/>
  <c r="P18" i="12766"/>
  <c r="P22" i="12766"/>
  <c r="P17" i="12766"/>
  <c r="P21" i="12766"/>
  <c r="P16" i="12766"/>
  <c r="S169" i="12766"/>
  <c r="U169" i="12766" s="1"/>
  <c r="V66" i="12859"/>
  <c r="R159" i="12787"/>
  <c r="F701" i="12843"/>
  <c r="F703" i="12843" s="1"/>
  <c r="F754" i="12843"/>
  <c r="G407" i="12787"/>
  <c r="G376" i="12787"/>
  <c r="G378" i="12787" s="1"/>
  <c r="H376" i="12766"/>
  <c r="H378" i="12766" s="1"/>
  <c r="H407" i="12766"/>
  <c r="K931" i="12766"/>
  <c r="K933" i="12766" s="1"/>
  <c r="K944" i="12766"/>
  <c r="K203" i="12766"/>
  <c r="K233" i="12766"/>
  <c r="K785" i="12787"/>
  <c r="K787" i="12787" s="1"/>
  <c r="K815" i="12787"/>
  <c r="T494" i="12766"/>
  <c r="V494" i="12766" s="1"/>
  <c r="V56" i="12859"/>
  <c r="C22" i="12859" s="1"/>
  <c r="J58" i="12859"/>
  <c r="V58" i="12859" s="1"/>
  <c r="T153" i="12787"/>
  <c r="H574" i="12787"/>
  <c r="H484" i="12787"/>
  <c r="H785" i="12766"/>
  <c r="H787" i="12766" s="1"/>
  <c r="H815" i="12766"/>
  <c r="C966" i="12843"/>
  <c r="C1004" i="12843" s="1"/>
  <c r="C1006" i="12843" s="1"/>
  <c r="F596" i="12843"/>
  <c r="C215" i="12843"/>
  <c r="C181" i="12843" s="1"/>
  <c r="F90" i="12843"/>
  <c r="C611" i="12843"/>
  <c r="C558" i="12843"/>
  <c r="C90" i="12843"/>
  <c r="C92" i="12843" s="1"/>
  <c r="C71" i="12843"/>
  <c r="F113" i="12843"/>
  <c r="F117" i="12843" s="1"/>
  <c r="C149" i="12843"/>
  <c r="C151" i="12843" s="1"/>
  <c r="F273" i="12843"/>
  <c r="F66" i="12843"/>
  <c r="F145" i="12843"/>
  <c r="C1000" i="12843"/>
  <c r="C67" i="12843"/>
  <c r="F244" i="12843"/>
  <c r="C287" i="12843"/>
  <c r="C289" i="12843" s="1"/>
  <c r="C216" i="12843"/>
  <c r="F243" i="12843"/>
  <c r="F245" i="12843"/>
  <c r="F217" i="12843" s="1"/>
  <c r="C217" i="12843"/>
  <c r="C258" i="12843"/>
  <c r="C260" i="12843" s="1"/>
  <c r="F272" i="12843"/>
  <c r="I27" i="12783"/>
  <c r="C1001" i="12843"/>
  <c r="F1001" i="12843"/>
  <c r="C942" i="12843"/>
  <c r="G34" i="12783"/>
  <c r="G44" i="12783" s="1"/>
  <c r="G48" i="12783" s="1"/>
  <c r="I829" i="12843"/>
  <c r="L829" i="12843" s="1"/>
  <c r="F904" i="12843"/>
  <c r="F906" i="12843" s="1"/>
  <c r="C884" i="12843"/>
  <c r="F883" i="12843"/>
  <c r="I39" i="12783"/>
  <c r="I37" i="12783"/>
  <c r="C200" i="12843"/>
  <c r="I28" i="12783"/>
  <c r="C987" i="12843"/>
  <c r="C927" i="12843"/>
  <c r="I30" i="12783"/>
  <c r="F942" i="12843" l="1"/>
  <c r="F183" i="12843"/>
  <c r="C182" i="12843"/>
  <c r="C183" i="12843"/>
  <c r="B31" i="12783"/>
  <c r="B34" i="12783" s="1"/>
  <c r="B37" i="12783" s="1"/>
  <c r="B38" i="12783" s="1"/>
  <c r="B39" i="12783" s="1"/>
  <c r="B42" i="12783" s="1"/>
  <c r="B44" i="12783" s="1"/>
  <c r="B46" i="12783" s="1"/>
  <c r="B48" i="12783" s="1"/>
  <c r="F941" i="12843"/>
  <c r="F863" i="12843" s="1"/>
  <c r="F843" i="12843" s="1"/>
  <c r="C945" i="12843"/>
  <c r="C867" i="12843" s="1"/>
  <c r="C847" i="12843" s="1"/>
  <c r="C964" i="12843"/>
  <c r="C943" i="12843" s="1"/>
  <c r="F821" i="12843"/>
  <c r="C822" i="12843"/>
  <c r="P480" i="12787"/>
  <c r="T481" i="12787"/>
  <c r="P816" i="12787"/>
  <c r="O816" i="12787"/>
  <c r="K27" i="12783"/>
  <c r="S493" i="12766"/>
  <c r="X480" i="12766"/>
  <c r="I52" i="12787"/>
  <c r="K52" i="12787" s="1"/>
  <c r="I69" i="12787"/>
  <c r="K69" i="12787" s="1"/>
  <c r="I35" i="12787"/>
  <c r="K35" i="12787" s="1"/>
  <c r="K18" i="12787" s="1"/>
  <c r="M18" i="12787"/>
  <c r="K576" i="12766"/>
  <c r="K506" i="12766"/>
  <c r="K508" i="12766" s="1"/>
  <c r="G174" i="12787"/>
  <c r="G176" i="12787" s="1"/>
  <c r="G1035" i="12787" s="1"/>
  <c r="G1038" i="12787" s="1"/>
  <c r="G1045" i="12787" s="1"/>
  <c r="H576" i="12787"/>
  <c r="H506" i="12787"/>
  <c r="H508" i="12787" s="1"/>
  <c r="O788" i="12787"/>
  <c r="P788" i="12787"/>
  <c r="R16" i="12766"/>
  <c r="Q16" i="12766"/>
  <c r="H576" i="12766"/>
  <c r="H506" i="12766"/>
  <c r="H508" i="12766" s="1"/>
  <c r="I68" i="12787"/>
  <c r="K68" i="12787" s="1"/>
  <c r="I34" i="12787"/>
  <c r="K34" i="12787" s="1"/>
  <c r="M17" i="12787"/>
  <c r="I51" i="12787"/>
  <c r="K51" i="12787" s="1"/>
  <c r="P934" i="12766"/>
  <c r="O934" i="12766"/>
  <c r="O936" i="12766" s="1"/>
  <c r="U152" i="12787"/>
  <c r="W152" i="12787" s="1"/>
  <c r="U153" i="12787"/>
  <c r="W153" i="12787" s="1"/>
  <c r="Q161" i="12787"/>
  <c r="R21" i="12766"/>
  <c r="Q21" i="12766"/>
  <c r="B26" i="12837"/>
  <c r="H261" i="12787"/>
  <c r="H203" i="12787"/>
  <c r="R17" i="12766"/>
  <c r="Q17" i="12766"/>
  <c r="O788" i="12766"/>
  <c r="O790" i="12766" s="1"/>
  <c r="P788" i="12766"/>
  <c r="R22" i="12766"/>
  <c r="Q22" i="12766"/>
  <c r="I67" i="12787"/>
  <c r="K67" i="12787" s="1"/>
  <c r="K76" i="12787" s="1"/>
  <c r="K78" i="12787" s="1"/>
  <c r="I33" i="12787"/>
  <c r="K33" i="12787" s="1"/>
  <c r="M16" i="12787"/>
  <c r="M25" i="12787" s="1"/>
  <c r="I50" i="12787"/>
  <c r="K50" i="12787" s="1"/>
  <c r="K59" i="12787" s="1"/>
  <c r="K61" i="12787" s="1"/>
  <c r="R18" i="12766"/>
  <c r="Q18" i="12766"/>
  <c r="M22" i="12787"/>
  <c r="I56" i="12787"/>
  <c r="K56" i="12787" s="1"/>
  <c r="I73" i="12787"/>
  <c r="K73" i="12787" s="1"/>
  <c r="I39" i="12787"/>
  <c r="K39" i="12787" s="1"/>
  <c r="R20" i="12766"/>
  <c r="Q20" i="12766"/>
  <c r="M21" i="12787"/>
  <c r="I55" i="12787"/>
  <c r="K55" i="12787" s="1"/>
  <c r="I72" i="12787"/>
  <c r="K72" i="12787" s="1"/>
  <c r="I38" i="12787"/>
  <c r="K38" i="12787" s="1"/>
  <c r="K21" i="12787" s="1"/>
  <c r="H205" i="12766"/>
  <c r="H174" i="12766"/>
  <c r="H176" i="12766" s="1"/>
  <c r="H1006" i="12766" s="1"/>
  <c r="H1009" i="12766" s="1"/>
  <c r="H1016" i="12766" s="1"/>
  <c r="O177" i="12787"/>
  <c r="P177" i="12787"/>
  <c r="K205" i="12766"/>
  <c r="K174" i="12766"/>
  <c r="K176" i="12766" s="1"/>
  <c r="M20" i="12787"/>
  <c r="I54" i="12787"/>
  <c r="K54" i="12787" s="1"/>
  <c r="I71" i="12787"/>
  <c r="K71" i="12787" s="1"/>
  <c r="I37" i="12787"/>
  <c r="K37" i="12787" s="1"/>
  <c r="K20" i="12787" s="1"/>
  <c r="P480" i="12766"/>
  <c r="X481" i="12766"/>
  <c r="T493" i="12766"/>
  <c r="V493" i="12766" s="1"/>
  <c r="C907" i="12843"/>
  <c r="C908" i="12843" s="1"/>
  <c r="C967" i="12843"/>
  <c r="C968" i="12843" s="1"/>
  <c r="F216" i="12843"/>
  <c r="F287" i="12843"/>
  <c r="F289" i="12843" s="1"/>
  <c r="F92" i="12843"/>
  <c r="F558" i="12843"/>
  <c r="F611" i="12843"/>
  <c r="C573" i="12843"/>
  <c r="C613" i="12843"/>
  <c r="C575" i="12843"/>
  <c r="F67" i="12843"/>
  <c r="C75" i="12843"/>
  <c r="F258" i="12843"/>
  <c r="F149" i="12843"/>
  <c r="F75" i="12843" s="1"/>
  <c r="F77" i="12843" s="1"/>
  <c r="C72" i="12843"/>
  <c r="C230" i="12843"/>
  <c r="C199" i="12843" s="1"/>
  <c r="F215" i="12843"/>
  <c r="F181" i="12843" s="1"/>
  <c r="F119" i="12843"/>
  <c r="I697" i="12843"/>
  <c r="C864" i="12843"/>
  <c r="F864" i="12843"/>
  <c r="F844" i="12843" s="1"/>
  <c r="I696" i="12843"/>
  <c r="F404" i="12843"/>
  <c r="F345" i="12843"/>
  <c r="I403" i="12843"/>
  <c r="L403" i="12843" s="1"/>
  <c r="F884" i="12843"/>
  <c r="F886" i="12843" s="1"/>
  <c r="F492" i="12843"/>
  <c r="I491" i="12843"/>
  <c r="L491" i="12843" s="1"/>
  <c r="F433" i="12843"/>
  <c r="I316" i="12843"/>
  <c r="L316" i="12843" s="1"/>
  <c r="F317" i="12843"/>
  <c r="F231" i="12843"/>
  <c r="F20" i="12843"/>
  <c r="I59" i="12843"/>
  <c r="L59" i="12843" s="1"/>
  <c r="F60" i="12843"/>
  <c r="I1044" i="12843"/>
  <c r="L1044" i="12843" s="1"/>
  <c r="F647" i="12843"/>
  <c r="I646" i="12843"/>
  <c r="L646" i="12843" s="1"/>
  <c r="F576" i="12843"/>
  <c r="F926" i="12843"/>
  <c r="I1025" i="12843"/>
  <c r="L1025" i="12843" s="1"/>
  <c r="F1026" i="12843"/>
  <c r="F986" i="12843"/>
  <c r="I42" i="12783"/>
  <c r="C577" i="12843" l="1"/>
  <c r="C201" i="12843"/>
  <c r="C77" i="12843"/>
  <c r="I18" i="12783" s="1"/>
  <c r="I21" i="12783" s="1"/>
  <c r="F964" i="12843"/>
  <c r="F1002" i="12843" s="1"/>
  <c r="F943" i="12843"/>
  <c r="F945" i="12843" s="1"/>
  <c r="F867" i="12843" s="1"/>
  <c r="C1002" i="12843"/>
  <c r="F182" i="12843"/>
  <c r="I26" i="12783"/>
  <c r="C946" i="12843"/>
  <c r="C947" i="12843" s="1"/>
  <c r="F822" i="12843"/>
  <c r="K18" i="12783"/>
  <c r="K21" i="12783" s="1"/>
  <c r="I730" i="12843"/>
  <c r="I749" i="12843"/>
  <c r="I781" i="12843"/>
  <c r="I800" i="12843"/>
  <c r="C887" i="12843"/>
  <c r="C888" i="12843" s="1"/>
  <c r="K42" i="12787"/>
  <c r="K16" i="12787"/>
  <c r="K17" i="12787"/>
  <c r="H205" i="12787"/>
  <c r="H174" i="12787"/>
  <c r="H176" i="12787" s="1"/>
  <c r="H1035" i="12787" s="1"/>
  <c r="H1038" i="12787" s="1"/>
  <c r="H1045" i="12787" s="1"/>
  <c r="B27" i="12837"/>
  <c r="M179" i="12766"/>
  <c r="O177" i="12766"/>
  <c r="P177" i="12766"/>
  <c r="K1006" i="12766"/>
  <c r="K1009" i="12766" s="1"/>
  <c r="K22" i="12787"/>
  <c r="M512" i="12766"/>
  <c r="O509" i="12766"/>
  <c r="O511" i="12766" s="1"/>
  <c r="P509" i="12766"/>
  <c r="Q23" i="12766"/>
  <c r="B28" i="12837"/>
  <c r="B31" i="12837" s="1"/>
  <c r="B32" i="12837" s="1"/>
  <c r="B33" i="12837" s="1"/>
  <c r="B34" i="12837" s="1"/>
  <c r="B35" i="12837" s="1"/>
  <c r="B36" i="12837" s="1"/>
  <c r="B40" i="12837" s="1"/>
  <c r="B41" i="12837" s="1"/>
  <c r="B44" i="12837" s="1"/>
  <c r="B46" i="12837" s="1"/>
  <c r="B49" i="12837" s="1"/>
  <c r="X482" i="12766"/>
  <c r="F613" i="12843"/>
  <c r="F575" i="12843"/>
  <c r="F577" i="12843" s="1"/>
  <c r="F230" i="12843"/>
  <c r="F199" i="12843" s="1"/>
  <c r="F260" i="12843"/>
  <c r="F151" i="12843"/>
  <c r="C232" i="12843"/>
  <c r="I24" i="12783"/>
  <c r="C844" i="12843"/>
  <c r="C865" i="12843"/>
  <c r="F966" i="12843"/>
  <c r="F907" i="12843" s="1"/>
  <c r="F908" i="12843" s="1"/>
  <c r="I986" i="12843"/>
  <c r="L986" i="12843" s="1"/>
  <c r="F987" i="12843"/>
  <c r="F21" i="12843"/>
  <c r="I20" i="12843"/>
  <c r="L20" i="12843" s="1"/>
  <c r="F200" i="12843"/>
  <c r="I231" i="12843"/>
  <c r="L231" i="12843" s="1"/>
  <c r="F865" i="12843"/>
  <c r="F845" i="12843" s="1"/>
  <c r="F346" i="12843"/>
  <c r="I345" i="12843"/>
  <c r="L345" i="12843" s="1"/>
  <c r="F927" i="12843"/>
  <c r="I926" i="12843"/>
  <c r="L926" i="12843" s="1"/>
  <c r="I576" i="12843"/>
  <c r="L576" i="12843" s="1"/>
  <c r="I433" i="12843"/>
  <c r="L433" i="12843" s="1"/>
  <c r="F434" i="12843"/>
  <c r="C869" i="12843" l="1"/>
  <c r="I698" i="12843"/>
  <c r="I677" i="12843"/>
  <c r="B50" i="12837"/>
  <c r="B51" i="12837" s="1"/>
  <c r="B52" i="12837" s="1"/>
  <c r="B53" i="12837" s="1"/>
  <c r="B54" i="12837" s="1"/>
  <c r="B56" i="12837" s="1"/>
  <c r="B58" i="12837" s="1"/>
  <c r="C868" i="12843"/>
  <c r="C848" i="12843" s="1"/>
  <c r="C849" i="12843" s="1"/>
  <c r="C1126" i="12843" s="1"/>
  <c r="K44" i="12787"/>
  <c r="K25" i="12787"/>
  <c r="K27" i="12787" s="1"/>
  <c r="K1012" i="12766"/>
  <c r="O1009" i="12766"/>
  <c r="P1009" i="12766"/>
  <c r="F232" i="12843"/>
  <c r="F967" i="12843"/>
  <c r="F968" i="12843" s="1"/>
  <c r="F1004" i="12843"/>
  <c r="C845" i="12843"/>
  <c r="F887" i="12843"/>
  <c r="I887" i="12843" s="1"/>
  <c r="L887" i="12843" s="1"/>
  <c r="I907" i="12843"/>
  <c r="L907" i="12843" s="1"/>
  <c r="F201" i="12843"/>
  <c r="I200" i="12843"/>
  <c r="L200" i="12843" s="1"/>
  <c r="K37" i="12783"/>
  <c r="K26" i="12783"/>
  <c r="I29" i="12783" l="1"/>
  <c r="I34" i="12783" s="1"/>
  <c r="I44" i="12783" s="1"/>
  <c r="I48" i="12783" s="1"/>
  <c r="C1129" i="12843"/>
  <c r="K1035" i="12787"/>
  <c r="P28" i="12787"/>
  <c r="O28" i="12787"/>
  <c r="I967" i="12843"/>
  <c r="L967" i="12843" s="1"/>
  <c r="F946" i="12843"/>
  <c r="F947" i="12843" s="1"/>
  <c r="F1006" i="12843"/>
  <c r="F888" i="12843"/>
  <c r="K42" i="12783"/>
  <c r="K24" i="12783"/>
  <c r="I676" i="12843" l="1"/>
  <c r="I675" i="12843"/>
  <c r="I500" i="12843"/>
  <c r="I128" i="12843"/>
  <c r="I499" i="12843"/>
  <c r="I127" i="12843"/>
  <c r="I1066" i="12843"/>
  <c r="I1052" i="12843"/>
  <c r="I1093" i="12843"/>
  <c r="I1078" i="12843" s="1"/>
  <c r="I1120" i="12843"/>
  <c r="I1121" i="12843" s="1"/>
  <c r="I1123" i="12843" s="1"/>
  <c r="M31" i="12783" s="1"/>
  <c r="K1038" i="12787"/>
  <c r="P1036" i="12787" s="1"/>
  <c r="O1036" i="12787"/>
  <c r="I946" i="12843"/>
  <c r="L946" i="12843" s="1"/>
  <c r="F868" i="12843"/>
  <c r="F848" i="12843" s="1"/>
  <c r="F869" i="12843"/>
  <c r="L868" i="12843" l="1"/>
  <c r="L848" i="12843" s="1"/>
  <c r="I129" i="12843"/>
  <c r="I131" i="12843" s="1"/>
  <c r="I502" i="12843"/>
  <c r="I504" i="12843" s="1"/>
  <c r="I1059" i="12843"/>
  <c r="I1060" i="12843"/>
  <c r="I1055" i="12843"/>
  <c r="I1061" i="12843"/>
  <c r="I1054" i="12843"/>
  <c r="I1062" i="12843"/>
  <c r="I1053" i="12843"/>
  <c r="I1063" i="12843"/>
  <c r="I1064" i="12843"/>
  <c r="I1057" i="12843"/>
  <c r="I1056" i="12843"/>
  <c r="I1092" i="12843"/>
  <c r="I1095" i="12843" s="1"/>
  <c r="I1097" i="12843" s="1"/>
  <c r="I1105" i="12843"/>
  <c r="I1104" i="12843"/>
  <c r="I30" i="12843"/>
  <c r="I54" i="12843"/>
  <c r="I42" i="12843"/>
  <c r="I43" i="12843"/>
  <c r="I55" i="12843"/>
  <c r="I31" i="12843"/>
  <c r="I56" i="12843"/>
  <c r="I32" i="12843"/>
  <c r="I44" i="12843"/>
  <c r="I868" i="12843"/>
  <c r="K29" i="12783"/>
  <c r="I1107" i="12843" l="1"/>
  <c r="I1080" i="12843" s="1"/>
  <c r="I1082" i="12843" s="1"/>
  <c r="M39" i="12783" s="1"/>
  <c r="I1069" i="12843"/>
  <c r="I1071" i="12843" s="1"/>
  <c r="M38" i="12783" s="1"/>
  <c r="I1077" i="12843"/>
  <c r="I729" i="12843"/>
  <c r="I748" i="12843"/>
  <c r="I780" i="12843"/>
  <c r="I799" i="12843"/>
  <c r="I17" i="12843"/>
  <c r="I16" i="12843"/>
  <c r="I46" i="12843"/>
  <c r="I48" i="12843" s="1"/>
  <c r="I58" i="12843"/>
  <c r="I60" i="12843" s="1"/>
  <c r="I15" i="12843"/>
  <c r="I34" i="12843"/>
  <c r="I848" i="12843"/>
  <c r="I1109" i="12843" l="1"/>
  <c r="I695" i="12843"/>
  <c r="I674" i="12843"/>
  <c r="I19" i="12843"/>
  <c r="I21" i="12843" s="1"/>
  <c r="I36" i="12843"/>
  <c r="I249" i="12843"/>
  <c r="I353" i="12843"/>
  <c r="I278" i="12843"/>
  <c r="I296" i="12843"/>
  <c r="I393" i="12843"/>
  <c r="I352" i="12843"/>
  <c r="I363" i="12843"/>
  <c r="X15" i="12769"/>
  <c r="I238" i="12843"/>
  <c r="I248" i="12843"/>
  <c r="I267" i="12843"/>
  <c r="I277" i="12843"/>
  <c r="I392" i="12843"/>
  <c r="I381" i="12843"/>
  <c r="I305" i="12843"/>
  <c r="I295" i="12843"/>
  <c r="M37" i="12783" l="1"/>
  <c r="I944" i="12843"/>
  <c r="Y15" i="12769"/>
  <c r="I239" i="12843"/>
  <c r="I452" i="12843"/>
  <c r="I364" i="12843"/>
  <c r="I382" i="12843"/>
  <c r="I306" i="12843"/>
  <c r="I268" i="12843"/>
  <c r="I481" i="12843"/>
  <c r="I905" i="12843"/>
  <c r="I924" i="12843"/>
  <c r="I823" i="12843"/>
  <c r="I480" i="12843"/>
  <c r="I469" i="12843"/>
  <c r="I220" i="12843"/>
  <c r="I334" i="12843"/>
  <c r="I440" i="12843"/>
  <c r="I451" i="12843"/>
  <c r="I210" i="12843"/>
  <c r="I323" i="12843"/>
  <c r="M42" i="12783" l="1"/>
  <c r="I221" i="12843"/>
  <c r="I324" i="12843"/>
  <c r="I335" i="12843"/>
  <c r="I732" i="12843"/>
  <c r="I709" i="12843"/>
  <c r="I720" i="12843"/>
  <c r="I739" i="12843"/>
  <c r="I722" i="12843"/>
  <c r="I741" i="12843"/>
  <c r="I734" i="12843"/>
  <c r="I711" i="12843"/>
  <c r="I787" i="12843"/>
  <c r="I764" i="12843"/>
  <c r="I786" i="12843"/>
  <c r="I763" i="12843"/>
  <c r="I790" i="12843"/>
  <c r="I771" i="12843"/>
  <c r="I740" i="12843"/>
  <c r="I721" i="12843"/>
  <c r="I785" i="12843"/>
  <c r="I762" i="12843"/>
  <c r="I791" i="12843"/>
  <c r="I772" i="12843"/>
  <c r="I760" i="12843"/>
  <c r="I783" i="12843"/>
  <c r="I736" i="12843"/>
  <c r="I713" i="12843"/>
  <c r="I769" i="12843"/>
  <c r="I788" i="12843"/>
  <c r="I712" i="12843"/>
  <c r="I735" i="12843"/>
  <c r="I718" i="12843"/>
  <c r="I737" i="12843"/>
  <c r="M18" i="12771"/>
  <c r="Q18" i="12771" s="1"/>
  <c r="M25" i="12771"/>
  <c r="Q25" i="12771" s="1"/>
  <c r="M20" i="12771"/>
  <c r="Q20" i="12771" s="1"/>
  <c r="M23" i="12771"/>
  <c r="Q23" i="12771" s="1"/>
  <c r="M19" i="12771"/>
  <c r="Q19" i="12771" s="1"/>
  <c r="M24" i="12771"/>
  <c r="Q24" i="12771" s="1"/>
  <c r="M29" i="12771"/>
  <c r="Q29" i="12771" s="1"/>
  <c r="M28" i="12771"/>
  <c r="Q28" i="12771" s="1"/>
  <c r="M31" i="12771"/>
  <c r="Q31" i="12771" s="1"/>
  <c r="M32" i="12771"/>
  <c r="Q32" i="12771" s="1"/>
  <c r="M33" i="12771"/>
  <c r="Q33" i="12771" s="1"/>
  <c r="M27" i="12771"/>
  <c r="Q27" i="12771" s="1"/>
  <c r="I792" i="12843"/>
  <c r="I773" i="12843"/>
  <c r="I875" i="12843"/>
  <c r="I965" i="12843"/>
  <c r="I984" i="12843"/>
  <c r="I211" i="12843"/>
  <c r="I441" i="12843"/>
  <c r="I470" i="12843"/>
  <c r="I885" i="12843"/>
  <c r="I423" i="12843"/>
  <c r="I411" i="12843"/>
  <c r="I175" i="12843"/>
  <c r="I422" i="12843"/>
  <c r="I1023" i="12843" l="1"/>
  <c r="I1003" i="12843"/>
  <c r="I866" i="12843"/>
  <c r="I684" i="12843"/>
  <c r="I663" i="12843"/>
  <c r="I682" i="12843"/>
  <c r="I657" i="12843"/>
  <c r="I186" i="12843"/>
  <c r="I176" i="12843"/>
  <c r="I171" i="12843"/>
  <c r="I187" i="12843"/>
  <c r="I683" i="12843"/>
  <c r="I656" i="12843"/>
  <c r="I666" i="12843"/>
  <c r="I688" i="12843"/>
  <c r="I665" i="12843"/>
  <c r="I653" i="12843"/>
  <c r="I743" i="12843"/>
  <c r="I724" i="12843"/>
  <c r="I797" i="12843"/>
  <c r="I778" i="12843"/>
  <c r="I794" i="12843"/>
  <c r="I775" i="12843"/>
  <c r="I745" i="12843"/>
  <c r="I726" i="12843"/>
  <c r="I777" i="12843"/>
  <c r="I796" i="12843"/>
  <c r="I746" i="12843"/>
  <c r="I727" i="12843"/>
  <c r="I774" i="12843"/>
  <c r="I793" i="12843"/>
  <c r="I681" i="12843"/>
  <c r="I686" i="12843"/>
  <c r="I723" i="12843"/>
  <c r="I742" i="12843"/>
  <c r="I687" i="12843"/>
  <c r="I658" i="12843"/>
  <c r="I667" i="12843"/>
  <c r="I679" i="12843"/>
  <c r="I814" i="12843"/>
  <c r="I876" i="12843"/>
  <c r="I915" i="12843"/>
  <c r="U18" i="12772"/>
  <c r="U18" i="12881"/>
  <c r="I878" i="12843"/>
  <c r="I959" i="12843"/>
  <c r="I938" i="12843"/>
  <c r="I978" i="12843"/>
  <c r="I879" i="12843"/>
  <c r="I813" i="12843"/>
  <c r="I914" i="12843"/>
  <c r="I974" i="12843"/>
  <c r="I955" i="12843"/>
  <c r="I934" i="12843"/>
  <c r="I958" i="12843"/>
  <c r="I937" i="12843"/>
  <c r="I977" i="12843"/>
  <c r="I412" i="12843"/>
  <c r="I668" i="12843" l="1"/>
  <c r="I856" i="12843"/>
  <c r="I689" i="12843"/>
  <c r="I172" i="12843"/>
  <c r="I803" i="12843"/>
  <c r="I672" i="12843"/>
  <c r="I752" i="12843"/>
  <c r="I671" i="12843"/>
  <c r="I693" i="12843"/>
  <c r="I692" i="12843"/>
  <c r="I669" i="12843"/>
  <c r="I690" i="12843"/>
  <c r="I896" i="12843"/>
  <c r="I903" i="12843"/>
  <c r="I883" i="12843"/>
  <c r="I922" i="12843"/>
  <c r="I860" i="12843"/>
  <c r="I898" i="12843"/>
  <c r="I917" i="12843"/>
  <c r="I918" i="12843"/>
  <c r="I899" i="12843"/>
  <c r="I935" i="12843"/>
  <c r="I975" i="12843"/>
  <c r="I956" i="12843"/>
  <c r="I895" i="12843"/>
  <c r="I1013" i="12843"/>
  <c r="I859" i="12843"/>
  <c r="I836" i="12843"/>
  <c r="I701" i="12843" l="1"/>
  <c r="I1017" i="12843"/>
  <c r="I993" i="12843"/>
  <c r="I805" i="12843"/>
  <c r="I997" i="12843"/>
  <c r="I1014" i="12843"/>
  <c r="I996" i="12843"/>
  <c r="I1016" i="12843"/>
  <c r="I857" i="12843"/>
  <c r="I754" i="12843"/>
  <c r="I826" i="12843"/>
  <c r="I923" i="12843"/>
  <c r="I904" i="12843"/>
  <c r="I822" i="12843"/>
  <c r="I884" i="12843"/>
  <c r="I982" i="12843"/>
  <c r="I821" i="12843"/>
  <c r="I994" i="12843"/>
  <c r="I839" i="12843"/>
  <c r="I817" i="12843"/>
  <c r="I942" i="12843"/>
  <c r="I963" i="12843"/>
  <c r="I816" i="12843"/>
  <c r="I703" i="12843" l="1"/>
  <c r="I1021" i="12843"/>
  <c r="I1001" i="12843"/>
  <c r="I864" i="12843"/>
  <c r="I983" i="12843"/>
  <c r="I964" i="12843"/>
  <c r="I943" i="12843"/>
  <c r="M27" i="12783" l="1"/>
  <c r="I1002" i="12843"/>
  <c r="I865" i="12843"/>
  <c r="I1022" i="12843"/>
  <c r="I979" i="12843" l="1"/>
  <c r="I939" i="12843"/>
  <c r="I960" i="12843"/>
  <c r="I824" i="12843"/>
  <c r="I825" i="12843"/>
  <c r="I880" i="12843"/>
  <c r="I919" i="12843"/>
  <c r="I925" i="12843" l="1"/>
  <c r="I1018" i="12843"/>
  <c r="I966" i="12843"/>
  <c r="I968" i="12843" s="1"/>
  <c r="I945" i="12843"/>
  <c r="I985" i="12843"/>
  <c r="I1024" i="12843" s="1"/>
  <c r="I900" i="12843"/>
  <c r="I886" i="12843"/>
  <c r="I861" i="12843"/>
  <c r="I998" i="12843" l="1"/>
  <c r="I987" i="12843"/>
  <c r="I1026" i="12843"/>
  <c r="I927" i="12843"/>
  <c r="I947" i="12843"/>
  <c r="I906" i="12843"/>
  <c r="I1004" i="12843" s="1"/>
  <c r="I888" i="12843"/>
  <c r="I867" i="12843"/>
  <c r="I1006" i="12843" l="1"/>
  <c r="I908" i="12843"/>
  <c r="F828" i="12843"/>
  <c r="I818" i="12843"/>
  <c r="I869" i="12843"/>
  <c r="F830" i="12843" l="1"/>
  <c r="I828" i="12843"/>
  <c r="M29" i="12783"/>
  <c r="K28" i="12783" l="1"/>
  <c r="I830" i="12843"/>
  <c r="M28" i="12783" l="1"/>
  <c r="I84" i="12843" l="1"/>
  <c r="I98" i="12843"/>
  <c r="I156" i="12843"/>
  <c r="I143" i="12843"/>
  <c r="I111" i="12843" l="1"/>
  <c r="I65" i="12843" l="1"/>
  <c r="I157" i="12843" l="1"/>
  <c r="I86" i="12843"/>
  <c r="I100" i="12843"/>
  <c r="I145" i="12843"/>
  <c r="I99" i="12843"/>
  <c r="I158" i="12843"/>
  <c r="I112" i="12843"/>
  <c r="I113" i="12843"/>
  <c r="I85" i="12843"/>
  <c r="I144" i="12843"/>
  <c r="I90" i="12843" l="1"/>
  <c r="I92" i="12843" s="1"/>
  <c r="I162" i="12843"/>
  <c r="I149" i="12843"/>
  <c r="I117" i="12843"/>
  <c r="I104" i="12843"/>
  <c r="I67" i="12843"/>
  <c r="I66" i="12843"/>
  <c r="I151" i="12843" l="1"/>
  <c r="I106" i="12843"/>
  <c r="I164" i="12843"/>
  <c r="I119" i="12843"/>
  <c r="I75" i="12843"/>
  <c r="I77" i="12843" l="1"/>
  <c r="M18" i="12783" s="1"/>
  <c r="M21" i="12783" l="1"/>
  <c r="U17" i="12772" l="1"/>
  <c r="U17" i="12881"/>
  <c r="F1033" i="12843" l="1"/>
  <c r="F837" i="12843" s="1"/>
  <c r="F1036" i="12843"/>
  <c r="O16" i="12791"/>
  <c r="P16" i="12791"/>
  <c r="G21" i="12791" l="1"/>
  <c r="G27" i="12791"/>
  <c r="G28" i="12791"/>
  <c r="G17" i="12791"/>
  <c r="G16" i="12791"/>
  <c r="G19" i="12791"/>
  <c r="G15" i="12791"/>
  <c r="G29" i="12791"/>
  <c r="G20" i="12791"/>
  <c r="G23" i="12791"/>
  <c r="G24" i="12791"/>
  <c r="G25" i="12791"/>
  <c r="F1043" i="12843"/>
  <c r="F847" i="12843" s="1"/>
  <c r="F849" i="12843" s="1"/>
  <c r="F1126" i="12843" s="1"/>
  <c r="F840" i="12843"/>
  <c r="F1129" i="12843" l="1"/>
  <c r="F1045" i="12843"/>
  <c r="K30" i="12783" l="1"/>
  <c r="K34" i="12783" s="1"/>
  <c r="K44" i="12783" s="1"/>
  <c r="K48" i="12783" s="1"/>
  <c r="I250" i="12843"/>
  <c r="I242" i="12843"/>
  <c r="I243" i="12843"/>
  <c r="I244" i="12843"/>
  <c r="I245" i="12843"/>
  <c r="I246" i="12843"/>
  <c r="I269" i="12843"/>
  <c r="I271" i="12843"/>
  <c r="I281" i="12843"/>
  <c r="I273" i="12843"/>
  <c r="I274" i="12843"/>
  <c r="I275" i="12843"/>
  <c r="I297" i="12843"/>
  <c r="I299" i="12843"/>
  <c r="I300" i="12843"/>
  <c r="I301" i="12843"/>
  <c r="I311" i="12843"/>
  <c r="I312" i="12843"/>
  <c r="I365" i="12843"/>
  <c r="I357" i="12843"/>
  <c r="I358" i="12843"/>
  <c r="I359" i="12843"/>
  <c r="I360" i="12843"/>
  <c r="I361" i="12843"/>
  <c r="I383" i="12843"/>
  <c r="I386" i="12843"/>
  <c r="I387" i="12843"/>
  <c r="I388" i="12843"/>
  <c r="I398" i="12843"/>
  <c r="I390" i="12843"/>
  <c r="I442" i="12843"/>
  <c r="I445" i="12843"/>
  <c r="I455" i="12843"/>
  <c r="I447" i="12843"/>
  <c r="I448" i="12843"/>
  <c r="I449" i="12843"/>
  <c r="I471" i="12843"/>
  <c r="I474" i="12843"/>
  <c r="I475" i="12843"/>
  <c r="I476" i="12843"/>
  <c r="I477" i="12843"/>
  <c r="I487" i="12843"/>
  <c r="I510" i="12843"/>
  <c r="I511" i="12843"/>
  <c r="I512" i="12843"/>
  <c r="I527" i="12843"/>
  <c r="I515" i="12843"/>
  <c r="I517" i="12843"/>
  <c r="I531" i="12843"/>
  <c r="I521" i="12843"/>
  <c r="I599" i="12843"/>
  <c r="I586" i="12843"/>
  <c r="I587" i="12843"/>
  <c r="I589" i="12843"/>
  <c r="I590" i="12843"/>
  <c r="I593" i="12843"/>
  <c r="I597" i="12843"/>
  <c r="I619" i="12843"/>
  <c r="I620" i="12843"/>
  <c r="I621" i="12843"/>
  <c r="I623" i="12843"/>
  <c r="I624" i="12843"/>
  <c r="I640" i="12843"/>
  <c r="I630" i="12843"/>
  <c r="I631" i="12843"/>
  <c r="I1033" i="12843"/>
  <c r="I1036" i="12843"/>
  <c r="I1037" i="12843"/>
  <c r="I1040" i="12843"/>
  <c r="I1041" i="12843"/>
  <c r="I1042" i="12843"/>
  <c r="V17" i="12791"/>
  <c r="V18" i="12791"/>
  <c r="I519" i="12843" l="1"/>
  <c r="I530" i="12843"/>
  <c r="I596" i="12843"/>
  <c r="I558" i="12843" s="1"/>
  <c r="I595" i="12843"/>
  <c r="Y20" i="12769"/>
  <c r="Y18" i="12769"/>
  <c r="U18" i="12770"/>
  <c r="I446" i="12843"/>
  <c r="I417" i="12843" s="1"/>
  <c r="I367" i="12843"/>
  <c r="I635" i="12843"/>
  <c r="I592" i="12843"/>
  <c r="I604" i="12843"/>
  <c r="I603" i="12843"/>
  <c r="I526" i="12843"/>
  <c r="I454" i="12843"/>
  <c r="I626" i="12843"/>
  <c r="I395" i="12843"/>
  <c r="I483" i="12843"/>
  <c r="I520" i="12843"/>
  <c r="I482" i="12843"/>
  <c r="I536" i="12843"/>
  <c r="I284" i="12843"/>
  <c r="I524" i="12843"/>
  <c r="I310" i="12843"/>
  <c r="I255" i="12843"/>
  <c r="I283" i="12843"/>
  <c r="I369" i="12843"/>
  <c r="I340" i="12843" s="1"/>
  <c r="I354" i="12843"/>
  <c r="I325" i="12843" s="1"/>
  <c r="I585" i="12843"/>
  <c r="I547" i="12843" s="1"/>
  <c r="I642" i="12843"/>
  <c r="I600" i="12843"/>
  <c r="I486" i="12843"/>
  <c r="I638" i="12843"/>
  <c r="I566" i="12843" s="1"/>
  <c r="I538" i="12843"/>
  <c r="I484" i="12843"/>
  <c r="I426" i="12843" s="1"/>
  <c r="I634" i="12843"/>
  <c r="I562" i="12843" s="1"/>
  <c r="I528" i="12843"/>
  <c r="I389" i="12843"/>
  <c r="I331" i="12843" s="1"/>
  <c r="I458" i="12843"/>
  <c r="I429" i="12843" s="1"/>
  <c r="I309" i="12843"/>
  <c r="I251" i="12843"/>
  <c r="I637" i="12843"/>
  <c r="I605" i="12843"/>
  <c r="I532" i="12843"/>
  <c r="I396" i="12843"/>
  <c r="I478" i="12843"/>
  <c r="I420" i="12843" s="1"/>
  <c r="I399" i="12843"/>
  <c r="I368" i="12843"/>
  <c r="I307" i="12843"/>
  <c r="I272" i="12843"/>
  <c r="I215" i="12843" s="1"/>
  <c r="I366" i="12843"/>
  <c r="I633" i="12843"/>
  <c r="I561" i="12843" s="1"/>
  <c r="I394" i="12843"/>
  <c r="I336" i="12843" s="1"/>
  <c r="I280" i="12843"/>
  <c r="I254" i="12843"/>
  <c r="I240" i="12843"/>
  <c r="I212" i="12843" s="1"/>
  <c r="I641" i="12843"/>
  <c r="I601" i="12843"/>
  <c r="I525" i="12843"/>
  <c r="I559" i="12843"/>
  <c r="I551" i="12843"/>
  <c r="I549" i="12843"/>
  <c r="I627" i="12843"/>
  <c r="I555" i="12843" s="1"/>
  <c r="I639" i="12843"/>
  <c r="I629" i="12843"/>
  <c r="I608" i="12843"/>
  <c r="I303" i="12843"/>
  <c r="I218" i="12843" s="1"/>
  <c r="I846" i="12843"/>
  <c r="I548" i="12843"/>
  <c r="I845" i="12843"/>
  <c r="I607" i="12843"/>
  <c r="I514" i="12843"/>
  <c r="I457" i="12843"/>
  <c r="I453" i="12843"/>
  <c r="I302" i="12843"/>
  <c r="I217" i="12843" s="1"/>
  <c r="I552" i="12843"/>
  <c r="I841" i="12843"/>
  <c r="I606" i="12843"/>
  <c r="I602" i="12843"/>
  <c r="I198" i="12843"/>
  <c r="I456" i="12843"/>
  <c r="I397" i="12843"/>
  <c r="I636" i="12843"/>
  <c r="I197" i="12843"/>
  <c r="I370" i="12843"/>
  <c r="I341" i="12843" s="1"/>
  <c r="I308" i="12843"/>
  <c r="I253" i="12843"/>
  <c r="I1043" i="12843"/>
  <c r="I840" i="12843"/>
  <c r="I282" i="12843"/>
  <c r="I252" i="12843"/>
  <c r="I330" i="12843"/>
  <c r="I416" i="12843"/>
  <c r="I329" i="12843"/>
  <c r="I419" i="12843"/>
  <c r="I413" i="12843"/>
  <c r="I332" i="12843"/>
  <c r="I214" i="12843"/>
  <c r="I425" i="12843"/>
  <c r="I216" i="12843"/>
  <c r="I328" i="12843"/>
  <c r="I418" i="12843"/>
  <c r="I837" i="12843"/>
  <c r="I485" i="12843"/>
  <c r="I279" i="12843"/>
  <c r="I844" i="12843"/>
  <c r="I565" i="12843" l="1"/>
  <c r="I557" i="12843"/>
  <c r="I338" i="12843"/>
  <c r="I226" i="12843"/>
  <c r="I339" i="12843"/>
  <c r="I537" i="12843"/>
  <c r="I223" i="12843"/>
  <c r="I227" i="12843"/>
  <c r="I424" i="12843"/>
  <c r="I337" i="12843"/>
  <c r="I554" i="12843"/>
  <c r="I225" i="12843"/>
  <c r="I428" i="12843"/>
  <c r="I224" i="12843"/>
  <c r="I402" i="12843"/>
  <c r="I404" i="12843" s="1"/>
  <c r="I529" i="12843"/>
  <c r="I539" i="12843" s="1"/>
  <c r="I541" i="12843" s="1"/>
  <c r="I315" i="12843"/>
  <c r="I317" i="12843" s="1"/>
  <c r="I461" i="12843"/>
  <c r="I463" i="12843" s="1"/>
  <c r="I611" i="12843"/>
  <c r="I613" i="12843" s="1"/>
  <c r="I847" i="12843"/>
  <c r="I849" i="12843" s="1"/>
  <c r="I373" i="12843"/>
  <c r="I563" i="12843"/>
  <c r="I1045" i="12843"/>
  <c r="I258" i="12843"/>
  <c r="I260" i="12843" s="1"/>
  <c r="I645" i="12843"/>
  <c r="I570" i="12843"/>
  <c r="I567" i="12843"/>
  <c r="I564" i="12843"/>
  <c r="I568" i="12843"/>
  <c r="I569" i="12843"/>
  <c r="I427" i="12843"/>
  <c r="I183" i="12843"/>
  <c r="I177" i="12843"/>
  <c r="I181" i="12843"/>
  <c r="I173" i="12843"/>
  <c r="I193" i="12843"/>
  <c r="I180" i="12843"/>
  <c r="I222" i="12843"/>
  <c r="I196" i="12843"/>
  <c r="I184" i="12843"/>
  <c r="I490" i="12843"/>
  <c r="I182" i="12843"/>
  <c r="I287" i="12843"/>
  <c r="I192" i="12843" l="1"/>
  <c r="I190" i="12843"/>
  <c r="I575" i="12843"/>
  <c r="I577" i="12843" s="1"/>
  <c r="M26" i="12783" s="1"/>
  <c r="I189" i="12843"/>
  <c r="I344" i="12843"/>
  <c r="I346" i="12843" s="1"/>
  <c r="I375" i="12843"/>
  <c r="M25" i="12783"/>
  <c r="M30" i="12783"/>
  <c r="I647" i="12843"/>
  <c r="I191" i="12843"/>
  <c r="I188" i="12843"/>
  <c r="I492" i="12843"/>
  <c r="I432" i="12843"/>
  <c r="I289" i="12843"/>
  <c r="I230" i="12843"/>
  <c r="I434" i="12843" l="1"/>
  <c r="I199" i="12843"/>
  <c r="I232" i="12843"/>
  <c r="I201" i="12843" l="1"/>
  <c r="I1126" i="12843" s="1"/>
  <c r="M24" i="12783" l="1"/>
  <c r="M34" i="12783" l="1"/>
  <c r="M44" i="12783" s="1"/>
  <c r="M48" i="12783" s="1"/>
  <c r="I1129" i="12843"/>
  <c r="O16" i="12882" l="1"/>
  <c r="Q16" i="12882"/>
  <c r="S16" i="12882"/>
  <c r="O19" i="12882"/>
  <c r="Q19" i="12882"/>
  <c r="O22" i="12882"/>
  <c r="Q22" i="12882"/>
  <c r="S22" i="12882"/>
  <c r="O24" i="12882"/>
  <c r="Q24" i="12882"/>
  <c r="S24" i="12882"/>
  <c r="O25" i="12882"/>
  <c r="Q25" i="12882"/>
  <c r="S25" i="12882"/>
  <c r="O26" i="12882"/>
  <c r="Q26" i="12882"/>
  <c r="S26" i="12882"/>
  <c r="O27" i="12882"/>
  <c r="Q27" i="12882"/>
  <c r="S27" i="12882"/>
  <c r="O28" i="12882"/>
  <c r="Q28" i="12882"/>
  <c r="S28" i="12882"/>
  <c r="O29" i="12882"/>
  <c r="Q29" i="12882"/>
  <c r="S29" i="12882"/>
  <c r="O32" i="12882"/>
  <c r="Q32" i="12882"/>
  <c r="O35" i="12882"/>
  <c r="Q35" i="12882"/>
  <c r="S35" i="12882"/>
  <c r="O36" i="12882"/>
  <c r="Q36" i="12882"/>
  <c r="S36" i="12882"/>
  <c r="O37" i="12882"/>
  <c r="Q37" i="12882"/>
  <c r="S37" i="12882"/>
  <c r="O40" i="12882"/>
  <c r="Q40" i="12882"/>
  <c r="O18" i="12783"/>
  <c r="Q18" i="12783"/>
  <c r="R18" i="12783"/>
  <c r="T18" i="12783"/>
  <c r="U18" i="12783"/>
  <c r="W18" i="12783"/>
  <c r="X18" i="12783"/>
  <c r="O21" i="12783"/>
  <c r="Q21" i="12783"/>
  <c r="R21" i="12783"/>
  <c r="T21" i="12783"/>
  <c r="U21" i="12783"/>
  <c r="W21" i="12783"/>
  <c r="X21" i="12783"/>
  <c r="O24" i="12783"/>
  <c r="Q24" i="12783"/>
  <c r="R24" i="12783"/>
  <c r="T24" i="12783"/>
  <c r="U24" i="12783"/>
  <c r="W24" i="12783"/>
  <c r="X24" i="12783"/>
  <c r="O25" i="12783"/>
  <c r="Q25" i="12783"/>
  <c r="R25" i="12783"/>
  <c r="U25" i="12783"/>
  <c r="W25" i="12783"/>
  <c r="X25" i="12783"/>
  <c r="O26" i="12783"/>
  <c r="Q26" i="12783"/>
  <c r="R26" i="12783"/>
  <c r="T26" i="12783"/>
  <c r="U26" i="12783"/>
  <c r="W26" i="12783"/>
  <c r="X26" i="12783"/>
  <c r="O27" i="12783"/>
  <c r="Q27" i="12783"/>
  <c r="R27" i="12783"/>
  <c r="T27" i="12783"/>
  <c r="U27" i="12783"/>
  <c r="W27" i="12783"/>
  <c r="X27" i="12783"/>
  <c r="O28" i="12783"/>
  <c r="Q28" i="12783"/>
  <c r="R28" i="12783"/>
  <c r="T28" i="12783"/>
  <c r="U28" i="12783"/>
  <c r="W28" i="12783"/>
  <c r="X28" i="12783"/>
  <c r="O29" i="12783"/>
  <c r="Q29" i="12783"/>
  <c r="R29" i="12783"/>
  <c r="T29" i="12783"/>
  <c r="U29" i="12783"/>
  <c r="W29" i="12783"/>
  <c r="X29" i="12783"/>
  <c r="O30" i="12783"/>
  <c r="Q30" i="12783"/>
  <c r="R30" i="12783"/>
  <c r="T30" i="12783"/>
  <c r="U30" i="12783"/>
  <c r="W30" i="12783"/>
  <c r="X30" i="12783"/>
  <c r="O31" i="12783"/>
  <c r="Q31" i="12783"/>
  <c r="R31" i="12783"/>
  <c r="T31" i="12783"/>
  <c r="U31" i="12783"/>
  <c r="W31" i="12783"/>
  <c r="X31" i="12783"/>
  <c r="O34" i="12783"/>
  <c r="Q34" i="12783"/>
  <c r="R34" i="12783"/>
  <c r="T34" i="12783"/>
  <c r="U34" i="12783"/>
  <c r="W34" i="12783"/>
  <c r="X34" i="12783"/>
  <c r="O37" i="12783"/>
  <c r="Q37" i="12783"/>
  <c r="R37" i="12783"/>
  <c r="T37" i="12783"/>
  <c r="U37" i="12783"/>
  <c r="W37" i="12783"/>
  <c r="X37" i="12783"/>
  <c r="O38" i="12783"/>
  <c r="Q38" i="12783"/>
  <c r="R38" i="12783"/>
  <c r="T38" i="12783"/>
  <c r="U38" i="12783"/>
  <c r="W38" i="12783"/>
  <c r="X38" i="12783"/>
  <c r="O39" i="12783"/>
  <c r="Q39" i="12783"/>
  <c r="R39" i="12783"/>
  <c r="T39" i="12783"/>
  <c r="U39" i="12783"/>
  <c r="W39" i="12783"/>
  <c r="X39" i="12783"/>
  <c r="O42" i="12783"/>
  <c r="Q42" i="12783"/>
  <c r="R42" i="12783"/>
  <c r="T42" i="12783"/>
  <c r="U42" i="12783"/>
  <c r="W42" i="12783"/>
  <c r="X42" i="12783"/>
  <c r="O44" i="12783"/>
  <c r="Q44" i="12783"/>
  <c r="R44" i="12783"/>
  <c r="T44" i="12783"/>
  <c r="U44" i="12783"/>
  <c r="W44" i="12783"/>
  <c r="X44" i="12783"/>
  <c r="O48" i="12783"/>
  <c r="Q48" i="12783"/>
  <c r="R48" i="12783"/>
  <c r="T48" i="12783"/>
  <c r="U48" i="12783"/>
  <c r="W48" i="12783"/>
  <c r="X48" i="12783"/>
  <c r="O12" i="12843"/>
  <c r="J15" i="12843"/>
  <c r="L15" i="12843"/>
  <c r="J16" i="12843"/>
  <c r="L16" i="12843"/>
  <c r="J17" i="12843"/>
  <c r="L17" i="12843"/>
  <c r="L19" i="12843"/>
  <c r="L21" i="12843"/>
  <c r="J30" i="12843"/>
  <c r="L30" i="12843"/>
  <c r="J31" i="12843"/>
  <c r="L31" i="12843"/>
  <c r="J32" i="12843"/>
  <c r="L32" i="12843"/>
  <c r="L34" i="12843"/>
  <c r="L36" i="12843"/>
  <c r="J42" i="12843"/>
  <c r="L42" i="12843"/>
  <c r="J43" i="12843"/>
  <c r="L43" i="12843"/>
  <c r="J44" i="12843"/>
  <c r="L44" i="12843"/>
  <c r="L46" i="12843"/>
  <c r="L48" i="12843"/>
  <c r="J54" i="12843"/>
  <c r="L54" i="12843"/>
  <c r="J55" i="12843"/>
  <c r="L55" i="12843"/>
  <c r="J56" i="12843"/>
  <c r="L56" i="12843"/>
  <c r="L58" i="12843"/>
  <c r="L60" i="12843"/>
  <c r="O63" i="12843"/>
  <c r="J66" i="12843"/>
  <c r="L66" i="12843"/>
  <c r="J67" i="12843"/>
  <c r="L67" i="12843"/>
  <c r="J73" i="12843"/>
  <c r="J74" i="12843"/>
  <c r="L75" i="12843"/>
  <c r="L77" i="12843"/>
  <c r="J85" i="12843"/>
  <c r="L85" i="12843"/>
  <c r="J86" i="12843"/>
  <c r="L86" i="12843"/>
  <c r="L90" i="12843"/>
  <c r="L92" i="12843"/>
  <c r="J99" i="12843"/>
  <c r="L99" i="12843"/>
  <c r="J100" i="12843"/>
  <c r="L100" i="12843"/>
  <c r="L104" i="12843"/>
  <c r="L106" i="12843"/>
  <c r="J112" i="12843"/>
  <c r="L112" i="12843"/>
  <c r="J113" i="12843"/>
  <c r="L113" i="12843"/>
  <c r="L117" i="12843"/>
  <c r="L119" i="12843"/>
  <c r="J127" i="12843"/>
  <c r="L127" i="12843"/>
  <c r="J128" i="12843"/>
  <c r="L128" i="12843"/>
  <c r="L129" i="12843"/>
  <c r="L131" i="12843"/>
  <c r="J144" i="12843"/>
  <c r="L144" i="12843"/>
  <c r="J145" i="12843"/>
  <c r="L145" i="12843"/>
  <c r="L149" i="12843"/>
  <c r="L151" i="12843"/>
  <c r="J157" i="12843"/>
  <c r="L157" i="12843"/>
  <c r="J158" i="12843"/>
  <c r="L158" i="12843"/>
  <c r="L162" i="12843"/>
  <c r="L164" i="12843"/>
  <c r="O168" i="12843"/>
  <c r="J181" i="12843"/>
  <c r="L181" i="12843"/>
  <c r="J182" i="12843"/>
  <c r="L182" i="12843"/>
  <c r="J183" i="12843"/>
  <c r="L183" i="12843"/>
  <c r="J190" i="12843"/>
  <c r="L190" i="12843"/>
  <c r="J191" i="12843"/>
  <c r="L191" i="12843"/>
  <c r="J192" i="12843"/>
  <c r="L192" i="12843"/>
  <c r="L199" i="12843"/>
  <c r="L201" i="12843"/>
  <c r="J215" i="12843"/>
  <c r="L215" i="12843"/>
  <c r="J216" i="12843"/>
  <c r="L216" i="12843"/>
  <c r="J217" i="12843"/>
  <c r="L217" i="12843"/>
  <c r="J224" i="12843"/>
  <c r="L224" i="12843"/>
  <c r="J225" i="12843"/>
  <c r="L225" i="12843"/>
  <c r="J226" i="12843"/>
  <c r="L226" i="12843"/>
  <c r="L230" i="12843"/>
  <c r="L232" i="12843"/>
  <c r="J243" i="12843"/>
  <c r="L243" i="12843"/>
  <c r="J244" i="12843"/>
  <c r="L244" i="12843"/>
  <c r="J245" i="12843"/>
  <c r="L245" i="12843"/>
  <c r="J252" i="12843"/>
  <c r="L252" i="12843"/>
  <c r="J253" i="12843"/>
  <c r="L253" i="12843"/>
  <c r="J254" i="12843"/>
  <c r="L254" i="12843"/>
  <c r="L258" i="12843"/>
  <c r="L260" i="12843"/>
  <c r="J272" i="12843"/>
  <c r="L272" i="12843"/>
  <c r="J273" i="12843"/>
  <c r="L273" i="12843"/>
  <c r="J274" i="12843"/>
  <c r="L274" i="12843"/>
  <c r="J281" i="12843"/>
  <c r="L281" i="12843"/>
  <c r="J282" i="12843"/>
  <c r="L282" i="12843"/>
  <c r="J283" i="12843"/>
  <c r="L283" i="12843"/>
  <c r="L287" i="12843"/>
  <c r="L289" i="12843"/>
  <c r="J300" i="12843"/>
  <c r="L300" i="12843"/>
  <c r="J301" i="12843"/>
  <c r="L301" i="12843"/>
  <c r="J302" i="12843"/>
  <c r="L302" i="12843"/>
  <c r="J309" i="12843"/>
  <c r="L309" i="12843"/>
  <c r="J310" i="12843"/>
  <c r="L310" i="12843"/>
  <c r="J311" i="12843"/>
  <c r="L311" i="12843"/>
  <c r="L315" i="12843"/>
  <c r="L317" i="12843"/>
  <c r="J329" i="12843"/>
  <c r="L329" i="12843"/>
  <c r="J330" i="12843"/>
  <c r="L330" i="12843"/>
  <c r="J331" i="12843"/>
  <c r="L331" i="12843"/>
  <c r="J338" i="12843"/>
  <c r="L338" i="12843"/>
  <c r="J339" i="12843"/>
  <c r="L339" i="12843"/>
  <c r="J340" i="12843"/>
  <c r="L340" i="12843"/>
  <c r="L344" i="12843"/>
  <c r="L346" i="12843"/>
  <c r="J358" i="12843"/>
  <c r="L358" i="12843"/>
  <c r="J359" i="12843"/>
  <c r="L359" i="12843"/>
  <c r="J360" i="12843"/>
  <c r="L360" i="12843"/>
  <c r="J367" i="12843"/>
  <c r="L367" i="12843"/>
  <c r="J368" i="12843"/>
  <c r="L368" i="12843"/>
  <c r="J369" i="12843"/>
  <c r="L369" i="12843"/>
  <c r="L373" i="12843"/>
  <c r="L375" i="12843"/>
  <c r="J387" i="12843"/>
  <c r="L387" i="12843"/>
  <c r="J388" i="12843"/>
  <c r="L388" i="12843"/>
  <c r="J389" i="12843"/>
  <c r="L389" i="12843"/>
  <c r="J396" i="12843"/>
  <c r="L396" i="12843"/>
  <c r="J397" i="12843"/>
  <c r="L397" i="12843"/>
  <c r="J398" i="12843"/>
  <c r="L398" i="12843"/>
  <c r="L402" i="12843"/>
  <c r="L404" i="12843"/>
  <c r="J417" i="12843"/>
  <c r="L417" i="12843"/>
  <c r="J418" i="12843"/>
  <c r="L418" i="12843"/>
  <c r="J419" i="12843"/>
  <c r="L419" i="12843"/>
  <c r="J426" i="12843"/>
  <c r="L426" i="12843"/>
  <c r="J427" i="12843"/>
  <c r="L427" i="12843"/>
  <c r="J428" i="12843"/>
  <c r="L428" i="12843"/>
  <c r="L432" i="12843"/>
  <c r="L434" i="12843"/>
  <c r="J446" i="12843"/>
  <c r="L446" i="12843"/>
  <c r="J447" i="12843"/>
  <c r="L447" i="12843"/>
  <c r="J448" i="12843"/>
  <c r="L448" i="12843"/>
  <c r="J455" i="12843"/>
  <c r="L455" i="12843"/>
  <c r="J456" i="12843"/>
  <c r="L456" i="12843"/>
  <c r="J457" i="12843"/>
  <c r="L457" i="12843"/>
  <c r="L461" i="12843"/>
  <c r="L463" i="12843"/>
  <c r="J475" i="12843"/>
  <c r="L475" i="12843"/>
  <c r="J476" i="12843"/>
  <c r="L476" i="12843"/>
  <c r="J477" i="12843"/>
  <c r="L477" i="12843"/>
  <c r="J484" i="12843"/>
  <c r="L484" i="12843"/>
  <c r="J485" i="12843"/>
  <c r="L485" i="12843"/>
  <c r="J486" i="12843"/>
  <c r="L486" i="12843"/>
  <c r="L490" i="12843"/>
  <c r="L492" i="12843"/>
  <c r="J499" i="12843"/>
  <c r="L499" i="12843"/>
  <c r="J500" i="12843"/>
  <c r="L500" i="12843"/>
  <c r="L502" i="12843"/>
  <c r="L504" i="12843"/>
  <c r="J519" i="12843"/>
  <c r="L519" i="12843"/>
  <c r="J520" i="12843"/>
  <c r="L520" i="12843"/>
  <c r="J530" i="12843"/>
  <c r="L530" i="12843"/>
  <c r="J531" i="12843"/>
  <c r="L531" i="12843"/>
  <c r="J538" i="12843"/>
  <c r="L538" i="12843"/>
  <c r="L539" i="12843"/>
  <c r="L541" i="12843"/>
  <c r="O544" i="12843"/>
  <c r="J557" i="12843"/>
  <c r="L557" i="12843"/>
  <c r="J558" i="12843"/>
  <c r="L558" i="12843"/>
  <c r="J568" i="12843"/>
  <c r="L568" i="12843"/>
  <c r="J569" i="12843"/>
  <c r="L569" i="12843"/>
  <c r="L575" i="12843"/>
  <c r="L577" i="12843"/>
  <c r="J595" i="12843"/>
  <c r="L595" i="12843"/>
  <c r="J596" i="12843"/>
  <c r="L596" i="12843"/>
  <c r="J606" i="12843"/>
  <c r="L606" i="12843"/>
  <c r="J607" i="12843"/>
  <c r="L607" i="12843"/>
  <c r="L611" i="12843"/>
  <c r="L613" i="12843"/>
  <c r="J629" i="12843"/>
  <c r="L629" i="12843"/>
  <c r="J630" i="12843"/>
  <c r="L630" i="12843"/>
  <c r="J640" i="12843"/>
  <c r="L640" i="12843"/>
  <c r="J641" i="12843"/>
  <c r="L641" i="12843"/>
  <c r="L645" i="12843"/>
  <c r="L647" i="12843"/>
  <c r="O650" i="12843"/>
  <c r="J674" i="12843"/>
  <c r="L674" i="12843"/>
  <c r="J675" i="12843"/>
  <c r="L675" i="12843"/>
  <c r="J676" i="12843"/>
  <c r="L676" i="12843"/>
  <c r="J695" i="12843"/>
  <c r="L695" i="12843"/>
  <c r="L701" i="12843"/>
  <c r="L703" i="12843"/>
  <c r="J729" i="12843"/>
  <c r="L729" i="12843"/>
  <c r="J748" i="12843"/>
  <c r="L748" i="12843"/>
  <c r="L752" i="12843"/>
  <c r="L754" i="12843"/>
  <c r="J780" i="12843"/>
  <c r="L780" i="12843"/>
  <c r="J799" i="12843"/>
  <c r="L799" i="12843"/>
  <c r="L803" i="12843"/>
  <c r="L805" i="12843"/>
  <c r="J821" i="12843"/>
  <c r="L821" i="12843"/>
  <c r="J822" i="12843"/>
  <c r="L822" i="12843"/>
  <c r="J826" i="12843"/>
  <c r="L826" i="12843"/>
  <c r="J827" i="12843"/>
  <c r="L828" i="12843"/>
  <c r="L830" i="12843"/>
  <c r="O833" i="12843"/>
  <c r="L844" i="12843"/>
  <c r="L845" i="12843"/>
  <c r="L847" i="12843"/>
  <c r="L849" i="12843"/>
  <c r="L864" i="12843"/>
  <c r="L865" i="12843"/>
  <c r="L867" i="12843"/>
  <c r="L869" i="12843"/>
  <c r="J883" i="12843"/>
  <c r="L883" i="12843"/>
  <c r="J884" i="12843"/>
  <c r="L884" i="12843"/>
  <c r="L886" i="12843"/>
  <c r="L888" i="12843"/>
  <c r="J903" i="12843"/>
  <c r="L903" i="12843"/>
  <c r="J904" i="12843"/>
  <c r="L904" i="12843"/>
  <c r="L906" i="12843"/>
  <c r="L908" i="12843"/>
  <c r="J922" i="12843"/>
  <c r="L922" i="12843"/>
  <c r="J923" i="12843"/>
  <c r="L923" i="12843"/>
  <c r="L925" i="12843"/>
  <c r="L927" i="12843"/>
  <c r="J942" i="12843"/>
  <c r="L942" i="12843"/>
  <c r="J943" i="12843"/>
  <c r="L943" i="12843"/>
  <c r="L945" i="12843"/>
  <c r="L947" i="12843"/>
  <c r="J963" i="12843"/>
  <c r="L963" i="12843"/>
  <c r="J964" i="12843"/>
  <c r="L964" i="12843"/>
  <c r="L966" i="12843"/>
  <c r="L968" i="12843"/>
  <c r="J982" i="12843"/>
  <c r="L982" i="12843"/>
  <c r="J983" i="12843"/>
  <c r="L983" i="12843"/>
  <c r="L985" i="12843"/>
  <c r="L987" i="12843"/>
  <c r="L1001" i="12843"/>
  <c r="L1002" i="12843"/>
  <c r="L1004" i="12843"/>
  <c r="L1006" i="12843"/>
  <c r="L1021" i="12843"/>
  <c r="L1022" i="12843"/>
  <c r="L1024" i="12843"/>
  <c r="L1026" i="12843"/>
  <c r="O1029" i="12843"/>
  <c r="J1040" i="12843"/>
  <c r="L1040" i="12843"/>
  <c r="J1041" i="12843"/>
  <c r="L1041" i="12843"/>
  <c r="L1043" i="12843"/>
  <c r="L1045" i="12843"/>
  <c r="O1050" i="12843"/>
  <c r="J1052" i="12843"/>
  <c r="L1052" i="12843"/>
  <c r="J1053" i="12843"/>
  <c r="L1053" i="12843"/>
  <c r="J1054" i="12843"/>
  <c r="L1054" i="12843"/>
  <c r="J1055" i="12843"/>
  <c r="L1055" i="12843"/>
  <c r="J1056" i="12843"/>
  <c r="L1056" i="12843"/>
  <c r="J1057" i="12843"/>
  <c r="L1057" i="12843"/>
  <c r="J1059" i="12843"/>
  <c r="L1059" i="12843"/>
  <c r="J1060" i="12843"/>
  <c r="L1060" i="12843"/>
  <c r="J1061" i="12843"/>
  <c r="L1061" i="12843"/>
  <c r="J1062" i="12843"/>
  <c r="L1062" i="12843"/>
  <c r="J1063" i="12843"/>
  <c r="L1063" i="12843"/>
  <c r="J1064" i="12843"/>
  <c r="L1064" i="12843"/>
  <c r="J1066" i="12843"/>
  <c r="L1066" i="12843"/>
  <c r="L1069" i="12843"/>
  <c r="L1071" i="12843"/>
  <c r="O1074" i="12843"/>
  <c r="L1077" i="12843"/>
  <c r="L1078" i="12843"/>
  <c r="L1080" i="12843"/>
  <c r="L1082" i="12843"/>
  <c r="J1092" i="12843"/>
  <c r="L1092" i="12843"/>
  <c r="J1093" i="12843"/>
  <c r="L1093" i="12843"/>
  <c r="L1095" i="12843"/>
  <c r="L1097" i="12843"/>
  <c r="J1104" i="12843"/>
  <c r="L1104" i="12843"/>
  <c r="J1105" i="12843"/>
  <c r="L1105" i="12843"/>
  <c r="L1107" i="12843"/>
  <c r="L1109" i="12843"/>
  <c r="O1115" i="12843"/>
  <c r="J1120" i="12843"/>
  <c r="L1120" i="12843"/>
  <c r="L1121" i="12843"/>
  <c r="L1123" i="12843"/>
  <c r="L1126" i="12843"/>
  <c r="L1129" i="12843"/>
  <c r="L1132" i="12843"/>
  <c r="O9" i="12833"/>
  <c r="Q9" i="12833"/>
  <c r="F10" i="12833"/>
  <c r="H10" i="12833"/>
  <c r="J10" i="12833"/>
  <c r="O10" i="12833"/>
  <c r="Q10" i="12833"/>
  <c r="S10" i="12833"/>
  <c r="F11" i="12833"/>
  <c r="H11" i="12833"/>
  <c r="J11" i="12833"/>
  <c r="S11" i="12833"/>
  <c r="F12" i="12833"/>
  <c r="H12" i="12833"/>
  <c r="J12" i="12833"/>
  <c r="S12" i="12833"/>
  <c r="F14" i="12833"/>
  <c r="H14" i="12833"/>
  <c r="J14" i="12833"/>
  <c r="S14" i="12833"/>
  <c r="F15" i="12833"/>
  <c r="H15" i="12833"/>
  <c r="J15" i="12833"/>
  <c r="S15" i="12833"/>
  <c r="F16" i="12833"/>
  <c r="H16" i="12833"/>
  <c r="J16" i="12833"/>
  <c r="S16" i="12833"/>
  <c r="F17" i="12833"/>
  <c r="H17" i="12833"/>
  <c r="J17" i="12833"/>
  <c r="S17" i="12833"/>
  <c r="F19" i="12833"/>
  <c r="H19" i="12833"/>
  <c r="J19" i="12833"/>
  <c r="S19" i="12833"/>
  <c r="F20" i="12833"/>
  <c r="H20" i="12833"/>
  <c r="J20" i="12833"/>
  <c r="S20" i="12833"/>
  <c r="F21" i="12833"/>
  <c r="H21" i="12833"/>
  <c r="J21" i="12833"/>
  <c r="S21" i="12833"/>
  <c r="F22" i="12833"/>
  <c r="H22" i="12833"/>
  <c r="J22" i="12833"/>
  <c r="O22" i="12833"/>
  <c r="S22" i="12833"/>
  <c r="F23" i="12833"/>
  <c r="H23" i="12833"/>
  <c r="J23" i="12833"/>
  <c r="S23" i="12833"/>
  <c r="F25" i="12833"/>
  <c r="H25" i="12833"/>
  <c r="J25" i="12833"/>
  <c r="M25" i="12833"/>
  <c r="S25" i="12833"/>
  <c r="F26" i="12833"/>
  <c r="H26" i="12833"/>
  <c r="J26" i="12833"/>
  <c r="S26" i="12833"/>
  <c r="F27" i="12833"/>
  <c r="H27" i="12833"/>
  <c r="J27" i="12833"/>
  <c r="S27" i="12833"/>
  <c r="F28" i="12833"/>
  <c r="H28" i="12833"/>
  <c r="J28" i="12833"/>
  <c r="S28" i="12833"/>
  <c r="F29" i="12833"/>
  <c r="H29" i="12833"/>
  <c r="J29" i="12833"/>
  <c r="S29" i="12833"/>
  <c r="F31" i="12833"/>
  <c r="H31" i="12833"/>
  <c r="J31" i="12833"/>
  <c r="S31" i="12833"/>
  <c r="F32" i="12833"/>
  <c r="H32" i="12833"/>
  <c r="J32" i="12833"/>
  <c r="S32" i="12833"/>
  <c r="F33" i="12833"/>
  <c r="H33" i="12833"/>
  <c r="J33" i="12833"/>
  <c r="S33" i="12833"/>
  <c r="K14" i="12769"/>
  <c r="M14" i="12769"/>
  <c r="O14" i="12769"/>
  <c r="Q14" i="12769"/>
  <c r="K15" i="12769"/>
  <c r="M15" i="12769"/>
  <c r="O15" i="12769"/>
  <c r="Q15" i="12769"/>
  <c r="K16" i="12769"/>
  <c r="M16" i="12769"/>
  <c r="O16" i="12769"/>
  <c r="Q16" i="12769"/>
  <c r="K18" i="12769"/>
  <c r="M18" i="12769"/>
  <c r="O18" i="12769"/>
  <c r="Q18" i="12769"/>
  <c r="K19" i="12769"/>
  <c r="M19" i="12769"/>
  <c r="O19" i="12769"/>
  <c r="Q19" i="12769"/>
  <c r="K20" i="12769"/>
  <c r="M20" i="12769"/>
  <c r="O20" i="12769"/>
  <c r="Q20" i="12769"/>
  <c r="X21" i="12769"/>
  <c r="Y21" i="12769"/>
  <c r="K22" i="12769"/>
  <c r="M22" i="12769"/>
  <c r="O22" i="12769"/>
  <c r="Q22" i="12769"/>
  <c r="X22" i="12769"/>
  <c r="Y22" i="12769"/>
  <c r="K23" i="12769"/>
  <c r="M23" i="12769"/>
  <c r="O23" i="12769"/>
  <c r="Q23" i="12769"/>
  <c r="X23" i="12769"/>
  <c r="Y23" i="12769"/>
  <c r="K24" i="12769"/>
  <c r="M24" i="12769"/>
  <c r="O24" i="12769"/>
  <c r="Q24" i="12769"/>
  <c r="K26" i="12769"/>
  <c r="M26" i="12769"/>
  <c r="O26" i="12769"/>
  <c r="Q26" i="12769"/>
  <c r="K27" i="12769"/>
  <c r="M27" i="12769"/>
  <c r="O27" i="12769"/>
  <c r="Q27" i="12769"/>
  <c r="K28" i="12769"/>
  <c r="M28" i="12769"/>
  <c r="O28" i="12769"/>
  <c r="Q28" i="12769"/>
  <c r="K30" i="12769"/>
  <c r="M30" i="12769"/>
  <c r="O30" i="12769"/>
  <c r="Q30" i="12769"/>
  <c r="K31" i="12769"/>
  <c r="M31" i="12769"/>
  <c r="O31" i="12769"/>
  <c r="Q31" i="12769"/>
  <c r="K32" i="12769"/>
  <c r="M32" i="12769"/>
  <c r="O32" i="12769"/>
  <c r="Q32" i="12769"/>
  <c r="X35" i="12769"/>
  <c r="U37" i="12769"/>
  <c r="I14" i="12770"/>
  <c r="K14" i="12770"/>
  <c r="I15" i="12770"/>
  <c r="K15" i="12770"/>
  <c r="I16" i="12770"/>
  <c r="K16" i="12770"/>
  <c r="I18" i="12770"/>
  <c r="K18" i="12770"/>
  <c r="I19" i="12770"/>
  <c r="K19" i="12770"/>
  <c r="R19" i="12770"/>
  <c r="U19" i="12770"/>
  <c r="I20" i="12770"/>
  <c r="K20" i="12770"/>
  <c r="R20" i="12770"/>
  <c r="U20" i="12770"/>
  <c r="I22" i="12770"/>
  <c r="K22" i="12770"/>
  <c r="I23" i="12770"/>
  <c r="K23" i="12770"/>
  <c r="I24" i="12770"/>
  <c r="K24" i="12770"/>
  <c r="I26" i="12770"/>
  <c r="K26" i="12770"/>
  <c r="I27" i="12770"/>
  <c r="K27" i="12770"/>
  <c r="I28" i="12770"/>
  <c r="K28" i="12770"/>
  <c r="I30" i="12770"/>
  <c r="K30" i="12770"/>
  <c r="I31" i="12770"/>
  <c r="K31" i="12770"/>
  <c r="I32" i="12770"/>
  <c r="K32" i="12770"/>
  <c r="R32" i="12770"/>
  <c r="I34" i="12770"/>
  <c r="K34" i="12770"/>
  <c r="O34" i="12770"/>
  <c r="I35" i="12770"/>
  <c r="K35" i="12770"/>
  <c r="I36" i="12770"/>
  <c r="K36" i="12770"/>
  <c r="I38" i="12770"/>
  <c r="K38" i="12770"/>
  <c r="I39" i="12770"/>
  <c r="K39" i="12770"/>
  <c r="I40" i="12770"/>
  <c r="K40" i="12770"/>
  <c r="W14" i="12771"/>
  <c r="K18" i="12771"/>
  <c r="O18" i="12771"/>
  <c r="K19" i="12771"/>
  <c r="O19" i="12771"/>
  <c r="K20" i="12771"/>
  <c r="O20" i="12771"/>
  <c r="K23" i="12771"/>
  <c r="O23" i="12771"/>
  <c r="K24" i="12771"/>
  <c r="O24" i="12771"/>
  <c r="K25" i="12771"/>
  <c r="O25" i="12771"/>
  <c r="K27" i="12771"/>
  <c r="O27" i="12771"/>
  <c r="K28" i="12771"/>
  <c r="O28" i="12771"/>
  <c r="K29" i="12771"/>
  <c r="O29" i="12771"/>
  <c r="K31" i="12771"/>
  <c r="O31" i="12771"/>
  <c r="K32" i="12771"/>
  <c r="O32" i="12771"/>
  <c r="K33" i="12771"/>
  <c r="O33" i="12771"/>
  <c r="W33" i="12771"/>
  <c r="U35" i="12771"/>
  <c r="I15" i="12772"/>
  <c r="K15" i="12772"/>
  <c r="I16" i="12772"/>
  <c r="K16" i="12772"/>
  <c r="I17" i="12772"/>
  <c r="K17" i="12772"/>
  <c r="R18" i="12772"/>
  <c r="I19" i="12772"/>
  <c r="K19" i="12772"/>
  <c r="R19" i="12772"/>
  <c r="I20" i="12772"/>
  <c r="K20" i="12772"/>
  <c r="I21" i="12772"/>
  <c r="K21" i="12772"/>
  <c r="I23" i="12772"/>
  <c r="K23" i="12772"/>
  <c r="I24" i="12772"/>
  <c r="K24" i="12772"/>
  <c r="I25" i="12772"/>
  <c r="K25" i="12772"/>
  <c r="I27" i="12772"/>
  <c r="K27" i="12772"/>
  <c r="I28" i="12772"/>
  <c r="K28" i="12772"/>
  <c r="I29" i="12772"/>
  <c r="K29" i="12772"/>
  <c r="R30" i="12772"/>
  <c r="O32" i="12772"/>
  <c r="I15" i="12881"/>
  <c r="K15" i="12881"/>
  <c r="I16" i="12881"/>
  <c r="K16" i="12881"/>
  <c r="I17" i="12881"/>
  <c r="K17" i="12881"/>
  <c r="R18" i="12881"/>
  <c r="I19" i="12881"/>
  <c r="K19" i="12881"/>
  <c r="R19" i="12881"/>
  <c r="I20" i="12881"/>
  <c r="K20" i="12881"/>
  <c r="I21" i="12881"/>
  <c r="K21" i="12881"/>
  <c r="I23" i="12881"/>
  <c r="K23" i="12881"/>
  <c r="I24" i="12881"/>
  <c r="K24" i="12881"/>
  <c r="I25" i="12881"/>
  <c r="K25" i="12881"/>
  <c r="I27" i="12881"/>
  <c r="K27" i="12881"/>
  <c r="I28" i="12881"/>
  <c r="K28" i="12881"/>
  <c r="I29" i="12881"/>
  <c r="K29" i="12881"/>
  <c r="R30" i="12881"/>
  <c r="O32" i="12881"/>
  <c r="I15" i="12791"/>
  <c r="K15" i="12791"/>
  <c r="I16" i="12791"/>
  <c r="K16" i="12791"/>
  <c r="I17" i="12791"/>
  <c r="K17" i="12791"/>
  <c r="S18" i="12791"/>
  <c r="I19" i="12791"/>
  <c r="K19" i="12791"/>
  <c r="S19" i="12791"/>
  <c r="I20" i="12791"/>
  <c r="K20" i="12791"/>
  <c r="I21" i="12791"/>
  <c r="K21" i="12791"/>
  <c r="I23" i="12791"/>
  <c r="K23" i="12791"/>
  <c r="I24" i="12791"/>
  <c r="K24" i="12791"/>
  <c r="I25" i="12791"/>
  <c r="K25" i="12791"/>
  <c r="I27" i="12791"/>
  <c r="K27" i="12791"/>
  <c r="I28" i="12791"/>
  <c r="K28" i="12791"/>
  <c r="I29" i="12791"/>
  <c r="K29" i="12791"/>
  <c r="S30" i="12791"/>
  <c r="O32" i="1279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P15223</author>
  </authors>
  <commentList>
    <comment ref="A1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P15223:</t>
        </r>
        <r>
          <rPr>
            <sz val="8"/>
            <color indexed="81"/>
            <rFont val="Tahoma"/>
            <family val="2"/>
          </rPr>
          <t xml:space="preserve">
Use this sheet if SBC changes mid-period.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<sst xmlns="http://schemas.openxmlformats.org/spreadsheetml/2006/main" count="8197" uniqueCount="1476">
  <si>
    <t>Revenue</t>
  </si>
  <si>
    <t>Total</t>
  </si>
  <si>
    <t xml:space="preserve">Total </t>
  </si>
  <si>
    <t>Temperature</t>
  </si>
  <si>
    <t>Price</t>
  </si>
  <si>
    <t>Residential</t>
  </si>
  <si>
    <t>Commercial</t>
  </si>
  <si>
    <t>Customer</t>
  </si>
  <si>
    <t>MWh</t>
  </si>
  <si>
    <t>kWh</t>
  </si>
  <si>
    <t>Total Residential</t>
  </si>
  <si>
    <t>Total Commercial</t>
  </si>
  <si>
    <t>Industrial</t>
  </si>
  <si>
    <t xml:space="preserve"> </t>
  </si>
  <si>
    <t>AGA</t>
  </si>
  <si>
    <t>Subtotal</t>
  </si>
  <si>
    <t>Revenues</t>
  </si>
  <si>
    <t>Average</t>
  </si>
  <si>
    <t>Customers</t>
  </si>
  <si>
    <t>Schedule 36</t>
  </si>
  <si>
    <t>$</t>
  </si>
  <si>
    <t>48T</t>
  </si>
  <si>
    <t>Sch. 191</t>
  </si>
  <si>
    <t xml:space="preserve">  </t>
  </si>
  <si>
    <t>Customer Count</t>
  </si>
  <si>
    <t>COMMERCIAL SALES</t>
  </si>
  <si>
    <t>02GNSV0024-WA GEN SRVC</t>
  </si>
  <si>
    <t>02GNSV024F-WA GEN SRVC-FL</t>
  </si>
  <si>
    <t>02LGSV0036-WA LRG GEN SRV</t>
  </si>
  <si>
    <t>02LGSV048T-LRG GEN SRVC 1</t>
  </si>
  <si>
    <t>02LNX00102-LINE EXT 80% G</t>
  </si>
  <si>
    <t>02LNX00103-LINE EXT 80% G</t>
  </si>
  <si>
    <t>02LNX00105-CNTRCT $ MIN G</t>
  </si>
  <si>
    <t>02LNX00109-REF/NREF ADV +</t>
  </si>
  <si>
    <t>02LNX00110-REF/NREF ADV +</t>
  </si>
  <si>
    <t>02LNX00112-YR INCURRED CH</t>
  </si>
  <si>
    <t>02OALT015N-WA OUTD AR LGT</t>
  </si>
  <si>
    <t>02RCFL0054-WA REC FIELD L</t>
  </si>
  <si>
    <t>02RFNDCENT - CENTRALIA RFND</t>
  </si>
  <si>
    <t>02ZZMERGCR-MERGER CREDITS</t>
  </si>
  <si>
    <t>CUSTOMER COUNT - REGULAR</t>
  </si>
  <si>
    <t>Sum:</t>
  </si>
  <si>
    <t>INDUSTRIAL SALES</t>
  </si>
  <si>
    <t>02LGSV048M-WA LRG GEN SRV</t>
  </si>
  <si>
    <t>02PRSV47TM-LRG PART REQMT</t>
  </si>
  <si>
    <t>IRRIGATION SALES</t>
  </si>
  <si>
    <t>02APSV0040-WA AG PMP SRVC</t>
  </si>
  <si>
    <t>02APSV040X-WA AG PMP SRVC</t>
  </si>
  <si>
    <t>CUSTOMER CNT - IRRIGATION</t>
  </si>
  <si>
    <t>PUBLIC STREET&amp;HIGHWAY LIGHTING</t>
  </si>
  <si>
    <t>02CFR00012-STR LGTS (CONV</t>
  </si>
  <si>
    <t>02COSL0052-WA STR LGT SRV</t>
  </si>
  <si>
    <t>02CUSL053F-WA STR LGT SRV</t>
  </si>
  <si>
    <t>02CUSL053M-WA STR LGT SRV</t>
  </si>
  <si>
    <t>02HPSV0051-WA HI PRESSURE</t>
  </si>
  <si>
    <t>02MVSL0057-WA MERC VAPSTR</t>
  </si>
  <si>
    <t>RESIDENTIAL SALES</t>
  </si>
  <si>
    <t>02RESD0016-WA RES SRVC</t>
  </si>
  <si>
    <t>02RESD0017-BILL ASSISTANC</t>
  </si>
  <si>
    <t>02RESD0018-WA 3 PHASE RES</t>
  </si>
  <si>
    <t>02RESD018X-WA 3 PHASE RES</t>
  </si>
  <si>
    <t>24f</t>
  </si>
  <si>
    <t>15n</t>
  </si>
  <si>
    <t>48m</t>
  </si>
  <si>
    <t>48t</t>
  </si>
  <si>
    <t>24fp</t>
  </si>
  <si>
    <t>40x</t>
  </si>
  <si>
    <t>53f</t>
  </si>
  <si>
    <t>53m</t>
  </si>
  <si>
    <t>15r</t>
  </si>
  <si>
    <t>18x</t>
  </si>
  <si>
    <t>Check</t>
  </si>
  <si>
    <t>MONTHLY KWH</t>
  </si>
  <si>
    <t>PACIFIC POWER &amp; LIGHT COMPANY</t>
  </si>
  <si>
    <t>Line</t>
  </si>
  <si>
    <t>Base</t>
  </si>
  <si>
    <t>No.</t>
  </si>
  <si>
    <t>Rates</t>
  </si>
  <si>
    <t>Outdoor Area Lighting Service</t>
  </si>
  <si>
    <t>15</t>
  </si>
  <si>
    <t>Recreational Field Lighting</t>
  </si>
  <si>
    <t>54</t>
  </si>
  <si>
    <t>Public Street Lighting</t>
  </si>
  <si>
    <t>Total Sales to Ultimate Consumers</t>
  </si>
  <si>
    <t>Agricultural Pumping Service</t>
  </si>
  <si>
    <t>Present</t>
  </si>
  <si>
    <t>($000)</t>
  </si>
  <si>
    <t>Unbilled</t>
  </si>
  <si>
    <t>SBC</t>
  </si>
  <si>
    <t>Net</t>
  </si>
  <si>
    <t>Description</t>
  </si>
  <si>
    <t>02LNX00300-LINE EXT 80% G</t>
  </si>
  <si>
    <t>Irrigation</t>
  </si>
  <si>
    <t>Total Irrigation</t>
  </si>
  <si>
    <t>02NMT24135, Net metering, WA</t>
  </si>
  <si>
    <t>02LGSB048T - WA GEN SRVC, NO BPA</t>
  </si>
  <si>
    <t>301119 - UNBILLED REV - UNCOLLECTIBLE</t>
  </si>
  <si>
    <t>02GNSB0024-WA GEN SRVC DO</t>
  </si>
  <si>
    <t>02GNSB24FP-WA GEN SVC SEASONAL</t>
  </si>
  <si>
    <t>ACQUISITION COMMITMENT-A and G CREDIT</t>
  </si>
  <si>
    <t>ACQUISITION COMMITMENT-WEST VALLEY LEASE</t>
  </si>
  <si>
    <t>02OALTB15N-WA OUTD AR LGT NR</t>
  </si>
  <si>
    <t>02GNSB024F-GEN SRVC DOM/F</t>
  </si>
  <si>
    <t>02LGSB0036-LRG GEN SVC IRG</t>
  </si>
  <si>
    <t>02OALTB15R-WA OUTD AR LGT RES</t>
  </si>
  <si>
    <t>02LNX00311 - LINE EXT 80% GUARANTEE</t>
  </si>
  <si>
    <t>02LNX00310 - IRG, 80% ANNUAL MIN + 80%</t>
  </si>
  <si>
    <t>02LNX00312 - WA IRG LINE EXT</t>
  </si>
  <si>
    <t>02BLSKY01R-BLUESKY ENERGY</t>
  </si>
  <si>
    <t>Washington- 12 Months Ending December 2007 - Monthly KWH</t>
  </si>
  <si>
    <t>Effective</t>
  </si>
  <si>
    <t>Error Check</t>
  </si>
  <si>
    <t>Increase</t>
  </si>
  <si>
    <t>Pro Forma</t>
  </si>
  <si>
    <t>Difference</t>
  </si>
  <si>
    <t>TABLE A. PRESENT AND PROPOSED RATES</t>
  </si>
  <si>
    <t>ON REVENUES FROM ELECTRIC SALES TO ULTIMATE CONSUMERS</t>
  </si>
  <si>
    <t>IN WASHINGTON</t>
  </si>
  <si>
    <t>12 MONTHS ENDED JUNE 2008 PRO FORMA</t>
  </si>
  <si>
    <t>Actual</t>
  </si>
  <si>
    <t>Proposed</t>
  </si>
  <si>
    <t xml:space="preserve">Proposed </t>
  </si>
  <si>
    <t>Avg.</t>
  </si>
  <si>
    <t>Sch.</t>
  </si>
  <si>
    <t>Cust.</t>
  </si>
  <si>
    <t>MWH</t>
  </si>
  <si>
    <t>%</t>
  </si>
  <si>
    <t>(1)</t>
  </si>
  <si>
    <t>(2)</t>
  </si>
  <si>
    <t>(3)</t>
  </si>
  <si>
    <t>(4)</t>
  </si>
  <si>
    <t>(5)</t>
  </si>
  <si>
    <t>(6)</t>
  </si>
  <si>
    <t>(7)</t>
  </si>
  <si>
    <t>(8)</t>
  </si>
  <si>
    <t>Residential Service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</si>
  <si>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</si>
  <si>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</si>
  <si>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</si>
  <si>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</si>
  <si>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</si>
  <si>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40</t>
  </si>
  <si>
    <t>Partial Requirements Service =&gt; 1,000 kW</t>
  </si>
  <si>
    <t>Large General Service =&gt; 1,000 kW</t>
  </si>
  <si>
    <t xml:space="preserve">  Total Commercial &amp; Industrial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</si>
  <si>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</si>
  <si>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</si>
  <si>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</si>
  <si>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</si>
  <si>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</si>
  <si>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STATE OF WASHINGTON</t>
  </si>
  <si>
    <t>(Including Effects of Unbilled Revenue, Unbilled MWh and Weather Normalization)</t>
  </si>
  <si>
    <t>Units</t>
  </si>
  <si>
    <t>Dollars</t>
  </si>
  <si>
    <t>Error Checking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</si>
  <si>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</si>
  <si>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</si>
  <si>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</si>
  <si>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</si>
  <si>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</si>
  <si>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</si>
  <si>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</si>
  <si>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</si>
  <si>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</si>
  <si>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</si>
  <si>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</si>
  <si>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Total Bills</t>
  </si>
  <si>
    <t xml:space="preserve">  Unbilled</t>
  </si>
  <si>
    <t>Target Dollars</t>
  </si>
  <si>
    <t>Outdoor Area Lighting Service-Residential</t>
  </si>
  <si>
    <t>Outdoor Area Lighting Service-Commercial</t>
  </si>
  <si>
    <t>Outdoor Area Lighting Service-Industrial</t>
  </si>
  <si>
    <t>SCHEDULE 16/18</t>
  </si>
  <si>
    <t>Residential Service-Combined</t>
  </si>
  <si>
    <t xml:space="preserve">  Basic Charge</t>
  </si>
  <si>
    <t>Current</t>
  </si>
  <si>
    <t>Unit Costs</t>
  </si>
  <si>
    <t xml:space="preserve">  1st 600 kWh</t>
  </si>
  <si>
    <t>¢</t>
  </si>
  <si>
    <t xml:space="preserve">  All addt'l kWh</t>
  </si>
  <si>
    <t>Energy</t>
  </si>
  <si>
    <t xml:space="preserve">  kW demand </t>
  </si>
  <si>
    <t>D and LS</t>
  </si>
  <si>
    <t>Minimum kW Charge</t>
  </si>
  <si>
    <t xml:space="preserve">  kW demand in minimum</t>
  </si>
  <si>
    <t xml:space="preserve">  Subtotal</t>
  </si>
  <si>
    <t xml:space="preserve">  Total</t>
  </si>
  <si>
    <t>SCHEDULE 16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</si>
  <si>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</si>
  <si>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</si>
  <si>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</si>
  <si>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</si>
  <si>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</si>
  <si>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</si>
  <si>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</si>
  <si>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</si>
  <si>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</si>
  <si>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</si>
  <si>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</si>
  <si>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</si>
  <si>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>demand dollars in energy charge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</si>
  <si>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</si>
  <si>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</si>
  <si>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</si>
  <si>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</si>
  <si>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Discounts</t>
  </si>
  <si>
    <t xml:space="preserve">   Load Size &gt; 15 kW</t>
  </si>
  <si>
    <t xml:space="preserve">  All kW</t>
  </si>
  <si>
    <t>Load Size</t>
  </si>
  <si>
    <t xml:space="preserve">  1st 1,000 kWh</t>
  </si>
  <si>
    <t>Demand</t>
  </si>
  <si>
    <t xml:space="preserve">  High Voltage Charge</t>
  </si>
  <si>
    <t xml:space="preserve">  Load Size Discount</t>
  </si>
  <si>
    <t>Target</t>
  </si>
  <si>
    <t>Small General Service-Combined</t>
  </si>
  <si>
    <t>Small General Service-Commercial</t>
  </si>
  <si>
    <t>Includes Schedule 24 Net Metering</t>
  </si>
  <si>
    <t xml:space="preserve">  All kW&gt;15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</si>
  <si>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</si>
  <si>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</si>
  <si>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</si>
  <si>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</si>
  <si>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</si>
  <si>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</si>
  <si>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</si>
  <si>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</si>
  <si>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</si>
  <si>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</si>
  <si>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</si>
  <si>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</si>
  <si>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</si>
  <si>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</si>
  <si>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</si>
  <si>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</si>
  <si>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</si>
  <si>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</si>
  <si>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</si>
  <si>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</si>
  <si>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</si>
  <si>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</si>
  <si>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>SCHEDULE 36</t>
  </si>
  <si>
    <t>Large General Service &lt; 1,000 kW-Grand Combined</t>
  </si>
  <si>
    <t>Customer $</t>
  </si>
  <si>
    <t>Load Size $</t>
  </si>
  <si>
    <t>Marginal Changes</t>
  </si>
  <si>
    <t xml:space="preserve"> Minimum kW</t>
  </si>
  <si>
    <t>Cust and LS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</si>
  <si>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</si>
  <si>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</si>
  <si>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</si>
  <si>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</si>
  <si>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</si>
  <si>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</si>
  <si>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</si>
  <si>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</si>
  <si>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</si>
  <si>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</si>
  <si>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</si>
  <si>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</si>
  <si>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</si>
  <si>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Annual Load Size kW Charge</t>
  </si>
  <si>
    <t xml:space="preserve">  Single Phase kW</t>
  </si>
  <si>
    <t xml:space="preserve">  Three Phase kW</t>
  </si>
  <si>
    <t>E and D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</si>
  <si>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</si>
  <si>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</si>
  <si>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</si>
  <si>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</si>
  <si>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</si>
  <si>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</si>
  <si>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</si>
  <si>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</si>
  <si>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</si>
  <si>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</si>
  <si>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</si>
  <si>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</si>
  <si>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</si>
  <si>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</si>
  <si>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</si>
  <si>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 xml:space="preserve">High Voltage Charge </t>
  </si>
  <si>
    <t>SCHEDULE 48T</t>
  </si>
  <si>
    <t>Large General Service 1,000 kW and over-Grand Combined</t>
  </si>
  <si>
    <t>Large General Service 1,000 kW and over-Combined</t>
  </si>
  <si>
    <t>Large General Service 1,000 kW and over-Commercial</t>
  </si>
  <si>
    <t>Large General Service 1,000 kW and over-Industrial</t>
  </si>
  <si>
    <t>SCHEDULE 48M</t>
  </si>
  <si>
    <t>SCHEDULE 51</t>
  </si>
  <si>
    <t>High Pressure Sodium Vapor Street Lighting Service</t>
  </si>
  <si>
    <t>Per Lamp Charges</t>
  </si>
  <si>
    <t xml:space="preserve">     9,500 Lumens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</si>
  <si>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</si>
  <si>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</si>
  <si>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</si>
  <si>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</si>
  <si>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</si>
  <si>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 xml:space="preserve">    Subtotal</t>
  </si>
  <si>
    <t xml:space="preserve">    Unbilled</t>
  </si>
  <si>
    <t>SCHEDULE 53</t>
  </si>
  <si>
    <t>Customer-Owned Street Lighting Service - Grand Combined</t>
  </si>
  <si>
    <t>Option A (Co. O&amp;M) kWh</t>
  </si>
  <si>
    <t>Option B (Cust. O&amp;M) kWh</t>
  </si>
  <si>
    <t>SCHEDULE 53F</t>
  </si>
  <si>
    <t xml:space="preserve">Customer-Owned Street Lighting Service </t>
  </si>
  <si>
    <t>SCHEDULE 53M</t>
  </si>
  <si>
    <t>Customer-Owned Street Lighting Service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</si>
  <si>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</si>
  <si>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</si>
  <si>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</si>
  <si>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</si>
  <si>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</si>
  <si>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</si>
  <si>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</si>
  <si>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</si>
  <si>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</si>
  <si>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</si>
  <si>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</si>
  <si>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</si>
  <si>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</si>
  <si>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</si>
  <si>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</si>
  <si>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Washington TOTALS with AGA</t>
  </si>
  <si>
    <t>Tables 2 &amp; 3</t>
  </si>
  <si>
    <t>Table1</t>
  </si>
  <si>
    <t>Bills</t>
  </si>
  <si>
    <t>Monthly Billing Comparison</t>
  </si>
  <si>
    <t>Schedule 16 - Residential Service</t>
  </si>
  <si>
    <t xml:space="preserve">Present </t>
  </si>
  <si>
    <t>Percent</t>
  </si>
  <si>
    <t>Present Price</t>
  </si>
  <si>
    <t>Proposed Price</t>
  </si>
  <si>
    <t>Basic</t>
  </si>
  <si>
    <t>Energy - 1st 600</t>
  </si>
  <si>
    <t>BPA Credit</t>
  </si>
  <si>
    <t>Notes:</t>
  </si>
  <si>
    <t>Schedule 24 - Small General Service</t>
  </si>
  <si>
    <t>kW</t>
  </si>
  <si>
    <t>Monthly Billing *</t>
  </si>
  <si>
    <t>Load Size/</t>
  </si>
  <si>
    <t>kWh per kW</t>
  </si>
  <si>
    <t>Present Price Schedule 24</t>
  </si>
  <si>
    <t>(Equiv Hours)</t>
  </si>
  <si>
    <t>Single Phase</t>
  </si>
  <si>
    <t>Three Phase</t>
  </si>
  <si>
    <t>Single</t>
  </si>
  <si>
    <t>Three P</t>
  </si>
  <si>
    <t>&lt;=15</t>
  </si>
  <si>
    <t>&gt;15</t>
  </si>
  <si>
    <t>1st 1,000 kWh</t>
  </si>
  <si>
    <t>Next 8,000 kWh</t>
  </si>
  <si>
    <t>Add'l kWh</t>
  </si>
  <si>
    <t>Schedule 36 - Large General Service &lt; 1,000 kW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</si>
  <si>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</si>
  <si>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</si>
  <si>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</si>
  <si>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</si>
  <si>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</si>
  <si>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</si>
  <si>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</si>
  <si>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Billing Comparison</t>
  </si>
  <si>
    <t>Schedule 40 - Agricultural Pumping Service</t>
  </si>
  <si>
    <t>Present Price Schedule 40 *</t>
  </si>
  <si>
    <t>Percent Difference</t>
  </si>
  <si>
    <t>Annual</t>
  </si>
  <si>
    <t>All kWh</t>
  </si>
  <si>
    <t>Monthly Bill</t>
  </si>
  <si>
    <t>Charge</t>
  </si>
  <si>
    <t>Bill</t>
  </si>
  <si>
    <t>0-50 kW</t>
  </si>
  <si>
    <t>51-300 kW</t>
  </si>
  <si>
    <t>&gt;300 kW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</si>
  <si>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</si>
  <si>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</si>
  <si>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</si>
  <si>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</si>
  <si>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</si>
  <si>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</si>
  <si>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48T - Large General Service - Primary</t>
  </si>
  <si>
    <t>PACIFIC POWER</t>
  </si>
  <si>
    <t>SCHEDULE 48B</t>
  </si>
  <si>
    <t>Prior</t>
  </si>
  <si>
    <t xml:space="preserve">     16,000 Lumens</t>
  </si>
  <si>
    <t xml:space="preserve">    27,500 Lumens</t>
  </si>
  <si>
    <t xml:space="preserve">Street Lighting Service Company-Owned </t>
  </si>
  <si>
    <t>High Pressure Sodium Vapor</t>
  </si>
  <si>
    <t>Metal Halide</t>
  </si>
  <si>
    <t xml:space="preserve">     9,500 Lumens-Decorative Series 1</t>
  </si>
  <si>
    <t xml:space="preserve">     9,500 Lumens-Decorative Series 2</t>
  </si>
  <si>
    <t xml:space="preserve">     16,000-Lumens Decorative Series 1</t>
  </si>
  <si>
    <t xml:space="preserve">    16,000-Lumens Decorative Series 2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</si>
  <si>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</si>
  <si>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</si>
  <si>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</si>
  <si>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</si>
  <si>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</si>
  <si>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</si>
  <si>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</si>
  <si>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</si>
  <si>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</si>
  <si>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</si>
  <si>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</si>
  <si>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</si>
  <si>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</si>
  <si>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</si>
  <si>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</si>
  <si>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</si>
  <si>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</si>
  <si>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</si>
  <si>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Non-Listed Lumen-Energy Only</t>
  </si>
  <si>
    <t>Listed Lumen-Energy Only-above</t>
  </si>
  <si>
    <t>Listed Lumen-Energy Only</t>
  </si>
  <si>
    <t>12 MONTHS ENDED JUNE 2008</t>
  </si>
  <si>
    <t>Large General Service 30,000 kW and over</t>
  </si>
  <si>
    <t>Proposed Price Schedule 24</t>
  </si>
  <si>
    <t>Proposed Price Schedule 40 *</t>
  </si>
  <si>
    <t>Schedule 40 **</t>
  </si>
  <si>
    <t>Monthly **</t>
  </si>
  <si>
    <t xml:space="preserve">Prior </t>
  </si>
  <si>
    <t>Low Income-Current</t>
  </si>
  <si>
    <t>Low Income-Proposed</t>
  </si>
  <si>
    <t>Low Income-proposed</t>
  </si>
  <si>
    <t>Low Income-current</t>
  </si>
  <si>
    <t>Large General Service =&gt; 30,000 kW</t>
  </si>
  <si>
    <t>48</t>
  </si>
  <si>
    <t xml:space="preserve">  &lt;=30000 kW</t>
  </si>
  <si>
    <t xml:space="preserve">  &gt;30000 kW</t>
  </si>
  <si>
    <t xml:space="preserve">  &gt;30000 kW variable</t>
  </si>
  <si>
    <t>&gt;30000</t>
  </si>
  <si>
    <t>Overall:</t>
  </si>
  <si>
    <t>30,000 kW and Over</t>
  </si>
  <si>
    <t>Served by Dedicated Facilities</t>
  </si>
  <si>
    <t>Large General Service 1,000 kW and over-Primary-Industrial</t>
  </si>
  <si>
    <t>Large General Service 1,000 kW and over-Primary-Commercial</t>
  </si>
  <si>
    <t>Large General Service 1,000 kW and over-Secondary-Industrial</t>
  </si>
  <si>
    <t>Large General Service 1,000 kW and over-Secondary-Commercial</t>
  </si>
  <si>
    <t>Large General Service 1,000 kW and over-Secondary Combined</t>
  </si>
  <si>
    <t>Large General Service 1,000 kW and over-Primary-Combined</t>
  </si>
  <si>
    <t>Large General Service 1,000 kW and over-Commercial-Combined</t>
  </si>
  <si>
    <t>Large General Service 1,000 kW and over-Industrial-Combined</t>
  </si>
  <si>
    <t>Sch 16</t>
  </si>
  <si>
    <t>Sch 18</t>
  </si>
  <si>
    <t>*</t>
  </si>
  <si>
    <t>* Average Washington Customer</t>
  </si>
  <si>
    <t>Lighting</t>
  </si>
  <si>
    <t>PacifiCorp</t>
  </si>
  <si>
    <t>Small General Service-Residential</t>
  </si>
  <si>
    <t>Sch 17</t>
  </si>
  <si>
    <t xml:space="preserve">      ** Does not include November Load Size Charge.</t>
  </si>
  <si>
    <t>Transmission</t>
  </si>
  <si>
    <t>16/17/18</t>
  </si>
  <si>
    <t>Large General Service 30,000 kW and over-Primary Dedicated Facilities</t>
  </si>
  <si>
    <t>SUMMARY OF PRESENT REVENUES FROM ELECTRIC SALES</t>
  </si>
  <si>
    <t>DISTRIBUTED BY RATE SCHEDULES IN WASHINGTON</t>
  </si>
  <si>
    <t>Pre</t>
  </si>
  <si>
    <t>Sch</t>
  </si>
  <si>
    <t>No. of</t>
  </si>
  <si>
    <r>
      <t>Revenues</t>
    </r>
    <r>
      <rPr>
        <b/>
        <vertAlign val="superscript"/>
        <sz val="11"/>
        <rFont val="Times New Roman"/>
        <family val="1"/>
      </rPr>
      <t>1</t>
    </r>
  </si>
  <si>
    <t>Cust</t>
  </si>
  <si>
    <t>$/kWh</t>
  </si>
  <si>
    <t>(5)/(4)</t>
  </si>
  <si>
    <t>(7)/(4)</t>
  </si>
  <si>
    <t>(8)/(4)</t>
  </si>
  <si>
    <t>16,17,18</t>
  </si>
  <si>
    <t>General Service</t>
  </si>
  <si>
    <t>Large Gen. Svc., Optional, &lt;1,000 kW</t>
  </si>
  <si>
    <t>Large General Service &gt;= 1,000 kW</t>
  </si>
  <si>
    <t>Partial Req. Svc. &gt;= 1,000 kW</t>
  </si>
  <si>
    <t>Total Industrial</t>
  </si>
  <si>
    <t>Total Industrial plus Irrigation</t>
  </si>
  <si>
    <t>Total Com., Ind. and Irrig.</t>
  </si>
  <si>
    <t>Street Lighting Service HPSV</t>
  </si>
  <si>
    <t>Street Lighting Service - Co. Own.</t>
  </si>
  <si>
    <t>Street Lighting Service - Cust. Own.</t>
  </si>
  <si>
    <t>Street Lighting Service MV</t>
  </si>
  <si>
    <t>Total Public Street Lighting</t>
  </si>
  <si>
    <r>
      <t>1</t>
    </r>
    <r>
      <rPr>
        <sz val="11"/>
        <rFont val="Times New Roman"/>
        <family val="1"/>
      </rPr>
      <t xml:space="preserve">  Excludes Low Income surcharge (Sch 91) and BPA adjustment (Sch 98).</t>
    </r>
  </si>
  <si>
    <t>Ordered</t>
  </si>
  <si>
    <t>RES</t>
  </si>
  <si>
    <t>COM</t>
  </si>
  <si>
    <t>IRR</t>
  </si>
  <si>
    <t>Total Rate - 1st 600 kWh</t>
  </si>
  <si>
    <t>Total Rate - All Addt'l kWh</t>
  </si>
  <si>
    <t>NPC-Base - 1st 40,000 kWh</t>
  </si>
  <si>
    <t>NPC-Base - All additional kWh</t>
  </si>
  <si>
    <t>NPC-Base - 1st 600 kWh</t>
  </si>
  <si>
    <t>NPC-Base - All Addt'l kWh</t>
  </si>
  <si>
    <t>NPC-Base - 1st 1,000 kWh</t>
  </si>
  <si>
    <t>NPC-Base -Next 8,000 kWh</t>
  </si>
  <si>
    <t>NPC-Base - All Additional kWh</t>
  </si>
  <si>
    <t>NPC-Base - All kWh</t>
  </si>
  <si>
    <t>Large Partial Requirements Service - Secondary</t>
  </si>
  <si>
    <t>*Included in Generation Price</t>
  </si>
  <si>
    <t>Residential Overall:</t>
  </si>
  <si>
    <t>Schedule 48 Overall:</t>
  </si>
  <si>
    <t>Total Change</t>
  </si>
  <si>
    <t>12 MONTHS ENDED JUNE 2015</t>
  </si>
  <si>
    <t>12 Months Ended December 2013</t>
  </si>
  <si>
    <t>Net Metering ONLY</t>
  </si>
  <si>
    <t>NOT INCLUDING Net Metering</t>
  </si>
  <si>
    <t>SCHEDULE 16, 17, 18, &amp; 18X</t>
  </si>
  <si>
    <t>Sch 18X</t>
  </si>
  <si>
    <t>MONTHLY kWh</t>
  </si>
  <si>
    <t>201407</t>
  </si>
  <si>
    <t>201408</t>
  </si>
  <si>
    <t>201409</t>
  </si>
  <si>
    <t>201410</t>
  </si>
  <si>
    <t>201411</t>
  </si>
  <si>
    <t>201412</t>
  </si>
  <si>
    <t>201501</t>
  </si>
  <si>
    <t>201502</t>
  </si>
  <si>
    <t>201503</t>
  </si>
  <si>
    <t>201504</t>
  </si>
  <si>
    <t>201505</t>
  </si>
  <si>
    <t>201506</t>
  </si>
  <si>
    <t>TOTAL</t>
  </si>
  <si>
    <t>Res Unbilled</t>
  </si>
  <si>
    <t xml:space="preserve">  Total 16, 17, 18, 18X, 135</t>
  </si>
  <si>
    <t>15 Res</t>
  </si>
  <si>
    <t>24 Res</t>
  </si>
  <si>
    <t>Total Res</t>
  </si>
  <si>
    <t>SCHEDULE 135 - Residential</t>
  </si>
  <si>
    <t>Sch 135 Resid.</t>
  </si>
  <si>
    <t>SCHEDULE 135</t>
  </si>
  <si>
    <t>Includes Schedule 24 Residential Net Metering</t>
  </si>
  <si>
    <t>12 MONTHS ENDED JUNE 2019</t>
  </si>
  <si>
    <t xml:space="preserve"> On Peak kWh</t>
  </si>
  <si>
    <t xml:space="preserve">  Off Peak kWh</t>
  </si>
  <si>
    <t>Proposed Base</t>
  </si>
  <si>
    <r>
      <t xml:space="preserve">Monthly Billing </t>
    </r>
    <r>
      <rPr>
        <vertAlign val="superscript"/>
        <sz val="11"/>
        <rFont val="Times New Roman"/>
        <family val="1"/>
      </rPr>
      <t>1</t>
    </r>
  </si>
  <si>
    <t>Average Rate ¢/kWh</t>
  </si>
  <si>
    <t>Off-Peak</t>
  </si>
  <si>
    <t>(9)</t>
  </si>
  <si>
    <t>On-Peak</t>
  </si>
  <si>
    <t>w min included</t>
  </si>
  <si>
    <t>FTAA-Proposed</t>
  </si>
  <si>
    <t>FTAA-Current</t>
  </si>
  <si>
    <t>ESTIMATED EFFECT OF PROPOSED RATE CHANGE</t>
  </si>
  <si>
    <t>Lamp Charges</t>
  </si>
  <si>
    <t xml:space="preserve">     Level 1 - ≤ 5,500 Lumens</t>
  </si>
  <si>
    <t xml:space="preserve">     Level 2 - 5,501-12,000 Lumens</t>
  </si>
  <si>
    <t xml:space="preserve">  All kW-On-Peak</t>
  </si>
  <si>
    <t>Functional Lighting - Customer Funded Conversion</t>
  </si>
  <si>
    <t xml:space="preserve">     Level 3 - &gt; 12,000 Lumens</t>
  </si>
  <si>
    <t xml:space="preserve">     Level 1 - ≤ 3,500 Lumens</t>
  </si>
  <si>
    <t xml:space="preserve">     Level 2 - 3,501-5,500 Lumens</t>
  </si>
  <si>
    <t xml:space="preserve">     Level 3 - 5,501-8,000 Lumens</t>
  </si>
  <si>
    <t xml:space="preserve">     Level 4 - 8,001-12,000 Lumens</t>
  </si>
  <si>
    <t xml:space="preserve">     Level 5 - 12,001-15,500 Lumens</t>
  </si>
  <si>
    <t xml:space="preserve">     Level 6 - &gt; 15,501 Lumens</t>
  </si>
  <si>
    <t>Functional Lighting</t>
  </si>
  <si>
    <t>Decorative Series</t>
  </si>
  <si>
    <t>kWh per lamp</t>
  </si>
  <si>
    <t>Imputed KWh for Billing</t>
  </si>
  <si>
    <t>SCHEDULE 19</t>
  </si>
  <si>
    <t xml:space="preserve">  Time of Use Metering Fee</t>
  </si>
  <si>
    <t>Residential Service-Time of Use Pilot</t>
  </si>
  <si>
    <t>SCHEDULE 29</t>
  </si>
  <si>
    <t>General Service-Time of Use Pilot</t>
  </si>
  <si>
    <t xml:space="preserve">  On-Peak kWh</t>
  </si>
  <si>
    <t xml:space="preserve">  Off-Peak kWh</t>
  </si>
  <si>
    <t xml:space="preserve">  1st 50 kWh per kW</t>
  </si>
  <si>
    <t xml:space="preserve">  Time of Use Pilot Metering Fee</t>
  </si>
  <si>
    <t xml:space="preserve">  On-Peak kWh - Time of Use Pilot</t>
  </si>
  <si>
    <t xml:space="preserve">  Off-Peak kWh - Time of Use Pilot</t>
  </si>
  <si>
    <t>PACIFICORP</t>
  </si>
  <si>
    <t>(PCORC Filing)</t>
  </si>
  <si>
    <t>Proposed (PCORC Filing)</t>
  </si>
  <si>
    <t>Proposed (LIRF Filing)</t>
  </si>
  <si>
    <t>(LIRF Filing)</t>
  </si>
  <si>
    <t>Overall Proposed</t>
  </si>
  <si>
    <t>Both Filings</t>
  </si>
  <si>
    <t>PROPOSED RATE SPREAD</t>
  </si>
  <si>
    <t xml:space="preserve"> G+T+D+C+CO</t>
  </si>
  <si>
    <t xml:space="preserve"> - </t>
  </si>
  <si>
    <t>Results of Operations - Gn+Tr+Dist+Cust+Comm - TOTAL Unbundled</t>
  </si>
  <si>
    <t>Cost Of Service By Rate 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</si>
  <si>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</si>
  <si>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</si>
  <si>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</si>
  <si>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</si>
  <si>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</si>
  <si>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</si>
  <si>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</si>
  <si>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</si>
  <si>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</si>
  <si>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</si>
  <si>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</si>
  <si>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Chk Total</t>
  </si>
  <si>
    <t xml:space="preserve">DESCRIPTION </t>
  </si>
  <si>
    <t>Washington
Jurisdiction
Normalized</t>
  </si>
  <si>
    <t>Residential
Schedule 16</t>
  </si>
  <si>
    <t>Small General
Service
Schedule 24</t>
  </si>
  <si>
    <t>Large General
Service &lt; 1,000 kW
Schedule 36</t>
  </si>
  <si>
    <t>Large General
Service &gt; 1,000 kW
Schedule 48</t>
  </si>
  <si>
    <t>Large General
Dedicated Facilities
Schedule 48</t>
  </si>
  <si>
    <t>Agricultural
Pumping
Schedule 40</t>
  </si>
  <si>
    <t>Street &amp; Area
Lighting
Sch. 15, 51-54, 57</t>
  </si>
  <si>
    <t>Operating Revenues</t>
  </si>
  <si>
    <t>Operating Expenses</t>
  </si>
  <si>
    <t>Operation &amp; Maintenance Expenses</t>
  </si>
  <si>
    <t>Depreciation Expense</t>
  </si>
  <si>
    <t>Amortization Expense</t>
  </si>
  <si>
    <t>Taxes Other Than Income</t>
  </si>
  <si>
    <t>Income Taxes - Federal</t>
  </si>
  <si>
    <t>Income Taxes - State</t>
  </si>
  <si>
    <t>Income Taxes Deferred</t>
  </si>
  <si>
    <t>Investment Tax Credit Adj</t>
  </si>
  <si>
    <t>Misc Revenues &amp; Expense</t>
  </si>
  <si>
    <t>Total Operating Expenses</t>
  </si>
  <si>
    <t>Operating Revenue For Return</t>
  </si>
  <si>
    <t>Rate Base :</t>
  </si>
  <si>
    <t>Electric Plant In Service</t>
  </si>
  <si>
    <t xml:space="preserve">Plant Held For Future Use </t>
  </si>
  <si>
    <t>Electric Plant Acquisition Adj</t>
  </si>
  <si>
    <t>Pensions</t>
  </si>
  <si>
    <t>Prepayments</t>
  </si>
  <si>
    <t>Fuel Stock</t>
  </si>
  <si>
    <t>Materials &amp; Supplies</t>
  </si>
  <si>
    <t>Misc Deferred Debits</t>
  </si>
  <si>
    <t>Cash Working Capital</t>
  </si>
  <si>
    <t>Weatherization Loans</t>
  </si>
  <si>
    <t>Miscellaneous Rate Base</t>
  </si>
  <si>
    <t>Total Rate Base Additions</t>
  </si>
  <si>
    <t>Rate Base Deductions :</t>
  </si>
  <si>
    <t>Accum Provision For Depreciation</t>
  </si>
  <si>
    <t>Accum Provision For Amortization</t>
  </si>
  <si>
    <t>Accum Deferred Income Taxes</t>
  </si>
  <si>
    <t>Unamortized ITC</t>
  </si>
  <si>
    <t>Customer Advance For Construction</t>
  </si>
  <si>
    <t>Customer Service Deposits</t>
  </si>
  <si>
    <t>Misc Rate Base Deductions</t>
  </si>
  <si>
    <t>Total Rate Base Deductions</t>
  </si>
  <si>
    <t>Total Rate Base</t>
  </si>
  <si>
    <t>Return On Rate Base</t>
  </si>
  <si>
    <t>Return On Equity</t>
  </si>
  <si>
    <r>
      <t>COS</t>
    </r>
    <r>
      <rPr>
        <b/>
        <u/>
        <sz val="10"/>
        <rFont val="Arial"/>
        <family val="2"/>
      </rPr>
      <t xml:space="preserve">
Factor</t>
    </r>
  </si>
  <si>
    <t>Return On Ratebase ($$)</t>
  </si>
  <si>
    <t>Operating &amp; Maintenance Expense</t>
  </si>
  <si>
    <t xml:space="preserve">        Bad Debt to Produce ROR</t>
  </si>
  <si>
    <t>F80</t>
  </si>
  <si>
    <t>Federal Income Taxes</t>
  </si>
  <si>
    <t xml:space="preserve">        FIT Adj to Produce Target ROR</t>
  </si>
  <si>
    <t>F101</t>
  </si>
  <si>
    <t>State Income Taxes</t>
  </si>
  <si>
    <t xml:space="preserve">        SIT Adj to Produce Target ROR</t>
  </si>
  <si>
    <t>Deferred Income Taxes</t>
  </si>
  <si>
    <t>Investment Tax Credit</t>
  </si>
  <si>
    <t>Misc Revenue &amp; Expenses</t>
  </si>
  <si>
    <t>Revenue Credits</t>
  </si>
  <si>
    <t>Total Revenue Requirements</t>
  </si>
  <si>
    <t xml:space="preserve">Increase / (Decrease) Required to </t>
  </si>
  <si>
    <t>Earn Equal Rates of Return</t>
  </si>
  <si>
    <t>Existing Revenues</t>
  </si>
  <si>
    <t xml:space="preserve">Percent Increase / (Decrease) </t>
  </si>
  <si>
    <t xml:space="preserve">Over Existing Rates To </t>
  </si>
  <si>
    <t>Equal Authorized RoE &amp; RoR</t>
  </si>
  <si>
    <t>ELECTRIC REVENUES</t>
  </si>
  <si>
    <r>
      <t>FERC</t>
    </r>
    <r>
      <rPr>
        <b/>
        <u/>
        <sz val="10"/>
        <rFont val="Arial"/>
        <family val="2"/>
      </rPr>
      <t xml:space="preserve">
ACCT</t>
    </r>
  </si>
  <si>
    <t>Func Study Row</t>
  </si>
  <si>
    <t>440</t>
  </si>
  <si>
    <t>Residential Sales</t>
  </si>
  <si>
    <t>442</t>
  </si>
  <si>
    <t>Commercial &amp; Industrial Sales</t>
  </si>
  <si>
    <t>Interruptible Demand</t>
  </si>
  <si>
    <t>Interruptible Energy</t>
  </si>
  <si>
    <t>444</t>
  </si>
  <si>
    <t>Public Street &amp; Highway Lighting</t>
  </si>
  <si>
    <t>445</t>
  </si>
  <si>
    <t>Other Sales to Public Authority</t>
  </si>
  <si>
    <t>448</t>
  </si>
  <si>
    <t>Interdepartmental</t>
  </si>
  <si>
    <t>Total Sales to Ultimate Customers</t>
  </si>
  <si>
    <t>447</t>
  </si>
  <si>
    <t>Sales for Resale</t>
  </si>
  <si>
    <t>447NPC</t>
  </si>
  <si>
    <t>Sales for Resale - NPC</t>
  </si>
  <si>
    <t>449</t>
  </si>
  <si>
    <t>Provision for Rate Refund</t>
  </si>
  <si>
    <t>State Specific Revenue Credit</t>
  </si>
  <si>
    <t>AGA Revenue</t>
  </si>
  <si>
    <t>Total Sales from Electricity</t>
  </si>
  <si>
    <t>Other Electric Operating Revenues</t>
  </si>
  <si>
    <t>450</t>
  </si>
  <si>
    <t>Forfeited Discounts &amp; Interest</t>
  </si>
  <si>
    <t>451</t>
  </si>
  <si>
    <t>Misc Electric Revenue</t>
  </si>
  <si>
    <t>453</t>
  </si>
  <si>
    <t>Water Sales</t>
  </si>
  <si>
    <t>454</t>
  </si>
  <si>
    <t>Rent of Electric Property</t>
  </si>
  <si>
    <t>Jim Bridger Generation</t>
  </si>
  <si>
    <t>456</t>
  </si>
  <si>
    <t>Other Electric Revenue</t>
  </si>
  <si>
    <t>Wheeling Revenue - Generation</t>
  </si>
  <si>
    <t>System Overhead</t>
  </si>
  <si>
    <t>Wheeling Revenue - Energy</t>
  </si>
  <si>
    <t>Total Other Electric Operating Revenues</t>
  </si>
  <si>
    <t>Total Electric Operating Revenues</t>
  </si>
  <si>
    <t>Miscellaneous Revenues</t>
  </si>
  <si>
    <t>41160</t>
  </si>
  <si>
    <t>Gain on Sale of Utility Plant - CR</t>
  </si>
  <si>
    <t>41170</t>
  </si>
  <si>
    <t xml:space="preserve">Loss on Sale of Utility Plant </t>
  </si>
  <si>
    <t>4118</t>
  </si>
  <si>
    <t>Gain from Emission Allowances</t>
  </si>
  <si>
    <t>Gain from Disposition of NOX Credits</t>
  </si>
  <si>
    <t>4194</t>
  </si>
  <si>
    <t>Impact Housing Interest Income</t>
  </si>
  <si>
    <t>421</t>
  </si>
  <si>
    <t>(Gain)/Loss on Sale of Utility Plant</t>
  </si>
  <si>
    <t>Total Miscellaneous Revenues</t>
  </si>
  <si>
    <t>Miscellaneous Expenses</t>
  </si>
  <si>
    <t>4311</t>
  </si>
  <si>
    <t>Interest on Customer Deposits</t>
  </si>
  <si>
    <t>Net Miscellaneous Revenues And Expense</t>
  </si>
  <si>
    <t>Distribution - METER -  Unbundled</t>
  </si>
  <si>
    <t>STEAM POWER GENERATION</t>
  </si>
  <si>
    <t>500</t>
  </si>
  <si>
    <t>Operation Suprvn &amp; Engineering</t>
  </si>
  <si>
    <t>JBG</t>
  </si>
  <si>
    <t>CAGW</t>
  </si>
  <si>
    <t>Total 500</t>
  </si>
  <si>
    <t>501</t>
  </si>
  <si>
    <t>Fuel Related</t>
  </si>
  <si>
    <t>JBE</t>
  </si>
  <si>
    <t>Total 501</t>
  </si>
  <si>
    <t>501NPC</t>
  </si>
  <si>
    <t>Fuel Related - NPC</t>
  </si>
  <si>
    <t>S</t>
  </si>
  <si>
    <t>CAEW</t>
  </si>
  <si>
    <t>Total Fuel Related</t>
  </si>
  <si>
    <t>502</t>
  </si>
  <si>
    <t>Steam Expenses</t>
  </si>
  <si>
    <t>SE/CAEW/CAEE</t>
  </si>
  <si>
    <t>Total 502</t>
  </si>
  <si>
    <t>503</t>
  </si>
  <si>
    <t>Steam From Other Sources</t>
  </si>
  <si>
    <t>503NPC</t>
  </si>
  <si>
    <t>Steam From Other Sources-NPC</t>
  </si>
  <si>
    <t>SE</t>
  </si>
  <si>
    <t>CAEE</t>
  </si>
  <si>
    <t>Total Steam From Other Sources</t>
  </si>
  <si>
    <t>505</t>
  </si>
  <si>
    <t>Electric Expenses</t>
  </si>
  <si>
    <t>Total 505</t>
  </si>
  <si>
    <t>506</t>
  </si>
  <si>
    <t>Misc. Steam Expense</t>
  </si>
  <si>
    <t>Total 506</t>
  </si>
  <si>
    <t>507</t>
  </si>
  <si>
    <t>Rents</t>
  </si>
  <si>
    <t>Total 507</t>
  </si>
  <si>
    <t>510</t>
  </si>
  <si>
    <t>Maint Supervision &amp; Engineering</t>
  </si>
  <si>
    <t>Total 510</t>
  </si>
  <si>
    <t>511</t>
  </si>
  <si>
    <t>Maintenance of Structures</t>
  </si>
  <si>
    <t>Total 511</t>
  </si>
  <si>
    <t>512</t>
  </si>
  <si>
    <t>Maintenance of Boiler Plant</t>
  </si>
  <si>
    <t>Total 512</t>
  </si>
  <si>
    <t>513</t>
  </si>
  <si>
    <t>Maintenance of Electric Plant</t>
  </si>
  <si>
    <t>Total 513</t>
  </si>
  <si>
    <t>514</t>
  </si>
  <si>
    <t>Maint of Misc. Steam Plant</t>
  </si>
  <si>
    <t>Total 514</t>
  </si>
  <si>
    <t>Total Steam Power Generation</t>
  </si>
  <si>
    <t>NUCLEAR POWER GENERATION</t>
  </si>
  <si>
    <t>517</t>
  </si>
  <si>
    <t>Operation Super &amp; Engineering</t>
  </si>
  <si>
    <t>518</t>
  </si>
  <si>
    <t>Nuclear Fuel Expense</t>
  </si>
  <si>
    <t>519</t>
  </si>
  <si>
    <t>Coolants and Water</t>
  </si>
  <si>
    <t>520</t>
  </si>
  <si>
    <t>523</t>
  </si>
  <si>
    <t>524</t>
  </si>
  <si>
    <t>Misc. Nuclear Expenses</t>
  </si>
  <si>
    <t>528</t>
  </si>
  <si>
    <t>Maint Supervision &amp; Eng</t>
  </si>
  <si>
    <t>529</t>
  </si>
  <si>
    <t>530</t>
  </si>
  <si>
    <t>Maintenance of Reactor Plant</t>
  </si>
  <si>
    <t>531</t>
  </si>
  <si>
    <t>532</t>
  </si>
  <si>
    <t>Maintenance of Misc Nuclear</t>
  </si>
  <si>
    <t>Total Nuclear Power Generation</t>
  </si>
  <si>
    <t>HYDRAULIC POWER GENERATION</t>
  </si>
  <si>
    <t>535</t>
  </si>
  <si>
    <t>SG</t>
  </si>
  <si>
    <t>536</t>
  </si>
  <si>
    <t>Water For Power</t>
  </si>
  <si>
    <t>537</t>
  </si>
  <si>
    <t>Hydraulic Expenses</t>
  </si>
  <si>
    <t>538</t>
  </si>
  <si>
    <t>539</t>
  </si>
  <si>
    <t>Misc. Hydro Expenses</t>
  </si>
  <si>
    <t>540</t>
  </si>
  <si>
    <t>Rents (Hydro Generation)</t>
  </si>
  <si>
    <t>541</t>
  </si>
  <si>
    <t>542</t>
  </si>
  <si>
    <t>543</t>
  </si>
  <si>
    <t>Maint of Dams &amp; Waterways</t>
  </si>
  <si>
    <t>544</t>
  </si>
  <si>
    <t>545</t>
  </si>
  <si>
    <t>Maint of Misc. Hydro Plant</t>
  </si>
  <si>
    <t xml:space="preserve">Total Hydraulic Power Generation </t>
  </si>
  <si>
    <t>OTHER POWER GENERATION</t>
  </si>
  <si>
    <t>546</t>
  </si>
  <si>
    <t>547</t>
  </si>
  <si>
    <t>Fuel</t>
  </si>
  <si>
    <t>CAEW/CAEE</t>
  </si>
  <si>
    <t>547NPC</t>
  </si>
  <si>
    <t>Fuel-NPC</t>
  </si>
  <si>
    <t>Total 547</t>
  </si>
  <si>
    <t>548</t>
  </si>
  <si>
    <t>Generation Expense</t>
  </si>
  <si>
    <t>Total 548</t>
  </si>
  <si>
    <t>549</t>
  </si>
  <si>
    <t>Miscellaneous Other</t>
  </si>
  <si>
    <t>CAGE/CAGW</t>
  </si>
  <si>
    <t>550/551</t>
  </si>
  <si>
    <t>Total 550</t>
  </si>
  <si>
    <t>552</t>
  </si>
  <si>
    <t>553</t>
  </si>
  <si>
    <t>Maint of Generation &amp; Elect Plant</t>
  </si>
  <si>
    <t>Total 553</t>
  </si>
  <si>
    <t>554</t>
  </si>
  <si>
    <t>Maintenance of Misc. Other</t>
  </si>
  <si>
    <t>Total 554</t>
  </si>
  <si>
    <t>Total Other Power Generation</t>
  </si>
  <si>
    <t>OTHER POWER SUPPLY</t>
  </si>
  <si>
    <t>555</t>
  </si>
  <si>
    <t>Purchased Power</t>
  </si>
  <si>
    <t>555NPC</t>
  </si>
  <si>
    <t>Purchased Power-NPC</t>
  </si>
  <si>
    <t>DGP</t>
  </si>
  <si>
    <t>Total 555</t>
  </si>
  <si>
    <t>556</t>
  </si>
  <si>
    <t>System Control &amp; Load Dispatch</t>
  </si>
  <si>
    <t>557</t>
  </si>
  <si>
    <t>Other Expenses</t>
  </si>
  <si>
    <t>Embedded Cost Differentials</t>
  </si>
  <si>
    <t>Company Owned Hydro</t>
  </si>
  <si>
    <t>Mid-C Contract</t>
  </si>
  <si>
    <t>Existing QF Contracts</t>
  </si>
  <si>
    <t>Total Other Power Supply</t>
  </si>
  <si>
    <t>TOTAL GENERATION EXPENSE</t>
  </si>
  <si>
    <t>TRANSMISSION EXPENSE</t>
  </si>
  <si>
    <t>560</t>
  </si>
  <si>
    <t>Operation Supervision &amp; Eng</t>
  </si>
  <si>
    <t>561</t>
  </si>
  <si>
    <t>Load Dispatching</t>
  </si>
  <si>
    <t>562</t>
  </si>
  <si>
    <t>Station Expense</t>
  </si>
  <si>
    <t>563</t>
  </si>
  <si>
    <t>Overhead Line Expense</t>
  </si>
  <si>
    <t>564</t>
  </si>
  <si>
    <t>Underground Line Expense</t>
  </si>
  <si>
    <t>565</t>
  </si>
  <si>
    <t>Transm of Electricity by Others</t>
  </si>
  <si>
    <t>565NPC</t>
  </si>
  <si>
    <t>Transmission of Electricity by Others-NPC</t>
  </si>
  <si>
    <t>566</t>
  </si>
  <si>
    <t>Misc. Transmission Expense</t>
  </si>
  <si>
    <t>567</t>
  </si>
  <si>
    <t>Rents - Transmission</t>
  </si>
  <si>
    <t>568</t>
  </si>
  <si>
    <t>569</t>
  </si>
  <si>
    <t>570</t>
  </si>
  <si>
    <t>Maint of Station Equipment</t>
  </si>
  <si>
    <t>571</t>
  </si>
  <si>
    <t>Maintenance of Overhead Lines</t>
  </si>
  <si>
    <t>572</t>
  </si>
  <si>
    <t>Maint of Underground Lines</t>
  </si>
  <si>
    <t>573</t>
  </si>
  <si>
    <t>Maint of Misc Transmission Plant</t>
  </si>
  <si>
    <t>TOTAL TRANSMISSION EXPENSE</t>
  </si>
  <si>
    <t>DISTRIBUTION EXPENSE</t>
  </si>
  <si>
    <t>580</t>
  </si>
  <si>
    <t>581</t>
  </si>
  <si>
    <t>582</t>
  </si>
  <si>
    <t>583</t>
  </si>
  <si>
    <t>Overhead Line Expenses</t>
  </si>
  <si>
    <t>584</t>
  </si>
  <si>
    <t>585</t>
  </si>
  <si>
    <t>Street Lighting &amp; Signal Systems</t>
  </si>
  <si>
    <t>586</t>
  </si>
  <si>
    <t>Meter Expenses</t>
  </si>
  <si>
    <t>587</t>
  </si>
  <si>
    <t>Customer Installation Expenses</t>
  </si>
  <si>
    <t>588</t>
  </si>
  <si>
    <t>Misc. Distribution Expenses</t>
  </si>
  <si>
    <t>589</t>
  </si>
  <si>
    <t>590</t>
  </si>
  <si>
    <t>591</t>
  </si>
  <si>
    <t>592</t>
  </si>
  <si>
    <t>593</t>
  </si>
  <si>
    <t>594</t>
  </si>
  <si>
    <t>595</t>
  </si>
  <si>
    <t>Maint of Line Transformers</t>
  </si>
  <si>
    <t>596</t>
  </si>
  <si>
    <t>Maint of Street Lighting &amp; Signals</t>
  </si>
  <si>
    <t>597</t>
  </si>
  <si>
    <t>Maintenance of Meters</t>
  </si>
  <si>
    <t>598</t>
  </si>
  <si>
    <t>Maint of Misc. Distribution Plant</t>
  </si>
  <si>
    <t>TOTAL DISTRIBUTION EXPENSE</t>
  </si>
  <si>
    <t>CUSTOMER ACCOUNTS EXPENSE</t>
  </si>
  <si>
    <t>901</t>
  </si>
  <si>
    <t>Supervision</t>
  </si>
  <si>
    <t>902</t>
  </si>
  <si>
    <t>Meter Reading Expense</t>
  </si>
  <si>
    <t>903</t>
  </si>
  <si>
    <t>Customer Receipts &amp; Collections</t>
  </si>
  <si>
    <t>904</t>
  </si>
  <si>
    <t>Uncollectible Accounts</t>
  </si>
  <si>
    <t>905</t>
  </si>
  <si>
    <t>Misc. Customer Accounts Exp</t>
  </si>
  <si>
    <t>TOTAL CUSTOMER ACCOUNTS EXPENSE</t>
  </si>
  <si>
    <t>CUSTOMER SERVICE EXPENSE</t>
  </si>
  <si>
    <t>907</t>
  </si>
  <si>
    <t>908</t>
  </si>
  <si>
    <t>Customer Assistance</t>
  </si>
  <si>
    <t>909</t>
  </si>
  <si>
    <t>Informational &amp; Instructional Adv</t>
  </si>
  <si>
    <t>910</t>
  </si>
  <si>
    <t>Misc. Customer Service</t>
  </si>
  <si>
    <t>TOTAL CUSTOMER SERVICE EXPENSE</t>
  </si>
  <si>
    <t>SALES EXPENSE</t>
  </si>
  <si>
    <t>911</t>
  </si>
  <si>
    <t>912</t>
  </si>
  <si>
    <t>Demonstration &amp; Selling Expense</t>
  </si>
  <si>
    <t>913</t>
  </si>
  <si>
    <t>Advertising Expense</t>
  </si>
  <si>
    <t>916</t>
  </si>
  <si>
    <t>Misc. Sales Expense</t>
  </si>
  <si>
    <t>TOTAL SALES EXPENSE</t>
  </si>
  <si>
    <t>ADMINISTRATION &amp; GENERAL EXPENSE</t>
  </si>
  <si>
    <t>920</t>
  </si>
  <si>
    <t>Administrative &amp; General Salaries</t>
  </si>
  <si>
    <t>Customer - System</t>
  </si>
  <si>
    <t>System Overheads</t>
  </si>
  <si>
    <t>921</t>
  </si>
  <si>
    <t>Office Supplies &amp; expenses</t>
  </si>
  <si>
    <t>A&amp;G Expenses Transferred</t>
  </si>
  <si>
    <t>923</t>
  </si>
  <si>
    <t>Outside Services</t>
  </si>
  <si>
    <t>924</t>
  </si>
  <si>
    <t>Property Insurance</t>
  </si>
  <si>
    <t>925</t>
  </si>
  <si>
    <t>Injuries &amp; Damages</t>
  </si>
  <si>
    <t>926</t>
  </si>
  <si>
    <t>Employee Pensions &amp; Benefits</t>
  </si>
  <si>
    <t>927</t>
  </si>
  <si>
    <t>Franchise Requirements</t>
  </si>
  <si>
    <t>928</t>
  </si>
  <si>
    <t>Regulatory Commission Expense</t>
  </si>
  <si>
    <t>Regulatory Expense</t>
  </si>
  <si>
    <t>929</t>
  </si>
  <si>
    <t>Duplicate Charges</t>
  </si>
  <si>
    <t>930</t>
  </si>
  <si>
    <t>Misc General Expenses</t>
  </si>
  <si>
    <t>Situs</t>
  </si>
  <si>
    <t>Labor</t>
  </si>
  <si>
    <t>931</t>
  </si>
  <si>
    <t>935</t>
  </si>
  <si>
    <t>Maintenance of General Plant</t>
  </si>
  <si>
    <t>TOTAL ADMINISTRATIVE &amp; GEN EXPENSE</t>
  </si>
  <si>
    <t>TOTAL O &amp; M EXPENSE</t>
  </si>
  <si>
    <t>DEPRECIATION EXPENSE</t>
  </si>
  <si>
    <t>403SP</t>
  </si>
  <si>
    <t>Steam Depreciation</t>
  </si>
  <si>
    <t>403NP</t>
  </si>
  <si>
    <t>Nuclear Depreciation</t>
  </si>
  <si>
    <t>403HP</t>
  </si>
  <si>
    <t>Hydro Depreciation</t>
  </si>
  <si>
    <t>403OP</t>
  </si>
  <si>
    <t>Other Generation Depreciation</t>
  </si>
  <si>
    <t>Simple Cycle Combustion Turbine</t>
  </si>
  <si>
    <t>System Generation</t>
  </si>
  <si>
    <t>Wind Generation</t>
  </si>
  <si>
    <t>Total 403OP</t>
  </si>
  <si>
    <t>403TP</t>
  </si>
  <si>
    <t>Transmission Depreciation</t>
  </si>
  <si>
    <t>403</t>
  </si>
  <si>
    <t>Distribution Depreciation</t>
  </si>
  <si>
    <t>Land Rights</t>
  </si>
  <si>
    <t>Structures</t>
  </si>
  <si>
    <t>Station Equip</t>
  </si>
  <si>
    <t>Poles &amp; Towers</t>
  </si>
  <si>
    <t>OH Conductors</t>
  </si>
  <si>
    <t>UG Conduit</t>
  </si>
  <si>
    <t>UG Conductor</t>
  </si>
  <si>
    <t>Line Transformer</t>
  </si>
  <si>
    <t>Services</t>
  </si>
  <si>
    <t>Meters</t>
  </si>
  <si>
    <t>Inst Cust Premises</t>
  </si>
  <si>
    <t>Leased Property</t>
  </si>
  <si>
    <t>Street Lighting</t>
  </si>
  <si>
    <t>Total Distribution Expense</t>
  </si>
  <si>
    <t>403GP</t>
  </si>
  <si>
    <t>General Depreciation</t>
  </si>
  <si>
    <t>DGU</t>
  </si>
  <si>
    <t>CN</t>
  </si>
  <si>
    <t>SG/CAGW/CAGE</t>
  </si>
  <si>
    <t>SO</t>
  </si>
  <si>
    <t>Total General Expense</t>
  </si>
  <si>
    <t>403GV0</t>
  </si>
  <si>
    <t>General Vehicles</t>
  </si>
  <si>
    <t>403MP</t>
  </si>
  <si>
    <t>Mining Depreciation</t>
  </si>
  <si>
    <t>403EP</t>
  </si>
  <si>
    <t>Experimental Plant Depreciation</t>
  </si>
  <si>
    <t>TOTAL DEPRECIATION EXPENSE</t>
  </si>
  <si>
    <t>AMORTIZATION EXPENSE</t>
  </si>
  <si>
    <t>404CLG</t>
  </si>
  <si>
    <t>Amort of LT Plant - Cap. Lease Gen</t>
  </si>
  <si>
    <t>SG/CAGW</t>
  </si>
  <si>
    <t>Total Amort. Cap. Lease General</t>
  </si>
  <si>
    <t>404CLS</t>
  </si>
  <si>
    <t>Amort of LT Plant - Cap Lease Steam</t>
  </si>
  <si>
    <t>404IP</t>
  </si>
  <si>
    <t>Amort of LT Plant - Intangible Plant</t>
  </si>
  <si>
    <t>Total Amort. Intangible Plant</t>
  </si>
  <si>
    <t>AMORTIZATION EXPENSE (continued)</t>
  </si>
  <si>
    <t>404O</t>
  </si>
  <si>
    <t>Amort of LT Plant - Other Plant</t>
  </si>
  <si>
    <t>404HP</t>
  </si>
  <si>
    <t>Amort of Other Electric Plant</t>
  </si>
  <si>
    <t>405</t>
  </si>
  <si>
    <t>406</t>
  </si>
  <si>
    <t>Amort of Plant Acquisition Adj</t>
  </si>
  <si>
    <t>407</t>
  </si>
  <si>
    <t>Amort of Prop Losses, Unrec Plant,</t>
  </si>
  <si>
    <t>TOTAL AMORTIZATION EXPENSE</t>
  </si>
  <si>
    <t>TAX OTHER THAN INCOME</t>
  </si>
  <si>
    <t>408</t>
  </si>
  <si>
    <t>Total Taxes Other Than Income</t>
  </si>
  <si>
    <t>DEFERRED  ITC</t>
  </si>
  <si>
    <t>41140</t>
  </si>
  <si>
    <t>Deferred I T C - Federal</t>
  </si>
  <si>
    <t>41141</t>
  </si>
  <si>
    <t>Deferred I T C - Idaho</t>
  </si>
  <si>
    <t>TOTAL DEFERRED ITC</t>
  </si>
  <si>
    <t>DEFERRED INCOME TAXES</t>
  </si>
  <si>
    <t>41010</t>
  </si>
  <si>
    <t>Deferred Income Tax - Federal-DR</t>
  </si>
  <si>
    <t>41011</t>
  </si>
  <si>
    <t>Deferred Income Tax - State-DR</t>
  </si>
  <si>
    <t>41110</t>
  </si>
  <si>
    <t>Deferred Income Tax - Federal-CR</t>
  </si>
  <si>
    <t>41111</t>
  </si>
  <si>
    <t>Deferred Income Tax - State-CR</t>
  </si>
  <si>
    <t>TOTAL DEFERRED INCOME TAXES</t>
  </si>
  <si>
    <t>40911</t>
  </si>
  <si>
    <t>40910</t>
  </si>
  <si>
    <t>Federal Income Tax</t>
  </si>
  <si>
    <t>TOTAL OPERATING EXPENSES</t>
  </si>
  <si>
    <t>STEAM GENERATION PLANT</t>
  </si>
  <si>
    <t>310</t>
  </si>
  <si>
    <t>Land and Land Rights</t>
  </si>
  <si>
    <t>Total 310</t>
  </si>
  <si>
    <t>311</t>
  </si>
  <si>
    <t>Structures and Improvements</t>
  </si>
  <si>
    <t>Total 311</t>
  </si>
  <si>
    <t>312</t>
  </si>
  <si>
    <t>Boiler Plant Equipment</t>
  </si>
  <si>
    <t>Total 312</t>
  </si>
  <si>
    <t>314</t>
  </si>
  <si>
    <t>Turbogenerator Units</t>
  </si>
  <si>
    <t>Total 314</t>
  </si>
  <si>
    <t>315</t>
  </si>
  <si>
    <t>Accessory Electric Equipment</t>
  </si>
  <si>
    <t>Total 315</t>
  </si>
  <si>
    <t>316</t>
  </si>
  <si>
    <t>Misc Power Plant Equipment</t>
  </si>
  <si>
    <t>Total 316</t>
  </si>
  <si>
    <t>S00</t>
  </si>
  <si>
    <t>Unclassified Steam Plant - Acct 300</t>
  </si>
  <si>
    <t>Total Steam Generation Plant</t>
  </si>
  <si>
    <t>NUCLEAR GENERATION</t>
  </si>
  <si>
    <t>320</t>
  </si>
  <si>
    <t>321</t>
  </si>
  <si>
    <t>322</t>
  </si>
  <si>
    <t>Reactor Plant Equipment</t>
  </si>
  <si>
    <t>323</t>
  </si>
  <si>
    <t>324</t>
  </si>
  <si>
    <t>325</t>
  </si>
  <si>
    <t>Misc. Power Plant Equipment</t>
  </si>
  <si>
    <t>N00</t>
  </si>
  <si>
    <t>Unclassified Nuclear Plt - Acct 300</t>
  </si>
  <si>
    <t>Total Nuclear Generation Plant</t>
  </si>
  <si>
    <t>HYDRAULIC GENERATION PLANT</t>
  </si>
  <si>
    <t>330</t>
  </si>
  <si>
    <t>331</t>
  </si>
  <si>
    <t>332</t>
  </si>
  <si>
    <t>Reservoirs, Dams &amp; Waterways</t>
  </si>
  <si>
    <t>333</t>
  </si>
  <si>
    <t>Water Wheel, Turbines, &amp; Generators</t>
  </si>
  <si>
    <t>334</t>
  </si>
  <si>
    <t>335</t>
  </si>
  <si>
    <t>336</t>
  </si>
  <si>
    <t>Roads, Railroads &amp; Bridges</t>
  </si>
  <si>
    <t>H00</t>
  </si>
  <si>
    <t>Unclassified Hydro Plant - Acct 300</t>
  </si>
  <si>
    <t>Total Hydraulic Plant</t>
  </si>
  <si>
    <t>340</t>
  </si>
  <si>
    <t>Total 340</t>
  </si>
  <si>
    <t>341</t>
  </si>
  <si>
    <t>Total 341</t>
  </si>
  <si>
    <t>342</t>
  </si>
  <si>
    <t>Fuel Holders, Producers &amp; Access</t>
  </si>
  <si>
    <t>Total 342</t>
  </si>
  <si>
    <t>343</t>
  </si>
  <si>
    <t>Prime Movers</t>
  </si>
  <si>
    <t>Total 343</t>
  </si>
  <si>
    <t>344</t>
  </si>
  <si>
    <t>Generators</t>
  </si>
  <si>
    <t>Total 344</t>
  </si>
  <si>
    <t>345</t>
  </si>
  <si>
    <t>Accessory Electric Plant</t>
  </si>
  <si>
    <t>Total 345</t>
  </si>
  <si>
    <t>346</t>
  </si>
  <si>
    <t>O00</t>
  </si>
  <si>
    <t>Unclassified Other Prod - Acct 300</t>
  </si>
  <si>
    <t>Total Other Generation Plant</t>
  </si>
  <si>
    <t>Experimental Plant</t>
  </si>
  <si>
    <t>103</t>
  </si>
  <si>
    <t>TOTAL GENERATION PLANT</t>
  </si>
  <si>
    <t>TRANSMISSION PLANT</t>
  </si>
  <si>
    <t>350</t>
  </si>
  <si>
    <t>Direct Assigned</t>
  </si>
  <si>
    <t>352</t>
  </si>
  <si>
    <t>353</t>
  </si>
  <si>
    <t>Station Equipment</t>
  </si>
  <si>
    <t>354</t>
  </si>
  <si>
    <t>Towers and Fixtures</t>
  </si>
  <si>
    <t>355</t>
  </si>
  <si>
    <t>Poles and Fixtures</t>
  </si>
  <si>
    <t>356</t>
  </si>
  <si>
    <t>Overhead Conductors</t>
  </si>
  <si>
    <t>357</t>
  </si>
  <si>
    <t>Underground Conduit</t>
  </si>
  <si>
    <t>358</t>
  </si>
  <si>
    <t xml:space="preserve">Underground Conductors </t>
  </si>
  <si>
    <t>359</t>
  </si>
  <si>
    <t>Roads and Trails</t>
  </si>
  <si>
    <t>T00</t>
  </si>
  <si>
    <t>Unclassified Trans Plant - Acct 300</t>
  </si>
  <si>
    <t>TS0</t>
  </si>
  <si>
    <t>Unclassified Trans Sub - Acct 300</t>
  </si>
  <si>
    <t>TOTAL TRANSMISSION PLANT</t>
  </si>
  <si>
    <t>DISTRIBUTION PLANT</t>
  </si>
  <si>
    <t>360</t>
  </si>
  <si>
    <t>Demand Primary</t>
  </si>
  <si>
    <t>Assigned</t>
  </si>
  <si>
    <t>361</t>
  </si>
  <si>
    <t>362</t>
  </si>
  <si>
    <t>364</t>
  </si>
  <si>
    <t>Poles, Towers &amp; Fixtures</t>
  </si>
  <si>
    <t>Demand Secondary</t>
  </si>
  <si>
    <t>365</t>
  </si>
  <si>
    <t>366</t>
  </si>
  <si>
    <t>367</t>
  </si>
  <si>
    <t>368</t>
  </si>
  <si>
    <t>Line Transformers</t>
  </si>
  <si>
    <t>369</t>
  </si>
  <si>
    <t>370</t>
  </si>
  <si>
    <t>371</t>
  </si>
  <si>
    <t>Install on Customers' Premises</t>
  </si>
  <si>
    <t>372</t>
  </si>
  <si>
    <t>373</t>
  </si>
  <si>
    <t>Street Lights</t>
  </si>
  <si>
    <t>D00</t>
  </si>
  <si>
    <t>Unclassified Dist Plant - Acct 300</t>
  </si>
  <si>
    <t>DS0</t>
  </si>
  <si>
    <t>Unclassified Dist Sub  - Acct 300</t>
  </si>
  <si>
    <t>TOTAL DISTRIBUTION PLANT</t>
  </si>
  <si>
    <t>GENERAL PLANT</t>
  </si>
  <si>
    <t>389</t>
  </si>
  <si>
    <t>SG/CAGE/CAGW</t>
  </si>
  <si>
    <t>Total Land &amp; Land Rights</t>
  </si>
  <si>
    <t>390</t>
  </si>
  <si>
    <t>Total Structures and Improvements</t>
  </si>
  <si>
    <t>391</t>
  </si>
  <si>
    <t>Office Furniture &amp; Equipment</t>
  </si>
  <si>
    <t>SGP</t>
  </si>
  <si>
    <t>SGU</t>
  </si>
  <si>
    <t>Total Office Furniture &amp; Equipment</t>
  </si>
  <si>
    <t>392</t>
  </si>
  <si>
    <t>Transportation Equipment</t>
  </si>
  <si>
    <t>SG-U</t>
  </si>
  <si>
    <t>CAGE</t>
  </si>
  <si>
    <t>Total Transportation Equipment</t>
  </si>
  <si>
    <t>393</t>
  </si>
  <si>
    <t>Stores Equipment</t>
  </si>
  <si>
    <t>SG-P</t>
  </si>
  <si>
    <t>Total Stores Equipment</t>
  </si>
  <si>
    <t>394</t>
  </si>
  <si>
    <t>Tools, Shop &amp; Garage Equipment</t>
  </si>
  <si>
    <t>Total Tools, Shop &amp; Garage Equipment</t>
  </si>
  <si>
    <t>395</t>
  </si>
  <si>
    <t>Laboratory Equipment</t>
  </si>
  <si>
    <t>Total Laboratory Equipment</t>
  </si>
  <si>
    <t>396</t>
  </si>
  <si>
    <t>Power Operated Equipment</t>
  </si>
  <si>
    <t>Total Power Operated Equipment</t>
  </si>
  <si>
    <t>397</t>
  </si>
  <si>
    <t>Communication Equipment</t>
  </si>
  <si>
    <t>Total Communication Equipment</t>
  </si>
  <si>
    <t>398</t>
  </si>
  <si>
    <t>Misc. Equipment</t>
  </si>
  <si>
    <t>Total Misc. Equipment</t>
  </si>
  <si>
    <t>399</t>
  </si>
  <si>
    <t>Coal Mine</t>
  </si>
  <si>
    <t>399L</t>
  </si>
  <si>
    <t>WIDCO Capital Lease</t>
  </si>
  <si>
    <t>Remove Capital Lease</t>
  </si>
  <si>
    <t>390L</t>
  </si>
  <si>
    <t>General Capital Lease</t>
  </si>
  <si>
    <t>SO-U</t>
  </si>
  <si>
    <t>392L</t>
  </si>
  <si>
    <t>General Vehicles Capital Lease</t>
  </si>
  <si>
    <t>G00</t>
  </si>
  <si>
    <t>Unclassified Gen Plant - Acct 300</t>
  </si>
  <si>
    <t>GV0</t>
  </si>
  <si>
    <t>Unclassified Gen Veh - Acct 300</t>
  </si>
  <si>
    <t>TOTAL GENERAL PLANT</t>
  </si>
  <si>
    <t>INTANGIBLE PLANT</t>
  </si>
  <si>
    <t>301</t>
  </si>
  <si>
    <t>Organization</t>
  </si>
  <si>
    <t>Total Organization</t>
  </si>
  <si>
    <t>302</t>
  </si>
  <si>
    <t>Franchise &amp; Consent</t>
  </si>
  <si>
    <t>Total Franchise &amp; Consent</t>
  </si>
  <si>
    <t>303</t>
  </si>
  <si>
    <t>Miscellaneous Intangible Plant</t>
  </si>
  <si>
    <t>Total Miscellaneous Intangible Plant</t>
  </si>
  <si>
    <t>I00</t>
  </si>
  <si>
    <t>Unclass Intangible Plant - Acct 300</t>
  </si>
  <si>
    <t>TOTAL INTANGIBLE PLANT</t>
  </si>
  <si>
    <t>TOTAL ELECTRIC PLANT IN SERVICE</t>
  </si>
  <si>
    <t>MISC RATE BASE</t>
  </si>
  <si>
    <t>105</t>
  </si>
  <si>
    <t>Plant Held For Future Use</t>
  </si>
  <si>
    <t>DNPT</t>
  </si>
  <si>
    <t>DNPPOP</t>
  </si>
  <si>
    <t>SE/CAEE/CAEW</t>
  </si>
  <si>
    <t>DNPG</t>
  </si>
  <si>
    <t>Total Plant Held For Future Use</t>
  </si>
  <si>
    <t>114</t>
  </si>
  <si>
    <t>Electric Plant Acquisition Adjust</t>
  </si>
  <si>
    <t>124</t>
  </si>
  <si>
    <t>Weatherization</t>
  </si>
  <si>
    <t>151</t>
  </si>
  <si>
    <t>Total Fuel Stock</t>
  </si>
  <si>
    <t>Fuel Stock - Undistributed</t>
  </si>
  <si>
    <t>25316</t>
  </si>
  <si>
    <t>DG&amp;T Working Capital Deposit</t>
  </si>
  <si>
    <t>25317</t>
  </si>
  <si>
    <t>25319</t>
  </si>
  <si>
    <t>Provo Working Capital Deposit</t>
  </si>
  <si>
    <t>154</t>
  </si>
  <si>
    <t>Materials and Supplies</t>
  </si>
  <si>
    <t>DNPPS</t>
  </si>
  <si>
    <t>DNPPH</t>
  </si>
  <si>
    <t>DNPD</t>
  </si>
  <si>
    <t>SNPP</t>
  </si>
  <si>
    <t>Total Materials and Supplies</t>
  </si>
  <si>
    <t>163</t>
  </si>
  <si>
    <t>Stores Expense Undistributed</t>
  </si>
  <si>
    <t>25318</t>
  </si>
  <si>
    <t>165</t>
  </si>
  <si>
    <t>GPS</t>
  </si>
  <si>
    <t>Total Prepayments</t>
  </si>
  <si>
    <t>182</t>
  </si>
  <si>
    <t>Misc Regulatory Assets</t>
  </si>
  <si>
    <t>Total Misc Regulatory Assets</t>
  </si>
  <si>
    <t>186</t>
  </si>
  <si>
    <t>EXCTAX</t>
  </si>
  <si>
    <t>Total Misc Deferred Debits</t>
  </si>
  <si>
    <t>CWC</t>
  </si>
  <si>
    <t>OWC</t>
  </si>
  <si>
    <t>Other Working Capital</t>
  </si>
  <si>
    <t>Total Other Working Capital</t>
  </si>
  <si>
    <t>18222</t>
  </si>
  <si>
    <t>Nuclear Plant</t>
  </si>
  <si>
    <t>1869</t>
  </si>
  <si>
    <t>Misc Deferred Debits-Trojan</t>
  </si>
  <si>
    <t>141</t>
  </si>
  <si>
    <t>Impact Housing - Notes Receivable</t>
  </si>
  <si>
    <t>TOTAL RATE BASE ADDITIONS</t>
  </si>
  <si>
    <t>235</t>
  </si>
  <si>
    <t>2281</t>
  </si>
  <si>
    <t>Accum Prov for Property Insurance</t>
  </si>
  <si>
    <t>2282</t>
  </si>
  <si>
    <t>Accum Prov for Injuries &amp; Damages</t>
  </si>
  <si>
    <t xml:space="preserve"> 2283</t>
  </si>
  <si>
    <t>Accum Prov for Pension &amp; Benefits</t>
  </si>
  <si>
    <t>Reg Liabilities - Insurance Provision</t>
  </si>
  <si>
    <t xml:space="preserve"> 22844</t>
  </si>
  <si>
    <t>Accum Hydro Relicensing Obligation</t>
  </si>
  <si>
    <t>22842</t>
  </si>
  <si>
    <t>Accum Misc Oper Prov - Trojan</t>
  </si>
  <si>
    <t>252</t>
  </si>
  <si>
    <t>Customer Advances for Const</t>
  </si>
  <si>
    <t>25398</t>
  </si>
  <si>
    <t>SO2 Emissions</t>
  </si>
  <si>
    <t>25399</t>
  </si>
  <si>
    <t>Other Deferred Credits</t>
  </si>
  <si>
    <t>190</t>
  </si>
  <si>
    <t>DOP</t>
  </si>
  <si>
    <t>BADDEBT</t>
  </si>
  <si>
    <t>SE/CAEW</t>
  </si>
  <si>
    <t>SNP</t>
  </si>
  <si>
    <t>SNPD</t>
  </si>
  <si>
    <t>Total Accum Deferred Income Taxes</t>
  </si>
  <si>
    <t>281</t>
  </si>
  <si>
    <t>282</t>
  </si>
  <si>
    <t xml:space="preserve">Accum Deferred Income Taxes </t>
  </si>
  <si>
    <t>CIAC</t>
  </si>
  <si>
    <t xml:space="preserve">Total Accum Deferred Income Taxes </t>
  </si>
  <si>
    <t>283</t>
  </si>
  <si>
    <t>TROJD</t>
  </si>
  <si>
    <t>255</t>
  </si>
  <si>
    <t>Accum Investment Tax Credit</t>
  </si>
  <si>
    <t>TOTAL RATE BASE DEDUCTIONS</t>
  </si>
  <si>
    <t>ACCUMULATED DEPRECIATION</t>
  </si>
  <si>
    <t>GENERATION PLANT</t>
  </si>
  <si>
    <t>108SP</t>
  </si>
  <si>
    <t>Steam Prod Accumulated Depr</t>
  </si>
  <si>
    <t>108NP</t>
  </si>
  <si>
    <t>Nuclear Prod Accumulated Depr</t>
  </si>
  <si>
    <t>108HP</t>
  </si>
  <si>
    <t>Hydraulic Prod Accum Depr</t>
  </si>
  <si>
    <t>108OP</t>
  </si>
  <si>
    <t>Other Generation  - Accum Depr</t>
  </si>
  <si>
    <t>Total Other Generation - Accum Depr</t>
  </si>
  <si>
    <t>108EP</t>
  </si>
  <si>
    <t>Experimental Plant - Accum Depr</t>
  </si>
  <si>
    <t>TOTAL GENERATION PLANT DEPRECIATION</t>
  </si>
  <si>
    <t>108TP</t>
  </si>
  <si>
    <t>Transmission Plant Accum Depr</t>
  </si>
  <si>
    <t>108360</t>
  </si>
  <si>
    <t>108361</t>
  </si>
  <si>
    <t>108362</t>
  </si>
  <si>
    <t>108364</t>
  </si>
  <si>
    <t>108365</t>
  </si>
  <si>
    <t>108366</t>
  </si>
  <si>
    <t>108367</t>
  </si>
  <si>
    <t>108368</t>
  </si>
  <si>
    <t>108369</t>
  </si>
  <si>
    <t>108370</t>
  </si>
  <si>
    <t>108371</t>
  </si>
  <si>
    <t>108372</t>
  </si>
  <si>
    <t>108373</t>
  </si>
  <si>
    <t>108D00</t>
  </si>
  <si>
    <t>108DS</t>
  </si>
  <si>
    <t>Unclassified Dist Sub - Acct 300</t>
  </si>
  <si>
    <t>108D</t>
  </si>
  <si>
    <t>TOTAL DISTRIBUTION PLANT DEPR</t>
  </si>
  <si>
    <t>108GP</t>
  </si>
  <si>
    <t>General Plant Accumulated Depr</t>
  </si>
  <si>
    <t>Total General Plant Accumulated Depr</t>
  </si>
  <si>
    <t>108MP</t>
  </si>
  <si>
    <t>Mining Plant Accumulated Depr.</t>
  </si>
  <si>
    <t>1081390</t>
  </si>
  <si>
    <t>Accum Depr - Capital Lease</t>
  </si>
  <si>
    <t xml:space="preserve">1081399L </t>
  </si>
  <si>
    <t xml:space="preserve"> Accum Depr - Capital Lease</t>
  </si>
  <si>
    <t xml:space="preserve"> Remove Capital Lease</t>
  </si>
  <si>
    <t>TOTAL GENERAL PLANT ACCUM DEPR</t>
  </si>
  <si>
    <t>TOTAL ACCUM DEPR - PLANT IN SERVICE</t>
  </si>
  <si>
    <t>ACCUMULATED AMORTIZATION</t>
  </si>
  <si>
    <t>111CLS</t>
  </si>
  <si>
    <t>Accum Prov for Amort-Steam</t>
  </si>
  <si>
    <t>111CLG</t>
  </si>
  <si>
    <t>Accum Prov for Amort-General</t>
  </si>
  <si>
    <t>Total Accum Prov for Amort-General</t>
  </si>
  <si>
    <t>111CLH</t>
  </si>
  <si>
    <t>Accum Prov for Amort-Hydro</t>
  </si>
  <si>
    <t>111IP</t>
  </si>
  <si>
    <t>Accum Prov for Amort-Intangible</t>
  </si>
  <si>
    <t>Total Accum Prov for Amort-Intangible</t>
  </si>
  <si>
    <t>111390</t>
  </si>
  <si>
    <t>Accum Prov for Amort-Capital Lease</t>
  </si>
  <si>
    <t>TOTAL ACCUM PROV FOR AMORTIZATION</t>
  </si>
  <si>
    <t>State of Washington</t>
  </si>
  <si>
    <t>WCA</t>
  </si>
  <si>
    <t>12 Months Ending June 2019</t>
  </si>
  <si>
    <t>Method</t>
  </si>
  <si>
    <t>COS
Factor</t>
  </si>
  <si>
    <t>F10</t>
  </si>
  <si>
    <t>F11</t>
  </si>
  <si>
    <t xml:space="preserve">F140 </t>
  </si>
  <si>
    <t>F40</t>
  </si>
  <si>
    <t>F12</t>
  </si>
  <si>
    <t>F131</t>
  </si>
  <si>
    <t>F20</t>
  </si>
  <si>
    <t>F120</t>
  </si>
  <si>
    <t>F132</t>
  </si>
  <si>
    <t>F133</t>
  </si>
  <si>
    <t>F130</t>
  </si>
  <si>
    <t>F127</t>
  </si>
  <si>
    <t>F119</t>
  </si>
  <si>
    <t>F134</t>
  </si>
  <si>
    <t>F135</t>
  </si>
  <si>
    <t>F125</t>
  </si>
  <si>
    <t>F136</t>
  </si>
  <si>
    <t>F41</t>
  </si>
  <si>
    <t>F42</t>
  </si>
  <si>
    <t xml:space="preserve">F102 </t>
  </si>
  <si>
    <t xml:space="preserve">F138 </t>
  </si>
  <si>
    <t>F102</t>
  </si>
  <si>
    <t>F141</t>
  </si>
  <si>
    <t>F108</t>
  </si>
  <si>
    <t>F106</t>
  </si>
  <si>
    <t>F118</t>
  </si>
  <si>
    <t>F121</t>
  </si>
  <si>
    <t>F122</t>
  </si>
  <si>
    <t>F123</t>
  </si>
  <si>
    <t>F124</t>
  </si>
  <si>
    <t>F126</t>
  </si>
  <si>
    <t>F128</t>
  </si>
  <si>
    <t>F129</t>
  </si>
  <si>
    <t xml:space="preserve">F107 </t>
  </si>
  <si>
    <t xml:space="preserve">F105 </t>
  </si>
  <si>
    <t>F110</t>
  </si>
  <si>
    <t xml:space="preserve">F101 </t>
  </si>
  <si>
    <t>F20A</t>
  </si>
  <si>
    <t>F22</t>
  </si>
  <si>
    <t>F21</t>
  </si>
  <si>
    <t>F70</t>
  </si>
  <si>
    <t>F60A</t>
  </si>
  <si>
    <t xml:space="preserve">F137 </t>
  </si>
  <si>
    <t>F51</t>
  </si>
  <si>
    <t>F50</t>
  </si>
  <si>
    <t xml:space="preserve">F104 </t>
  </si>
  <si>
    <t>Issue Rate Filing</t>
  </si>
  <si>
    <t>Proposed Limited</t>
  </si>
  <si>
    <t>Net Increase from</t>
  </si>
  <si>
    <t>Base Decrease</t>
  </si>
  <si>
    <t>Proposed One-Time</t>
  </si>
  <si>
    <t>Rate Case</t>
  </si>
  <si>
    <t>Reconciliation Refund</t>
  </si>
  <si>
    <t>Generation and</t>
  </si>
  <si>
    <t>Rate Base</t>
  </si>
  <si>
    <t>LIRF</t>
  </si>
  <si>
    <t>Allocation</t>
  </si>
  <si>
    <t>Factor</t>
  </si>
  <si>
    <t>Reconciliation Refund Price</t>
  </si>
  <si>
    <t>(¢/kWh)</t>
  </si>
  <si>
    <t>Revenue Δ</t>
  </si>
  <si>
    <t>Sch 15 Target Δ</t>
  </si>
  <si>
    <t>Sch 16/18 Target Δ</t>
  </si>
  <si>
    <t>Sch 24 Target Δ</t>
  </si>
  <si>
    <t>Sch 36 Target Δ</t>
  </si>
  <si>
    <t>Sch 40 Target Δ</t>
  </si>
  <si>
    <t>Sch 48 Target Δ</t>
  </si>
  <si>
    <t>Sch 48 Ded Fac Target Δ</t>
  </si>
  <si>
    <t>Sch 51 Target Δ</t>
  </si>
  <si>
    <t>Sch 53 Target Δ</t>
  </si>
  <si>
    <t>Sch 54 Target Δ</t>
  </si>
  <si>
    <t>(10)</t>
  </si>
  <si>
    <t>(11)</t>
  </si>
  <si>
    <t>(12)</t>
  </si>
  <si>
    <t>(13)</t>
  </si>
  <si>
    <t>(8)/(5)</t>
  </si>
  <si>
    <t>(10)/(5)</t>
  </si>
  <si>
    <t>(12)/(5)</t>
  </si>
  <si>
    <t>(7)+(10)-(5)</t>
  </si>
  <si>
    <t>Billing</t>
  </si>
  <si>
    <t>RCRR-Proposed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</si>
  <si>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BPA Credit, FTAA and Proposed RCRR.</t>
    </r>
  </si>
  <si>
    <t xml:space="preserve">       * Includes SBC Charge, Low Income Charge, FTAA and Proposed RCRR.</t>
  </si>
  <si>
    <t xml:space="preserve">       * Includes SBC Charge BPA Credit, Low Income charge, FTAA and Proposed RCRR.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</si>
</sst>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  <numFmt numFmtId="168" formatCode="General_)"/>
    <numFmt numFmtId="169" formatCode="0.0%"/>
    <numFmt numFmtId="170" formatCode="&quot;$&quot;#,##0.00000_);\(&quot;$&quot;#,##0.00000\)"/>
    <numFmt numFmtId="171" formatCode="#,##0.00000"/>
    <numFmt numFmtId="172" formatCode="_(&quot;$&quot;* #,##0.00000_);_(&quot;$&quot;* \(#,##0.00000\);_(&quot;$&quot;* &quot;-&quot;?????_);_(@_)"/>
    <numFmt numFmtId="173" formatCode="0.0"/>
    <numFmt numFmtId="174" formatCode="_(* #,##0.00000_);_(* \(#,##0.00000\);_(* &quot;-&quot;??_);_(@_)"/>
    <numFmt numFmtId="175" formatCode="0.000"/>
    <numFmt numFmtId="176" formatCode="########\-###\-###"/>
    <numFmt numFmtId="177" formatCode="#,##0.000_);\(#,##0.000\)"/>
    <numFmt numFmtId="178" formatCode="_(* #,##0.000_);_(* \(#,##0.000\);_(* &quot;-&quot;??_);_(@_)"/>
    <numFmt numFmtId="179" formatCode="0.000_)"/>
    <numFmt numFmtId="180" formatCode="0.000000_)"/>
    <numFmt numFmtId="181" formatCode="0.00000000_)"/>
    <numFmt numFmtId="182" formatCode="&quot;$&quot;#,##0.000_);\(&quot;$&quot;#,##0.000\)"/>
    <numFmt numFmtId="183" formatCode="0.0000_)"/>
    <numFmt numFmtId="184" formatCode="0.00_)"/>
    <numFmt numFmtId="185" formatCode="0.000000000_)"/>
    <numFmt numFmtId="186" formatCode="#,##0.0_);\(#,##0.0\)"/>
    <numFmt numFmtId="187" formatCode="#,##0.000"/>
    <numFmt numFmtId="188" formatCode="&quot;$&quot;#,##0.000000_);\(&quot;$&quot;#,##0.000000\)"/>
    <numFmt numFmtId="189" formatCode="_(&quot;$&quot;* #,##0.00000_);_(&quot;$&quot;* \(#,##0.00000\);_(&quot;$&quot;* &quot;-&quot;??_);_(@_)"/>
    <numFmt numFmtId="190" formatCode="0.000%"/>
    <numFmt numFmtId="191" formatCode="0.00000%"/>
    <numFmt numFmtId="192" formatCode="0.000000%"/>
    <numFmt numFmtId="193" formatCode="#,##0.0000000"/>
    <numFmt numFmtId="194" formatCode="_(* #,##0.00000000_);_(* \(#,##0.00000000\);_(* &quot;-&quot;??_);_(@_)"/>
    <numFmt numFmtId="195" formatCode="0.0000000%"/>
    <numFmt numFmtId="196" formatCode="0.00000000000000%"/>
    <numFmt numFmtId="197" formatCode="_(&quot;$&quot;* #,##0.000000_);_(&quot;$&quot;* \(#,##0.000000\);_(&quot;$&quot;* &quot;-&quot;??_);_(@_)"/>
    <numFmt numFmtId="198" formatCode="0_);\(0\)"/>
    <numFmt numFmtId="199" formatCode="_(* #,##0.000000_);_(* \(#,##0.000000\);_(* &quot;-&quot;??_);_(@_)"/>
    <numFmt numFmtId="200" formatCode="0.00000"/>
    <numFmt numFmtId="201" formatCode="0.0000"/>
    <numFmt numFmtId="202" formatCode=";;;"/>
    <numFmt numFmtId="203" formatCode="0;[Red]0"/>
    <numFmt numFmtId="204" formatCode="dd\-mmm\-yy_)"/>
  </numFmts>
  <fonts count="76">
    <font>
      <sz val="12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2"/>
      <name val="Times New Roman"/>
      <family val="1"/>
    </font>
    <font>
      <u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7"/>
      <name val="Arial"/>
      <family val="2"/>
    </font>
    <font>
      <sz val="10"/>
      <name val="LinePrinter"/>
    </font>
    <font>
      <i/>
      <sz val="9"/>
      <color indexed="17"/>
      <name val="Times New Roman"/>
      <family val="1"/>
    </font>
    <font>
      <sz val="10"/>
      <color indexed="12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10"/>
      <name val="Times New Roman"/>
      <family val="1"/>
    </font>
    <font>
      <sz val="12"/>
      <color indexed="12"/>
      <name val="Times New Roman"/>
      <family val="1"/>
    </font>
    <font>
      <sz val="12"/>
      <color indexed="56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b/>
      <sz val="14"/>
      <name val="Arial"/>
      <family val="2"/>
    </font>
    <font>
      <b/>
      <sz val="11"/>
      <name val="Arial"/>
      <family val="2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SWISS"/>
    </font>
    <font>
      <b/>
      <sz val="14"/>
      <color indexed="8"/>
      <name val="Times New Roman"/>
      <family val="1"/>
    </font>
    <font>
      <sz val="10"/>
      <name val="Arial"/>
      <family val="2"/>
    </font>
    <font>
      <sz val="12"/>
      <name val="Arial MT"/>
    </font>
    <font>
      <b/>
      <vertAlign val="superscript"/>
      <sz val="11"/>
      <name val="Times New Roman"/>
      <family val="1"/>
    </font>
    <font>
      <b/>
      <u/>
      <sz val="1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sz val="11"/>
      <color rgb="FF1F497D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2"/>
      <color theme="0"/>
      <name val="Times New Roman"/>
      <family val="1"/>
    </font>
    <font>
      <u/>
      <sz val="12"/>
      <color theme="0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10"/>
      <name val="Swis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1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176" fontId="9" fillId="0" borderId="0"/>
    <xf numFmtId="167" fontId="13" fillId="0" borderId="0" applyFont="0" applyAlignment="0" applyProtection="0"/>
    <xf numFmtId="0" fontId="9" fillId="0" borderId="0"/>
    <xf numFmtId="0" fontId="26" fillId="0" borderId="0"/>
    <xf numFmtId="0" fontId="26" fillId="0" borderId="0"/>
    <xf numFmtId="0" fontId="16" fillId="0" borderId="0"/>
    <xf numFmtId="9" fontId="9" fillId="0" borderId="0" applyFont="0" applyFill="0" applyBorder="0" applyAlignment="0" applyProtection="0"/>
    <xf numFmtId="168" fontId="21" fillId="0" borderId="0">
      <alignment horizontal="left"/>
    </xf>
    <xf numFmtId="0" fontId="9" fillId="0" borderId="0">
      <alignment wrapText="1"/>
    </xf>
    <xf numFmtId="0" fontId="53" fillId="0" borderId="0"/>
    <xf numFmtId="43" fontId="53" fillId="0" borderId="0" applyFont="0" applyFill="0" applyBorder="0" applyAlignment="0" applyProtection="0"/>
    <xf numFmtId="0" fontId="54" fillId="0" borderId="0"/>
    <xf numFmtId="0" fontId="55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5" fillId="0" borderId="0"/>
    <xf numFmtId="0" fontId="9" fillId="0" borderId="0"/>
    <xf numFmtId="43" fontId="9" fillId="0" borderId="0" applyFont="0" applyFill="0" applyBorder="0" applyAlignment="0" applyProtection="0"/>
    <xf numFmtId="0" fontId="15" fillId="0" borderId="0"/>
    <xf numFmtId="0" fontId="9" fillId="0" borderId="0">
      <alignment wrapText="1"/>
    </xf>
    <xf numFmtId="0" fontId="56" fillId="0" borderId="0">
      <alignment wrapText="1"/>
    </xf>
    <xf numFmtId="43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41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9" fillId="0" borderId="0">
      <alignment wrapText="1"/>
    </xf>
    <xf numFmtId="44" fontId="41" fillId="0" borderId="0" applyFont="0" applyFill="0" applyBorder="0" applyAlignment="0" applyProtection="0"/>
    <xf numFmtId="0" fontId="41" fillId="0" borderId="0"/>
    <xf numFmtId="0" fontId="9" fillId="0" borderId="0"/>
    <xf numFmtId="0" fontId="60" fillId="0" borderId="0"/>
    <xf numFmtId="9" fontId="9" fillId="0" borderId="0" applyFont="0" applyFill="0" applyBorder="0" applyAlignment="0" applyProtection="0"/>
    <xf numFmtId="0" fontId="15" fillId="0" borderId="0"/>
    <xf numFmtId="0" fontId="7" fillId="0" borderId="0"/>
    <xf numFmtId="0" fontId="7" fillId="0" borderId="0"/>
    <xf numFmtId="0" fontId="7" fillId="0" borderId="0"/>
    <xf numFmtId="0" fontId="65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7" fillId="0" borderId="0"/>
    <xf numFmtId="0" fontId="68" fillId="0" borderId="0"/>
    <xf numFmtId="0" fontId="15" fillId="0" borderId="0"/>
    <xf numFmtId="44" fontId="9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1" fontId="57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0" fillId="0" borderId="0"/>
    <xf numFmtId="44" fontId="15" fillId="0" borderId="0" applyFont="0" applyFill="0" applyBorder="0" applyAlignment="0" applyProtection="0"/>
    <xf numFmtId="0" fontId="26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04" fontId="75" fillId="0" borderId="0" applyNumberFormat="0" applyFont="0" applyFill="0" applyBorder="0" applyAlignment="0" applyProtection="0"/>
  </cellStyleXfs>
  <cellXfs count="874">
    <xf numFmtId="0" fontId="0" fillId="0" borderId="0" xfId="0"/>
    <xf numFmtId="0" fontId="10" fillId="0" borderId="0" xfId="0" applyFont="1" applyFill="1" applyProtection="1"/>
    <xf numFmtId="5" fontId="10" fillId="0" borderId="0" xfId="0" applyNumberFormat="1" applyFont="1" applyFill="1" applyProtection="1"/>
    <xf numFmtId="0" fontId="0" fillId="0" borderId="0" xfId="0" applyFill="1"/>
    <xf numFmtId="0" fontId="15" fillId="0" borderId="0" xfId="0" applyFont="1" applyFill="1"/>
    <xf numFmtId="0" fontId="17" fillId="0" borderId="0" xfId="0" applyFont="1" applyFill="1"/>
    <xf numFmtId="0" fontId="15" fillId="0" borderId="0" xfId="0" applyFont="1" applyFill="1" applyBorder="1"/>
    <xf numFmtId="167" fontId="15" fillId="0" borderId="0" xfId="0" applyNumberFormat="1" applyFont="1" applyFill="1"/>
    <xf numFmtId="169" fontId="16" fillId="0" borderId="0" xfId="10" applyNumberFormat="1" applyFont="1" applyFill="1"/>
    <xf numFmtId="167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37" fontId="10" fillId="0" borderId="0" xfId="0" applyNumberFormat="1" applyFont="1" applyFill="1" applyProtection="1"/>
    <xf numFmtId="0" fontId="0" fillId="0" borderId="0" xfId="0" applyFill="1" applyAlignment="1">
      <alignment horizontal="left"/>
    </xf>
    <xf numFmtId="0" fontId="10" fillId="0" borderId="0" xfId="0" applyFont="1" applyFill="1" applyBorder="1" applyProtection="1"/>
    <xf numFmtId="166" fontId="10" fillId="0" borderId="0" xfId="2" applyNumberFormat="1" applyFont="1" applyFill="1" applyProtection="1"/>
    <xf numFmtId="37" fontId="10" fillId="0" borderId="0" xfId="0" applyNumberFormat="1" applyFont="1" applyFill="1" applyBorder="1" applyProtection="1"/>
    <xf numFmtId="3" fontId="15" fillId="0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2" xfId="0" applyFill="1" applyBorder="1"/>
    <xf numFmtId="5" fontId="10" fillId="0" borderId="0" xfId="0" applyNumberFormat="1" applyFont="1" applyFill="1" applyBorder="1" applyProtection="1"/>
    <xf numFmtId="0" fontId="26" fillId="0" borderId="0" xfId="7" applyFont="1" applyFill="1"/>
    <xf numFmtId="0" fontId="0" fillId="0" borderId="0" xfId="0" applyFill="1" applyAlignment="1">
      <alignment horizontal="right"/>
    </xf>
    <xf numFmtId="0" fontId="0" fillId="0" borderId="3" xfId="0" applyFill="1" applyBorder="1"/>
    <xf numFmtId="0" fontId="22" fillId="0" borderId="13" xfId="0" applyFont="1" applyFill="1" applyBorder="1" applyAlignment="1">
      <alignment horizontal="left"/>
    </xf>
    <xf numFmtId="0" fontId="0" fillId="0" borderId="10" xfId="0" applyFill="1" applyBorder="1"/>
    <xf numFmtId="3" fontId="17" fillId="0" borderId="0" xfId="0" applyNumberFormat="1" applyFont="1" applyFill="1"/>
    <xf numFmtId="0" fontId="18" fillId="0" borderId="0" xfId="0" applyFont="1" applyFill="1" applyAlignment="1">
      <alignment horizontal="center"/>
    </xf>
    <xf numFmtId="37" fontId="15" fillId="0" borderId="0" xfId="0" applyNumberFormat="1" applyFont="1" applyFill="1" applyProtection="1"/>
    <xf numFmtId="166" fontId="10" fillId="0" borderId="0" xfId="0" applyNumberFormat="1" applyFont="1" applyFill="1" applyProtection="1"/>
    <xf numFmtId="0" fontId="0" fillId="0" borderId="15" xfId="0" applyFill="1" applyBorder="1"/>
    <xf numFmtId="167" fontId="0" fillId="0" borderId="16" xfId="0" applyNumberFormat="1" applyFill="1" applyBorder="1"/>
    <xf numFmtId="167" fontId="0" fillId="0" borderId="17" xfId="0" applyNumberFormat="1" applyFill="1" applyBorder="1"/>
    <xf numFmtId="3" fontId="0" fillId="0" borderId="0" xfId="0" applyNumberFormat="1" applyFill="1"/>
    <xf numFmtId="167" fontId="0" fillId="0" borderId="3" xfId="0" applyNumberFormat="1" applyFill="1" applyBorder="1"/>
    <xf numFmtId="167" fontId="0" fillId="0" borderId="18" xfId="0" applyNumberFormat="1" applyFill="1" applyBorder="1"/>
    <xf numFmtId="167" fontId="0" fillId="0" borderId="2" xfId="0" applyNumberFormat="1" applyFill="1" applyBorder="1"/>
    <xf numFmtId="172" fontId="23" fillId="0" borderId="0" xfId="0" applyNumberFormat="1" applyFont="1" applyFill="1"/>
    <xf numFmtId="3" fontId="0" fillId="0" borderId="0" xfId="0" applyNumberFormat="1" applyFill="1" applyBorder="1"/>
    <xf numFmtId="0" fontId="0" fillId="0" borderId="1" xfId="0" applyFill="1" applyBorder="1"/>
    <xf numFmtId="0" fontId="24" fillId="0" borderId="0" xfId="0" applyFont="1" applyFill="1"/>
    <xf numFmtId="0" fontId="18" fillId="0" borderId="10" xfId="0" applyFont="1" applyFill="1" applyBorder="1" applyAlignment="1">
      <alignment horizontal="center"/>
    </xf>
    <xf numFmtId="5" fontId="0" fillId="0" borderId="0" xfId="0" applyNumberFormat="1" applyFill="1"/>
    <xf numFmtId="0" fontId="0" fillId="0" borderId="16" xfId="0" applyFill="1" applyBorder="1"/>
    <xf numFmtId="0" fontId="26" fillId="0" borderId="0" xfId="7" applyFont="1" applyFill="1" applyAlignment="1">
      <alignment horizontal="center"/>
    </xf>
    <xf numFmtId="0" fontId="27" fillId="0" borderId="0" xfId="7" applyFont="1" applyFill="1"/>
    <xf numFmtId="3" fontId="15" fillId="0" borderId="0" xfId="0" applyNumberFormat="1" applyFont="1" applyFill="1"/>
    <xf numFmtId="14" fontId="18" fillId="0" borderId="4" xfId="0" applyNumberFormat="1" applyFont="1" applyFill="1" applyBorder="1" applyAlignment="1">
      <alignment horizontal="center"/>
    </xf>
    <xf numFmtId="167" fontId="16" fillId="0" borderId="0" xfId="1" applyNumberFormat="1" applyFont="1" applyFill="1"/>
    <xf numFmtId="166" fontId="16" fillId="0" borderId="0" xfId="2" applyNumberFormat="1" applyFont="1" applyFill="1"/>
    <xf numFmtId="0" fontId="0" fillId="0" borderId="4" xfId="0" applyFill="1" applyBorder="1"/>
    <xf numFmtId="0" fontId="16" fillId="0" borderId="4" xfId="9" applyFont="1" applyFill="1" applyBorder="1" applyAlignment="1">
      <alignment horizontal="center"/>
    </xf>
    <xf numFmtId="0" fontId="10" fillId="0" borderId="0" xfId="9" applyFont="1" applyFill="1" applyAlignment="1">
      <alignment horizontal="center"/>
    </xf>
    <xf numFmtId="0" fontId="16" fillId="0" borderId="0" xfId="9" applyFill="1"/>
    <xf numFmtId="0" fontId="10" fillId="0" borderId="0" xfId="9" applyFont="1" applyFill="1"/>
    <xf numFmtId="0" fontId="16" fillId="0" borderId="0" xfId="9" applyFont="1" applyFill="1"/>
    <xf numFmtId="0" fontId="34" fillId="0" borderId="0" xfId="9" quotePrefix="1" applyFont="1" applyFill="1" applyAlignment="1">
      <alignment horizontal="centerContinuous"/>
    </xf>
    <xf numFmtId="0" fontId="34" fillId="0" borderId="0" xfId="9" applyFont="1" applyFill="1" applyAlignment="1">
      <alignment horizontal="centerContinuous"/>
    </xf>
    <xf numFmtId="0" fontId="34" fillId="0" borderId="0" xfId="9" quotePrefix="1" applyFont="1" applyFill="1" applyAlignment="1"/>
    <xf numFmtId="0" fontId="16" fillId="0" borderId="0" xfId="9" applyFill="1" applyBorder="1"/>
    <xf numFmtId="0" fontId="34" fillId="0" borderId="0" xfId="9" applyFont="1" applyFill="1" applyBorder="1" applyAlignment="1">
      <alignment horizontal="center"/>
    </xf>
    <xf numFmtId="0" fontId="35" fillId="0" borderId="0" xfId="9" applyFont="1" applyFill="1" applyBorder="1" applyAlignment="1">
      <alignment horizontal="center"/>
    </xf>
    <xf numFmtId="0" fontId="16" fillId="0" borderId="0" xfId="9" applyFont="1" applyFill="1" applyBorder="1" applyAlignment="1">
      <alignment horizontal="center"/>
    </xf>
    <xf numFmtId="0" fontId="16" fillId="0" borderId="0" xfId="9" applyFont="1" applyFill="1" applyAlignment="1">
      <alignment horizontal="center"/>
    </xf>
    <xf numFmtId="0" fontId="16" fillId="0" borderId="0" xfId="9" applyFont="1" applyFill="1" applyBorder="1" applyAlignment="1">
      <alignment horizontal="left"/>
    </xf>
    <xf numFmtId="0" fontId="16" fillId="0" borderId="0" xfId="9" quotePrefix="1" applyFont="1" applyFill="1" applyBorder="1" applyAlignment="1">
      <alignment horizontal="center"/>
    </xf>
    <xf numFmtId="0" fontId="16" fillId="0" borderId="0" xfId="9" applyFill="1" applyAlignment="1">
      <alignment horizontal="center"/>
    </xf>
    <xf numFmtId="0" fontId="16" fillId="0" borderId="0" xfId="9" quotePrefix="1" applyFont="1" applyFill="1" applyAlignment="1">
      <alignment horizontal="center"/>
    </xf>
    <xf numFmtId="0" fontId="16" fillId="0" borderId="0" xfId="9" applyFill="1" applyBorder="1" applyAlignment="1">
      <alignment horizontal="center"/>
    </xf>
    <xf numFmtId="0" fontId="16" fillId="0" borderId="11" xfId="9" applyFill="1" applyBorder="1" applyAlignment="1">
      <alignment horizontal="center"/>
    </xf>
    <xf numFmtId="0" fontId="10" fillId="0" borderId="11" xfId="9" applyFont="1" applyFill="1" applyBorder="1" applyAlignment="1">
      <alignment horizontal="center"/>
    </xf>
    <xf numFmtId="6" fontId="16" fillId="0" borderId="11" xfId="9" quotePrefix="1" applyNumberFormat="1" applyFont="1" applyFill="1" applyBorder="1" applyAlignment="1">
      <alignment horizontal="center"/>
    </xf>
    <xf numFmtId="6" fontId="16" fillId="0" borderId="0" xfId="9" quotePrefix="1" applyNumberFormat="1" applyFont="1" applyFill="1" applyBorder="1" applyAlignment="1">
      <alignment horizontal="center"/>
    </xf>
    <xf numFmtId="0" fontId="16" fillId="0" borderId="4" xfId="9" quotePrefix="1" applyFont="1" applyFill="1" applyBorder="1" applyAlignment="1">
      <alignment horizontal="center"/>
    </xf>
    <xf numFmtId="0" fontId="16" fillId="0" borderId="0" xfId="9" quotePrefix="1" applyFont="1" applyFill="1"/>
    <xf numFmtId="0" fontId="36" fillId="0" borderId="0" xfId="9" applyFont="1" applyFill="1"/>
    <xf numFmtId="0" fontId="10" fillId="0" borderId="0" xfId="9" quotePrefix="1" applyFont="1" applyFill="1" applyAlignment="1">
      <alignment horizontal="center"/>
    </xf>
    <xf numFmtId="37" fontId="16" fillId="0" borderId="0" xfId="9" applyNumberFormat="1" applyFont="1" applyFill="1" applyProtection="1"/>
    <xf numFmtId="5" fontId="10" fillId="0" borderId="0" xfId="9" applyNumberFormat="1" applyFont="1" applyFill="1" applyProtection="1">
      <protection locked="0"/>
    </xf>
    <xf numFmtId="5" fontId="10" fillId="0" borderId="0" xfId="10" applyNumberFormat="1" applyFont="1" applyFill="1" applyProtection="1">
      <protection locked="0"/>
    </xf>
    <xf numFmtId="0" fontId="16" fillId="0" borderId="0" xfId="9" applyFont="1" applyFill="1" applyBorder="1"/>
    <xf numFmtId="10" fontId="10" fillId="0" borderId="0" xfId="10" applyNumberFormat="1" applyFont="1" applyFill="1" applyBorder="1" applyProtection="1">
      <protection locked="0"/>
    </xf>
    <xf numFmtId="0" fontId="16" fillId="0" borderId="11" xfId="9" applyFill="1" applyBorder="1"/>
    <xf numFmtId="169" fontId="16" fillId="0" borderId="0" xfId="9" applyNumberFormat="1" applyFill="1"/>
    <xf numFmtId="37" fontId="16" fillId="0" borderId="0" xfId="9" applyNumberFormat="1" applyFill="1" applyProtection="1"/>
    <xf numFmtId="5" fontId="16" fillId="0" borderId="0" xfId="9" applyNumberFormat="1" applyFill="1" applyProtection="1"/>
    <xf numFmtId="37" fontId="16" fillId="0" borderId="0" xfId="9" applyNumberFormat="1" applyFill="1"/>
    <xf numFmtId="5" fontId="16" fillId="0" borderId="0" xfId="9" applyNumberFormat="1" applyFill="1"/>
    <xf numFmtId="37" fontId="16" fillId="0" borderId="11" xfId="9" applyNumberFormat="1" applyFill="1" applyBorder="1" applyProtection="1"/>
    <xf numFmtId="5" fontId="16" fillId="0" borderId="11" xfId="9" applyNumberFormat="1" applyFill="1" applyBorder="1" applyProtection="1"/>
    <xf numFmtId="5" fontId="16" fillId="0" borderId="0" xfId="9" applyNumberFormat="1" applyFill="1" applyBorder="1" applyProtection="1"/>
    <xf numFmtId="37" fontId="16" fillId="0" borderId="0" xfId="9" applyNumberFormat="1" applyFill="1" applyBorder="1" applyProtection="1"/>
    <xf numFmtId="0" fontId="11" fillId="0" borderId="0" xfId="9" applyFont="1" applyFill="1"/>
    <xf numFmtId="37" fontId="16" fillId="0" borderId="14" xfId="9" applyNumberFormat="1" applyFill="1" applyBorder="1"/>
    <xf numFmtId="5" fontId="16" fillId="0" borderId="14" xfId="9" applyNumberFormat="1" applyFill="1" applyBorder="1"/>
    <xf numFmtId="5" fontId="16" fillId="0" borderId="0" xfId="9" applyNumberFormat="1" applyFill="1" applyBorder="1"/>
    <xf numFmtId="37" fontId="16" fillId="0" borderId="0" xfId="9" applyNumberFormat="1" applyFill="1" applyBorder="1"/>
    <xf numFmtId="0" fontId="12" fillId="0" borderId="0" xfId="9" applyFont="1" applyFill="1"/>
    <xf numFmtId="37" fontId="16" fillId="0" borderId="14" xfId="9" applyNumberFormat="1" applyFont="1" applyFill="1" applyBorder="1" applyProtection="1"/>
    <xf numFmtId="0" fontId="16" fillId="0" borderId="0" xfId="9" applyFont="1" applyFill="1" applyAlignment="1">
      <alignment horizontal="right"/>
    </xf>
    <xf numFmtId="43" fontId="16" fillId="0" borderId="0" xfId="1" applyFont="1" applyFill="1"/>
    <xf numFmtId="10" fontId="16" fillId="0" borderId="0" xfId="10" applyNumberFormat="1" applyFont="1" applyFill="1"/>
    <xf numFmtId="169" fontId="31" fillId="0" borderId="0" xfId="10" applyNumberFormat="1" applyFont="1" applyFill="1" applyBorder="1" applyProtection="1">
      <protection locked="0"/>
    </xf>
    <xf numFmtId="1" fontId="16" fillId="0" borderId="0" xfId="9" applyNumberFormat="1" applyFill="1"/>
    <xf numFmtId="169" fontId="16" fillId="0" borderId="0" xfId="10" applyNumberFormat="1" applyFont="1" applyFill="1" applyBorder="1"/>
    <xf numFmtId="1" fontId="31" fillId="0" borderId="0" xfId="9" applyNumberFormat="1" applyFont="1" applyFill="1"/>
    <xf numFmtId="169" fontId="31" fillId="0" borderId="0" xfId="10" applyNumberFormat="1" applyFont="1" applyFill="1"/>
    <xf numFmtId="196" fontId="16" fillId="0" borderId="0" xfId="9" applyNumberFormat="1" applyFill="1"/>
    <xf numFmtId="169" fontId="30" fillId="0" borderId="0" xfId="10" applyNumberFormat="1" applyFont="1" applyFill="1"/>
    <xf numFmtId="0" fontId="37" fillId="0" borderId="0" xfId="0" applyFont="1" applyFill="1" applyAlignment="1">
      <alignment horizontal="centerContinuous"/>
    </xf>
    <xf numFmtId="0" fontId="0" fillId="0" borderId="0" xfId="0" applyFill="1" applyAlignment="1" applyProtection="1">
      <alignment horizontal="centerContinuous"/>
    </xf>
    <xf numFmtId="37" fontId="0" fillId="0" borderId="0" xfId="0" applyNumberFormat="1" applyFill="1" applyAlignment="1" applyProtection="1">
      <alignment horizontal="centerContinuous"/>
    </xf>
    <xf numFmtId="0" fontId="38" fillId="0" borderId="0" xfId="0" quotePrefix="1" applyNumberFormat="1" applyFont="1" applyFill="1" applyAlignment="1">
      <alignment horizontal="centerContinuous"/>
    </xf>
    <xf numFmtId="0" fontId="38" fillId="0" borderId="0" xfId="0" applyFont="1" applyFill="1" applyAlignment="1" applyProtection="1">
      <alignment horizontal="centerContinuous"/>
    </xf>
    <xf numFmtId="37" fontId="38" fillId="0" borderId="0" xfId="0" applyNumberFormat="1" applyFont="1" applyFill="1" applyAlignment="1" applyProtection="1">
      <alignment horizontal="centerContinuous"/>
    </xf>
    <xf numFmtId="0" fontId="27" fillId="0" borderId="0" xfId="0" quotePrefix="1" applyFont="1" applyFill="1" applyAlignment="1" applyProtection="1">
      <alignment horizontal="centerContinuous"/>
    </xf>
    <xf numFmtId="0" fontId="38" fillId="0" borderId="0" xfId="0" applyFont="1" applyFill="1" applyProtection="1"/>
    <xf numFmtId="37" fontId="27" fillId="0" borderId="0" xfId="0" applyNumberFormat="1" applyFont="1" applyFill="1" applyAlignment="1" applyProtection="1">
      <alignment horizontal="center"/>
    </xf>
    <xf numFmtId="0" fontId="27" fillId="0" borderId="0" xfId="0" applyFont="1" applyFill="1" applyProtection="1"/>
    <xf numFmtId="0" fontId="27" fillId="0" borderId="0" xfId="0" applyFont="1" applyFill="1" applyAlignment="1" applyProtection="1">
      <alignment horizontal="center"/>
    </xf>
    <xf numFmtId="0" fontId="39" fillId="0" borderId="0" xfId="0" applyFont="1" applyFill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37" fontId="27" fillId="0" borderId="11" xfId="0" applyNumberFormat="1" applyFont="1" applyFill="1" applyBorder="1" applyAlignment="1" applyProtection="1">
      <alignment horizontal="center"/>
    </xf>
    <xf numFmtId="0" fontId="27" fillId="0" borderId="11" xfId="0" applyFont="1" applyFill="1" applyBorder="1" applyAlignment="1" applyProtection="1">
      <alignment horizontal="center"/>
    </xf>
    <xf numFmtId="0" fontId="27" fillId="0" borderId="11" xfId="0" applyFont="1" applyFill="1" applyBorder="1" applyProtection="1"/>
    <xf numFmtId="0" fontId="40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3" fillId="0" borderId="0" xfId="2" applyNumberFormat="1" applyFont="1" applyFill="1"/>
    <xf numFmtId="43" fontId="0" fillId="0" borderId="0" xfId="0" applyNumberFormat="1" applyFill="1"/>
    <xf numFmtId="7" fontId="30" fillId="0" borderId="0" xfId="0" applyNumberFormat="1" applyFont="1" applyFill="1"/>
    <xf numFmtId="0" fontId="30" fillId="0" borderId="0" xfId="0" applyFont="1" applyFill="1"/>
    <xf numFmtId="7" fontId="13" fillId="0" borderId="0" xfId="2" applyNumberFormat="1" applyFont="1" applyFill="1" applyBorder="1"/>
    <xf numFmtId="37" fontId="0" fillId="0" borderId="0" xfId="0" applyNumberFormat="1" applyFill="1" applyBorder="1"/>
    <xf numFmtId="174" fontId="16" fillId="0" borderId="0" xfId="1" applyNumberFormat="1" applyFont="1" applyFill="1"/>
    <xf numFmtId="5" fontId="0" fillId="0" borderId="0" xfId="0" applyNumberFormat="1" applyFill="1" applyBorder="1" applyProtection="1"/>
    <xf numFmtId="37" fontId="0" fillId="0" borderId="21" xfId="0" applyNumberFormat="1" applyFont="1" applyFill="1" applyBorder="1" applyProtection="1"/>
    <xf numFmtId="5" fontId="10" fillId="0" borderId="21" xfId="0" applyNumberFormat="1" applyFont="1" applyFill="1" applyBorder="1" applyProtection="1"/>
    <xf numFmtId="37" fontId="0" fillId="0" borderId="0" xfId="0" applyNumberFormat="1" applyFill="1" applyProtection="1"/>
    <xf numFmtId="192" fontId="16" fillId="0" borderId="0" xfId="10" applyNumberFormat="1" applyFont="1" applyFill="1"/>
    <xf numFmtId="0" fontId="41" fillId="0" borderId="0" xfId="6" applyFont="1" applyFill="1"/>
    <xf numFmtId="0" fontId="41" fillId="0" borderId="0" xfId="6" applyFont="1" applyFill="1" applyBorder="1"/>
    <xf numFmtId="188" fontId="41" fillId="0" borderId="0" xfId="6" applyNumberFormat="1" applyFont="1" applyFill="1" applyBorder="1"/>
    <xf numFmtId="0" fontId="41" fillId="0" borderId="0" xfId="6" applyFont="1" applyFill="1" applyBorder="1" applyAlignment="1">
      <alignment horizontal="right"/>
    </xf>
    <xf numFmtId="167" fontId="41" fillId="0" borderId="0" xfId="1" applyNumberFormat="1" applyFont="1" applyFill="1" applyBorder="1"/>
    <xf numFmtId="0" fontId="41" fillId="0" borderId="0" xfId="6" applyFont="1" applyFill="1" applyBorder="1" applyAlignment="1">
      <alignment horizontal="left"/>
    </xf>
    <xf numFmtId="7" fontId="41" fillId="0" borderId="0" xfId="6" applyNumberFormat="1" applyFont="1" applyFill="1" applyBorder="1" applyAlignment="1">
      <alignment horizontal="right"/>
    </xf>
    <xf numFmtId="174" fontId="41" fillId="0" borderId="0" xfId="1" applyNumberFormat="1" applyFont="1" applyFill="1" applyBorder="1"/>
    <xf numFmtId="167" fontId="42" fillId="0" borderId="0" xfId="1" applyNumberFormat="1" applyFont="1" applyFill="1" applyBorder="1"/>
    <xf numFmtId="167" fontId="41" fillId="0" borderId="0" xfId="1" applyNumberFormat="1" applyFont="1" applyFill="1"/>
    <xf numFmtId="7" fontId="41" fillId="0" borderId="0" xfId="6" applyNumberFormat="1" applyFont="1" applyFill="1" applyBorder="1"/>
    <xf numFmtId="0" fontId="41" fillId="0" borderId="0" xfId="6" applyFont="1" applyFill="1" applyBorder="1" applyAlignment="1">
      <alignment horizontal="center"/>
    </xf>
    <xf numFmtId="10" fontId="43" fillId="0" borderId="0" xfId="6" applyNumberFormat="1" applyFont="1" applyFill="1"/>
    <xf numFmtId="7" fontId="41" fillId="0" borderId="0" xfId="6" applyNumberFormat="1" applyFont="1" applyFill="1"/>
    <xf numFmtId="5" fontId="41" fillId="0" borderId="0" xfId="6" applyNumberFormat="1" applyFont="1" applyFill="1"/>
    <xf numFmtId="10" fontId="41" fillId="0" borderId="0" xfId="10" applyNumberFormat="1" applyFont="1" applyFill="1"/>
    <xf numFmtId="0" fontId="40" fillId="0" borderId="0" xfId="0" applyFont="1" applyFill="1" applyProtection="1"/>
    <xf numFmtId="190" fontId="16" fillId="0" borderId="0" xfId="10" applyNumberFormat="1" applyFont="1" applyFill="1"/>
    <xf numFmtId="170" fontId="0" fillId="0" borderId="0" xfId="0" applyNumberFormat="1" applyFill="1" applyAlignment="1">
      <alignment horizontal="right"/>
    </xf>
    <xf numFmtId="167" fontId="16" fillId="0" borderId="0" xfId="1" applyNumberFormat="1" applyFont="1" applyFill="1" applyAlignment="1">
      <alignment horizontal="right"/>
    </xf>
    <xf numFmtId="0" fontId="10" fillId="0" borderId="0" xfId="0" applyFont="1" applyFill="1" applyProtection="1">
      <protection locked="0"/>
    </xf>
    <xf numFmtId="7" fontId="30" fillId="0" borderId="0" xfId="0" applyNumberFormat="1" applyFont="1" applyFill="1" applyProtection="1">
      <protection locked="0"/>
    </xf>
    <xf numFmtId="179" fontId="30" fillId="0" borderId="0" xfId="0" applyNumberFormat="1" applyFont="1" applyFill="1" applyProtection="1">
      <protection locked="0"/>
    </xf>
    <xf numFmtId="175" fontId="0" fillId="0" borderId="0" xfId="0" applyNumberFormat="1" applyFill="1"/>
    <xf numFmtId="7" fontId="13" fillId="0" borderId="0" xfId="0" applyNumberFormat="1" applyFont="1" applyFill="1" applyProtection="1">
      <protection locked="0"/>
    </xf>
    <xf numFmtId="11" fontId="0" fillId="0" borderId="0" xfId="0" applyNumberFormat="1" applyFill="1"/>
    <xf numFmtId="0" fontId="10" fillId="0" borderId="0" xfId="0" applyFont="1" applyFill="1"/>
    <xf numFmtId="7" fontId="10" fillId="0" borderId="0" xfId="0" applyNumberFormat="1" applyFont="1" applyFill="1" applyProtection="1">
      <protection locked="0"/>
    </xf>
    <xf numFmtId="167" fontId="10" fillId="0" borderId="0" xfId="0" applyNumberFormat="1" applyFont="1" applyFill="1" applyProtection="1"/>
    <xf numFmtId="179" fontId="12" fillId="0" borderId="0" xfId="0" applyNumberFormat="1" applyFont="1" applyFill="1" applyProtection="1">
      <protection locked="0"/>
    </xf>
    <xf numFmtId="167" fontId="10" fillId="0" borderId="0" xfId="1" applyNumberFormat="1" applyFont="1" applyFill="1" applyProtection="1"/>
    <xf numFmtId="37" fontId="10" fillId="0" borderId="4" xfId="0" applyNumberFormat="1" applyFont="1" applyFill="1" applyBorder="1" applyProtection="1"/>
    <xf numFmtId="0" fontId="0" fillId="0" borderId="0" xfId="0" applyFill="1" applyProtection="1"/>
    <xf numFmtId="5" fontId="10" fillId="0" borderId="11" xfId="0" applyNumberFormat="1" applyFont="1" applyFill="1" applyBorder="1" applyProtection="1"/>
    <xf numFmtId="37" fontId="0" fillId="0" borderId="22" xfId="0" applyNumberFormat="1" applyFont="1" applyFill="1" applyBorder="1" applyProtection="1"/>
    <xf numFmtId="5" fontId="10" fillId="0" borderId="22" xfId="0" applyNumberFormat="1" applyFont="1" applyFill="1" applyBorder="1" applyProtection="1"/>
    <xf numFmtId="180" fontId="10" fillId="0" borderId="0" xfId="0" applyNumberFormat="1" applyFont="1" applyFill="1" applyProtection="1"/>
    <xf numFmtId="165" fontId="16" fillId="0" borderId="0" xfId="10" applyNumberFormat="1" applyFont="1" applyFill="1"/>
    <xf numFmtId="193" fontId="0" fillId="0" borderId="0" xfId="0" applyNumberFormat="1" applyFill="1"/>
    <xf numFmtId="182" fontId="0" fillId="0" borderId="0" xfId="0" applyNumberFormat="1" applyFill="1"/>
    <xf numFmtId="37" fontId="10" fillId="0" borderId="11" xfId="0" applyNumberFormat="1" applyFont="1" applyFill="1" applyBorder="1" applyProtection="1"/>
    <xf numFmtId="166" fontId="16" fillId="0" borderId="22" xfId="2" applyNumberFormat="1" applyFont="1" applyFill="1" applyBorder="1" applyProtection="1"/>
    <xf numFmtId="37" fontId="0" fillId="0" borderId="0" xfId="0" applyNumberFormat="1" applyFont="1" applyFill="1" applyProtection="1"/>
    <xf numFmtId="10" fontId="0" fillId="0" borderId="0" xfId="0" applyNumberFormat="1" applyFill="1"/>
    <xf numFmtId="5" fontId="0" fillId="0" borderId="0" xfId="0" applyNumberFormat="1" applyFont="1" applyFill="1" applyProtection="1"/>
    <xf numFmtId="5" fontId="0" fillId="0" borderId="0" xfId="0" applyNumberFormat="1" applyFont="1" applyFill="1" applyBorder="1" applyProtection="1"/>
    <xf numFmtId="0" fontId="0" fillId="0" borderId="0" xfId="0" applyFont="1" applyFill="1" applyProtection="1"/>
    <xf numFmtId="5" fontId="30" fillId="0" borderId="0" xfId="0" applyNumberFormat="1" applyFont="1" applyFill="1" applyProtection="1">
      <protection locked="0"/>
    </xf>
    <xf numFmtId="0" fontId="30" fillId="0" borderId="0" xfId="0" applyFont="1" applyFill="1" applyProtection="1">
      <protection locked="0"/>
    </xf>
    <xf numFmtId="7" fontId="13" fillId="0" borderId="0" xfId="0" applyNumberFormat="1" applyFont="1" applyFill="1" applyProtection="1"/>
    <xf numFmtId="178" fontId="30" fillId="0" borderId="0" xfId="1" applyNumberFormat="1" applyFont="1" applyFill="1" applyProtection="1">
      <protection locked="0"/>
    </xf>
    <xf numFmtId="178" fontId="30" fillId="0" borderId="0" xfId="0" applyNumberFormat="1" applyFont="1" applyFill="1" applyProtection="1">
      <protection locked="0"/>
    </xf>
    <xf numFmtId="7" fontId="0" fillId="0" borderId="0" xfId="0" applyNumberFormat="1" applyFill="1"/>
    <xf numFmtId="184" fontId="30" fillId="0" borderId="0" xfId="0" applyNumberFormat="1" applyFont="1" applyFill="1" applyProtection="1">
      <protection locked="0"/>
    </xf>
    <xf numFmtId="0" fontId="11" fillId="0" borderId="0" xfId="0" applyFont="1" applyFill="1" applyProtection="1"/>
    <xf numFmtId="169" fontId="30" fillId="0" borderId="0" xfId="0" applyNumberFormat="1" applyFont="1" applyFill="1" applyProtection="1"/>
    <xf numFmtId="178" fontId="16" fillId="0" borderId="0" xfId="1" applyNumberFormat="1" applyFont="1" applyFill="1"/>
    <xf numFmtId="7" fontId="0" fillId="0" borderId="0" xfId="0" applyNumberFormat="1" applyFont="1" applyFill="1" applyProtection="1"/>
    <xf numFmtId="177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30" fillId="0" borderId="0" xfId="0" applyNumberFormat="1" applyFont="1" applyFill="1" applyProtection="1"/>
    <xf numFmtId="187" fontId="0" fillId="0" borderId="0" xfId="0" applyNumberFormat="1" applyFill="1"/>
    <xf numFmtId="39" fontId="30" fillId="0" borderId="0" xfId="0" applyNumberFormat="1" applyFont="1" applyFill="1" applyProtection="1">
      <protection locked="0"/>
    </xf>
    <xf numFmtId="37" fontId="0" fillId="0" borderId="4" xfId="0" applyNumberFormat="1" applyFont="1" applyFill="1" applyBorder="1" applyProtection="1"/>
    <xf numFmtId="5" fontId="0" fillId="0" borderId="11" xfId="0" applyNumberFormat="1" applyFont="1" applyFill="1" applyBorder="1" applyProtection="1"/>
    <xf numFmtId="169" fontId="0" fillId="0" borderId="22" xfId="0" applyNumberFormat="1" applyFont="1" applyFill="1" applyBorder="1" applyProtection="1"/>
    <xf numFmtId="10" fontId="40" fillId="0" borderId="22" xfId="0" applyNumberFormat="1" applyFont="1" applyFill="1" applyBorder="1" applyProtection="1"/>
    <xf numFmtId="5" fontId="0" fillId="0" borderId="22" xfId="0" applyNumberFormat="1" applyFont="1" applyFill="1" applyBorder="1" applyProtection="1"/>
    <xf numFmtId="0" fontId="10" fillId="0" borderId="22" xfId="0" applyFont="1" applyFill="1" applyBorder="1" applyProtection="1"/>
    <xf numFmtId="195" fontId="16" fillId="0" borderId="0" xfId="10" applyNumberFormat="1" applyFont="1" applyFill="1"/>
    <xf numFmtId="10" fontId="10" fillId="0" borderId="0" xfId="10" applyNumberFormat="1" applyFont="1" applyFill="1" applyProtection="1"/>
    <xf numFmtId="0" fontId="44" fillId="0" borderId="0" xfId="0" applyFont="1" applyFill="1" applyProtection="1"/>
    <xf numFmtId="37" fontId="0" fillId="0" borderId="11" xfId="0" applyNumberFormat="1" applyFont="1" applyFill="1" applyBorder="1" applyProtection="1"/>
    <xf numFmtId="37" fontId="0" fillId="0" borderId="0" xfId="0" applyNumberFormat="1" applyFont="1" applyFill="1" applyBorder="1" applyProtection="1"/>
    <xf numFmtId="169" fontId="0" fillId="0" borderId="0" xfId="0" applyNumberFormat="1" applyFont="1" applyFill="1" applyBorder="1" applyProtection="1"/>
    <xf numFmtId="10" fontId="40" fillId="0" borderId="0" xfId="0" applyNumberFormat="1" applyFont="1" applyFill="1" applyBorder="1" applyProtection="1"/>
    <xf numFmtId="7" fontId="15" fillId="0" borderId="0" xfId="0" applyNumberFormat="1" applyFont="1" applyFill="1" applyProtection="1"/>
    <xf numFmtId="37" fontId="30" fillId="0" borderId="0" xfId="0" applyNumberFormat="1" applyFont="1" applyFill="1" applyProtection="1"/>
    <xf numFmtId="7" fontId="12" fillId="0" borderId="0" xfId="0" applyNumberFormat="1" applyFont="1" applyFill="1" applyProtection="1">
      <protection locked="0"/>
    </xf>
    <xf numFmtId="7" fontId="40" fillId="0" borderId="0" xfId="0" applyNumberFormat="1" applyFont="1" applyFill="1" applyProtection="1"/>
    <xf numFmtId="178" fontId="12" fillId="0" borderId="0" xfId="1" applyNumberFormat="1" applyFont="1" applyFill="1" applyProtection="1">
      <protection locked="0"/>
    </xf>
    <xf numFmtId="173" fontId="0" fillId="0" borderId="0" xfId="0" applyNumberFormat="1" applyFont="1" applyFill="1" applyProtection="1"/>
    <xf numFmtId="170" fontId="13" fillId="0" borderId="0" xfId="0" applyNumberFormat="1" applyFont="1" applyFill="1" applyProtection="1"/>
    <xf numFmtId="0" fontId="17" fillId="0" borderId="0" xfId="0" applyFont="1" applyFill="1" applyProtection="1"/>
    <xf numFmtId="5" fontId="30" fillId="0" borderId="0" xfId="0" applyNumberFormat="1" applyFont="1" applyFill="1" applyProtection="1"/>
    <xf numFmtId="186" fontId="0" fillId="0" borderId="0" xfId="0" applyNumberFormat="1" applyFont="1" applyFill="1" applyProtection="1"/>
    <xf numFmtId="7" fontId="16" fillId="0" borderId="0" xfId="0" applyNumberFormat="1" applyFont="1" applyFill="1" applyProtection="1"/>
    <xf numFmtId="5" fontId="40" fillId="0" borderId="0" xfId="0" applyNumberFormat="1" applyFont="1" applyFill="1" applyProtection="1"/>
    <xf numFmtId="173" fontId="0" fillId="0" borderId="0" xfId="0" applyNumberFormat="1" applyFont="1" applyFill="1"/>
    <xf numFmtId="37" fontId="10" fillId="0" borderId="22" xfId="0" applyNumberFormat="1" applyFont="1" applyFill="1" applyBorder="1" applyProtection="1"/>
    <xf numFmtId="185" fontId="0" fillId="0" borderId="0" xfId="0" applyNumberFormat="1" applyFont="1" applyFill="1" applyProtection="1"/>
    <xf numFmtId="44" fontId="16" fillId="0" borderId="0" xfId="2" applyFont="1" applyFill="1"/>
    <xf numFmtId="7" fontId="16" fillId="0" borderId="0" xfId="0" applyNumberFormat="1" applyFont="1" applyFill="1" applyProtection="1">
      <protection locked="0"/>
    </xf>
    <xf numFmtId="177" fontId="30" fillId="0" borderId="0" xfId="0" applyNumberFormat="1" applyFont="1" applyFill="1" applyProtection="1">
      <protection locked="0"/>
    </xf>
    <xf numFmtId="171" fontId="0" fillId="0" borderId="0" xfId="0" applyNumberFormat="1" applyFill="1"/>
    <xf numFmtId="5" fontId="40" fillId="0" borderId="0" xfId="0" applyNumberFormat="1" applyFont="1" applyFill="1" applyProtection="1">
      <protection locked="0"/>
    </xf>
    <xf numFmtId="0" fontId="40" fillId="0" borderId="0" xfId="0" applyFont="1" applyFill="1" applyProtection="1">
      <protection locked="0"/>
    </xf>
    <xf numFmtId="179" fontId="10" fillId="0" borderId="0" xfId="0" applyNumberFormat="1" applyFont="1" applyFill="1" applyProtection="1">
      <protection locked="0"/>
    </xf>
    <xf numFmtId="184" fontId="10" fillId="0" borderId="0" xfId="0" applyNumberFormat="1" applyFont="1" applyFill="1" applyProtection="1">
      <protection locked="0"/>
    </xf>
    <xf numFmtId="4" fontId="0" fillId="0" borderId="0" xfId="0" applyNumberFormat="1" applyFill="1"/>
    <xf numFmtId="194" fontId="16" fillId="0" borderId="0" xfId="1" applyNumberFormat="1" applyFont="1" applyFill="1"/>
    <xf numFmtId="181" fontId="10" fillId="0" borderId="0" xfId="0" applyNumberFormat="1" applyFont="1" applyFill="1" applyProtection="1"/>
    <xf numFmtId="5" fontId="10" fillId="0" borderId="0" xfId="0" applyNumberFormat="1" applyFont="1" applyFill="1"/>
    <xf numFmtId="7" fontId="10" fillId="0" borderId="0" xfId="0" applyNumberFormat="1" applyFont="1" applyFill="1" applyProtection="1"/>
    <xf numFmtId="182" fontId="10" fillId="0" borderId="0" xfId="0" applyNumberFormat="1" applyFont="1" applyFill="1" applyProtection="1"/>
    <xf numFmtId="175" fontId="30" fillId="0" borderId="0" xfId="0" applyNumberFormat="1" applyFont="1" applyFill="1" applyProtection="1"/>
    <xf numFmtId="178" fontId="30" fillId="0" borderId="0" xfId="1" applyNumberFormat="1" applyFont="1" applyFill="1" applyProtection="1"/>
    <xf numFmtId="7" fontId="12" fillId="0" borderId="0" xfId="0" applyNumberFormat="1" applyFont="1" applyFill="1" applyProtection="1"/>
    <xf numFmtId="175" fontId="12" fillId="0" borderId="0" xfId="0" applyNumberFormat="1" applyFont="1" applyFill="1" applyProtection="1"/>
    <xf numFmtId="169" fontId="0" fillId="0" borderId="0" xfId="0" applyNumberFormat="1" applyFill="1" applyBorder="1" applyProtection="1"/>
    <xf numFmtId="179" fontId="12" fillId="0" borderId="0" xfId="0" applyNumberFormat="1" applyFont="1" applyFill="1" applyProtection="1"/>
    <xf numFmtId="170" fontId="12" fillId="0" borderId="0" xfId="0" applyNumberFormat="1" applyFont="1" applyFill="1" applyProtection="1"/>
    <xf numFmtId="169" fontId="12" fillId="0" borderId="0" xfId="0" applyNumberFormat="1" applyFont="1" applyFill="1" applyProtection="1"/>
    <xf numFmtId="177" fontId="12" fillId="0" borderId="0" xfId="0" applyNumberFormat="1" applyFont="1" applyFill="1" applyProtection="1"/>
    <xf numFmtId="182" fontId="0" fillId="0" borderId="0" xfId="0" applyNumberFormat="1" applyFont="1" applyFill="1" applyProtection="1"/>
    <xf numFmtId="175" fontId="0" fillId="0" borderId="0" xfId="0" applyNumberFormat="1" applyFont="1" applyFill="1"/>
    <xf numFmtId="37" fontId="10" fillId="0" borderId="21" xfId="0" applyNumberFormat="1" applyFont="1" applyFill="1" applyBorder="1" applyProtection="1"/>
    <xf numFmtId="169" fontId="0" fillId="0" borderId="0" xfId="0" applyNumberFormat="1" applyFill="1"/>
    <xf numFmtId="179" fontId="30" fillId="0" borderId="0" xfId="0" applyNumberFormat="1" applyFont="1" applyFill="1" applyProtection="1"/>
    <xf numFmtId="3" fontId="40" fillId="0" borderId="0" xfId="0" applyNumberFormat="1" applyFont="1" applyFill="1"/>
    <xf numFmtId="188" fontId="41" fillId="0" borderId="0" xfId="6" applyNumberFormat="1" applyFont="1" applyFill="1"/>
    <xf numFmtId="167" fontId="41" fillId="0" borderId="13" xfId="1" applyNumberFormat="1" applyFont="1" applyFill="1" applyBorder="1"/>
    <xf numFmtId="3" fontId="0" fillId="0" borderId="10" xfId="0" applyNumberFormat="1" applyFill="1" applyBorder="1"/>
    <xf numFmtId="44" fontId="41" fillId="0" borderId="10" xfId="6" applyNumberFormat="1" applyFont="1" applyFill="1" applyBorder="1"/>
    <xf numFmtId="7" fontId="41" fillId="0" borderId="15" xfId="6" applyNumberFormat="1" applyFont="1" applyFill="1" applyBorder="1" applyAlignment="1">
      <alignment horizontal="right"/>
    </xf>
    <xf numFmtId="167" fontId="41" fillId="0" borderId="2" xfId="1" applyNumberFormat="1" applyFont="1" applyFill="1" applyBorder="1"/>
    <xf numFmtId="44" fontId="41" fillId="0" borderId="0" xfId="6" applyNumberFormat="1" applyFont="1" applyFill="1" applyBorder="1"/>
    <xf numFmtId="7" fontId="41" fillId="0" borderId="1" xfId="6" applyNumberFormat="1" applyFont="1" applyFill="1" applyBorder="1" applyAlignment="1">
      <alignment horizontal="right"/>
    </xf>
    <xf numFmtId="5" fontId="16" fillId="0" borderId="0" xfId="2" applyNumberFormat="1" applyFont="1" applyFill="1" applyBorder="1"/>
    <xf numFmtId="7" fontId="41" fillId="0" borderId="1" xfId="6" applyNumberFormat="1" applyFont="1" applyFill="1" applyBorder="1"/>
    <xf numFmtId="7" fontId="41" fillId="0" borderId="9" xfId="6" applyNumberFormat="1" applyFont="1" applyFill="1" applyBorder="1"/>
    <xf numFmtId="44" fontId="41" fillId="0" borderId="4" xfId="6" applyNumberFormat="1" applyFont="1" applyFill="1" applyBorder="1"/>
    <xf numFmtId="0" fontId="0" fillId="0" borderId="5" xfId="0" applyFill="1" applyBorder="1"/>
    <xf numFmtId="5" fontId="41" fillId="0" borderId="0" xfId="6" applyNumberFormat="1" applyFont="1" applyFill="1" applyBorder="1" applyAlignment="1">
      <alignment horizontal="right"/>
    </xf>
    <xf numFmtId="5" fontId="41" fillId="0" borderId="0" xfId="6" applyNumberFormat="1" applyFont="1" applyFill="1" applyBorder="1"/>
    <xf numFmtId="5" fontId="12" fillId="0" borderId="0" xfId="0" applyNumberFormat="1" applyFont="1" applyFill="1" applyProtection="1"/>
    <xf numFmtId="0" fontId="30" fillId="0" borderId="0" xfId="0" applyFont="1" applyFill="1" applyProtection="1"/>
    <xf numFmtId="5" fontId="10" fillId="0" borderId="0" xfId="0" applyNumberFormat="1" applyFont="1" applyFill="1" applyAlignment="1" applyProtection="1">
      <alignment horizontal="right"/>
    </xf>
    <xf numFmtId="183" fontId="10" fillId="0" borderId="0" xfId="0" applyNumberFormat="1" applyFont="1" applyFill="1" applyProtection="1"/>
    <xf numFmtId="5" fontId="0" fillId="0" borderId="0" xfId="0" applyNumberFormat="1" applyFill="1" applyBorder="1"/>
    <xf numFmtId="179" fontId="10" fillId="0" borderId="21" xfId="0" applyNumberFormat="1" applyFont="1" applyFill="1" applyBorder="1" applyProtection="1"/>
    <xf numFmtId="0" fontId="10" fillId="0" borderId="21" xfId="0" applyFont="1" applyFill="1" applyBorder="1" applyProtection="1"/>
    <xf numFmtId="179" fontId="10" fillId="0" borderId="0" xfId="0" applyNumberFormat="1" applyFont="1" applyFill="1" applyProtection="1"/>
    <xf numFmtId="191" fontId="16" fillId="0" borderId="0" xfId="10" applyNumberFormat="1" applyFont="1" applyFill="1" applyBorder="1"/>
    <xf numFmtId="0" fontId="15" fillId="0" borderId="0" xfId="0" applyFont="1" applyFill="1" applyProtection="1"/>
    <xf numFmtId="179" fontId="10" fillId="0" borderId="0" xfId="0" applyNumberFormat="1" applyFont="1" applyFill="1" applyBorder="1" applyProtection="1"/>
    <xf numFmtId="195" fontId="16" fillId="0" borderId="0" xfId="10" applyNumberFormat="1" applyFont="1" applyFill="1" applyBorder="1"/>
    <xf numFmtId="175" fontId="15" fillId="0" borderId="0" xfId="0" applyNumberFormat="1" applyFont="1" applyFill="1" applyProtection="1"/>
    <xf numFmtId="9" fontId="16" fillId="0" borderId="0" xfId="10" applyFont="1" applyFill="1" applyBorder="1"/>
    <xf numFmtId="0" fontId="13" fillId="0" borderId="0" xfId="0" applyFont="1" applyFill="1" applyProtection="1"/>
    <xf numFmtId="0" fontId="0" fillId="0" borderId="11" xfId="0" applyFill="1" applyBorder="1" applyProtection="1"/>
    <xf numFmtId="5" fontId="10" fillId="0" borderId="11" xfId="0" applyNumberFormat="1" applyFont="1" applyFill="1" applyBorder="1" applyAlignment="1" applyProtection="1">
      <alignment horizontal="right"/>
    </xf>
    <xf numFmtId="7" fontId="0" fillId="0" borderId="0" xfId="0" applyNumberFormat="1" applyFill="1" applyBorder="1"/>
    <xf numFmtId="0" fontId="11" fillId="0" borderId="0" xfId="0" applyFont="1" applyFill="1"/>
    <xf numFmtId="43" fontId="41" fillId="0" borderId="0" xfId="1" applyNumberFormat="1" applyFont="1" applyFill="1" applyBorder="1"/>
    <xf numFmtId="0" fontId="31" fillId="0" borderId="0" xfId="0" applyFont="1" applyFill="1" applyBorder="1"/>
    <xf numFmtId="0" fontId="13" fillId="0" borderId="0" xfId="0" applyFont="1" applyFill="1"/>
    <xf numFmtId="3" fontId="0" fillId="0" borderId="2" xfId="0" applyNumberFormat="1" applyFill="1" applyBorder="1"/>
    <xf numFmtId="43" fontId="0" fillId="0" borderId="0" xfId="0" applyNumberFormat="1" applyFill="1" applyBorder="1"/>
    <xf numFmtId="7" fontId="30" fillId="0" borderId="1" xfId="0" applyNumberFormat="1" applyFont="1" applyFill="1" applyBorder="1"/>
    <xf numFmtId="10" fontId="16" fillId="0" borderId="0" xfId="10" applyNumberFormat="1" applyFont="1" applyFill="1" applyBorder="1"/>
    <xf numFmtId="5" fontId="30" fillId="0" borderId="1" xfId="0" applyNumberFormat="1" applyFont="1" applyFill="1" applyBorder="1"/>
    <xf numFmtId="7" fontId="16" fillId="0" borderId="0" xfId="2" applyNumberFormat="1" applyFont="1" applyFill="1"/>
    <xf numFmtId="44" fontId="16" fillId="0" borderId="0" xfId="2" applyFont="1" applyFill="1" applyBorder="1"/>
    <xf numFmtId="167" fontId="41" fillId="0" borderId="9" xfId="1" applyNumberFormat="1" applyFont="1" applyFill="1" applyBorder="1"/>
    <xf numFmtId="197" fontId="16" fillId="0" borderId="4" xfId="2" applyNumberFormat="1" applyFont="1" applyFill="1" applyBorder="1"/>
    <xf numFmtId="7" fontId="41" fillId="0" borderId="5" xfId="6" applyNumberFormat="1" applyFont="1" applyFill="1" applyBorder="1"/>
    <xf numFmtId="10" fontId="43" fillId="0" borderId="0" xfId="6" applyNumberFormat="1" applyFont="1" applyFill="1" applyBorder="1"/>
    <xf numFmtId="37" fontId="16" fillId="0" borderId="0" xfId="0" applyNumberFormat="1" applyFont="1" applyFill="1" applyProtection="1"/>
    <xf numFmtId="7" fontId="44" fillId="0" borderId="0" xfId="0" applyNumberFormat="1" applyFont="1" applyFill="1" applyProtection="1"/>
    <xf numFmtId="0" fontId="12" fillId="0" borderId="0" xfId="0" applyFont="1" applyFill="1" applyBorder="1" applyProtection="1"/>
    <xf numFmtId="180" fontId="12" fillId="0" borderId="0" xfId="0" applyNumberFormat="1" applyFont="1" applyFill="1" applyProtection="1"/>
    <xf numFmtId="37" fontId="12" fillId="0" borderId="23" xfId="0" applyNumberFormat="1" applyFont="1" applyFill="1" applyBorder="1" applyProtection="1"/>
    <xf numFmtId="5" fontId="13" fillId="0" borderId="23" xfId="0" applyNumberFormat="1" applyFont="1" applyFill="1" applyBorder="1" applyProtection="1"/>
    <xf numFmtId="5" fontId="12" fillId="0" borderId="23" xfId="0" applyNumberFormat="1" applyFont="1" applyFill="1" applyBorder="1" applyProtection="1"/>
    <xf numFmtId="167" fontId="15" fillId="0" borderId="0" xfId="1" applyNumberFormat="1" applyFont="1" applyFill="1" applyBorder="1"/>
    <xf numFmtId="37" fontId="10" fillId="0" borderId="10" xfId="0" applyNumberFormat="1" applyFont="1" applyFill="1" applyBorder="1" applyProtection="1"/>
    <xf numFmtId="7" fontId="30" fillId="0" borderId="10" xfId="0" applyNumberFormat="1" applyFont="1" applyFill="1" applyBorder="1" applyProtection="1"/>
    <xf numFmtId="5" fontId="10" fillId="0" borderId="10" xfId="0" applyNumberFormat="1" applyFont="1" applyFill="1" applyBorder="1" applyProtection="1"/>
    <xf numFmtId="7" fontId="15" fillId="0" borderId="10" xfId="0" applyNumberFormat="1" applyFont="1" applyFill="1" applyBorder="1" applyProtection="1"/>
    <xf numFmtId="0" fontId="10" fillId="0" borderId="10" xfId="0" applyFont="1" applyFill="1" applyBorder="1" applyProtection="1"/>
    <xf numFmtId="5" fontId="15" fillId="0" borderId="0" xfId="0" applyNumberFormat="1" applyFont="1" applyFill="1" applyBorder="1"/>
    <xf numFmtId="0" fontId="11" fillId="0" borderId="0" xfId="0" applyFont="1" applyFill="1" applyBorder="1" applyProtection="1"/>
    <xf numFmtId="180" fontId="11" fillId="0" borderId="0" xfId="0" applyNumberFormat="1" applyFont="1" applyFill="1" applyProtection="1"/>
    <xf numFmtId="37" fontId="11" fillId="0" borderId="23" xfId="0" applyNumberFormat="1" applyFont="1" applyFill="1" applyBorder="1" applyProtection="1"/>
    <xf numFmtId="167" fontId="45" fillId="0" borderId="23" xfId="1" applyNumberFormat="1" applyFont="1" applyFill="1" applyBorder="1" applyProtection="1"/>
    <xf numFmtId="5" fontId="11" fillId="0" borderId="23" xfId="0" applyNumberFormat="1" applyFont="1" applyFill="1" applyBorder="1" applyProtection="1"/>
    <xf numFmtId="166" fontId="11" fillId="0" borderId="23" xfId="2" applyNumberFormat="1" applyFont="1" applyFill="1" applyBorder="1" applyProtection="1"/>
    <xf numFmtId="7" fontId="45" fillId="0" borderId="23" xfId="0" applyNumberFormat="1" applyFont="1" applyFill="1" applyBorder="1" applyProtection="1"/>
    <xf numFmtId="166" fontId="30" fillId="0" borderId="0" xfId="0" applyNumberFormat="1" applyFont="1" applyFill="1" applyProtection="1"/>
    <xf numFmtId="37" fontId="12" fillId="0" borderId="0" xfId="0" applyNumberFormat="1" applyFont="1" applyFill="1" applyBorder="1" applyProtection="1"/>
    <xf numFmtId="189" fontId="16" fillId="0" borderId="0" xfId="2" applyNumberFormat="1" applyFont="1" applyFill="1"/>
    <xf numFmtId="0" fontId="46" fillId="0" borderId="0" xfId="0" applyFont="1" applyFill="1" applyProtection="1"/>
    <xf numFmtId="10" fontId="41" fillId="0" borderId="0" xfId="10" applyNumberFormat="1" applyFont="1" applyFill="1" applyBorder="1"/>
    <xf numFmtId="0" fontId="0" fillId="0" borderId="0" xfId="0" applyFill="1" applyBorder="1" applyAlignment="1">
      <alignment horizontal="right"/>
    </xf>
    <xf numFmtId="167" fontId="16" fillId="0" borderId="22" xfId="1" applyNumberFormat="1" applyFont="1" applyFill="1" applyBorder="1" applyProtection="1"/>
    <xf numFmtId="167" fontId="16" fillId="0" borderId="0" xfId="1" applyNumberFormat="1" applyFont="1" applyFill="1" applyBorder="1"/>
    <xf numFmtId="170" fontId="15" fillId="0" borderId="0" xfId="0" applyNumberFormat="1" applyFont="1" applyFill="1" applyProtection="1"/>
    <xf numFmtId="43" fontId="30" fillId="0" borderId="0" xfId="1" applyNumberFormat="1" applyFont="1" applyFill="1" applyProtection="1">
      <protection locked="0"/>
    </xf>
    <xf numFmtId="4" fontId="0" fillId="0" borderId="0" xfId="0" applyNumberFormat="1" applyFill="1" applyBorder="1"/>
    <xf numFmtId="167" fontId="10" fillId="0" borderId="0" xfId="1" applyNumberFormat="1" applyFont="1" applyFill="1" applyBorder="1" applyProtection="1"/>
    <xf numFmtId="43" fontId="30" fillId="0" borderId="0" xfId="1" applyNumberFormat="1" applyFont="1" applyFill="1" applyProtection="1"/>
    <xf numFmtId="5" fontId="11" fillId="0" borderId="10" xfId="0" applyNumberFormat="1" applyFont="1" applyFill="1" applyBorder="1" applyProtection="1"/>
    <xf numFmtId="0" fontId="47" fillId="0" borderId="0" xfId="8" applyFont="1" applyFill="1"/>
    <xf numFmtId="0" fontId="27" fillId="0" borderId="0" xfId="8" applyFont="1" applyFill="1"/>
    <xf numFmtId="0" fontId="27" fillId="0" borderId="0" xfId="8" applyFont="1" applyFill="1" applyAlignment="1">
      <alignment horizontal="centerContinuous"/>
    </xf>
    <xf numFmtId="0" fontId="48" fillId="0" borderId="0" xfId="8" applyFont="1" applyFill="1" applyBorder="1" applyAlignment="1">
      <alignment horizontal="centerContinuous"/>
    </xf>
    <xf numFmtId="0" fontId="48" fillId="0" borderId="0" xfId="8" applyFont="1" applyFill="1" applyAlignment="1">
      <alignment horizontal="centerContinuous"/>
    </xf>
    <xf numFmtId="0" fontId="47" fillId="0" borderId="0" xfId="8" applyFont="1" applyFill="1" applyAlignment="1">
      <alignment horizontal="centerContinuous"/>
    </xf>
    <xf numFmtId="0" fontId="47" fillId="0" borderId="4" xfId="8" applyFont="1" applyFill="1" applyBorder="1" applyAlignment="1">
      <alignment horizontal="centerContinuous"/>
    </xf>
    <xf numFmtId="0" fontId="26" fillId="0" borderId="0" xfId="8" applyFill="1"/>
    <xf numFmtId="0" fontId="47" fillId="0" borderId="0" xfId="8" applyFont="1" applyFill="1" applyBorder="1" applyAlignment="1">
      <alignment horizontal="center"/>
    </xf>
    <xf numFmtId="0" fontId="47" fillId="0" borderId="0" xfId="8" applyFont="1" applyFill="1" applyBorder="1" applyAlignment="1">
      <alignment horizontal="centerContinuous"/>
    </xf>
    <xf numFmtId="0" fontId="49" fillId="0" borderId="24" xfId="8" applyFont="1" applyFill="1" applyBorder="1"/>
    <xf numFmtId="0" fontId="49" fillId="0" borderId="25" xfId="8" applyFont="1" applyFill="1" applyBorder="1"/>
    <xf numFmtId="0" fontId="47" fillId="0" borderId="4" xfId="8" applyFont="1" applyFill="1" applyBorder="1" applyAlignment="1">
      <alignment horizontal="center"/>
    </xf>
    <xf numFmtId="0" fontId="47" fillId="0" borderId="11" xfId="8" applyFont="1" applyFill="1" applyBorder="1" applyAlignment="1">
      <alignment horizontal="centerContinuous"/>
    </xf>
    <xf numFmtId="0" fontId="28" fillId="0" borderId="0" xfId="8" applyFont="1" applyFill="1"/>
    <xf numFmtId="0" fontId="47" fillId="0" borderId="4" xfId="8" applyFont="1" applyFill="1" applyBorder="1"/>
    <xf numFmtId="0" fontId="49" fillId="0" borderId="26" xfId="8" applyFont="1" applyFill="1" applyBorder="1"/>
    <xf numFmtId="7" fontId="50" fillId="0" borderId="27" xfId="8" applyNumberFormat="1" applyFont="1" applyFill="1" applyBorder="1"/>
    <xf numFmtId="0" fontId="51" fillId="0" borderId="0" xfId="8" applyFont="1" applyFill="1"/>
    <xf numFmtId="175" fontId="50" fillId="0" borderId="27" xfId="8" applyNumberFormat="1" applyFont="1" applyFill="1" applyBorder="1"/>
    <xf numFmtId="43" fontId="47" fillId="0" borderId="0" xfId="8" applyNumberFormat="1" applyFont="1" applyFill="1"/>
    <xf numFmtId="37" fontId="47" fillId="0" borderId="0" xfId="8" applyNumberFormat="1" applyFont="1" applyFill="1" applyProtection="1"/>
    <xf numFmtId="7" fontId="26" fillId="0" borderId="0" xfId="8" applyNumberFormat="1" applyFill="1"/>
    <xf numFmtId="7" fontId="47" fillId="0" borderId="0" xfId="8" applyNumberFormat="1" applyFont="1" applyFill="1"/>
    <xf numFmtId="10" fontId="47" fillId="0" borderId="0" xfId="8" applyNumberFormat="1" applyFont="1" applyFill="1" applyProtection="1"/>
    <xf numFmtId="0" fontId="49" fillId="0" borderId="28" xfId="8" applyFont="1" applyFill="1" applyBorder="1"/>
    <xf numFmtId="175" fontId="50" fillId="0" borderId="29" xfId="8" applyNumberFormat="1" applyFont="1" applyFill="1" applyBorder="1"/>
    <xf numFmtId="0" fontId="49" fillId="0" borderId="0" xfId="8" applyFont="1" applyFill="1"/>
    <xf numFmtId="175" fontId="49" fillId="0" borderId="0" xfId="8" applyNumberFormat="1" applyFont="1" applyFill="1"/>
    <xf numFmtId="0" fontId="47" fillId="0" borderId="0" xfId="8" applyFont="1" applyFill="1" applyBorder="1"/>
    <xf numFmtId="7" fontId="47" fillId="0" borderId="0" xfId="8" applyNumberFormat="1" applyFont="1" applyFill="1" applyProtection="1"/>
    <xf numFmtId="169" fontId="49" fillId="0" borderId="0" xfId="8" applyNumberFormat="1" applyFont="1" applyFill="1"/>
    <xf numFmtId="184" fontId="47" fillId="0" borderId="0" xfId="8" applyNumberFormat="1" applyFont="1" applyFill="1" applyProtection="1"/>
    <xf numFmtId="37" fontId="47" fillId="0" borderId="4" xfId="8" applyNumberFormat="1" applyFont="1" applyFill="1" applyBorder="1" applyProtection="1"/>
    <xf numFmtId="7" fontId="47" fillId="0" borderId="4" xfId="8" applyNumberFormat="1" applyFont="1" applyFill="1" applyBorder="1" applyProtection="1"/>
    <xf numFmtId="184" fontId="47" fillId="0" borderId="4" xfId="8" applyNumberFormat="1" applyFont="1" applyFill="1" applyBorder="1" applyProtection="1"/>
    <xf numFmtId="0" fontId="18" fillId="0" borderId="0" xfId="8" applyFont="1" applyFill="1"/>
    <xf numFmtId="0" fontId="18" fillId="0" borderId="0" xfId="8" quotePrefix="1" applyFont="1" applyFill="1" applyBorder="1" applyAlignment="1">
      <alignment horizontal="left"/>
    </xf>
    <xf numFmtId="5" fontId="47" fillId="0" borderId="0" xfId="8" applyNumberFormat="1" applyFont="1" applyFill="1"/>
    <xf numFmtId="0" fontId="47" fillId="0" borderId="0" xfId="8" applyFont="1" applyFill="1" applyAlignment="1" applyProtection="1">
      <alignment horizontal="left"/>
    </xf>
    <xf numFmtId="44" fontId="47" fillId="0" borderId="0" xfId="2" applyFont="1" applyFill="1"/>
    <xf numFmtId="0" fontId="47" fillId="0" borderId="0" xfId="8" applyFont="1" applyFill="1" applyProtection="1"/>
    <xf numFmtId="0" fontId="27" fillId="0" borderId="0" xfId="8" applyFont="1" applyFill="1" applyAlignment="1" applyProtection="1">
      <alignment horizontal="centerContinuous"/>
    </xf>
    <xf numFmtId="0" fontId="48" fillId="0" borderId="0" xfId="8" applyFont="1" applyFill="1" applyBorder="1" applyAlignment="1" applyProtection="1">
      <alignment horizontal="center"/>
    </xf>
    <xf numFmtId="0" fontId="19" fillId="0" borderId="0" xfId="8" applyFont="1" applyFill="1" applyAlignment="1" applyProtection="1">
      <alignment horizontal="centerContinuous"/>
    </xf>
    <xf numFmtId="0" fontId="19" fillId="0" borderId="0" xfId="8" applyFont="1" applyFill="1" applyAlignment="1">
      <alignment horizontal="centerContinuous"/>
    </xf>
    <xf numFmtId="0" fontId="52" fillId="0" borderId="0" xfId="8" applyFont="1" applyFill="1" applyAlignment="1" applyProtection="1">
      <alignment horizontal="centerContinuous"/>
    </xf>
    <xf numFmtId="0" fontId="47" fillId="0" borderId="0" xfId="8" applyFont="1" applyFill="1" applyAlignment="1" applyProtection="1">
      <alignment horizontal="centerContinuous"/>
    </xf>
    <xf numFmtId="0" fontId="47" fillId="0" borderId="0" xfId="8" applyFont="1" applyFill="1" applyAlignment="1" applyProtection="1"/>
    <xf numFmtId="0" fontId="15" fillId="0" borderId="0" xfId="8" applyFont="1" applyFill="1" applyAlignment="1" applyProtection="1">
      <alignment horizontal="center"/>
    </xf>
    <xf numFmtId="0" fontId="15" fillId="0" borderId="0" xfId="8" applyFont="1" applyFill="1" applyProtection="1"/>
    <xf numFmtId="0" fontId="15" fillId="0" borderId="11" xfId="8" applyFont="1" applyFill="1" applyBorder="1" applyAlignment="1" applyProtection="1">
      <alignment horizontal="centerContinuous"/>
    </xf>
    <xf numFmtId="0" fontId="15" fillId="0" borderId="0" xfId="8" applyFont="1" applyFill="1" applyAlignment="1" applyProtection="1">
      <alignment horizontal="centerContinuous"/>
    </xf>
    <xf numFmtId="0" fontId="15" fillId="0" borderId="0" xfId="8" applyFont="1" applyFill="1"/>
    <xf numFmtId="0" fontId="15" fillId="0" borderId="0" xfId="8" applyFont="1" applyFill="1" applyBorder="1" applyAlignment="1" applyProtection="1">
      <alignment horizontal="center"/>
    </xf>
    <xf numFmtId="0" fontId="15" fillId="0" borderId="4" xfId="8" applyFont="1" applyFill="1" applyBorder="1" applyAlignment="1" applyProtection="1">
      <alignment horizontal="centerContinuous"/>
    </xf>
    <xf numFmtId="0" fontId="15" fillId="0" borderId="0" xfId="8" applyFont="1" applyFill="1" applyAlignment="1" applyProtection="1"/>
    <xf numFmtId="0" fontId="15" fillId="0" borderId="4" xfId="8" applyFont="1" applyFill="1" applyBorder="1" applyAlignment="1" applyProtection="1">
      <alignment horizontal="center"/>
    </xf>
    <xf numFmtId="0" fontId="14" fillId="0" borderId="0" xfId="8" applyFont="1" applyFill="1" applyProtection="1"/>
    <xf numFmtId="0" fontId="14" fillId="0" borderId="0" xfId="8" applyFont="1" applyFill="1" applyAlignment="1" applyProtection="1">
      <alignment horizontal="center"/>
    </xf>
    <xf numFmtId="0" fontId="15" fillId="0" borderId="11" xfId="8" applyFont="1" applyFill="1" applyBorder="1" applyAlignment="1" applyProtection="1">
      <alignment horizontal="center"/>
    </xf>
    <xf numFmtId="0" fontId="15" fillId="0" borderId="0" xfId="8" applyFont="1" applyFill="1" applyBorder="1" applyProtection="1"/>
    <xf numFmtId="0" fontId="47" fillId="0" borderId="24" xfId="8" applyFont="1" applyFill="1" applyBorder="1"/>
    <xf numFmtId="0" fontId="47" fillId="0" borderId="30" xfId="8" applyFont="1" applyFill="1" applyBorder="1"/>
    <xf numFmtId="0" fontId="47" fillId="0" borderId="25" xfId="8" applyFont="1" applyFill="1" applyBorder="1"/>
    <xf numFmtId="0" fontId="47" fillId="0" borderId="26" xfId="8" applyFont="1" applyFill="1" applyBorder="1"/>
    <xf numFmtId="0" fontId="47" fillId="0" borderId="27" xfId="8" applyFont="1" applyFill="1" applyBorder="1"/>
    <xf numFmtId="37" fontId="15" fillId="0" borderId="0" xfId="8" applyNumberFormat="1" applyFont="1" applyFill="1" applyProtection="1"/>
    <xf numFmtId="169" fontId="15" fillId="0" borderId="0" xfId="10" applyNumberFormat="1" applyFont="1" applyFill="1" applyProtection="1"/>
    <xf numFmtId="5" fontId="15" fillId="0" borderId="0" xfId="8" applyNumberFormat="1" applyFont="1" applyFill="1" applyProtection="1"/>
    <xf numFmtId="10" fontId="15" fillId="0" borderId="0" xfId="8" applyNumberFormat="1" applyFont="1" applyFill="1" applyProtection="1"/>
    <xf numFmtId="7" fontId="50" fillId="0" borderId="0" xfId="8" applyNumberFormat="1" applyFont="1" applyFill="1" applyBorder="1"/>
    <xf numFmtId="0" fontId="50" fillId="0" borderId="0" xfId="8" applyFont="1" applyFill="1" applyBorder="1"/>
    <xf numFmtId="7" fontId="47" fillId="0" borderId="0" xfId="2" applyNumberFormat="1" applyFont="1" applyFill="1"/>
    <xf numFmtId="7" fontId="49" fillId="0" borderId="0" xfId="8" applyNumberFormat="1" applyFont="1" applyFill="1" applyBorder="1"/>
    <xf numFmtId="0" fontId="47" fillId="0" borderId="26" xfId="8" applyFont="1" applyFill="1" applyBorder="1" applyAlignment="1">
      <alignment horizontal="right"/>
    </xf>
    <xf numFmtId="167" fontId="49" fillId="0" borderId="0" xfId="1" applyNumberFormat="1" applyFont="1" applyFill="1" applyBorder="1" applyAlignment="1">
      <alignment horizontal="right"/>
    </xf>
    <xf numFmtId="0" fontId="50" fillId="0" borderId="27" xfId="8" applyFont="1" applyFill="1" applyBorder="1"/>
    <xf numFmtId="0" fontId="47" fillId="0" borderId="0" xfId="8" applyFont="1" applyFill="1" applyBorder="1" applyAlignment="1">
      <alignment horizontal="right"/>
    </xf>
    <xf numFmtId="5" fontId="15" fillId="0" borderId="0" xfId="8" applyNumberFormat="1" applyFont="1" applyFill="1"/>
    <xf numFmtId="178" fontId="50" fillId="0" borderId="0" xfId="1" applyNumberFormat="1" applyFont="1" applyFill="1" applyBorder="1"/>
    <xf numFmtId="178" fontId="50" fillId="0" borderId="27" xfId="1" applyNumberFormat="1" applyFont="1" applyFill="1" applyBorder="1"/>
    <xf numFmtId="0" fontId="49" fillId="0" borderId="31" xfId="8" applyFont="1" applyFill="1" applyBorder="1"/>
    <xf numFmtId="0" fontId="49" fillId="0" borderId="29" xfId="8" applyFont="1" applyFill="1" applyBorder="1"/>
    <xf numFmtId="175" fontId="47" fillId="0" borderId="0" xfId="8" applyNumberFormat="1" applyFont="1" applyFill="1"/>
    <xf numFmtId="178" fontId="15" fillId="0" borderId="0" xfId="1" applyNumberFormat="1" applyFont="1" applyFill="1" applyProtection="1"/>
    <xf numFmtId="0" fontId="15" fillId="0" borderId="0" xfId="8" applyFont="1" applyFill="1" applyBorder="1"/>
    <xf numFmtId="169" fontId="15" fillId="0" borderId="0" xfId="10" applyNumberFormat="1" applyFont="1" applyFill="1" applyBorder="1" applyProtection="1"/>
    <xf numFmtId="0" fontId="18" fillId="0" borderId="0" xfId="8" quotePrefix="1" applyFont="1" applyFill="1"/>
    <xf numFmtId="0" fontId="48" fillId="0" borderId="0" xfId="8" applyFont="1" applyFill="1" applyBorder="1" applyAlignment="1" applyProtection="1">
      <alignment horizontal="centerContinuous"/>
    </xf>
    <xf numFmtId="0" fontId="15" fillId="0" borderId="0" xfId="8" applyFont="1" applyFill="1" applyAlignment="1">
      <alignment horizontal="center"/>
    </xf>
    <xf numFmtId="0" fontId="47" fillId="0" borderId="31" xfId="8" applyFont="1" applyFill="1" applyBorder="1"/>
    <xf numFmtId="0" fontId="15" fillId="0" borderId="0" xfId="8" applyFont="1" applyFill="1" applyAlignment="1" applyProtection="1">
      <alignment horizontal="left"/>
    </xf>
    <xf numFmtId="0" fontId="47" fillId="0" borderId="32" xfId="8" applyFont="1" applyFill="1" applyBorder="1" applyAlignment="1">
      <alignment horizontal="left"/>
    </xf>
    <xf numFmtId="0" fontId="47" fillId="0" borderId="30" xfId="8" applyFont="1" applyFill="1" applyBorder="1" applyAlignment="1">
      <alignment horizontal="centerContinuous"/>
    </xf>
    <xf numFmtId="0" fontId="47" fillId="0" borderId="25" xfId="8" applyFont="1" applyFill="1" applyBorder="1" applyAlignment="1">
      <alignment horizontal="centerContinuous"/>
    </xf>
    <xf numFmtId="0" fontId="47" fillId="0" borderId="27" xfId="8" applyFont="1" applyFill="1" applyBorder="1" applyAlignment="1">
      <alignment horizontal="center"/>
    </xf>
    <xf numFmtId="5" fontId="50" fillId="0" borderId="0" xfId="8" applyNumberFormat="1" applyFont="1" applyFill="1" applyBorder="1"/>
    <xf numFmtId="175" fontId="50" fillId="0" borderId="0" xfId="8" applyNumberFormat="1" applyFont="1" applyFill="1" applyBorder="1"/>
    <xf numFmtId="175" fontId="47" fillId="0" borderId="27" xfId="8" applyNumberFormat="1" applyFont="1" applyFill="1" applyBorder="1"/>
    <xf numFmtId="0" fontId="47" fillId="0" borderId="28" xfId="8" applyFont="1" applyFill="1" applyBorder="1"/>
    <xf numFmtId="178" fontId="49" fillId="0" borderId="31" xfId="1" applyNumberFormat="1" applyFont="1" applyFill="1" applyBorder="1"/>
    <xf numFmtId="0" fontId="47" fillId="0" borderId="29" xfId="8" applyFont="1" applyFill="1" applyBorder="1"/>
    <xf numFmtId="0" fontId="15" fillId="0" borderId="4" xfId="8" applyFont="1" applyFill="1" applyBorder="1" applyProtection="1"/>
    <xf numFmtId="0" fontId="15" fillId="0" borderId="4" xfId="8" applyFont="1" applyFill="1" applyBorder="1"/>
    <xf numFmtId="0" fontId="52" fillId="0" borderId="0" xfId="8" applyFont="1" applyFill="1" applyBorder="1" applyAlignment="1">
      <alignment horizontal="centerContinuous"/>
    </xf>
    <xf numFmtId="0" fontId="47" fillId="0" borderId="0" xfId="8" applyFont="1" applyFill="1" applyAlignment="1" applyProtection="1">
      <alignment horizontal="center"/>
    </xf>
    <xf numFmtId="0" fontId="47" fillId="0" borderId="0" xfId="8" applyFont="1" applyFill="1" applyAlignment="1">
      <alignment horizontal="center"/>
    </xf>
    <xf numFmtId="0" fontId="47" fillId="0" borderId="24" xfId="8" applyFont="1" applyFill="1" applyBorder="1" applyAlignment="1">
      <alignment horizontal="center"/>
    </xf>
    <xf numFmtId="0" fontId="47" fillId="0" borderId="0" xfId="8" applyFont="1" applyFill="1" applyBorder="1" applyAlignment="1" applyProtection="1">
      <alignment horizontal="center"/>
    </xf>
    <xf numFmtId="0" fontId="47" fillId="0" borderId="4" xfId="8" applyFont="1" applyFill="1" applyBorder="1" applyAlignment="1" applyProtection="1">
      <alignment horizontal="center"/>
    </xf>
    <xf numFmtId="0" fontId="51" fillId="0" borderId="0" xfId="8" applyFont="1" applyFill="1" applyAlignment="1">
      <alignment horizontal="center"/>
    </xf>
    <xf numFmtId="0" fontId="49" fillId="0" borderId="27" xfId="8" applyFont="1" applyFill="1" applyBorder="1"/>
    <xf numFmtId="0" fontId="49" fillId="0" borderId="0" xfId="8" applyFont="1" applyFill="1" applyBorder="1"/>
    <xf numFmtId="0" fontId="47" fillId="0" borderId="13" xfId="8" applyFont="1" applyFill="1" applyBorder="1"/>
    <xf numFmtId="0" fontId="47" fillId="0" borderId="10" xfId="8" applyFont="1" applyFill="1" applyBorder="1"/>
    <xf numFmtId="0" fontId="47" fillId="0" borderId="15" xfId="8" applyFont="1" applyFill="1" applyBorder="1"/>
    <xf numFmtId="0" fontId="51" fillId="0" borderId="0" xfId="8" applyFont="1" applyFill="1" applyBorder="1"/>
    <xf numFmtId="0" fontId="47" fillId="0" borderId="2" xfId="8" applyFont="1" applyFill="1" applyBorder="1"/>
    <xf numFmtId="7" fontId="50" fillId="0" borderId="1" xfId="8" applyNumberFormat="1" applyFont="1" applyFill="1" applyBorder="1"/>
    <xf numFmtId="5" fontId="47" fillId="0" borderId="0" xfId="8" applyNumberFormat="1" applyFont="1" applyFill="1" applyProtection="1"/>
    <xf numFmtId="5" fontId="50" fillId="0" borderId="1" xfId="8" applyNumberFormat="1" applyFont="1" applyFill="1" applyBorder="1"/>
    <xf numFmtId="0" fontId="47" fillId="0" borderId="9" xfId="8" applyFont="1" applyFill="1" applyBorder="1"/>
    <xf numFmtId="0" fontId="50" fillId="0" borderId="4" xfId="8" applyFont="1" applyFill="1" applyBorder="1"/>
    <xf numFmtId="5" fontId="50" fillId="0" borderId="5" xfId="8" applyNumberFormat="1" applyFont="1" applyFill="1" applyBorder="1"/>
    <xf numFmtId="0" fontId="18" fillId="0" borderId="0" xfId="8" quotePrefix="1" applyFont="1" applyFill="1" applyBorder="1"/>
    <xf numFmtId="10" fontId="47" fillId="0" borderId="0" xfId="10" applyNumberFormat="1" applyFont="1" applyFill="1"/>
    <xf numFmtId="0" fontId="52" fillId="0" borderId="0" xfId="8" applyFont="1" applyFill="1" applyAlignment="1">
      <alignment horizontal="centerContinuous"/>
    </xf>
    <xf numFmtId="0" fontId="47" fillId="0" borderId="24" xfId="8" applyFont="1" applyFill="1" applyBorder="1" applyAlignment="1">
      <alignment horizontal="centerContinuous"/>
    </xf>
    <xf numFmtId="43" fontId="30" fillId="0" borderId="0" xfId="1" applyFont="1" applyFill="1" applyProtection="1">
      <protection locked="0"/>
    </xf>
    <xf numFmtId="178" fontId="0" fillId="0" borderId="0" xfId="1" applyNumberFormat="1" applyFont="1" applyFill="1"/>
    <xf numFmtId="43" fontId="30" fillId="0" borderId="0" xfId="1" applyFont="1" applyFill="1" applyProtection="1"/>
    <xf numFmtId="0" fontId="0" fillId="0" borderId="0" xfId="0" applyFill="1" applyBorder="1" applyAlignment="1">
      <alignment horizontal="center"/>
    </xf>
    <xf numFmtId="167" fontId="17" fillId="0" borderId="0" xfId="1" applyNumberFormat="1" applyFont="1" applyFill="1"/>
    <xf numFmtId="167" fontId="0" fillId="0" borderId="0" xfId="0" applyNumberFormat="1" applyFill="1" applyBorder="1"/>
    <xf numFmtId="171" fontId="0" fillId="0" borderId="0" xfId="0" applyNumberFormat="1" applyFill="1" applyBorder="1"/>
    <xf numFmtId="0" fontId="13" fillId="0" borderId="0" xfId="2" applyNumberFormat="1" applyFont="1" applyFill="1"/>
    <xf numFmtId="7" fontId="30" fillId="0" borderId="0" xfId="0" applyNumberFormat="1" applyFont="1" applyFill="1" applyBorder="1"/>
    <xf numFmtId="5" fontId="30" fillId="0" borderId="0" xfId="0" applyNumberFormat="1" applyFont="1" applyFill="1" applyBorder="1"/>
    <xf numFmtId="197" fontId="16" fillId="0" borderId="0" xfId="2" applyNumberFormat="1" applyFont="1" applyFill="1" applyBorder="1"/>
    <xf numFmtId="9" fontId="16" fillId="0" borderId="0" xfId="10" applyFont="1" applyFill="1"/>
    <xf numFmtId="9" fontId="0" fillId="0" borderId="0" xfId="10" applyFont="1" applyFill="1"/>
    <xf numFmtId="9" fontId="0" fillId="0" borderId="0" xfId="0" applyNumberFormat="1" applyFill="1"/>
    <xf numFmtId="9" fontId="16" fillId="0" borderId="0" xfId="10" applyNumberFormat="1" applyFont="1" applyFill="1"/>
    <xf numFmtId="166" fontId="0" fillId="0" borderId="0" xfId="0" applyNumberFormat="1" applyFill="1" applyBorder="1"/>
    <xf numFmtId="7" fontId="0" fillId="0" borderId="0" xfId="0" applyNumberFormat="1" applyFill="1" applyProtection="1"/>
    <xf numFmtId="0" fontId="47" fillId="0" borderId="0" xfId="8" applyFont="1" applyFill="1" applyAlignment="1">
      <alignment horizontal="right"/>
    </xf>
    <xf numFmtId="10" fontId="0" fillId="0" borderId="0" xfId="0" applyNumberFormat="1" applyFill="1" applyBorder="1"/>
    <xf numFmtId="0" fontId="15" fillId="0" borderId="0" xfId="0" applyFont="1" applyFill="1" applyAlignment="1">
      <alignment horizontal="right"/>
    </xf>
    <xf numFmtId="0" fontId="11" fillId="0" borderId="0" xfId="0" applyFont="1" applyFill="1" applyAlignment="1" applyProtection="1">
      <alignment horizontal="center"/>
    </xf>
    <xf numFmtId="37" fontId="0" fillId="0" borderId="14" xfId="0" applyNumberFormat="1" applyFont="1" applyFill="1" applyBorder="1" applyProtection="1"/>
    <xf numFmtId="5" fontId="10" fillId="0" borderId="4" xfId="0" applyNumberFormat="1" applyFont="1" applyFill="1" applyBorder="1" applyProtection="1"/>
    <xf numFmtId="5" fontId="10" fillId="0" borderId="33" xfId="0" applyNumberFormat="1" applyFont="1" applyFill="1" applyBorder="1" applyProtection="1"/>
    <xf numFmtId="5" fontId="10" fillId="0" borderId="14" xfId="0" applyNumberFormat="1" applyFont="1" applyFill="1" applyBorder="1" applyProtection="1"/>
    <xf numFmtId="37" fontId="0" fillId="0" borderId="33" xfId="0" applyNumberFormat="1" applyFont="1" applyFill="1" applyBorder="1" applyProtection="1"/>
    <xf numFmtId="0" fontId="0" fillId="0" borderId="0" xfId="0" applyFont="1" applyFill="1"/>
    <xf numFmtId="5" fontId="10" fillId="0" borderId="7" xfId="0" applyNumberFormat="1" applyFont="1" applyFill="1" applyBorder="1" applyProtection="1"/>
    <xf numFmtId="10" fontId="0" fillId="0" borderId="0" xfId="10" applyNumberFormat="1" applyFont="1" applyFill="1" applyBorder="1"/>
    <xf numFmtId="0" fontId="26" fillId="0" borderId="0" xfId="8" applyFont="1" applyFill="1"/>
    <xf numFmtId="5" fontId="26" fillId="0" borderId="0" xfId="8" applyNumberFormat="1" applyFont="1" applyFill="1" applyProtection="1"/>
    <xf numFmtId="3" fontId="15" fillId="0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179" fontId="13" fillId="0" borderId="0" xfId="0" applyNumberFormat="1" applyFont="1" applyFill="1" applyProtection="1">
      <protection locked="0"/>
    </xf>
    <xf numFmtId="7" fontId="15" fillId="0" borderId="0" xfId="0" applyNumberFormat="1" applyFont="1" applyFill="1" applyProtection="1">
      <protection locked="0"/>
    </xf>
    <xf numFmtId="169" fontId="13" fillId="0" borderId="0" xfId="0" applyNumberFormat="1" applyFont="1" applyFill="1" applyProtection="1"/>
    <xf numFmtId="167" fontId="15" fillId="0" borderId="0" xfId="1" applyNumberFormat="1" applyFont="1" applyFill="1"/>
    <xf numFmtId="165" fontId="16" fillId="0" borderId="0" xfId="10" applyNumberFormat="1" applyFont="1" applyFill="1" applyBorder="1"/>
    <xf numFmtId="10" fontId="15" fillId="0" borderId="0" xfId="10" applyNumberFormat="1" applyFont="1" applyFill="1" applyBorder="1"/>
    <xf numFmtId="192" fontId="16" fillId="0" borderId="0" xfId="10" applyNumberFormat="1" applyFont="1" applyFill="1" applyBorder="1"/>
    <xf numFmtId="169" fontId="15" fillId="0" borderId="0" xfId="10" applyNumberFormat="1" applyFont="1" applyFill="1" applyBorder="1"/>
    <xf numFmtId="169" fontId="0" fillId="0" borderId="0" xfId="10" applyNumberFormat="1" applyFont="1" applyFill="1" applyBorder="1"/>
    <xf numFmtId="0" fontId="26" fillId="0" borderId="11" xfId="8" applyFont="1" applyFill="1" applyBorder="1" applyAlignment="1">
      <alignment horizontal="centerContinuous"/>
    </xf>
    <xf numFmtId="175" fontId="13" fillId="0" borderId="0" xfId="0" applyNumberFormat="1" applyFont="1" applyFill="1" applyProtection="1"/>
    <xf numFmtId="5" fontId="15" fillId="0" borderId="0" xfId="0" applyNumberFormat="1" applyFont="1" applyFill="1" applyProtection="1"/>
    <xf numFmtId="10" fontId="15" fillId="0" borderId="0" xfId="0" applyNumberFormat="1" applyFont="1" applyFill="1" applyBorder="1"/>
    <xf numFmtId="5" fontId="12" fillId="0" borderId="0" xfId="0" applyNumberFormat="1" applyFont="1" applyFill="1" applyProtection="1">
      <protection locked="0"/>
    </xf>
    <xf numFmtId="167" fontId="0" fillId="0" borderId="22" xfId="0" applyNumberFormat="1" applyFont="1" applyFill="1" applyBorder="1" applyProtection="1"/>
    <xf numFmtId="43" fontId="30" fillId="0" borderId="0" xfId="0" applyNumberFormat="1" applyFont="1" applyFill="1" applyProtection="1">
      <protection locked="0"/>
    </xf>
    <xf numFmtId="179" fontId="30" fillId="0" borderId="0" xfId="1" applyNumberFormat="1" applyFont="1" applyFill="1" applyProtection="1"/>
    <xf numFmtId="179" fontId="10" fillId="0" borderId="22" xfId="0" applyNumberFormat="1" applyFont="1" applyFill="1" applyBorder="1" applyProtection="1"/>
    <xf numFmtId="0" fontId="0" fillId="0" borderId="0" xfId="0" applyFill="1" applyBorder="1" applyProtection="1"/>
    <xf numFmtId="0" fontId="15" fillId="0" borderId="0" xfId="23" applyFont="1" applyFill="1"/>
    <xf numFmtId="0" fontId="15" fillId="0" borderId="0" xfId="23" applyFont="1" applyFill="1" applyProtection="1"/>
    <xf numFmtId="37" fontId="15" fillId="0" borderId="0" xfId="23" applyNumberFormat="1" applyFont="1" applyFill="1" applyBorder="1" applyProtection="1"/>
    <xf numFmtId="37" fontId="15" fillId="0" borderId="0" xfId="23" applyNumberFormat="1" applyFont="1" applyFill="1" applyProtection="1"/>
    <xf numFmtId="5" fontId="15" fillId="0" borderId="0" xfId="23" applyNumberFormat="1" applyFont="1" applyFill="1" applyBorder="1" applyProtection="1"/>
    <xf numFmtId="5" fontId="15" fillId="0" borderId="0" xfId="23" applyNumberFormat="1" applyFont="1" applyFill="1" applyProtection="1"/>
    <xf numFmtId="0" fontId="26" fillId="0" borderId="0" xfId="8" applyFont="1" applyFill="1" applyAlignment="1">
      <alignment horizontal="centerContinuous"/>
    </xf>
    <xf numFmtId="0" fontId="15" fillId="0" borderId="0" xfId="9" applyFont="1" applyFill="1"/>
    <xf numFmtId="5" fontId="15" fillId="0" borderId="0" xfId="20" applyNumberFormat="1" applyBorder="1" applyAlignment="1">
      <alignment horizontal="center"/>
    </xf>
    <xf numFmtId="5" fontId="15" fillId="0" borderId="4" xfId="20" quotePrefix="1" applyNumberFormat="1" applyBorder="1" applyAlignment="1">
      <alignment horizontal="center"/>
    </xf>
    <xf numFmtId="0" fontId="15" fillId="0" borderId="0" xfId="9" quotePrefix="1" applyFont="1" applyFill="1" applyAlignment="1">
      <alignment horizontal="center"/>
    </xf>
    <xf numFmtId="169" fontId="47" fillId="0" borderId="0" xfId="10" applyNumberFormat="1" applyFont="1" applyFill="1"/>
    <xf numFmtId="0" fontId="26" fillId="0" borderId="4" xfId="8" applyFont="1" applyFill="1" applyBorder="1" applyAlignment="1">
      <alignment horizontal="center"/>
    </xf>
    <xf numFmtId="0" fontId="47" fillId="0" borderId="4" xfId="8" applyFont="1" applyFill="1" applyBorder="1" applyAlignment="1">
      <alignment horizontal="center"/>
    </xf>
    <xf numFmtId="0" fontId="26" fillId="0" borderId="0" xfId="8" applyFont="1" applyFill="1" applyBorder="1" applyAlignment="1">
      <alignment horizontal="center"/>
    </xf>
    <xf numFmtId="0" fontId="26" fillId="0" borderId="0" xfId="8" applyFont="1" applyFill="1" applyBorder="1" applyAlignment="1">
      <alignment horizontal="centerContinuous"/>
    </xf>
    <xf numFmtId="0" fontId="48" fillId="0" borderId="0" xfId="9" applyFont="1" applyFill="1"/>
    <xf numFmtId="0" fontId="58" fillId="0" borderId="0" xfId="9" applyFont="1" applyFill="1"/>
    <xf numFmtId="184" fontId="0" fillId="0" borderId="0" xfId="0" applyNumberFormat="1" applyFont="1" applyFill="1" applyProtection="1"/>
    <xf numFmtId="43" fontId="15" fillId="0" borderId="0" xfId="0" applyNumberFormat="1" applyFont="1" applyFill="1" applyProtection="1"/>
    <xf numFmtId="7" fontId="45" fillId="0" borderId="23" xfId="1" applyNumberFormat="1" applyFont="1" applyFill="1" applyBorder="1" applyProtection="1"/>
    <xf numFmtId="0" fontId="15" fillId="0" borderId="0" xfId="23" applyFill="1"/>
    <xf numFmtId="0" fontId="15" fillId="0" borderId="0" xfId="23" applyFill="1" applyBorder="1"/>
    <xf numFmtId="37" fontId="15" fillId="0" borderId="0" xfId="23" applyNumberFormat="1" applyFill="1"/>
    <xf numFmtId="5" fontId="10" fillId="0" borderId="0" xfId="23" applyNumberFormat="1" applyFont="1" applyFill="1" applyProtection="1"/>
    <xf numFmtId="5" fontId="15" fillId="0" borderId="0" xfId="23" applyNumberFormat="1" applyFill="1"/>
    <xf numFmtId="43" fontId="15" fillId="0" borderId="0" xfId="23" applyNumberFormat="1" applyFill="1"/>
    <xf numFmtId="0" fontId="10" fillId="0" borderId="0" xfId="23" applyFont="1" applyFill="1" applyProtection="1"/>
    <xf numFmtId="37" fontId="10" fillId="0" borderId="0" xfId="23" applyNumberFormat="1" applyFont="1" applyFill="1" applyProtection="1"/>
    <xf numFmtId="179" fontId="13" fillId="0" borderId="0" xfId="23" applyNumberFormat="1" applyFont="1" applyFill="1" applyProtection="1">
      <protection locked="0"/>
    </xf>
    <xf numFmtId="192" fontId="15" fillId="0" borderId="0" xfId="10" applyNumberFormat="1" applyFont="1" applyFill="1" applyBorder="1"/>
    <xf numFmtId="5" fontId="15" fillId="0" borderId="0" xfId="23" applyNumberFormat="1" applyFill="1" applyBorder="1"/>
    <xf numFmtId="179" fontId="10" fillId="0" borderId="0" xfId="23" applyNumberFormat="1" applyFont="1" applyFill="1" applyProtection="1"/>
    <xf numFmtId="0" fontId="17" fillId="0" borderId="0" xfId="7" applyFont="1" applyFill="1" applyAlignment="1"/>
    <xf numFmtId="0" fontId="17" fillId="0" borderId="0" xfId="7" applyFont="1" applyFill="1" applyAlignment="1">
      <alignment horizontal="centerContinuous"/>
    </xf>
    <xf numFmtId="0" fontId="17" fillId="0" borderId="0" xfId="7" quotePrefix="1" applyFont="1" applyFill="1" applyAlignment="1">
      <alignment horizontal="centerContinuous"/>
    </xf>
    <xf numFmtId="0" fontId="26" fillId="0" borderId="0" xfId="7" applyFont="1" applyFill="1" applyAlignment="1">
      <alignment horizontal="centerContinuous"/>
    </xf>
    <xf numFmtId="0" fontId="26" fillId="0" borderId="12" xfId="7" applyFont="1" applyFill="1" applyBorder="1" applyAlignment="1">
      <alignment horizontal="centerContinuous"/>
    </xf>
    <xf numFmtId="0" fontId="27" fillId="0" borderId="0" xfId="7" applyFont="1" applyFill="1" applyBorder="1" applyAlignment="1">
      <alignment horizontal="center"/>
    </xf>
    <xf numFmtId="0" fontId="26" fillId="0" borderId="12" xfId="7" applyFont="1" applyFill="1" applyBorder="1"/>
    <xf numFmtId="0" fontId="27" fillId="0" borderId="0" xfId="7" applyFont="1" applyFill="1" applyBorder="1" applyAlignment="1">
      <alignment horizontal="centerContinuous"/>
    </xf>
    <xf numFmtId="0" fontId="26" fillId="0" borderId="0" xfId="7" applyFont="1" applyFill="1" applyBorder="1" applyAlignment="1">
      <alignment horizontal="center"/>
    </xf>
    <xf numFmtId="0" fontId="27" fillId="0" borderId="0" xfId="7" applyFont="1" applyFill="1" applyAlignment="1">
      <alignment horizontal="centerContinuous"/>
    </xf>
    <xf numFmtId="0" fontId="27" fillId="0" borderId="0" xfId="7" applyFont="1" applyFill="1" applyAlignment="1">
      <alignment horizontal="center"/>
    </xf>
    <xf numFmtId="0" fontId="26" fillId="0" borderId="0" xfId="7" applyFont="1" applyFill="1" applyBorder="1" applyAlignment="1">
      <alignment horizontal="centerContinuous"/>
    </xf>
    <xf numFmtId="0" fontId="27" fillId="0" borderId="12" xfId="7" applyFont="1" applyFill="1" applyBorder="1" applyAlignment="1">
      <alignment horizontal="center"/>
    </xf>
    <xf numFmtId="0" fontId="26" fillId="0" borderId="0" xfId="7" applyFont="1" applyFill="1" applyBorder="1"/>
    <xf numFmtId="0" fontId="27" fillId="0" borderId="11" xfId="7" applyFont="1" applyFill="1" applyBorder="1" applyAlignment="1">
      <alignment horizontal="center"/>
    </xf>
    <xf numFmtId="0" fontId="27" fillId="0" borderId="11" xfId="7" quotePrefix="1" applyFont="1" applyFill="1" applyBorder="1" applyAlignment="1">
      <alignment horizontal="center"/>
    </xf>
    <xf numFmtId="0" fontId="27" fillId="0" borderId="11" xfId="7" quotePrefix="1" applyFont="1" applyFill="1" applyBorder="1" applyAlignment="1">
      <alignment horizontal="centerContinuous"/>
    </xf>
    <xf numFmtId="0" fontId="27" fillId="0" borderId="4" xfId="7" applyFont="1" applyFill="1" applyBorder="1" applyAlignment="1">
      <alignment horizontal="center"/>
    </xf>
    <xf numFmtId="198" fontId="26" fillId="0" borderId="0" xfId="7" applyNumberFormat="1" applyFont="1" applyFill="1" applyAlignment="1">
      <alignment horizontal="center"/>
    </xf>
    <xf numFmtId="198" fontId="26" fillId="0" borderId="0" xfId="7" applyNumberFormat="1" applyFont="1" applyFill="1" applyAlignment="1">
      <alignment horizontal="centerContinuous"/>
    </xf>
    <xf numFmtId="0" fontId="26" fillId="0" borderId="0" xfId="7" quotePrefix="1" applyFont="1" applyFill="1" applyAlignment="1">
      <alignment horizontal="centerContinuous"/>
    </xf>
    <xf numFmtId="0" fontId="62" fillId="0" borderId="0" xfId="7" applyFont="1" applyFill="1"/>
    <xf numFmtId="0" fontId="26" fillId="0" borderId="0" xfId="7" applyFont="1" applyFill="1" applyAlignment="1">
      <alignment horizontal="left"/>
    </xf>
    <xf numFmtId="0" fontId="26" fillId="0" borderId="0" xfId="7" quotePrefix="1" applyFont="1" applyFill="1" applyAlignment="1">
      <alignment horizontal="center"/>
    </xf>
    <xf numFmtId="37" fontId="26" fillId="0" borderId="0" xfId="7" applyNumberFormat="1" applyFont="1" applyFill="1" applyAlignment="1" applyProtection="1">
      <alignment horizontal="right"/>
    </xf>
    <xf numFmtId="37" fontId="26" fillId="0" borderId="0" xfId="7" applyNumberFormat="1" applyFont="1" applyFill="1" applyProtection="1"/>
    <xf numFmtId="5" fontId="26" fillId="0" borderId="0" xfId="7" applyNumberFormat="1" applyFont="1" applyFill="1" applyProtection="1"/>
    <xf numFmtId="5" fontId="26" fillId="0" borderId="12" xfId="7" applyNumberFormat="1" applyFont="1" applyFill="1" applyBorder="1" applyProtection="1"/>
    <xf numFmtId="199" fontId="26" fillId="0" borderId="0" xfId="1" applyNumberFormat="1" applyFont="1" applyFill="1"/>
    <xf numFmtId="5" fontId="26" fillId="0" borderId="0" xfId="7" applyNumberFormat="1" applyFont="1" applyFill="1" applyBorder="1" applyProtection="1"/>
    <xf numFmtId="199" fontId="26" fillId="0" borderId="0" xfId="7" applyNumberFormat="1" applyFont="1" applyFill="1"/>
    <xf numFmtId="37" fontId="26" fillId="0" borderId="10" xfId="7" applyNumberFormat="1" applyFont="1" applyFill="1" applyBorder="1" applyProtection="1"/>
    <xf numFmtId="5" fontId="26" fillId="0" borderId="10" xfId="7" applyNumberFormat="1" applyFont="1" applyFill="1" applyBorder="1" applyProtection="1"/>
    <xf numFmtId="199" fontId="26" fillId="0" borderId="10" xfId="1" applyNumberFormat="1" applyFont="1" applyFill="1" applyBorder="1"/>
    <xf numFmtId="37" fontId="26" fillId="0" borderId="4" xfId="7" applyNumberFormat="1" applyFont="1" applyFill="1" applyBorder="1" applyAlignment="1" applyProtection="1">
      <alignment horizontal="right"/>
    </xf>
    <xf numFmtId="37" fontId="26" fillId="0" borderId="4" xfId="7" applyNumberFormat="1" applyFont="1" applyFill="1" applyBorder="1" applyProtection="1"/>
    <xf numFmtId="5" fontId="26" fillId="0" borderId="4" xfId="7" applyNumberFormat="1" applyFont="1" applyFill="1" applyBorder="1" applyProtection="1"/>
    <xf numFmtId="5" fontId="26" fillId="0" borderId="5" xfId="7" applyNumberFormat="1" applyFont="1" applyFill="1" applyBorder="1" applyProtection="1"/>
    <xf numFmtId="199" fontId="26" fillId="0" borderId="4" xfId="1" applyNumberFormat="1" applyFont="1" applyFill="1" applyBorder="1"/>
    <xf numFmtId="199" fontId="26" fillId="0" borderId="4" xfId="7" applyNumberFormat="1" applyFont="1" applyFill="1" applyBorder="1"/>
    <xf numFmtId="5" fontId="26" fillId="0" borderId="0" xfId="7" applyNumberFormat="1" applyFont="1" applyFill="1" applyAlignment="1" applyProtection="1">
      <alignment horizontal="right"/>
    </xf>
    <xf numFmtId="5" fontId="26" fillId="0" borderId="12" xfId="7" applyNumberFormat="1" applyFont="1" applyFill="1" applyBorder="1" applyAlignment="1" applyProtection="1">
      <alignment horizontal="right"/>
    </xf>
    <xf numFmtId="199" fontId="26" fillId="0" borderId="0" xfId="7" applyNumberFormat="1" applyFont="1" applyFill="1" applyBorder="1"/>
    <xf numFmtId="37" fontId="26" fillId="0" borderId="20" xfId="7" applyNumberFormat="1" applyFont="1" applyFill="1" applyBorder="1" applyProtection="1"/>
    <xf numFmtId="5" fontId="26" fillId="0" borderId="20" xfId="7" applyNumberFormat="1" applyFont="1" applyFill="1" applyBorder="1" applyProtection="1"/>
    <xf numFmtId="199" fontId="26" fillId="0" borderId="8" xfId="1" applyNumberFormat="1" applyFont="1" applyFill="1" applyBorder="1"/>
    <xf numFmtId="5" fontId="26" fillId="0" borderId="8" xfId="7" applyNumberFormat="1" applyFont="1" applyFill="1" applyBorder="1" applyProtection="1"/>
    <xf numFmtId="0" fontId="29" fillId="0" borderId="0" xfId="7" quotePrefix="1" applyFont="1" applyFill="1"/>
    <xf numFmtId="0" fontId="28" fillId="0" borderId="0" xfId="7" quotePrefix="1" applyFont="1" applyFill="1"/>
    <xf numFmtId="37" fontId="26" fillId="0" borderId="0" xfId="7" applyNumberFormat="1" applyFont="1" applyFill="1"/>
    <xf numFmtId="0" fontId="15" fillId="2" borderId="0" xfId="23" applyFont="1" applyFill="1"/>
    <xf numFmtId="0" fontId="15" fillId="2" borderId="0" xfId="23" applyFill="1"/>
    <xf numFmtId="37" fontId="10" fillId="2" borderId="0" xfId="23" applyNumberFormat="1" applyFont="1" applyFill="1" applyProtection="1"/>
    <xf numFmtId="5" fontId="10" fillId="2" borderId="0" xfId="23" applyNumberFormat="1" applyFont="1" applyFill="1" applyProtection="1"/>
    <xf numFmtId="179" fontId="13" fillId="2" borderId="0" xfId="23" applyNumberFormat="1" applyFont="1" applyFill="1" applyProtection="1">
      <protection locked="0"/>
    </xf>
    <xf numFmtId="0" fontId="10" fillId="2" borderId="0" xfId="23" applyFont="1" applyFill="1" applyProtection="1"/>
    <xf numFmtId="5" fontId="15" fillId="0" borderId="4" xfId="23" applyNumberFormat="1" applyFont="1" applyFill="1" applyBorder="1" applyProtection="1"/>
    <xf numFmtId="167" fontId="0" fillId="0" borderId="0" xfId="0" applyNumberFormat="1" applyFont="1" applyFill="1" applyBorder="1" applyProtection="1"/>
    <xf numFmtId="167" fontId="16" fillId="0" borderId="0" xfId="1" applyNumberFormat="1" applyFont="1" applyFill="1" applyBorder="1" applyProtection="1"/>
    <xf numFmtId="10" fontId="41" fillId="0" borderId="0" xfId="6" applyNumberFormat="1" applyFont="1" applyFill="1" applyBorder="1"/>
    <xf numFmtId="169" fontId="0" fillId="0" borderId="0" xfId="0" applyNumberFormat="1" applyFill="1" applyBorder="1"/>
    <xf numFmtId="37" fontId="10" fillId="0" borderId="14" xfId="0" applyNumberFormat="1" applyFont="1" applyFill="1" applyBorder="1" applyProtection="1"/>
    <xf numFmtId="0" fontId="26" fillId="0" borderId="0" xfId="8" applyFont="1" applyFill="1" applyAlignment="1">
      <alignment horizontal="right"/>
    </xf>
    <xf numFmtId="5" fontId="26" fillId="0" borderId="0" xfId="8" applyNumberFormat="1" applyFont="1" applyFill="1"/>
    <xf numFmtId="0" fontId="15" fillId="0" borderId="0" xfId="9" applyFont="1" applyFill="1" applyBorder="1" applyAlignment="1"/>
    <xf numFmtId="5" fontId="15" fillId="0" borderId="0" xfId="0" applyNumberFormat="1" applyFont="1" applyFill="1" applyBorder="1" applyProtection="1"/>
    <xf numFmtId="0" fontId="10" fillId="0" borderId="0" xfId="0" quotePrefix="1" applyFont="1" applyFill="1" applyProtection="1"/>
    <xf numFmtId="0" fontId="26" fillId="0" borderId="4" xfId="8" applyFont="1" applyFill="1" applyBorder="1" applyAlignment="1" applyProtection="1">
      <alignment horizontal="center"/>
    </xf>
    <xf numFmtId="0" fontId="26" fillId="0" borderId="26" xfId="8" applyFont="1" applyFill="1" applyBorder="1"/>
    <xf numFmtId="5" fontId="15" fillId="0" borderId="0" xfId="9" applyNumberFormat="1" applyFont="1" applyFill="1" applyBorder="1"/>
    <xf numFmtId="169" fontId="10" fillId="0" borderId="0" xfId="10" applyNumberFormat="1" applyFont="1" applyFill="1" applyBorder="1" applyProtection="1">
      <protection locked="0"/>
    </xf>
    <xf numFmtId="169" fontId="10" fillId="0" borderId="0" xfId="10" applyNumberFormat="1" applyFont="1" applyFill="1" applyProtection="1"/>
    <xf numFmtId="0" fontId="15" fillId="0" borderId="0" xfId="0" quotePrefix="1" applyFont="1" applyFill="1"/>
    <xf numFmtId="10" fontId="47" fillId="0" borderId="0" xfId="10" applyNumberFormat="1" applyFont="1" applyFill="1" applyAlignment="1">
      <alignment horizontal="right"/>
    </xf>
    <xf numFmtId="0" fontId="26" fillId="0" borderId="11" xfId="8" applyFont="1" applyFill="1" applyBorder="1" applyAlignment="1">
      <alignment horizontal="center"/>
    </xf>
    <xf numFmtId="5" fontId="26" fillId="0" borderId="0" xfId="7" applyNumberFormat="1" applyFont="1" applyFill="1"/>
    <xf numFmtId="182" fontId="26" fillId="0" borderId="10" xfId="7" applyNumberFormat="1" applyFont="1" applyFill="1" applyBorder="1" applyProtection="1"/>
    <xf numFmtId="0" fontId="63" fillId="0" borderId="0" xfId="0" applyFont="1" applyFill="1" applyProtection="1"/>
    <xf numFmtId="0" fontId="0" fillId="0" borderId="4" xfId="0" applyFill="1" applyBorder="1" applyProtection="1"/>
    <xf numFmtId="164" fontId="10" fillId="0" borderId="4" xfId="2" applyNumberFormat="1" applyFont="1" applyFill="1" applyBorder="1" applyProtection="1"/>
    <xf numFmtId="164" fontId="10" fillId="0" borderId="0" xfId="2" applyNumberFormat="1" applyFont="1" applyFill="1" applyBorder="1" applyProtection="1"/>
    <xf numFmtId="0" fontId="63" fillId="0" borderId="0" xfId="0" applyFont="1" applyFill="1" applyAlignment="1" applyProtection="1">
      <alignment horizontal="right"/>
    </xf>
    <xf numFmtId="0" fontId="10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horizontal="right"/>
    </xf>
    <xf numFmtId="167" fontId="10" fillId="0" borderId="0" xfId="1" applyNumberFormat="1" applyFont="1" applyFill="1" applyAlignment="1" applyProtection="1">
      <alignment horizontal="right"/>
    </xf>
    <xf numFmtId="167" fontId="17" fillId="0" borderId="0" xfId="0" applyNumberFormat="1" applyFont="1" applyFill="1"/>
    <xf numFmtId="0" fontId="0" fillId="0" borderId="31" xfId="0" applyFill="1" applyBorder="1"/>
    <xf numFmtId="0" fontId="15" fillId="0" borderId="31" xfId="0" applyFont="1" applyFill="1" applyBorder="1" applyAlignment="1">
      <alignment horizontal="center"/>
    </xf>
    <xf numFmtId="0" fontId="10" fillId="0" borderId="0" xfId="0" quotePrefix="1" applyFont="1" applyFill="1" applyAlignment="1" applyProtection="1">
      <alignment horizontal="right"/>
    </xf>
    <xf numFmtId="167" fontId="11" fillId="0" borderId="0" xfId="1" applyNumberFormat="1" applyFont="1" applyFill="1" applyAlignment="1" applyProtection="1">
      <alignment horizontal="right"/>
    </xf>
    <xf numFmtId="3" fontId="63" fillId="0" borderId="0" xfId="0" applyNumberFormat="1" applyFont="1" applyFill="1"/>
    <xf numFmtId="0" fontId="64" fillId="0" borderId="0" xfId="0" applyFont="1" applyFill="1" applyAlignment="1" applyProtection="1">
      <alignment horizontal="right"/>
    </xf>
    <xf numFmtId="0" fontId="35" fillId="0" borderId="0" xfId="9" quotePrefix="1" applyFont="1" applyFill="1" applyBorder="1" applyAlignment="1">
      <alignment horizontal="center"/>
    </xf>
    <xf numFmtId="0" fontId="34" fillId="0" borderId="0" xfId="9" quotePrefix="1" applyFont="1" applyFill="1" applyAlignment="1">
      <alignment horizontal="center"/>
    </xf>
    <xf numFmtId="10" fontId="16" fillId="0" borderId="0" xfId="9" applyNumberFormat="1" applyFont="1" applyFill="1"/>
    <xf numFmtId="0" fontId="37" fillId="0" borderId="0" xfId="0" applyFont="1" applyFill="1" applyAlignment="1"/>
    <xf numFmtId="0" fontId="38" fillId="0" borderId="0" xfId="0" quotePrefix="1" applyNumberFormat="1" applyFont="1" applyFill="1" applyAlignment="1"/>
    <xf numFmtId="0" fontId="27" fillId="0" borderId="0" xfId="0" quotePrefix="1" applyFont="1" applyFill="1" applyAlignment="1" applyProtection="1"/>
    <xf numFmtId="171" fontId="15" fillId="0" borderId="0" xfId="0" applyNumberFormat="1" applyFont="1" applyFill="1" applyBorder="1"/>
    <xf numFmtId="0" fontId="34" fillId="0" borderId="0" xfId="9" quotePrefix="1" applyFont="1" applyFill="1" applyBorder="1" applyAlignment="1">
      <alignment horizontal="center"/>
    </xf>
    <xf numFmtId="8" fontId="13" fillId="0" borderId="0" xfId="2" applyNumberFormat="1" applyFont="1" applyFill="1"/>
    <xf numFmtId="9" fontId="0" fillId="0" borderId="0" xfId="0" applyNumberFormat="1" applyFill="1" applyBorder="1"/>
    <xf numFmtId="0" fontId="17" fillId="0" borderId="0" xfId="0" applyFont="1" applyFill="1" applyBorder="1" applyAlignment="1">
      <alignment horizontal="center"/>
    </xf>
    <xf numFmtId="9" fontId="0" fillId="0" borderId="0" xfId="10" applyFont="1" applyFill="1" applyBorder="1"/>
    <xf numFmtId="0" fontId="14" fillId="0" borderId="0" xfId="0" applyFont="1" applyFill="1" applyBorder="1" applyAlignment="1">
      <alignment horizontal="center"/>
    </xf>
    <xf numFmtId="175" fontId="0" fillId="0" borderId="0" xfId="0" applyNumberFormat="1" applyFill="1" applyBorder="1"/>
    <xf numFmtId="178" fontId="0" fillId="0" borderId="0" xfId="0" applyNumberFormat="1" applyFill="1" applyBorder="1"/>
    <xf numFmtId="0" fontId="0" fillId="2" borderId="0" xfId="0" applyFill="1" applyProtection="1"/>
    <xf numFmtId="0" fontId="10" fillId="2" borderId="0" xfId="0" applyFont="1" applyFill="1" applyProtection="1"/>
    <xf numFmtId="37" fontId="0" fillId="2" borderId="0" xfId="0" applyNumberFormat="1" applyFont="1" applyFill="1" applyProtection="1"/>
    <xf numFmtId="175" fontId="30" fillId="2" borderId="0" xfId="0" applyNumberFormat="1" applyFont="1" applyFill="1" applyProtection="1"/>
    <xf numFmtId="5" fontId="0" fillId="2" borderId="0" xfId="0" applyNumberFormat="1" applyFont="1" applyFill="1" applyProtection="1"/>
    <xf numFmtId="175" fontId="26" fillId="0" borderId="0" xfId="8" applyNumberFormat="1" applyFont="1" applyFill="1"/>
    <xf numFmtId="200" fontId="49" fillId="0" borderId="0" xfId="8" applyNumberFormat="1" applyFont="1" applyFill="1"/>
    <xf numFmtId="0" fontId="26" fillId="0" borderId="4" xfId="8" applyFont="1" applyFill="1" applyBorder="1" applyAlignment="1">
      <alignment horizontal="centerContinuous"/>
    </xf>
    <xf numFmtId="0" fontId="0" fillId="0" borderId="4" xfId="0" applyFont="1" applyFill="1" applyBorder="1" applyProtection="1"/>
    <xf numFmtId="0" fontId="47" fillId="0" borderId="34" xfId="8" applyFont="1" applyFill="1" applyBorder="1"/>
    <xf numFmtId="5" fontId="50" fillId="0" borderId="27" xfId="8" applyNumberFormat="1" applyFont="1" applyFill="1" applyBorder="1"/>
    <xf numFmtId="5" fontId="50" fillId="0" borderId="35" xfId="8" applyNumberFormat="1" applyFont="1" applyFill="1" applyBorder="1"/>
    <xf numFmtId="5" fontId="16" fillId="0" borderId="4" xfId="9" applyNumberFormat="1" applyFill="1" applyBorder="1"/>
    <xf numFmtId="5" fontId="10" fillId="0" borderId="0" xfId="10" applyNumberFormat="1" applyFont="1" applyFill="1" applyBorder="1" applyProtection="1">
      <protection locked="0"/>
    </xf>
    <xf numFmtId="0" fontId="47" fillId="0" borderId="4" xfId="8" applyFont="1" applyFill="1" applyBorder="1" applyAlignment="1">
      <alignment horizontal="center"/>
    </xf>
    <xf numFmtId="9" fontId="10" fillId="0" borderId="0" xfId="10" applyFont="1" applyFill="1" applyProtection="1"/>
    <xf numFmtId="0" fontId="50" fillId="0" borderId="28" xfId="8" applyFont="1" applyFill="1" applyBorder="1"/>
    <xf numFmtId="10" fontId="50" fillId="0" borderId="27" xfId="8" applyNumberFormat="1" applyFont="1" applyFill="1" applyBorder="1"/>
    <xf numFmtId="10" fontId="50" fillId="0" borderId="29" xfId="8" applyNumberFormat="1" applyFont="1" applyFill="1" applyBorder="1"/>
    <xf numFmtId="0" fontId="69" fillId="0" borderId="0" xfId="8" applyFont="1" applyFill="1" applyAlignment="1" applyProtection="1">
      <alignment horizontal="center"/>
    </xf>
    <xf numFmtId="0" fontId="70" fillId="0" borderId="0" xfId="8" applyFont="1" applyFill="1" applyAlignment="1" applyProtection="1">
      <alignment horizontal="center"/>
    </xf>
    <xf numFmtId="37" fontId="15" fillId="0" borderId="0" xfId="0" applyNumberFormat="1" applyFont="1" applyFill="1" applyBorder="1" applyProtection="1"/>
    <xf numFmtId="201" fontId="0" fillId="0" borderId="0" xfId="0" applyNumberFormat="1" applyFill="1" applyBorder="1"/>
    <xf numFmtId="0" fontId="26" fillId="0" borderId="0" xfId="8" applyFont="1" applyFill="1" applyAlignment="1"/>
    <xf numFmtId="5" fontId="10" fillId="0" borderId="14" xfId="10" applyNumberFormat="1" applyFont="1" applyFill="1" applyBorder="1" applyProtection="1">
      <protection locked="0"/>
    </xf>
    <xf numFmtId="0" fontId="47" fillId="0" borderId="4" xfId="8" applyFont="1" applyFill="1" applyBorder="1" applyAlignment="1">
      <alignment horizontal="center"/>
    </xf>
    <xf numFmtId="10" fontId="47" fillId="0" borderId="0" xfId="8" applyNumberFormat="1" applyFont="1" applyFill="1"/>
    <xf numFmtId="0" fontId="15" fillId="0" borderId="0" xfId="8" applyFont="1" applyFill="1" applyBorder="1" applyAlignment="1" applyProtection="1">
      <alignment horizontal="centerContinuous"/>
    </xf>
    <xf numFmtId="7" fontId="15" fillId="0" borderId="0" xfId="8" applyNumberFormat="1" applyFont="1" applyFill="1" applyProtection="1"/>
    <xf numFmtId="0" fontId="26" fillId="0" borderId="0" xfId="8" applyFont="1" applyFill="1" applyAlignment="1" applyProtection="1">
      <alignment horizontal="centerContinuous"/>
    </xf>
    <xf numFmtId="0" fontId="26" fillId="0" borderId="0" xfId="8" applyFont="1" applyFill="1" applyAlignment="1" applyProtection="1"/>
    <xf numFmtId="39" fontId="12" fillId="0" borderId="0" xfId="0" applyNumberFormat="1" applyFont="1" applyFill="1" applyProtection="1"/>
    <xf numFmtId="177" fontId="10" fillId="0" borderId="0" xfId="0" applyNumberFormat="1" applyFont="1" applyFill="1" applyProtection="1"/>
    <xf numFmtId="0" fontId="15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9" fontId="16" fillId="0" borderId="0" xfId="10" applyNumberFormat="1" applyFont="1" applyFill="1" applyBorder="1"/>
    <xf numFmtId="43" fontId="15" fillId="0" borderId="0" xfId="23" applyNumberFormat="1" applyFill="1" applyBorder="1"/>
    <xf numFmtId="3" fontId="0" fillId="0" borderId="0" xfId="0" applyNumberFormat="1" applyFill="1" applyBorder="1" applyAlignment="1">
      <alignment horizontal="center"/>
    </xf>
    <xf numFmtId="43" fontId="16" fillId="0" borderId="0" xfId="1" applyFont="1" applyFill="1" applyBorder="1"/>
    <xf numFmtId="187" fontId="0" fillId="0" borderId="0" xfId="0" applyNumberFormat="1" applyFill="1" applyBorder="1"/>
    <xf numFmtId="0" fontId="66" fillId="0" borderId="0" xfId="0" applyFont="1" applyBorder="1"/>
    <xf numFmtId="178" fontId="15" fillId="0" borderId="0" xfId="1" applyNumberFormat="1" applyFont="1" applyFill="1" applyBorder="1"/>
    <xf numFmtId="178" fontId="16" fillId="0" borderId="0" xfId="1" applyNumberFormat="1" applyFont="1" applyFill="1" applyBorder="1"/>
    <xf numFmtId="190" fontId="16" fillId="0" borderId="0" xfId="10" applyNumberFormat="1" applyFont="1" applyFill="1" applyBorder="1"/>
    <xf numFmtId="200" fontId="0" fillId="0" borderId="0" xfId="0" applyNumberFormat="1" applyFill="1" applyBorder="1"/>
    <xf numFmtId="194" fontId="15" fillId="0" borderId="0" xfId="1" applyNumberFormat="1" applyFont="1" applyFill="1" applyBorder="1"/>
    <xf numFmtId="166" fontId="15" fillId="0" borderId="0" xfId="2" applyNumberFormat="1" applyFont="1" applyFill="1" applyBorder="1"/>
    <xf numFmtId="166" fontId="16" fillId="0" borderId="0" xfId="2" applyNumberFormat="1" applyFont="1" applyFill="1" applyBorder="1"/>
    <xf numFmtId="7" fontId="13" fillId="0" borderId="0" xfId="0" applyNumberFormat="1" applyFont="1" applyFill="1" applyBorder="1" applyProtection="1"/>
    <xf numFmtId="7" fontId="30" fillId="0" borderId="0" xfId="0" applyNumberFormat="1" applyFont="1" applyFill="1" applyBorder="1" applyProtection="1"/>
    <xf numFmtId="179" fontId="13" fillId="0" borderId="0" xfId="0" applyNumberFormat="1" applyFont="1" applyFill="1" applyBorder="1" applyProtection="1"/>
    <xf numFmtId="10" fontId="10" fillId="0" borderId="0" xfId="0" applyNumberFormat="1" applyFont="1" applyFill="1" applyBorder="1" applyProtection="1"/>
    <xf numFmtId="0" fontId="16" fillId="0" borderId="0" xfId="10" applyNumberFormat="1" applyFont="1" applyFill="1" applyBorder="1"/>
    <xf numFmtId="7" fontId="15" fillId="0" borderId="0" xfId="2" applyNumberFormat="1" applyFont="1" applyFill="1" applyBorder="1"/>
    <xf numFmtId="5" fontId="16" fillId="0" borderId="11" xfId="9" applyNumberFormat="1" applyFill="1" applyBorder="1"/>
    <xf numFmtId="5" fontId="10" fillId="0" borderId="0" xfId="10" quotePrefix="1" applyNumberFormat="1" applyFont="1" applyFill="1" applyBorder="1" applyProtection="1">
      <protection locked="0"/>
    </xf>
    <xf numFmtId="167" fontId="0" fillId="0" borderId="0" xfId="1" applyNumberFormat="1" applyFont="1" applyFill="1"/>
    <xf numFmtId="0" fontId="50" fillId="0" borderId="26" xfId="8" applyFont="1" applyFill="1" applyBorder="1"/>
    <xf numFmtId="178" fontId="50" fillId="0" borderId="36" xfId="1" applyNumberFormat="1" applyFont="1" applyFill="1" applyBorder="1"/>
    <xf numFmtId="0" fontId="49" fillId="0" borderId="36" xfId="8" applyFont="1" applyFill="1" applyBorder="1"/>
    <xf numFmtId="0" fontId="50" fillId="0" borderId="36" xfId="8" applyFont="1" applyFill="1" applyBorder="1"/>
    <xf numFmtId="5" fontId="15" fillId="0" borderId="0" xfId="20" quotePrefix="1" applyNumberFormat="1" applyBorder="1" applyAlignment="1">
      <alignment horizontal="center"/>
    </xf>
    <xf numFmtId="0" fontId="27" fillId="2" borderId="6" xfId="0" applyFont="1" applyFill="1" applyBorder="1" applyAlignment="1" applyProtection="1">
      <alignment horizontal="centerContinuous"/>
    </xf>
    <xf numFmtId="0" fontId="27" fillId="2" borderId="7" xfId="0" applyFont="1" applyFill="1" applyBorder="1" applyAlignment="1" applyProtection="1">
      <alignment horizontal="centerContinuous"/>
    </xf>
    <xf numFmtId="0" fontId="27" fillId="2" borderId="19" xfId="0" applyFont="1" applyFill="1" applyBorder="1" applyAlignment="1" applyProtection="1">
      <alignment horizontal="centerContinuous"/>
    </xf>
    <xf numFmtId="7" fontId="15" fillId="0" borderId="0" xfId="2" applyNumberFormat="1" applyFont="1" applyFill="1"/>
    <xf numFmtId="5" fontId="15" fillId="0" borderId="22" xfId="0" applyNumberFormat="1" applyFont="1" applyFill="1" applyBorder="1" applyProtection="1"/>
    <xf numFmtId="179" fontId="15" fillId="0" borderId="0" xfId="0" applyNumberFormat="1" applyFont="1" applyFill="1" applyProtection="1">
      <protection locked="0"/>
    </xf>
    <xf numFmtId="179" fontId="15" fillId="2" borderId="0" xfId="23" applyNumberFormat="1" applyFont="1" applyFill="1" applyProtection="1">
      <protection locked="0"/>
    </xf>
    <xf numFmtId="184" fontId="15" fillId="0" borderId="0" xfId="0" applyNumberFormat="1" applyFont="1" applyFill="1" applyProtection="1">
      <protection locked="0"/>
    </xf>
    <xf numFmtId="169" fontId="15" fillId="0" borderId="0" xfId="0" applyNumberFormat="1" applyFont="1" applyFill="1" applyProtection="1"/>
    <xf numFmtId="177" fontId="15" fillId="0" borderId="0" xfId="0" applyNumberFormat="1" applyFont="1" applyFill="1" applyProtection="1"/>
    <xf numFmtId="39" fontId="15" fillId="0" borderId="0" xfId="0" applyNumberFormat="1" applyFont="1" applyFill="1" applyProtection="1"/>
    <xf numFmtId="39" fontId="15" fillId="0" borderId="0" xfId="0" applyNumberFormat="1" applyFont="1" applyFill="1" applyProtection="1">
      <protection locked="0"/>
    </xf>
    <xf numFmtId="179" fontId="15" fillId="0" borderId="0" xfId="23" applyNumberFormat="1" applyFont="1" applyFill="1" applyProtection="1">
      <protection locked="0"/>
    </xf>
    <xf numFmtId="167" fontId="15" fillId="0" borderId="22" xfId="1" applyNumberFormat="1" applyFont="1" applyFill="1" applyBorder="1" applyProtection="1"/>
    <xf numFmtId="167" fontId="15" fillId="0" borderId="0" xfId="1" applyNumberFormat="1" applyFont="1" applyFill="1" applyBorder="1" applyProtection="1"/>
    <xf numFmtId="169" fontId="15" fillId="0" borderId="22" xfId="0" applyNumberFormat="1" applyFont="1" applyFill="1" applyBorder="1" applyProtection="1"/>
    <xf numFmtId="169" fontId="15" fillId="0" borderId="0" xfId="0" applyNumberFormat="1" applyFont="1" applyFill="1" applyBorder="1" applyProtection="1"/>
    <xf numFmtId="186" fontId="15" fillId="0" borderId="0" xfId="0" applyNumberFormat="1" applyFont="1" applyFill="1" applyProtection="1"/>
    <xf numFmtId="43" fontId="15" fillId="0" borderId="0" xfId="1" applyFont="1" applyFill="1" applyProtection="1">
      <protection locked="0"/>
    </xf>
    <xf numFmtId="178" fontId="15" fillId="0" borderId="0" xfId="1" applyNumberFormat="1" applyFont="1" applyFill="1" applyProtection="1">
      <protection locked="0"/>
    </xf>
    <xf numFmtId="43" fontId="15" fillId="0" borderId="0" xfId="1" applyNumberFormat="1" applyFont="1" applyFill="1" applyProtection="1">
      <protection locked="0"/>
    </xf>
    <xf numFmtId="175" fontId="15" fillId="2" borderId="0" xfId="0" applyNumberFormat="1" applyFont="1" applyFill="1" applyProtection="1"/>
    <xf numFmtId="43" fontId="15" fillId="0" borderId="0" xfId="1" applyNumberFormat="1" applyFont="1" applyFill="1" applyProtection="1"/>
    <xf numFmtId="179" fontId="15" fillId="0" borderId="0" xfId="0" applyNumberFormat="1" applyFont="1" applyFill="1" applyProtection="1"/>
    <xf numFmtId="175" fontId="15" fillId="0" borderId="0" xfId="0" applyNumberFormat="1" applyFont="1" applyFill="1"/>
    <xf numFmtId="179" fontId="15" fillId="0" borderId="0" xfId="23" applyNumberFormat="1" applyFont="1" applyFill="1" applyProtection="1"/>
    <xf numFmtId="183" fontId="15" fillId="0" borderId="0" xfId="0" applyNumberFormat="1" applyFont="1" applyFill="1" applyProtection="1"/>
    <xf numFmtId="179" fontId="15" fillId="0" borderId="22" xfId="0" applyNumberFormat="1" applyFont="1" applyFill="1" applyBorder="1" applyProtection="1"/>
    <xf numFmtId="179" fontId="15" fillId="0" borderId="0" xfId="0" applyNumberFormat="1" applyFont="1" applyFill="1" applyBorder="1" applyProtection="1"/>
    <xf numFmtId="0" fontId="15" fillId="0" borderId="0" xfId="0" applyFont="1" applyFill="1" applyBorder="1" applyProtection="1"/>
    <xf numFmtId="0" fontId="15" fillId="0" borderId="22" xfId="0" applyFont="1" applyFill="1" applyBorder="1" applyProtection="1"/>
    <xf numFmtId="5" fontId="15" fillId="0" borderId="23" xfId="0" applyNumberFormat="1" applyFont="1" applyFill="1" applyBorder="1" applyProtection="1"/>
    <xf numFmtId="7" fontId="17" fillId="0" borderId="23" xfId="0" applyNumberFormat="1" applyFont="1" applyFill="1" applyBorder="1" applyProtection="1"/>
    <xf numFmtId="0" fontId="15" fillId="0" borderId="0" xfId="9" applyFont="1" applyFill="1" applyBorder="1" applyAlignment="1">
      <alignment horizontal="centerContinuous"/>
    </xf>
    <xf numFmtId="0" fontId="16" fillId="0" borderId="0" xfId="9" applyFill="1" applyAlignment="1">
      <alignment horizontal="centerContinuous"/>
    </xf>
    <xf numFmtId="0" fontId="16" fillId="0" borderId="4" xfId="9" quotePrefix="1" applyFont="1" applyFill="1" applyBorder="1" applyAlignment="1">
      <alignment horizontal="centerContinuous"/>
    </xf>
    <xf numFmtId="1" fontId="9" fillId="0" borderId="0" xfId="67" applyNumberFormat="1" applyFont="1" applyAlignment="1">
      <alignment horizontal="left"/>
    </xf>
    <xf numFmtId="0" fontId="9" fillId="0" borderId="0" xfId="67" applyFont="1"/>
    <xf numFmtId="0" fontId="71" fillId="0" borderId="0" xfId="67" applyFont="1" applyAlignment="1">
      <alignment horizontal="left"/>
    </xf>
    <xf numFmtId="43" fontId="9" fillId="0" borderId="0" xfId="68" applyFont="1" applyFill="1"/>
    <xf numFmtId="167" fontId="9" fillId="0" borderId="0" xfId="68" applyNumberFormat="1" applyFont="1" applyFill="1" applyBorder="1"/>
    <xf numFmtId="0" fontId="71" fillId="0" borderId="0" xfId="67" applyFont="1"/>
    <xf numFmtId="37" fontId="71" fillId="0" borderId="0" xfId="67" applyNumberFormat="1" applyFont="1" applyAlignment="1">
      <alignment horizontal="centerContinuous"/>
    </xf>
    <xf numFmtId="0" fontId="9" fillId="0" borderId="0" xfId="67" applyFont="1" applyAlignment="1">
      <alignment horizontal="centerContinuous"/>
    </xf>
    <xf numFmtId="43" fontId="9" fillId="0" borderId="0" xfId="68" applyFont="1" applyFill="1" applyAlignment="1">
      <alignment horizontal="centerContinuous"/>
    </xf>
    <xf numFmtId="37" fontId="9" fillId="0" borderId="0" xfId="67" applyNumberFormat="1" applyFont="1" applyAlignment="1">
      <alignment horizontal="centerContinuous"/>
    </xf>
    <xf numFmtId="167" fontId="9" fillId="0" borderId="0" xfId="68" applyNumberFormat="1" applyFont="1" applyFill="1" applyBorder="1" applyProtection="1"/>
    <xf numFmtId="202" fontId="71" fillId="0" borderId="0" xfId="67" applyNumberFormat="1" applyFont="1" applyAlignment="1">
      <alignment horizontal="center"/>
    </xf>
    <xf numFmtId="167" fontId="9" fillId="0" borderId="0" xfId="67" applyNumberFormat="1" applyFont="1"/>
    <xf numFmtId="37" fontId="71" fillId="0" borderId="0" xfId="67" applyNumberFormat="1" applyFont="1"/>
    <xf numFmtId="37" fontId="9" fillId="0" borderId="0" xfId="67" applyNumberFormat="1" applyFont="1"/>
    <xf numFmtId="0" fontId="71" fillId="0" borderId="0" xfId="67" applyFont="1" applyAlignment="1">
      <alignment horizontal="center"/>
    </xf>
    <xf numFmtId="43" fontId="71" fillId="0" borderId="0" xfId="68" applyFont="1" applyFill="1"/>
    <xf numFmtId="37" fontId="71" fillId="0" borderId="0" xfId="67" applyNumberFormat="1" applyFont="1" applyAlignment="1">
      <alignment horizontal="center"/>
    </xf>
    <xf numFmtId="167" fontId="9" fillId="0" borderId="37" xfId="68" applyNumberFormat="1" applyFont="1" applyFill="1" applyBorder="1" applyAlignment="1">
      <alignment horizontal="center"/>
    </xf>
    <xf numFmtId="0" fontId="72" fillId="0" borderId="0" xfId="67" applyFont="1"/>
    <xf numFmtId="0" fontId="72" fillId="0" borderId="0" xfId="67" applyFont="1" applyAlignment="1">
      <alignment horizontal="center"/>
    </xf>
    <xf numFmtId="43" fontId="72" fillId="0" borderId="0" xfId="68" applyFont="1" applyFill="1"/>
    <xf numFmtId="0" fontId="71" fillId="0" borderId="38" xfId="67" applyFont="1" applyBorder="1" applyAlignment="1">
      <alignment horizontal="center" wrapText="1"/>
    </xf>
    <xf numFmtId="167" fontId="9" fillId="0" borderId="39" xfId="68" applyNumberFormat="1" applyFont="1" applyFill="1" applyBorder="1" applyProtection="1"/>
    <xf numFmtId="1" fontId="71" fillId="0" borderId="0" xfId="67" applyNumberFormat="1" applyFont="1" applyAlignment="1">
      <alignment horizontal="center"/>
    </xf>
    <xf numFmtId="167" fontId="71" fillId="0" borderId="0" xfId="67" applyNumberFormat="1" applyFont="1"/>
    <xf numFmtId="167" fontId="71" fillId="0" borderId="0" xfId="68" applyNumberFormat="1" applyFont="1" applyFill="1" applyProtection="1"/>
    <xf numFmtId="167" fontId="71" fillId="0" borderId="40" xfId="67" applyNumberFormat="1" applyFont="1" applyBorder="1"/>
    <xf numFmtId="167" fontId="71" fillId="0" borderId="22" xfId="67" applyNumberFormat="1" applyFont="1" applyBorder="1"/>
    <xf numFmtId="43" fontId="71" fillId="0" borderId="0" xfId="67" applyNumberFormat="1" applyFont="1"/>
    <xf numFmtId="43" fontId="71" fillId="0" borderId="0" xfId="68" applyFont="1" applyFill="1" applyProtection="1"/>
    <xf numFmtId="10" fontId="9" fillId="0" borderId="0" xfId="69" applyNumberFormat="1" applyFont="1" applyFill="1"/>
    <xf numFmtId="10" fontId="71" fillId="0" borderId="0" xfId="69" applyNumberFormat="1" applyFont="1" applyFill="1" applyProtection="1"/>
    <xf numFmtId="0" fontId="71" fillId="0" borderId="0" xfId="67" applyFont="1" applyAlignment="1">
      <alignment horizontal="centerContinuous"/>
    </xf>
    <xf numFmtId="43" fontId="71" fillId="0" borderId="0" xfId="68" applyFont="1" applyFill="1" applyAlignment="1">
      <alignment horizontal="centerContinuous"/>
    </xf>
    <xf numFmtId="0" fontId="71" fillId="0" borderId="0" xfId="67" applyFont="1" applyAlignment="1">
      <alignment horizontal="center" wrapText="1"/>
    </xf>
    <xf numFmtId="10" fontId="71" fillId="0" borderId="0" xfId="67" applyNumberFormat="1" applyFont="1" applyAlignment="1">
      <alignment horizontal="center"/>
    </xf>
    <xf numFmtId="0" fontId="71" fillId="0" borderId="0" xfId="67" quotePrefix="1" applyFont="1" applyAlignment="1">
      <alignment horizontal="center"/>
    </xf>
    <xf numFmtId="167" fontId="71" fillId="0" borderId="11" xfId="67" applyNumberFormat="1" applyFont="1" applyBorder="1"/>
    <xf numFmtId="0" fontId="73" fillId="0" borderId="0" xfId="67" applyFont="1" applyAlignment="1">
      <alignment horizontal="right"/>
    </xf>
    <xf numFmtId="0" fontId="74" fillId="0" borderId="0" xfId="67" applyFont="1"/>
    <xf numFmtId="43" fontId="74" fillId="0" borderId="0" xfId="68" applyFont="1" applyFill="1"/>
    <xf numFmtId="167" fontId="74" fillId="0" borderId="0" xfId="68" applyNumberFormat="1" applyFont="1" applyFill="1" applyProtection="1"/>
    <xf numFmtId="0" fontId="71" fillId="0" borderId="37" xfId="67" applyFont="1" applyBorder="1" applyAlignment="1">
      <alignment horizontal="center"/>
    </xf>
    <xf numFmtId="0" fontId="71" fillId="0" borderId="12" xfId="67" applyFont="1" applyBorder="1" applyAlignment="1">
      <alignment horizontal="center"/>
    </xf>
    <xf numFmtId="0" fontId="71" fillId="0" borderId="12" xfId="67" applyFont="1" applyBorder="1" applyAlignment="1">
      <alignment horizontal="center" wrapText="1"/>
    </xf>
    <xf numFmtId="167" fontId="71" fillId="0" borderId="38" xfId="68" applyNumberFormat="1" applyFont="1" applyFill="1" applyBorder="1" applyProtection="1"/>
    <xf numFmtId="167" fontId="72" fillId="0" borderId="0" xfId="68" applyNumberFormat="1" applyFont="1" applyFill="1" applyProtection="1"/>
    <xf numFmtId="167" fontId="71" fillId="0" borderId="0" xfId="68" applyNumberFormat="1" applyFont="1" applyFill="1"/>
    <xf numFmtId="43" fontId="71" fillId="0" borderId="0" xfId="68" applyFont="1" applyFill="1" applyAlignment="1" applyProtection="1">
      <alignment horizontal="center"/>
    </xf>
    <xf numFmtId="167" fontId="9" fillId="0" borderId="0" xfId="68" applyNumberFormat="1" applyFont="1" applyFill="1" applyProtection="1"/>
    <xf numFmtId="167" fontId="9" fillId="0" borderId="0" xfId="68" applyNumberFormat="1" applyFont="1" applyFill="1"/>
    <xf numFmtId="167" fontId="71" fillId="0" borderId="22" xfId="68" applyNumberFormat="1" applyFont="1" applyFill="1" applyBorder="1" applyProtection="1"/>
    <xf numFmtId="167" fontId="71" fillId="0" borderId="0" xfId="68" applyNumberFormat="1" applyFont="1" applyFill="1" applyBorder="1" applyProtection="1"/>
    <xf numFmtId="203" fontId="71" fillId="0" borderId="0" xfId="67" applyNumberFormat="1" applyFont="1" applyAlignment="1">
      <alignment horizontal="left"/>
    </xf>
    <xf numFmtId="167" fontId="71" fillId="0" borderId="0" xfId="68" applyNumberFormat="1" applyFont="1" applyFill="1" applyAlignment="1" applyProtection="1">
      <alignment horizontal="centerContinuous"/>
    </xf>
    <xf numFmtId="167" fontId="71" fillId="0" borderId="0" xfId="68" applyNumberFormat="1" applyFont="1" applyFill="1" applyAlignment="1">
      <alignment horizontal="centerContinuous"/>
    </xf>
    <xf numFmtId="167" fontId="9" fillId="0" borderId="0" xfId="68" applyNumberFormat="1" applyFont="1" applyFill="1" applyAlignment="1">
      <alignment horizontal="centerContinuous"/>
    </xf>
    <xf numFmtId="3" fontId="71" fillId="0" borderId="0" xfId="67" applyNumberFormat="1" applyFont="1"/>
    <xf numFmtId="0" fontId="71" fillId="0" borderId="0" xfId="67" quotePrefix="1" applyFont="1"/>
    <xf numFmtId="0" fontId="71" fillId="0" borderId="0" xfId="67" applyFont="1" applyAlignment="1">
      <alignment horizontal="left" indent="1"/>
    </xf>
    <xf numFmtId="0" fontId="9" fillId="0" borderId="38" xfId="67" applyFont="1" applyBorder="1"/>
    <xf numFmtId="167" fontId="72" fillId="0" borderId="0" xfId="68" applyNumberFormat="1" applyFont="1" applyFill="1" applyAlignment="1" applyProtection="1">
      <alignment horizontal="center"/>
    </xf>
    <xf numFmtId="37" fontId="72" fillId="0" borderId="0" xfId="67" applyNumberFormat="1" applyFont="1" applyAlignment="1">
      <alignment horizontal="center"/>
    </xf>
    <xf numFmtId="167" fontId="71" fillId="0" borderId="0" xfId="68" applyNumberFormat="1" applyFont="1" applyFill="1" applyBorder="1"/>
    <xf numFmtId="167" fontId="71" fillId="0" borderId="11" xfId="68" applyNumberFormat="1" applyFont="1" applyFill="1" applyBorder="1" applyProtection="1"/>
    <xf numFmtId="167" fontId="71" fillId="0" borderId="4" xfId="68" applyNumberFormat="1" applyFont="1" applyFill="1" applyBorder="1" applyProtection="1"/>
    <xf numFmtId="0" fontId="71" fillId="0" borderId="4" xfId="67" applyFont="1" applyBorder="1" applyAlignment="1">
      <alignment horizontal="center" wrapText="1"/>
    </xf>
    <xf numFmtId="43" fontId="71" fillId="0" borderId="0" xfId="68" applyFont="1" applyFill="1" applyAlignment="1" applyProtection="1">
      <alignment horizontal="centerContinuous"/>
    </xf>
    <xf numFmtId="167" fontId="72" fillId="0" borderId="0" xfId="68" applyNumberFormat="1" applyFont="1" applyFill="1"/>
    <xf numFmtId="37" fontId="71" fillId="0" borderId="0" xfId="67" applyNumberFormat="1" applyFont="1" applyAlignment="1">
      <alignment horizontal="left"/>
    </xf>
    <xf numFmtId="1" fontId="71" fillId="0" borderId="0" xfId="67" applyNumberFormat="1" applyFont="1" applyAlignment="1">
      <alignment horizontal="left"/>
    </xf>
    <xf numFmtId="167" fontId="9" fillId="0" borderId="4" xfId="68" applyNumberFormat="1" applyFont="1" applyFill="1" applyBorder="1" applyProtection="1"/>
    <xf numFmtId="198" fontId="71" fillId="0" borderId="0" xfId="67" quotePrefix="1" applyNumberFormat="1" applyFont="1" applyAlignment="1">
      <alignment horizontal="left"/>
    </xf>
    <xf numFmtId="1" fontId="71" fillId="0" borderId="0" xfId="67" quotePrefix="1" applyNumberFormat="1" applyFont="1" applyAlignment="1">
      <alignment horizontal="left"/>
    </xf>
    <xf numFmtId="3" fontId="71" fillId="0" borderId="0" xfId="67" applyNumberFormat="1" applyFont="1" applyAlignment="1">
      <alignment horizontal="left"/>
    </xf>
    <xf numFmtId="0" fontId="75" fillId="0" borderId="39" xfId="67" applyFont="1" applyBorder="1" applyAlignment="1">
      <alignment horizontal="center"/>
    </xf>
    <xf numFmtId="204" fontId="9" fillId="0" borderId="0" xfId="70" applyFont="1" applyFill="1"/>
    <xf numFmtId="0" fontId="16" fillId="0" borderId="4" xfId="9" applyFill="1" applyBorder="1"/>
    <xf numFmtId="0" fontId="16" fillId="0" borderId="4" xfId="9" applyFill="1" applyBorder="1" applyAlignment="1">
      <alignment horizontal="center"/>
    </xf>
    <xf numFmtId="167" fontId="10" fillId="0" borderId="0" xfId="1" quotePrefix="1" applyNumberFormat="1" applyFont="1" applyFill="1" applyAlignment="1">
      <alignment horizontal="center"/>
    </xf>
    <xf numFmtId="167" fontId="10" fillId="0" borderId="0" xfId="9" applyNumberFormat="1" applyFont="1" applyFill="1"/>
    <xf numFmtId="0" fontId="10" fillId="0" borderId="4" xfId="9" applyFont="1" applyFill="1" applyBorder="1"/>
    <xf numFmtId="5" fontId="10" fillId="0" borderId="4" xfId="9" applyNumberFormat="1" applyFont="1" applyFill="1" applyBorder="1" applyProtection="1">
      <protection locked="0"/>
    </xf>
    <xf numFmtId="0" fontId="10" fillId="0" borderId="4" xfId="9" applyFont="1" applyFill="1" applyBorder="1" applyAlignment="1">
      <alignment horizontal="center"/>
    </xf>
    <xf numFmtId="167" fontId="10" fillId="0" borderId="0" xfId="1" applyNumberFormat="1" applyFont="1" applyFill="1" applyAlignment="1">
      <alignment horizontal="center"/>
    </xf>
    <xf numFmtId="167" fontId="10" fillId="0" borderId="0" xfId="1" applyNumberFormat="1" applyFont="1" applyFill="1"/>
    <xf numFmtId="190" fontId="16" fillId="0" borderId="0" xfId="9" applyNumberFormat="1" applyFill="1"/>
    <xf numFmtId="5" fontId="30" fillId="0" borderId="0" xfId="1" applyNumberFormat="1" applyFont="1" applyFill="1" applyProtection="1">
      <protection locked="0"/>
    </xf>
    <xf numFmtId="166" fontId="0" fillId="0" borderId="0" xfId="0" applyNumberFormat="1" applyFill="1"/>
    <xf numFmtId="3" fontId="0" fillId="0" borderId="39" xfId="0" applyNumberFormat="1" applyFill="1" applyBorder="1"/>
    <xf numFmtId="3" fontId="0" fillId="0" borderId="37" xfId="0" applyNumberFormat="1" applyFill="1" applyBorder="1" applyAlignment="1">
      <alignment horizontal="right"/>
    </xf>
    <xf numFmtId="0" fontId="16" fillId="0" borderId="0" xfId="9" quotePrefix="1" applyFill="1"/>
    <xf numFmtId="169" fontId="10" fillId="0" borderId="0" xfId="10" applyNumberFormat="1" applyFont="1" applyFill="1" applyProtection="1">
      <protection locked="0"/>
    </xf>
    <xf numFmtId="169" fontId="16" fillId="0" borderId="4" xfId="10" applyNumberFormat="1" applyFont="1" applyFill="1" applyBorder="1"/>
    <xf numFmtId="169" fontId="16" fillId="0" borderId="4" xfId="9" applyNumberFormat="1" applyFill="1" applyBorder="1"/>
    <xf numFmtId="169" fontId="10" fillId="0" borderId="4" xfId="10" applyNumberFormat="1" applyFont="1" applyFill="1" applyBorder="1" applyProtection="1">
      <protection locked="0"/>
    </xf>
    <xf numFmtId="169" fontId="16" fillId="0" borderId="0" xfId="9" applyNumberFormat="1" applyFill="1" applyBorder="1" applyProtection="1"/>
    <xf numFmtId="169" fontId="10" fillId="0" borderId="14" xfId="10" applyNumberFormat="1" applyFont="1" applyFill="1" applyBorder="1" applyProtection="1">
      <protection locked="0"/>
    </xf>
    <xf numFmtId="175" fontId="16" fillId="0" borderId="0" xfId="9" applyNumberFormat="1" applyFill="1"/>
    <xf numFmtId="43" fontId="15" fillId="0" borderId="0" xfId="9" applyNumberFormat="1" applyFont="1" applyFill="1"/>
    <xf numFmtId="0" fontId="16" fillId="0" borderId="0" xfId="9" applyFont="1" applyFill="1" applyAlignment="1">
      <alignment horizontal="left"/>
    </xf>
    <xf numFmtId="0" fontId="16" fillId="0" borderId="0" xfId="9" quotePrefix="1" applyFont="1" applyFill="1" applyAlignment="1">
      <alignment horizontal="left"/>
    </xf>
    <xf numFmtId="0" fontId="27" fillId="2" borderId="6" xfId="0" applyFont="1" applyFill="1" applyBorder="1" applyAlignment="1" applyProtection="1">
      <alignment horizontal="center"/>
    </xf>
    <xf numFmtId="0" fontId="27" fillId="2" borderId="7" xfId="0" applyFont="1" applyFill="1" applyBorder="1" applyAlignment="1" applyProtection="1">
      <alignment horizontal="center"/>
    </xf>
    <xf numFmtId="0" fontId="27" fillId="2" borderId="19" xfId="0" applyFont="1" applyFill="1" applyBorder="1" applyAlignment="1" applyProtection="1">
      <alignment horizontal="center"/>
    </xf>
    <xf numFmtId="0" fontId="26" fillId="0" borderId="4" xfId="8" applyFont="1" applyFill="1" applyBorder="1" applyAlignment="1">
      <alignment horizontal="center"/>
    </xf>
    <xf numFmtId="0" fontId="47" fillId="0" borderId="4" xfId="8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quotePrefix="1" applyFont="1" applyFill="1" applyAlignment="1">
      <alignment horizontal="center"/>
    </xf>
    <xf numFmtId="0" fontId="38" fillId="0" borderId="0" xfId="0" quotePrefix="1" applyNumberFormat="1" applyFont="1" applyFill="1" applyAlignment="1">
      <alignment horizontal="center"/>
    </xf>
    <xf numFmtId="0" fontId="27" fillId="0" borderId="0" xfId="0" quotePrefix="1" applyFont="1" applyFill="1" applyAlignment="1" applyProtection="1">
      <alignment horizontal="center"/>
    </xf>
  </cellXfs>
  <cellStyles count="71">
    <cellStyle name="Comma" xfId="1" builtinId="3"/>
    <cellStyle name="Comma 10" xfId="68" xr:uid="{4A66067A-EEA9-48AD-B9DA-D3D4EE86D619}"/>
    <cellStyle name="Comma 11" xfId="45" xr:uid="{00000000-0005-0000-0000-000001000000}"/>
    <cellStyle name="Comma 2" xfId="14" xr:uid="{00000000-0005-0000-0000-000002000000}"/>
    <cellStyle name="Comma 2 2" xfId="17" xr:uid="{00000000-0005-0000-0000-000003000000}"/>
    <cellStyle name="Comma 3" xfId="22" xr:uid="{00000000-0005-0000-0000-000004000000}"/>
    <cellStyle name="Comma 4" xfId="26" xr:uid="{00000000-0005-0000-0000-000005000000}"/>
    <cellStyle name="Comma 5" xfId="43" xr:uid="{00000000-0005-0000-0000-000006000000}"/>
    <cellStyle name="Comma 6" xfId="53" xr:uid="{00000000-0005-0000-0000-000007000000}"/>
    <cellStyle name="Comma 7" xfId="55" xr:uid="{00000000-0005-0000-0000-000008000000}"/>
    <cellStyle name="Comma 8" xfId="62" xr:uid="{00000000-0005-0000-0000-000009000000}"/>
    <cellStyle name="Comma 9" xfId="65" xr:uid="{00000000-0005-0000-0000-00000A000000}"/>
    <cellStyle name="Currency" xfId="2" builtinId="4"/>
    <cellStyle name="Currency 2" xfId="30" xr:uid="{00000000-0005-0000-0000-00000C000000}"/>
    <cellStyle name="Currency 28" xfId="60" xr:uid="{00000000-0005-0000-0000-00000D000000}"/>
    <cellStyle name="Currency 3" xfId="32" xr:uid="{00000000-0005-0000-0000-00000E000000}"/>
    <cellStyle name="Currency 3 2" xfId="50" xr:uid="{00000000-0005-0000-0000-00000F000000}"/>
    <cellStyle name="General" xfId="3" xr:uid="{00000000-0005-0000-0000-000010000000}"/>
    <cellStyle name="Marathon" xfId="4" xr:uid="{00000000-0005-0000-0000-000011000000}"/>
    <cellStyle name="nONE" xfId="5" xr:uid="{00000000-0005-0000-0000-000012000000}"/>
    <cellStyle name="Normal" xfId="0" builtinId="0"/>
    <cellStyle name="Normal 10" xfId="31" xr:uid="{00000000-0005-0000-0000-000014000000}"/>
    <cellStyle name="Normal 11" xfId="33" xr:uid="{00000000-0005-0000-0000-000015000000}"/>
    <cellStyle name="Normal 12" xfId="34" xr:uid="{00000000-0005-0000-0000-000016000000}"/>
    <cellStyle name="Normal 13" xfId="35" xr:uid="{00000000-0005-0000-0000-000017000000}"/>
    <cellStyle name="Normal 13 2" xfId="49" xr:uid="{00000000-0005-0000-0000-000018000000}"/>
    <cellStyle name="Normal 14" xfId="37" xr:uid="{00000000-0005-0000-0000-000019000000}"/>
    <cellStyle name="Normal 15" xfId="38" xr:uid="{00000000-0005-0000-0000-00001A000000}"/>
    <cellStyle name="Normal 15 8" xfId="56" xr:uid="{00000000-0005-0000-0000-00001B000000}"/>
    <cellStyle name="Normal 159" xfId="61" xr:uid="{00000000-0005-0000-0000-00001C000000}"/>
    <cellStyle name="Normal 16" xfId="39" xr:uid="{00000000-0005-0000-0000-00001D000000}"/>
    <cellStyle name="Normal 17" xfId="40" xr:uid="{00000000-0005-0000-0000-00001E000000}"/>
    <cellStyle name="Normal 18" xfId="41" xr:uid="{00000000-0005-0000-0000-00001F000000}"/>
    <cellStyle name="Normal 19" xfId="42" xr:uid="{00000000-0005-0000-0000-000020000000}"/>
    <cellStyle name="Normal 2" xfId="12" xr:uid="{00000000-0005-0000-0000-000021000000}"/>
    <cellStyle name="Normal 2 2" xfId="29" xr:uid="{00000000-0005-0000-0000-000022000000}"/>
    <cellStyle name="Normal 2 23" xfId="66" xr:uid="{00000000-0005-0000-0000-000023000000}"/>
    <cellStyle name="Normal 2 3" xfId="59" xr:uid="{00000000-0005-0000-0000-000024000000}"/>
    <cellStyle name="Normal 20" xfId="47" xr:uid="{00000000-0005-0000-0000-000025000000}"/>
    <cellStyle name="Normal 21" xfId="52" xr:uid="{00000000-0005-0000-0000-000026000000}"/>
    <cellStyle name="Normal 22" xfId="54" xr:uid="{00000000-0005-0000-0000-000027000000}"/>
    <cellStyle name="Normal 23" xfId="67" xr:uid="{2DFC1A0F-A804-4421-9B08-FA639420FBC8}"/>
    <cellStyle name="Normal 3" xfId="13" xr:uid="{00000000-0005-0000-0000-000028000000}"/>
    <cellStyle name="Normal 3 2" xfId="21" xr:uid="{00000000-0005-0000-0000-000029000000}"/>
    <cellStyle name="Normal 3 2 2" xfId="57" xr:uid="{00000000-0005-0000-0000-00002A000000}"/>
    <cellStyle name="Normal 3 2 3" xfId="63" xr:uid="{00000000-0005-0000-0000-00002B000000}"/>
    <cellStyle name="Normal 3 3" xfId="48" xr:uid="{00000000-0005-0000-0000-00002C000000}"/>
    <cellStyle name="Normal 4" xfId="15" xr:uid="{00000000-0005-0000-0000-00002D000000}"/>
    <cellStyle name="Normal 4 2" xfId="24" xr:uid="{00000000-0005-0000-0000-00002E000000}"/>
    <cellStyle name="Normal 5" xfId="16" xr:uid="{00000000-0005-0000-0000-00002F000000}"/>
    <cellStyle name="Normal 6" xfId="19" xr:uid="{00000000-0005-0000-0000-000030000000}"/>
    <cellStyle name="Normal 7" xfId="23" xr:uid="{00000000-0005-0000-0000-000031000000}"/>
    <cellStyle name="Normal 7 2" xfId="51" xr:uid="{00000000-0005-0000-0000-000032000000}"/>
    <cellStyle name="Normal 8" xfId="25" xr:uid="{00000000-0005-0000-0000-000033000000}"/>
    <cellStyle name="Normal 9" xfId="27" xr:uid="{00000000-0005-0000-0000-000034000000}"/>
    <cellStyle name="Normal_Distribution" xfId="70" xr:uid="{35267FCE-C59E-40B7-A782-FD428963304C}"/>
    <cellStyle name="Normal_EAST Blocking 901 2" xfId="20" xr:uid="{00000000-0005-0000-0000-000036000000}"/>
    <cellStyle name="Normal_East for 38.6M" xfId="6" xr:uid="{00000000-0005-0000-0000-000037000000}"/>
    <cellStyle name="Normal_OR Blocking 04" xfId="7" xr:uid="{00000000-0005-0000-0000-00003A000000}"/>
    <cellStyle name="Normal_OR Blocking 98 No Forecast" xfId="8" xr:uid="{00000000-0005-0000-0000-00003B000000}"/>
    <cellStyle name="Normal_WA98" xfId="9" xr:uid="{00000000-0005-0000-0000-00003D000000}"/>
    <cellStyle name="Percent" xfId="10" builtinId="5"/>
    <cellStyle name="Percent 10" xfId="46" xr:uid="{00000000-0005-0000-0000-000040000000}"/>
    <cellStyle name="Percent 2" xfId="18" xr:uid="{00000000-0005-0000-0000-000041000000}"/>
    <cellStyle name="Percent 2 2" xfId="58" xr:uid="{00000000-0005-0000-0000-000042000000}"/>
    <cellStyle name="Percent 2 2 2" xfId="64" xr:uid="{00000000-0005-0000-0000-000043000000}"/>
    <cellStyle name="Percent 3" xfId="28" xr:uid="{00000000-0005-0000-0000-000044000000}"/>
    <cellStyle name="Percent 3 2" xfId="36" xr:uid="{00000000-0005-0000-0000-000045000000}"/>
    <cellStyle name="Percent 4" xfId="44" xr:uid="{00000000-0005-0000-0000-000046000000}"/>
    <cellStyle name="Percent 5" xfId="69" xr:uid="{163E115C-55DD-4D10-B983-9A0D3D6CF348}"/>
    <cellStyle name="TRANSMISSION RELIABILITY PORTION OF PROJECT" xfId="1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theme" Target="theme/theme1.xml"/><Relationship Id="rId50" Type="http://schemas.openxmlformats.org/officeDocument/2006/relationships/sheetMetadata" Target="metadata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22-05%2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09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REGULATN\COS\WA%20GRC%202020\Settlement\COS%20WA%20Jun%202020-Settlemen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CASES\Wyoming98\East%20West%20Rate%20Migrat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yoming%20FY%202005\COS\COS%20Sep%202006\Wyoming%20Combined%20Sept%202006%20MSP-UCAM%20and%20AFOR-09-12-05-JAM%20upd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</sheetData>
      <sheetData sheetId="20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F6E5-3863-4626-B07B-F898C1442DAC}">
  <sheetPr transitionEvaluation="1" transitionEntry="1">
    <pageSetUpPr fitToPage="1"/>
  </sheetPr>
  <dimension ref="B1:U45"/>
  <sheetViews>
    <sheetView topLeftCell="B10" zoomScale="70" zoomScaleNormal="70" workbookViewId="0">
      <selection activeCell="AB38" sqref="AB38"/>
    </sheetView>
  </sheetViews>
  <sheetFormatPr defaultColWidth="10.25" defaultRowHeight="15.75"/>
  <cols>
    <col min="1" max="1" width="0" style="53" hidden="1" customWidth="1"/>
    <col min="2" max="2" width="4.625" style="53" customWidth="1"/>
    <col min="3" max="3" width="2.125" style="53" customWidth="1"/>
    <col min="4" max="4" width="35.875" style="54" customWidth="1"/>
    <col min="5" max="5" width="2.125" style="54" customWidth="1"/>
    <col min="6" max="6" width="7.625" style="54" customWidth="1"/>
    <col min="7" max="7" width="2.25" style="53" customWidth="1"/>
    <col min="8" max="8" width="11.5" style="53" bestFit="1" customWidth="1"/>
    <col min="9" max="9" width="11.5" style="53" customWidth="1"/>
    <col min="10" max="10" width="2.25" style="53" customWidth="1"/>
    <col min="11" max="11" width="14" style="53" bestFit="1" customWidth="1"/>
    <col min="12" max="12" width="2.25" style="53" customWidth="1"/>
    <col min="13" max="13" width="10.25" style="53" customWidth="1"/>
    <col min="14" max="14" width="1.75" style="53" customWidth="1"/>
    <col min="15" max="15" width="12.75" style="53" bestFit="1" customWidth="1"/>
    <col min="16" max="16" width="1.875" style="53" customWidth="1"/>
    <col min="17" max="17" width="19" style="53" bestFit="1" customWidth="1"/>
    <col min="18" max="18" width="2.5" style="53" customWidth="1"/>
    <col min="19" max="19" width="23.75" style="53" bestFit="1" customWidth="1"/>
    <col min="20" max="16384" width="10.25" style="53"/>
  </cols>
  <sheetData>
    <row r="1" spans="2:21" ht="18.75">
      <c r="C1" s="540"/>
      <c r="D1" s="541"/>
    </row>
    <row r="2" spans="2:21">
      <c r="B2" s="57" t="s">
        <v>563</v>
      </c>
      <c r="C2" s="57"/>
      <c r="D2" s="57"/>
      <c r="E2" s="57"/>
      <c r="F2" s="57"/>
      <c r="G2" s="760"/>
      <c r="H2" s="760"/>
      <c r="I2" s="760"/>
      <c r="J2" s="760"/>
      <c r="K2" s="760"/>
      <c r="L2" s="760"/>
      <c r="M2" s="760"/>
      <c r="N2" s="760"/>
      <c r="O2" s="760"/>
      <c r="P2" s="760"/>
      <c r="Q2" s="760"/>
      <c r="R2" s="760"/>
      <c r="S2" s="760"/>
    </row>
    <row r="3" spans="2:21">
      <c r="B3" s="57" t="s">
        <v>570</v>
      </c>
      <c r="C3" s="57"/>
      <c r="D3" s="57"/>
      <c r="E3" s="57"/>
      <c r="F3" s="57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</row>
    <row r="4" spans="2:21">
      <c r="B4" s="57" t="s">
        <v>117</v>
      </c>
      <c r="C4" s="57"/>
      <c r="D4" s="57"/>
      <c r="E4" s="57"/>
      <c r="F4" s="57"/>
      <c r="G4" s="760"/>
      <c r="H4" s="760"/>
      <c r="I4" s="760"/>
      <c r="J4" s="760"/>
      <c r="K4" s="760"/>
      <c r="L4" s="760"/>
      <c r="M4" s="760"/>
      <c r="N4" s="760"/>
      <c r="O4" s="760"/>
      <c r="P4" s="760"/>
      <c r="Q4" s="760"/>
      <c r="R4" s="760"/>
      <c r="S4" s="760"/>
    </row>
    <row r="5" spans="2:21">
      <c r="B5" s="56" t="s">
        <v>523</v>
      </c>
      <c r="C5" s="56"/>
      <c r="D5" s="56"/>
      <c r="E5" s="56"/>
      <c r="F5" s="56"/>
      <c r="G5" s="760"/>
      <c r="H5" s="760"/>
      <c r="I5" s="760"/>
      <c r="J5" s="760"/>
      <c r="K5" s="760"/>
      <c r="L5" s="760"/>
      <c r="M5" s="760"/>
      <c r="N5" s="760"/>
      <c r="O5" s="760"/>
      <c r="P5" s="760"/>
      <c r="Q5" s="760"/>
      <c r="R5" s="760"/>
      <c r="S5" s="760"/>
    </row>
    <row r="6" spans="2:21">
      <c r="B6" s="56"/>
      <c r="C6" s="56"/>
      <c r="D6" s="56"/>
      <c r="E6" s="56"/>
      <c r="F6" s="56"/>
    </row>
    <row r="7" spans="2:21">
      <c r="B7" s="650"/>
      <c r="C7" s="650"/>
      <c r="D7" s="650"/>
      <c r="E7" s="650"/>
      <c r="F7" s="650"/>
    </row>
    <row r="9" spans="2:21">
      <c r="K9" s="66" t="s">
        <v>1445</v>
      </c>
      <c r="O9" s="66" t="s">
        <v>526</v>
      </c>
      <c r="Q9" s="760" t="s">
        <v>1442</v>
      </c>
      <c r="S9" s="760" t="s">
        <v>1442</v>
      </c>
    </row>
    <row r="10" spans="2:21">
      <c r="F10" s="52"/>
      <c r="K10" s="532" t="s">
        <v>447</v>
      </c>
      <c r="M10" s="66" t="s">
        <v>1447</v>
      </c>
      <c r="O10" s="532" t="s">
        <v>16</v>
      </c>
      <c r="Q10" s="759" t="s">
        <v>1443</v>
      </c>
      <c r="S10" s="759" t="s">
        <v>1443</v>
      </c>
    </row>
    <row r="11" spans="2:21">
      <c r="B11" s="66" t="s">
        <v>74</v>
      </c>
      <c r="F11" s="52" t="s">
        <v>123</v>
      </c>
      <c r="H11" s="52" t="s">
        <v>119</v>
      </c>
      <c r="I11" s="52" t="s">
        <v>1471</v>
      </c>
      <c r="K11" s="725" t="s">
        <v>1446</v>
      </c>
      <c r="M11" s="66" t="s">
        <v>1448</v>
      </c>
      <c r="O11" s="725" t="s">
        <v>567</v>
      </c>
      <c r="Q11" s="761" t="s">
        <v>1444</v>
      </c>
      <c r="S11" s="761" t="s">
        <v>1450</v>
      </c>
    </row>
    <row r="12" spans="2:21">
      <c r="B12" s="69" t="s">
        <v>76</v>
      </c>
      <c r="D12" s="70" t="s">
        <v>90</v>
      </c>
      <c r="F12" s="70" t="s">
        <v>76</v>
      </c>
      <c r="H12" s="70" t="s">
        <v>8</v>
      </c>
      <c r="I12" s="70" t="s">
        <v>8</v>
      </c>
      <c r="K12" s="533" t="s">
        <v>86</v>
      </c>
      <c r="M12" s="841" t="s">
        <v>1449</v>
      </c>
      <c r="O12" s="533" t="s">
        <v>86</v>
      </c>
      <c r="Q12" s="73" t="s">
        <v>86</v>
      </c>
      <c r="S12" s="73" t="s">
        <v>1451</v>
      </c>
    </row>
    <row r="13" spans="2:21">
      <c r="B13" s="74"/>
      <c r="D13" s="67" t="s">
        <v>127</v>
      </c>
      <c r="F13" s="67" t="s">
        <v>128</v>
      </c>
      <c r="H13" s="534" t="s">
        <v>129</v>
      </c>
      <c r="I13" s="534" t="s">
        <v>130</v>
      </c>
      <c r="K13" s="534" t="s">
        <v>131</v>
      </c>
      <c r="M13" s="534" t="s">
        <v>132</v>
      </c>
      <c r="O13" s="534" t="s">
        <v>133</v>
      </c>
      <c r="Q13" s="534" t="s">
        <v>134</v>
      </c>
      <c r="S13" s="534" t="s">
        <v>530</v>
      </c>
    </row>
    <row r="14" spans="2:21">
      <c r="H14" s="54"/>
      <c r="I14" s="54"/>
      <c r="S14" s="534" t="s">
        <v>460</v>
      </c>
    </row>
    <row r="15" spans="2:21">
      <c r="D15" s="75" t="s">
        <v>5</v>
      </c>
      <c r="H15" s="54"/>
      <c r="I15" s="54"/>
    </row>
    <row r="16" spans="2:21">
      <c r="B16" s="66">
        <v>1</v>
      </c>
      <c r="D16" s="54" t="s">
        <v>135</v>
      </c>
      <c r="F16" s="76" t="s">
        <v>448</v>
      </c>
      <c r="H16" s="842">
        <v>1524718.2118738822</v>
      </c>
      <c r="I16" s="842">
        <f>H16</f>
        <v>1524718.2118738822</v>
      </c>
      <c r="K16" s="78">
        <f>'G+T+D+C+CO (GRC Settlement)'!I1426/1000</f>
        <v>426319.67092760908</v>
      </c>
      <c r="M16" s="157">
        <f>K16/$K$42</f>
        <v>0.43064365785652997</v>
      </c>
      <c r="O16" s="87">
        <f ca="1">M16*($O$42-$O$26)</f>
        <v>-264.04874289908656</v>
      </c>
      <c r="Q16" s="87">
        <f ca="1">M16*($Q$42-$Q$26)</f>
        <v>-921.8779129264351</v>
      </c>
      <c r="S16" s="861">
        <f ca="1">ROUND(Q16/I16*100,3)</f>
        <v>-0.06</v>
      </c>
      <c r="U16" s="87"/>
    </row>
    <row r="17" spans="2:20">
      <c r="H17" s="844"/>
      <c r="I17" s="844"/>
      <c r="K17" s="845"/>
      <c r="M17" s="849"/>
      <c r="O17" s="845"/>
      <c r="Q17" s="845"/>
    </row>
    <row r="18" spans="2:20">
      <c r="H18" s="54"/>
      <c r="I18" s="54"/>
      <c r="K18" s="78"/>
      <c r="M18" s="849"/>
    </row>
    <row r="19" spans="2:20">
      <c r="B19" s="44">
        <f>MAX(B$13:B18)+1</f>
        <v>2</v>
      </c>
      <c r="D19" s="75" t="s">
        <v>136</v>
      </c>
      <c r="H19" s="843">
        <f>H16</f>
        <v>1524718.2118738822</v>
      </c>
      <c r="I19" s="843">
        <f>I16</f>
        <v>1524718.2118738822</v>
      </c>
      <c r="K19" s="78">
        <f>K16</f>
        <v>426319.67092760908</v>
      </c>
      <c r="M19" s="849"/>
      <c r="O19" s="78">
        <f ca="1">O16</f>
        <v>-264.04874289908656</v>
      </c>
      <c r="Q19" s="78">
        <f ca="1">Q16</f>
        <v>-921.8779129264351</v>
      </c>
    </row>
    <row r="20" spans="2:20">
      <c r="H20" s="54"/>
      <c r="I20" s="54"/>
      <c r="K20" s="78"/>
      <c r="M20" s="849"/>
    </row>
    <row r="21" spans="2:20">
      <c r="D21" s="75" t="s">
        <v>137</v>
      </c>
      <c r="H21" s="54"/>
      <c r="I21" s="54"/>
      <c r="K21" s="78"/>
      <c r="M21" s="849"/>
    </row>
    <row r="22" spans="2:20">
      <c r="B22" s="44">
        <f>MAX(B$13:B21)+1</f>
        <v>3</v>
      </c>
      <c r="D22" s="54" t="s">
        <v>138</v>
      </c>
      <c r="F22" s="52">
        <v>24</v>
      </c>
      <c r="H22" s="847">
        <v>554739.13183022395</v>
      </c>
      <c r="I22" s="847">
        <f>H22</f>
        <v>554739.13183022395</v>
      </c>
      <c r="K22" s="78">
        <f>'G+T+D+C+CO (GRC Settlement)'!J1426/1000</f>
        <v>131898.49475658382</v>
      </c>
      <c r="M22" s="157">
        <f>K22/$K$42</f>
        <v>0.13323628751203154</v>
      </c>
      <c r="O22" s="87">
        <f ca="1">M22*($O$42-$O$26)</f>
        <v>-81.693701008395649</v>
      </c>
      <c r="Q22" s="87">
        <f ca="1">M22*($Q$42-$Q$26)</f>
        <v>-285.2186219785882</v>
      </c>
      <c r="S22" s="861">
        <f ca="1">ROUND(Q22/I22*100,3)</f>
        <v>-5.0999999999999997E-2</v>
      </c>
    </row>
    <row r="23" spans="2:20">
      <c r="B23" s="44">
        <f>MAX(B$15:B22)+1</f>
        <v>4</v>
      </c>
      <c r="D23" s="54" t="s">
        <v>139</v>
      </c>
      <c r="E23" s="21"/>
      <c r="F23" s="52">
        <v>33</v>
      </c>
      <c r="H23" s="847">
        <v>0</v>
      </c>
      <c r="I23" s="847">
        <f t="shared" ref="I23:I29" si="0">H23</f>
        <v>0</v>
      </c>
      <c r="K23" s="78"/>
      <c r="M23" s="157"/>
    </row>
    <row r="24" spans="2:20">
      <c r="B24" s="44">
        <f>MAX(B$13:B22)+1</f>
        <v>4</v>
      </c>
      <c r="D24" s="54" t="s">
        <v>140</v>
      </c>
      <c r="F24" s="52">
        <v>36</v>
      </c>
      <c r="H24" s="847">
        <v>950741.26118410239</v>
      </c>
      <c r="I24" s="847">
        <f t="shared" si="0"/>
        <v>950741.26118410239</v>
      </c>
      <c r="K24" s="78">
        <f>'G+T+D+C+CO (GRC Settlement)'!K1426/1000</f>
        <v>218250.94381700936</v>
      </c>
      <c r="M24" s="157">
        <f>K24/$K$42</f>
        <v>0.22046457432163988</v>
      </c>
      <c r="O24" s="87">
        <f ca="1">M24*($O$42-$O$26)</f>
        <v>-135.1776408206276</v>
      </c>
      <c r="Q24" s="87">
        <f t="shared" ref="Q24:Q25" ca="1" si="1">M24*($Q$42-$Q$26)</f>
        <v>-471.94801999744931</v>
      </c>
      <c r="S24" s="861">
        <f t="shared" ref="S24:S29" ca="1" si="2">ROUND(Q24/I24*100,3)</f>
        <v>-0.05</v>
      </c>
    </row>
    <row r="25" spans="2:20">
      <c r="B25" s="44">
        <f>MAX(B$13:B24)+1</f>
        <v>5</v>
      </c>
      <c r="D25" s="54" t="s">
        <v>84</v>
      </c>
      <c r="F25" s="52" t="s">
        <v>141</v>
      </c>
      <c r="H25" s="847">
        <v>164795.79784020002</v>
      </c>
      <c r="I25" s="847">
        <f t="shared" si="0"/>
        <v>164795.79784020002</v>
      </c>
      <c r="K25" s="78">
        <f>'G+T+D+C+CO (GRC Settlement)'!N1426/1000</f>
        <v>38138.289626005957</v>
      </c>
      <c r="M25" s="157">
        <f>K25/$K$42</f>
        <v>3.8525110777081227E-2</v>
      </c>
      <c r="O25" s="87">
        <f ca="1">M25*($O$42-$O$26)</f>
        <v>-23.621634465415365</v>
      </c>
      <c r="Q25" s="87">
        <f t="shared" ca="1" si="1"/>
        <v>-82.470618272212931</v>
      </c>
      <c r="S25" s="861">
        <f t="shared" ca="1" si="2"/>
        <v>-0.05</v>
      </c>
    </row>
    <row r="26" spans="2:20">
      <c r="B26" s="44">
        <f>MAX(B$13:B25)+1</f>
        <v>6</v>
      </c>
      <c r="D26" s="54" t="s">
        <v>142</v>
      </c>
      <c r="F26" s="52">
        <v>47</v>
      </c>
      <c r="H26" s="847">
        <v>2679.157633181796</v>
      </c>
      <c r="I26" s="847">
        <f t="shared" si="0"/>
        <v>2679.157633181796</v>
      </c>
      <c r="K26" s="78"/>
      <c r="M26" s="157"/>
      <c r="O26" s="87">
        <f ca="1">('Exhibit No.__(RMM-3)'!L830-'Exhibit No.__(RMM-3)'!I830)/1000</f>
        <v>-3.4479658000000053</v>
      </c>
      <c r="Q26" s="87">
        <f ca="1">(S26/100*H26*1000)/1000</f>
        <v>-2.4112418698636162</v>
      </c>
      <c r="S26" s="861">
        <f t="shared" ca="1" si="2"/>
        <v>-0.09</v>
      </c>
    </row>
    <row r="27" spans="2:20">
      <c r="B27" s="44">
        <f>MAX(B$13:B26)+1</f>
        <v>7</v>
      </c>
      <c r="D27" s="54" t="s">
        <v>143</v>
      </c>
      <c r="F27" s="52">
        <v>48</v>
      </c>
      <c r="H27" s="847">
        <v>400185.56350036786</v>
      </c>
      <c r="I27" s="847">
        <f t="shared" si="0"/>
        <v>400185.56350036786</v>
      </c>
      <c r="K27" s="78">
        <f>'G+T+D+C+CO (GRC Settlement)'!L1426/1000</f>
        <v>88716.176395047689</v>
      </c>
      <c r="M27" s="157">
        <f>K27/$K$42</f>
        <v>8.9615988468652819E-2</v>
      </c>
      <c r="O27" s="87">
        <f t="shared" ref="O27:O29" ca="1" si="3">M27*($O$42-$O$26)</f>
        <v>-54.947956778432811</v>
      </c>
      <c r="Q27" s="87">
        <f t="shared" ref="Q27:Q29" ca="1" si="4">M27*($Q$42-$Q$26)</f>
        <v>-191.84074560746123</v>
      </c>
      <c r="S27" s="861">
        <f t="shared" ca="1" si="2"/>
        <v>-4.8000000000000001E-2</v>
      </c>
    </row>
    <row r="28" spans="2:20">
      <c r="B28" s="44">
        <f>MAX(B$13:B27)+1</f>
        <v>8</v>
      </c>
      <c r="D28" s="54" t="s">
        <v>421</v>
      </c>
      <c r="F28" s="76" t="s">
        <v>422</v>
      </c>
      <c r="H28" s="842">
        <v>471255.29337353742</v>
      </c>
      <c r="I28" s="847">
        <f t="shared" si="0"/>
        <v>471255.29337353742</v>
      </c>
      <c r="K28" s="78">
        <f>'G+T+D+C+CO (GRC Settlement)'!M1426/1000</f>
        <v>85238.095911648139</v>
      </c>
      <c r="M28" s="157">
        <f>K28/$K$42</f>
        <v>8.6102631230335458E-2</v>
      </c>
      <c r="O28" s="87">
        <f t="shared" ca="1" si="3"/>
        <v>-52.793745180958943</v>
      </c>
      <c r="Q28" s="87">
        <f t="shared" ca="1" si="4"/>
        <v>-184.31970964388498</v>
      </c>
      <c r="S28" s="861">
        <f t="shared" ca="1" si="2"/>
        <v>-3.9E-2</v>
      </c>
      <c r="T28" s="862" t="s">
        <v>13</v>
      </c>
    </row>
    <row r="29" spans="2:20">
      <c r="B29" s="44">
        <f>MAX(B$13:B28)+1</f>
        <v>9</v>
      </c>
      <c r="D29" s="54" t="s">
        <v>80</v>
      </c>
      <c r="F29" s="52" t="s">
        <v>81</v>
      </c>
      <c r="H29" s="847">
        <v>285.28140758938906</v>
      </c>
      <c r="I29" s="847">
        <f t="shared" si="0"/>
        <v>285.28140758938906</v>
      </c>
      <c r="K29" s="78">
        <f>'G+T+D+C+CO (GRC Settlement)'!$O$1426/1000*(H29/SUM($H$29,$H$35:$H$37))</f>
        <v>31.915569717807212</v>
      </c>
      <c r="M29" s="157">
        <f>K29/$K$42</f>
        <v>3.2239276353226098E-5</v>
      </c>
      <c r="O29" s="87">
        <f t="shared" ca="1" si="3"/>
        <v>-1.9767481159287479E-2</v>
      </c>
      <c r="Q29" s="87">
        <f t="shared" ca="1" si="4"/>
        <v>-6.901454661308902E-2</v>
      </c>
      <c r="S29" s="861">
        <f t="shared" ca="1" si="2"/>
        <v>-2.4E-2</v>
      </c>
    </row>
    <row r="30" spans="2:20">
      <c r="B30" s="66"/>
      <c r="F30" s="52"/>
      <c r="H30" s="846"/>
      <c r="I30" s="846"/>
      <c r="K30" s="845"/>
      <c r="M30" s="849"/>
      <c r="O30" s="845"/>
      <c r="Q30" s="845"/>
    </row>
    <row r="31" spans="2:20">
      <c r="B31" s="66"/>
      <c r="H31" s="54"/>
      <c r="I31" s="54"/>
      <c r="K31" s="78"/>
      <c r="M31" s="849"/>
    </row>
    <row r="32" spans="2:20">
      <c r="B32" s="44">
        <f>MAX(B$13:B31)+1</f>
        <v>10</v>
      </c>
      <c r="D32" s="75" t="s">
        <v>144</v>
      </c>
      <c r="H32" s="848">
        <f>SUM(H22:H29)</f>
        <v>2544681.4867692026</v>
      </c>
      <c r="I32" s="848">
        <f>SUM(I22:I29)</f>
        <v>2544681.4867692026</v>
      </c>
      <c r="K32" s="78">
        <f>SUM(K22:K29)</f>
        <v>562273.91607601277</v>
      </c>
      <c r="M32" s="849"/>
      <c r="O32" s="78">
        <f ca="1">SUM(O22:O29)</f>
        <v>-351.70241153498966</v>
      </c>
      <c r="Q32" s="78">
        <f ca="1">SUM(Q22:Q29)</f>
        <v>-1218.2779719160733</v>
      </c>
    </row>
    <row r="33" spans="2:19">
      <c r="B33" s="66"/>
      <c r="H33" s="54"/>
      <c r="I33" s="54"/>
      <c r="K33" s="78"/>
      <c r="M33" s="849"/>
    </row>
    <row r="34" spans="2:19">
      <c r="B34" s="66"/>
      <c r="D34" s="75" t="s">
        <v>82</v>
      </c>
      <c r="H34" s="54"/>
      <c r="I34" s="54"/>
      <c r="K34" s="78"/>
      <c r="M34" s="849"/>
    </row>
    <row r="35" spans="2:19">
      <c r="B35" s="44">
        <f>MAX(B$13:B34)+1</f>
        <v>11</v>
      </c>
      <c r="D35" s="54" t="s">
        <v>78</v>
      </c>
      <c r="F35" s="52" t="s">
        <v>79</v>
      </c>
      <c r="H35" s="847">
        <v>3037.7085715346157</v>
      </c>
      <c r="I35" s="847" cm="1">
        <f t="array" ref="I35">SUM('Exhibit No.__(RMM-3)'!O15:O17/1000)</f>
        <v>758.29809907903336</v>
      </c>
      <c r="K35" s="78">
        <f>'G+T+D+C+CO (GRC Settlement)'!$O$1426/1000*(H35/SUM($H$29,$H$35:$H$37))</f>
        <v>339.84058237940218</v>
      </c>
      <c r="M35" s="157">
        <f t="shared" ref="M35:M37" si="5">K35/$K$42</f>
        <v>3.4328744710635238E-4</v>
      </c>
      <c r="O35" s="87">
        <f t="shared" ref="O35:O37" ca="1" si="6">M35*($O$42-$O$26)</f>
        <v>-0.21048636664624354</v>
      </c>
      <c r="Q35" s="87">
        <f t="shared" ref="Q35:Q37" ca="1" si="7">M35*($Q$42-$Q$26)</f>
        <v>-0.73487466841478621</v>
      </c>
      <c r="S35" s="861">
        <f ca="1">ROUND(Q35/I35*100,3)</f>
        <v>-9.7000000000000003E-2</v>
      </c>
    </row>
    <row r="36" spans="2:19">
      <c r="B36" s="44">
        <f>MAX(B$13:B35)+1</f>
        <v>12</v>
      </c>
      <c r="D36" s="54" t="s">
        <v>145</v>
      </c>
      <c r="F36" s="52" t="s">
        <v>146</v>
      </c>
      <c r="H36" s="847">
        <v>5373.276656771407</v>
      </c>
      <c r="I36" s="847">
        <f>SUM('Exhibit No.__(RMM-3)'!O1052:O1066)/1000</f>
        <v>1718.8616006939751</v>
      </c>
      <c r="K36" s="78">
        <f>'G+T+D+C+CO (GRC Settlement)'!$O$1426/1000*(H36/SUM($H$29,$H$35:$H$37))</f>
        <v>601.12990608586881</v>
      </c>
      <c r="M36" s="157">
        <f t="shared" si="5"/>
        <v>6.0722692208994638E-4</v>
      </c>
      <c r="O36" s="87">
        <f t="shared" ca="1" si="6"/>
        <v>-0.37232060081968926</v>
      </c>
      <c r="Q36" s="87">
        <f t="shared" ca="1" si="7"/>
        <v>-1.2998893107942111</v>
      </c>
      <c r="S36" s="861">
        <f t="shared" ref="S36:S37" ca="1" si="8">ROUND(Q36/I36*100,3)</f>
        <v>-7.5999999999999998E-2</v>
      </c>
    </row>
    <row r="37" spans="2:19">
      <c r="B37" s="44">
        <f>MAX(B$13:B36)+1</f>
        <v>13</v>
      </c>
      <c r="D37" s="54" t="s">
        <v>145</v>
      </c>
      <c r="F37" s="52">
        <v>53</v>
      </c>
      <c r="H37" s="847">
        <v>3796.1347231696864</v>
      </c>
      <c r="I37" s="847">
        <f>H37</f>
        <v>3796.1347231696864</v>
      </c>
      <c r="K37" s="78">
        <f>'G+T+D+C+CO (GRC Settlement)'!$O$1426/1000*(H37/SUM($H$29,$H$35:$H$37))</f>
        <v>424.68874308799246</v>
      </c>
      <c r="M37" s="157">
        <f t="shared" si="5"/>
        <v>4.2899618817955181E-4</v>
      </c>
      <c r="O37" s="87">
        <f t="shared" ca="1" si="6"/>
        <v>-0.26303859845777361</v>
      </c>
      <c r="Q37" s="87">
        <f t="shared" ca="1" si="7"/>
        <v>-0.91835117828234059</v>
      </c>
      <c r="S37" s="861">
        <f t="shared" ca="1" si="8"/>
        <v>-2.4E-2</v>
      </c>
    </row>
    <row r="38" spans="2:19">
      <c r="B38" s="66"/>
      <c r="H38" s="840"/>
      <c r="I38" s="840"/>
      <c r="K38" s="845"/>
      <c r="O38" s="845"/>
      <c r="Q38" s="845"/>
    </row>
    <row r="39" spans="2:19">
      <c r="B39" s="66"/>
      <c r="K39" s="78"/>
    </row>
    <row r="40" spans="2:19">
      <c r="B40" s="44">
        <f>MAX(B$13:B39)+1</f>
        <v>14</v>
      </c>
      <c r="D40" s="75" t="s">
        <v>147</v>
      </c>
      <c r="H40" s="48">
        <f>SUM(H35:H37)</f>
        <v>12207.11995147571</v>
      </c>
      <c r="I40" s="48">
        <f>SUM(I35:I37)</f>
        <v>6273.2944229426948</v>
      </c>
      <c r="K40" s="78">
        <f>SUM(K35:K37)</f>
        <v>1365.6592315532635</v>
      </c>
      <c r="O40" s="78">
        <f ca="1">SUM(O35:O37)</f>
        <v>-0.84584556592370652</v>
      </c>
      <c r="Q40" s="78">
        <f ca="1">SUM(Q35:Q37)</f>
        <v>-2.9531151574913377</v>
      </c>
    </row>
    <row r="41" spans="2:19">
      <c r="B41" s="66"/>
      <c r="D41" s="75"/>
      <c r="K41" s="78"/>
    </row>
    <row r="42" spans="2:19">
      <c r="B42" s="44">
        <f>MAX(B$13:B41)+1</f>
        <v>15</v>
      </c>
      <c r="D42" s="92" t="s">
        <v>148</v>
      </c>
      <c r="H42" s="48">
        <f>H19+H32+H40</f>
        <v>4081606.8185945605</v>
      </c>
      <c r="I42" s="48">
        <f>I19+I32+I40</f>
        <v>4075672.9930660273</v>
      </c>
      <c r="K42" s="78">
        <f>K19+K32+K40</f>
        <v>989959.24623517517</v>
      </c>
      <c r="O42" s="850">
        <v>-616.59699999999998</v>
      </c>
      <c r="Q42" s="850">
        <f>-1373.224-769.885</f>
        <v>-2143.1089999999999</v>
      </c>
    </row>
    <row r="43" spans="2:19">
      <c r="B43" s="863" t="s">
        <v>13</v>
      </c>
      <c r="C43" s="864"/>
      <c r="D43" s="864"/>
      <c r="O43" s="531" t="s">
        <v>13</v>
      </c>
    </row>
    <row r="44" spans="2:19" ht="18.75" customHeight="1"/>
    <row r="45" spans="2:19" ht="18.75" customHeight="1"/>
  </sheetData>
  <mergeCells count="1">
    <mergeCell ref="B43:D43"/>
  </mergeCells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 codeName="Sheet44">
    <pageSetUpPr fitToPage="1"/>
  </sheetPr>
  <dimension ref="B1:Y59"/>
  <sheetViews>
    <sheetView topLeftCell="B1" zoomScale="70" zoomScaleNormal="70" workbookViewId="0">
      <selection activeCell="AB38" sqref="AB38"/>
    </sheetView>
  </sheetViews>
  <sheetFormatPr defaultColWidth="10.25" defaultRowHeight="15.75"/>
  <cols>
    <col min="1" max="1" width="0" style="53" hidden="1" customWidth="1"/>
    <col min="2" max="2" width="4.625" style="53" customWidth="1"/>
    <col min="3" max="3" width="2.125" style="53" customWidth="1"/>
    <col min="4" max="4" width="35.875" style="54" customWidth="1"/>
    <col min="5" max="5" width="2.125" style="54" customWidth="1"/>
    <col min="6" max="6" width="7.625" style="54" customWidth="1"/>
    <col min="7" max="7" width="8.875" style="53" bestFit="1" customWidth="1"/>
    <col min="8" max="8" width="2" style="53" customWidth="1"/>
    <col min="9" max="9" width="10.5" style="53" bestFit="1" customWidth="1"/>
    <col min="10" max="10" width="2.875" style="53" customWidth="1"/>
    <col min="11" max="11" width="12.25" style="53" customWidth="1"/>
    <col min="12" max="12" width="2.75" style="53" customWidth="1"/>
    <col min="13" max="13" width="15.375" style="53" bestFit="1" customWidth="1"/>
    <col min="14" max="14" width="2.5" style="53" customWidth="1"/>
    <col min="15" max="15" width="14" style="53" bestFit="1" customWidth="1"/>
    <col min="16" max="16" width="2.625" style="53" customWidth="1"/>
    <col min="17" max="17" width="11.25" style="53" customWidth="1"/>
    <col min="18" max="18" width="6.375" style="53" bestFit="1" customWidth="1"/>
    <col min="19" max="19" width="3.125" style="53" customWidth="1"/>
    <col min="20" max="20" width="10.75" style="53" customWidth="1"/>
    <col min="21" max="21" width="7.375" style="53" bestFit="1" customWidth="1"/>
    <col min="22" max="22" width="3.125" style="53" customWidth="1"/>
    <col min="23" max="23" width="11.375" style="53" customWidth="1"/>
    <col min="24" max="24" width="7.375" style="53" bestFit="1" customWidth="1"/>
    <col min="25" max="25" width="3.125" style="53" customWidth="1"/>
    <col min="26" max="16384" width="10.25" style="53"/>
  </cols>
  <sheetData>
    <row r="1" spans="2:25" ht="18.75">
      <c r="C1" s="540"/>
      <c r="D1" s="541"/>
      <c r="M1" s="55" t="s">
        <v>13</v>
      </c>
      <c r="N1" s="55"/>
      <c r="O1" s="55"/>
    </row>
    <row r="2" spans="2:25">
      <c r="B2" s="56" t="s">
        <v>115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760"/>
      <c r="T2" s="760"/>
      <c r="U2" s="760"/>
      <c r="V2" s="760"/>
      <c r="W2" s="760"/>
      <c r="X2" s="760"/>
    </row>
    <row r="3" spans="2:25">
      <c r="B3" s="57" t="s">
        <v>563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760"/>
      <c r="X3" s="760"/>
    </row>
    <row r="4" spans="2:25">
      <c r="B4" s="57" t="s">
        <v>535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760"/>
      <c r="X4" s="760"/>
    </row>
    <row r="5" spans="2:25">
      <c r="B5" s="57" t="s">
        <v>116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760"/>
      <c r="X5" s="760"/>
    </row>
    <row r="6" spans="2:25">
      <c r="B6" s="57" t="s">
        <v>117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760"/>
      <c r="X6" s="760"/>
    </row>
    <row r="7" spans="2:25">
      <c r="B7" s="56" t="s">
        <v>523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760"/>
      <c r="X7" s="760"/>
    </row>
    <row r="8" spans="2:25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8"/>
      <c r="T8" s="58"/>
      <c r="U8" s="58"/>
      <c r="V8" s="58"/>
    </row>
    <row r="9" spans="2:25">
      <c r="B9" s="650"/>
      <c r="C9" s="650"/>
      <c r="D9" s="650"/>
      <c r="E9" s="650"/>
      <c r="F9" s="650"/>
      <c r="G9" s="650"/>
      <c r="H9" s="650"/>
      <c r="I9" s="650"/>
      <c r="J9" s="650"/>
      <c r="K9" s="650"/>
      <c r="L9" s="650"/>
      <c r="M9" s="649"/>
      <c r="N9" s="649"/>
      <c r="O9" s="649"/>
      <c r="P9" s="656"/>
      <c r="Q9" s="656"/>
      <c r="R9" s="656"/>
      <c r="S9" s="58"/>
      <c r="T9" s="58"/>
      <c r="U9" s="58"/>
      <c r="V9" s="58"/>
    </row>
    <row r="10" spans="2:25">
      <c r="J10" s="59"/>
      <c r="K10" s="60"/>
      <c r="L10" s="61"/>
      <c r="M10" s="621"/>
      <c r="N10" s="621"/>
      <c r="O10" s="621"/>
      <c r="P10" s="621"/>
      <c r="Q10" s="621"/>
      <c r="R10" s="621"/>
      <c r="S10" s="61"/>
      <c r="T10" s="61"/>
      <c r="U10" s="61"/>
      <c r="V10" s="61"/>
      <c r="W10" s="59"/>
      <c r="X10" s="59"/>
      <c r="Y10" s="59"/>
    </row>
    <row r="11" spans="2:25">
      <c r="K11" s="63" t="s">
        <v>85</v>
      </c>
      <c r="L11" s="64"/>
      <c r="M11" s="66" t="s">
        <v>526</v>
      </c>
      <c r="N11" s="66"/>
      <c r="O11" s="66" t="s">
        <v>526</v>
      </c>
      <c r="Q11" s="760" t="s">
        <v>1439</v>
      </c>
      <c r="R11" s="760"/>
      <c r="S11" s="64"/>
      <c r="T11" s="760" t="s">
        <v>1442</v>
      </c>
      <c r="U11" s="760"/>
      <c r="V11" s="64"/>
      <c r="W11" s="760" t="s">
        <v>568</v>
      </c>
      <c r="X11" s="760"/>
    </row>
    <row r="12" spans="2:25">
      <c r="F12" s="52"/>
      <c r="K12" s="62" t="s">
        <v>75</v>
      </c>
      <c r="L12" s="65"/>
      <c r="M12" s="532" t="s">
        <v>16</v>
      </c>
      <c r="N12" s="532"/>
      <c r="O12" s="532" t="s">
        <v>16</v>
      </c>
      <c r="P12" s="759"/>
      <c r="Q12" s="759" t="s">
        <v>1438</v>
      </c>
      <c r="R12" s="759"/>
      <c r="S12" s="66"/>
      <c r="T12" s="759" t="s">
        <v>1443</v>
      </c>
      <c r="U12" s="759"/>
      <c r="V12" s="66"/>
      <c r="W12" s="759" t="s">
        <v>1440</v>
      </c>
      <c r="X12" s="759"/>
    </row>
    <row r="13" spans="2:25">
      <c r="B13" s="66" t="s">
        <v>74</v>
      </c>
      <c r="F13" s="52" t="s">
        <v>123</v>
      </c>
      <c r="G13" s="63" t="s">
        <v>122</v>
      </c>
      <c r="K13" s="63" t="s">
        <v>16</v>
      </c>
      <c r="L13" s="66"/>
      <c r="M13" s="725" t="s">
        <v>564</v>
      </c>
      <c r="N13" s="725"/>
      <c r="O13" s="725" t="s">
        <v>567</v>
      </c>
      <c r="P13" s="62"/>
      <c r="Q13" s="761" t="s">
        <v>1441</v>
      </c>
      <c r="R13" s="761"/>
      <c r="S13" s="68"/>
      <c r="T13" s="761" t="s">
        <v>1444</v>
      </c>
      <c r="U13" s="761"/>
      <c r="V13" s="68"/>
      <c r="W13" s="761" t="s">
        <v>569</v>
      </c>
      <c r="X13" s="761"/>
    </row>
    <row r="14" spans="2:25">
      <c r="B14" s="69" t="s">
        <v>76</v>
      </c>
      <c r="D14" s="70" t="s">
        <v>90</v>
      </c>
      <c r="F14" s="70" t="s">
        <v>76</v>
      </c>
      <c r="G14" s="51" t="s">
        <v>124</v>
      </c>
      <c r="I14" s="51" t="s">
        <v>125</v>
      </c>
      <c r="K14" s="71" t="s">
        <v>86</v>
      </c>
      <c r="L14" s="62"/>
      <c r="M14" s="533" t="s">
        <v>86</v>
      </c>
      <c r="N14" s="725"/>
      <c r="O14" s="533" t="s">
        <v>86</v>
      </c>
      <c r="P14" s="72"/>
      <c r="Q14" s="73" t="s">
        <v>86</v>
      </c>
      <c r="R14" s="51" t="s">
        <v>126</v>
      </c>
      <c r="S14" s="68"/>
      <c r="T14" s="73" t="s">
        <v>86</v>
      </c>
      <c r="U14" s="51" t="s">
        <v>126</v>
      </c>
      <c r="V14" s="68"/>
      <c r="W14" s="73" t="s">
        <v>86</v>
      </c>
      <c r="X14" s="51" t="s">
        <v>126</v>
      </c>
    </row>
    <row r="15" spans="2:25">
      <c r="B15" s="74"/>
      <c r="D15" s="67" t="s">
        <v>127</v>
      </c>
      <c r="F15" s="67" t="s">
        <v>128</v>
      </c>
      <c r="G15" s="534" t="s">
        <v>129</v>
      </c>
      <c r="I15" s="534" t="s">
        <v>130</v>
      </c>
      <c r="K15" s="534" t="s">
        <v>131</v>
      </c>
      <c r="L15" s="67"/>
      <c r="M15" s="534" t="s">
        <v>132</v>
      </c>
      <c r="N15" s="534"/>
      <c r="O15" s="534" t="s">
        <v>133</v>
      </c>
      <c r="P15" s="67"/>
      <c r="Q15" s="534" t="s">
        <v>134</v>
      </c>
      <c r="R15" s="534" t="s">
        <v>530</v>
      </c>
      <c r="S15" s="65"/>
      <c r="T15" s="534" t="s">
        <v>1463</v>
      </c>
      <c r="U15" s="534" t="s">
        <v>1464</v>
      </c>
      <c r="V15" s="65"/>
      <c r="W15" s="534" t="s">
        <v>1465</v>
      </c>
      <c r="X15" s="534" t="s">
        <v>1466</v>
      </c>
    </row>
    <row r="16" spans="2:25">
      <c r="L16" s="67"/>
      <c r="M16" s="534" t="s">
        <v>13</v>
      </c>
      <c r="N16" s="534"/>
      <c r="O16" s="534" t="s">
        <v>13</v>
      </c>
      <c r="R16" s="534" t="s">
        <v>1467</v>
      </c>
      <c r="S16" s="59"/>
      <c r="U16" s="534" t="s">
        <v>1468</v>
      </c>
      <c r="V16" s="59"/>
      <c r="W16" s="854" t="s">
        <v>1470</v>
      </c>
      <c r="X16" s="534" t="s">
        <v>1469</v>
      </c>
    </row>
    <row r="17" spans="2:25">
      <c r="D17" s="75" t="s">
        <v>5</v>
      </c>
      <c r="S17" s="59"/>
      <c r="V17" s="59"/>
    </row>
    <row r="18" spans="2:25">
      <c r="B18" s="66">
        <v>1</v>
      </c>
      <c r="D18" s="54" t="s">
        <v>135</v>
      </c>
      <c r="F18" s="76" t="s">
        <v>448</v>
      </c>
      <c r="G18" s="77">
        <f>'Exhibit No.__(RMM-3)'!C65/12</f>
        <v>107789.70430107282</v>
      </c>
      <c r="H18" s="55"/>
      <c r="I18" s="77">
        <f>'Exhibit No.__(RMM-3)'!C77/1000</f>
        <v>1524718.2118738822</v>
      </c>
      <c r="K18" s="78">
        <f>'Exhibit No.__(RMM-3)'!F77/1000</f>
        <v>148455.83006268737</v>
      </c>
      <c r="L18" s="79"/>
      <c r="M18" s="78">
        <f>'Exhibit No.__(RMM-3)'!I77/1000</f>
        <v>153447.24206268738</v>
      </c>
      <c r="N18" s="78"/>
      <c r="O18" s="78">
        <f ca="1">'Exhibit No.__(RMM-3)'!L77/1000</f>
        <v>153184.53706268736</v>
      </c>
      <c r="P18" s="78"/>
      <c r="Q18" s="78">
        <f ca="1">O18-M18</f>
        <v>-262.7050000000163</v>
      </c>
      <c r="R18" s="855">
        <f ca="1">Q18/K18</f>
        <v>-1.7695835851585335E-3</v>
      </c>
      <c r="S18" s="81"/>
      <c r="T18" s="78">
        <f ca="1">'Exhibit No.__(RMM-2)pg1'!Q16</f>
        <v>-921.8779129264351</v>
      </c>
      <c r="U18" s="855">
        <f ca="1">T18/K18</f>
        <v>-6.2097791143477521E-3</v>
      </c>
      <c r="V18" s="81"/>
      <c r="W18" s="78">
        <f ca="1">O18+T18-K18</f>
        <v>3806.8290870735655</v>
      </c>
      <c r="X18" s="855">
        <f ca="1">W18/K18</f>
        <v>2.564283993067893E-2</v>
      </c>
    </row>
    <row r="19" spans="2:25">
      <c r="G19" s="82"/>
      <c r="I19" s="82"/>
      <c r="K19" s="718"/>
      <c r="L19" s="95"/>
      <c r="M19" s="718"/>
      <c r="N19" s="95"/>
      <c r="O19" s="718"/>
      <c r="P19" s="59"/>
      <c r="Q19" s="82"/>
      <c r="R19" s="856"/>
      <c r="S19" s="59"/>
      <c r="T19" s="82"/>
      <c r="U19" s="856"/>
      <c r="V19" s="59"/>
      <c r="W19" s="82"/>
      <c r="X19" s="856"/>
    </row>
    <row r="20" spans="2:25">
      <c r="K20" s="87"/>
      <c r="L20" s="87"/>
      <c r="M20" s="87"/>
      <c r="N20" s="87"/>
      <c r="O20" s="87"/>
      <c r="R20" s="83"/>
      <c r="S20" s="59"/>
      <c r="U20" s="83"/>
      <c r="V20" s="59"/>
      <c r="X20" s="83"/>
    </row>
    <row r="21" spans="2:25">
      <c r="B21" s="44">
        <f>MAX(B$15:B20)+1</f>
        <v>2</v>
      </c>
      <c r="D21" s="75" t="s">
        <v>136</v>
      </c>
      <c r="G21" s="84">
        <f>SUM(G18:G18)</f>
        <v>107789.70430107282</v>
      </c>
      <c r="I21" s="84">
        <f>SUM(I18:I18)</f>
        <v>1524718.2118738822</v>
      </c>
      <c r="J21" s="84"/>
      <c r="K21" s="85">
        <f>SUM(K18:K18)</f>
        <v>148455.83006268737</v>
      </c>
      <c r="L21" s="79"/>
      <c r="M21" s="85">
        <f>SUM(M18:M18)</f>
        <v>153447.24206268738</v>
      </c>
      <c r="N21" s="85"/>
      <c r="O21" s="85">
        <f ca="1">SUM(O18:O18)</f>
        <v>153184.53706268736</v>
      </c>
      <c r="P21" s="85"/>
      <c r="Q21" s="78">
        <f ca="1">SUM(Q18)</f>
        <v>-262.7050000000163</v>
      </c>
      <c r="R21" s="855">
        <f ca="1">Q21/K21</f>
        <v>-1.7695835851585335E-3</v>
      </c>
      <c r="S21" s="81"/>
      <c r="T21" s="78">
        <f ca="1">SUM(T18)</f>
        <v>-921.8779129264351</v>
      </c>
      <c r="U21" s="855">
        <f ca="1">T21/K21</f>
        <v>-6.2097791143477521E-3</v>
      </c>
      <c r="V21" s="81"/>
      <c r="W21" s="78">
        <f ca="1">SUM(W18)</f>
        <v>3806.8290870735655</v>
      </c>
      <c r="X21" s="855">
        <f ca="1">W21/K21</f>
        <v>2.564283993067893E-2</v>
      </c>
    </row>
    <row r="22" spans="2:25">
      <c r="I22" s="531" t="s">
        <v>13</v>
      </c>
      <c r="K22" s="87"/>
      <c r="L22" s="87"/>
      <c r="M22" s="87"/>
      <c r="N22" s="87"/>
      <c r="O22" s="87"/>
      <c r="R22" s="83"/>
      <c r="S22" s="59"/>
      <c r="U22" s="83"/>
      <c r="V22" s="59"/>
      <c r="X22" s="83"/>
    </row>
    <row r="23" spans="2:25">
      <c r="D23" s="75" t="s">
        <v>137</v>
      </c>
      <c r="G23" s="86"/>
      <c r="K23" s="87"/>
      <c r="L23" s="87"/>
      <c r="M23" s="87"/>
      <c r="N23" s="87"/>
      <c r="O23" s="87"/>
      <c r="R23" s="83"/>
      <c r="S23" s="59"/>
      <c r="U23" s="83"/>
      <c r="V23" s="59"/>
      <c r="X23" s="83"/>
    </row>
    <row r="24" spans="2:25">
      <c r="B24" s="44">
        <f>MAX(B$15:B23)+1</f>
        <v>3</v>
      </c>
      <c r="D24" s="54" t="s">
        <v>138</v>
      </c>
      <c r="F24" s="52">
        <v>24</v>
      </c>
      <c r="G24" s="77">
        <f>'Exhibit No.__(RMM-3)'!C179/12</f>
        <v>19928.640555555456</v>
      </c>
      <c r="I24" s="77">
        <f>'Exhibit No.__(RMM-3)'!C201/1000</f>
        <v>554739.13183022395</v>
      </c>
      <c r="K24" s="78">
        <f>'Exhibit No.__(RMM-3)'!F201/1000</f>
        <v>52559.234199139384</v>
      </c>
      <c r="L24" s="79"/>
      <c r="M24" s="78">
        <f>'Exhibit No.__(RMM-3)'!I201/1000</f>
        <v>54335.677199139383</v>
      </c>
      <c r="N24" s="78"/>
      <c r="O24" s="78">
        <f ca="1">'Exhibit No.__(RMM-3)'!L201/1000</f>
        <v>54253.182199139388</v>
      </c>
      <c r="P24" s="78"/>
      <c r="Q24" s="78">
        <f t="shared" ref="Q24:Q31" ca="1" si="0">O24-M24</f>
        <v>-82.494999999995343</v>
      </c>
      <c r="R24" s="855">
        <f ca="1">Q24/K24</f>
        <v>-1.5695624423946826E-3</v>
      </c>
      <c r="S24" s="81"/>
      <c r="T24" s="78">
        <f ca="1">'Exhibit No.__(RMM-2)pg1'!Q22</f>
        <v>-285.2186219785882</v>
      </c>
      <c r="U24" s="855">
        <f t="shared" ref="U24:U31" ca="1" si="1">T24/K24</f>
        <v>-5.4266129696246305E-3</v>
      </c>
      <c r="V24" s="81"/>
      <c r="W24" s="78">
        <f t="shared" ref="W24:W31" ca="1" si="2">O24+T24-K24</f>
        <v>1408.7293780214168</v>
      </c>
      <c r="X24" s="855">
        <f t="shared" ref="X24:X31" ca="1" si="3">W24/K24</f>
        <v>2.6802699839269795E-2</v>
      </c>
      <c r="Y24" s="8"/>
    </row>
    <row r="25" spans="2:25">
      <c r="B25" s="44">
        <f>MAX(B$15:B24)+1</f>
        <v>4</v>
      </c>
      <c r="D25" s="54" t="s">
        <v>139</v>
      </c>
      <c r="E25" s="21"/>
      <c r="F25" s="52">
        <v>33</v>
      </c>
      <c r="G25" s="77">
        <v>0</v>
      </c>
      <c r="I25" s="77">
        <v>0</v>
      </c>
      <c r="K25" s="78">
        <v>0</v>
      </c>
      <c r="L25" s="79"/>
      <c r="M25" s="78">
        <f>'Exhibit No.__(RMM-3)'!I541/100</f>
        <v>0</v>
      </c>
      <c r="N25" s="78"/>
      <c r="O25" s="78">
        <f ca="1">'Exhibit No.__(RMM-3)'!L541/100</f>
        <v>0</v>
      </c>
      <c r="P25" s="78"/>
      <c r="Q25" s="78">
        <f t="shared" ca="1" si="0"/>
        <v>0</v>
      </c>
      <c r="R25" s="855">
        <f ca="1">R26</f>
        <v>-1.7261073147052856E-3</v>
      </c>
      <c r="S25" s="81"/>
      <c r="T25" s="78">
        <f>'Exhibit No.__(RMM-2)pg1'!Q23</f>
        <v>0</v>
      </c>
      <c r="U25" s="855">
        <f ca="1">U26</f>
        <v>-6.1834068046469504E-3</v>
      </c>
      <c r="V25" s="81"/>
      <c r="W25" s="78">
        <f t="shared" ca="1" si="2"/>
        <v>0</v>
      </c>
      <c r="X25" s="855">
        <f ca="1">X26</f>
        <v>3.1913666336480184E-2</v>
      </c>
      <c r="Y25" s="8"/>
    </row>
    <row r="26" spans="2:25">
      <c r="B26" s="44">
        <f>MAX(B$15:B25)+1</f>
        <v>5</v>
      </c>
      <c r="D26" s="54" t="s">
        <v>140</v>
      </c>
      <c r="F26" s="52">
        <v>36</v>
      </c>
      <c r="G26" s="77">
        <f>'Exhibit No.__(RMM-3)'!C550/12</f>
        <v>1076.1138888888891</v>
      </c>
      <c r="I26" s="77">
        <f>'Exhibit No.__(RMM-3)'!C577/1000</f>
        <v>950741.26118410239</v>
      </c>
      <c r="K26" s="78">
        <f>'Exhibit No.__(RMM-3)'!F577/1000</f>
        <v>76324.918432145074</v>
      </c>
      <c r="L26" s="79"/>
      <c r="M26" s="78">
        <f>'Exhibit No.__(RMM-3)'!I577/1000</f>
        <v>79364.419432145078</v>
      </c>
      <c r="N26" s="78"/>
      <c r="O26" s="78">
        <f ca="1">'Exhibit No.__(RMM-3)'!L577/1000</f>
        <v>79232.674432145068</v>
      </c>
      <c r="P26" s="78"/>
      <c r="Q26" s="78">
        <f t="shared" ca="1" si="0"/>
        <v>-131.7450000000099</v>
      </c>
      <c r="R26" s="855">
        <f t="shared" ref="R26:R31" ca="1" si="4">Q26/K26</f>
        <v>-1.7261073147052856E-3</v>
      </c>
      <c r="S26" s="81"/>
      <c r="T26" s="78">
        <f ca="1">'Exhibit No.__(RMM-2)pg1'!Q24</f>
        <v>-471.94801999744931</v>
      </c>
      <c r="U26" s="855">
        <f t="shared" ca="1" si="1"/>
        <v>-6.1834068046469504E-3</v>
      </c>
      <c r="V26" s="81"/>
      <c r="W26" s="78">
        <f t="shared" ca="1" si="2"/>
        <v>2435.8079800025444</v>
      </c>
      <c r="X26" s="855">
        <f t="shared" ca="1" si="3"/>
        <v>3.1913666336480184E-2</v>
      </c>
      <c r="Y26" s="8"/>
    </row>
    <row r="27" spans="2:25">
      <c r="B27" s="44">
        <f>MAX(B$15:B26)+1</f>
        <v>6</v>
      </c>
      <c r="D27" s="54" t="s">
        <v>84</v>
      </c>
      <c r="F27" s="52" t="s">
        <v>141</v>
      </c>
      <c r="G27" s="77">
        <f>'Exhibit No.__(RMM-3)'!C659</f>
        <v>5135.6966195907062</v>
      </c>
      <c r="I27" s="77">
        <f>'Exhibit No.__(RMM-3)'!C703/1000</f>
        <v>164795.79784020002</v>
      </c>
      <c r="K27" s="78">
        <f>'Exhibit No.__(RMM-3)'!F703/1000</f>
        <v>15181.736999999999</v>
      </c>
      <c r="L27" s="79"/>
      <c r="M27" s="78">
        <f>'Exhibit No.__(RMM-3)'!I703/1000</f>
        <v>15685.781999999999</v>
      </c>
      <c r="N27" s="78"/>
      <c r="O27" s="78">
        <f ca="1">'Exhibit No.__(RMM-3)'!L703/1000</f>
        <v>15662.374</v>
      </c>
      <c r="P27" s="78"/>
      <c r="Q27" s="78">
        <f t="shared" ca="1" si="0"/>
        <v>-23.407999999999447</v>
      </c>
      <c r="R27" s="855">
        <f t="shared" ca="1" si="4"/>
        <v>-1.5418525561336921E-3</v>
      </c>
      <c r="S27" s="81"/>
      <c r="T27" s="78">
        <f ca="1">'Exhibit No.__(RMM-2)pg1'!Q25</f>
        <v>-82.470618272212931</v>
      </c>
      <c r="U27" s="855">
        <f t="shared" ca="1" si="1"/>
        <v>-5.4322254609082566E-3</v>
      </c>
      <c r="V27" s="81"/>
      <c r="W27" s="78">
        <f t="shared" ca="1" si="2"/>
        <v>398.16638172778767</v>
      </c>
      <c r="X27" s="855">
        <f t="shared" ca="1" si="3"/>
        <v>2.6226668379763639E-2</v>
      </c>
    </row>
    <row r="28" spans="2:25">
      <c r="B28" s="44">
        <f>MAX(B$15:B27)+1</f>
        <v>7</v>
      </c>
      <c r="D28" s="54" t="s">
        <v>142</v>
      </c>
      <c r="F28" s="52">
        <v>47</v>
      </c>
      <c r="G28" s="77">
        <f>'Exhibit No.__(RMM-3)'!C815/12</f>
        <v>1</v>
      </c>
      <c r="I28" s="77">
        <f>'Exhibit No.__(RMM-3)'!C830/1000</f>
        <v>2679.157633181796</v>
      </c>
      <c r="K28" s="78">
        <f>'Exhibit No.__(RMM-3)'!F830/1000</f>
        <v>395.65954424682394</v>
      </c>
      <c r="L28" s="79"/>
      <c r="M28" s="78">
        <f>'Exhibit No.__(RMM-3)'!I830/1000</f>
        <v>404.16254424682393</v>
      </c>
      <c r="N28" s="78"/>
      <c r="O28" s="78">
        <f ca="1">'Exhibit No.__(RMM-3)'!L830/1000</f>
        <v>400.71457844682391</v>
      </c>
      <c r="P28" s="78"/>
      <c r="Q28" s="78">
        <f t="shared" ca="1" si="0"/>
        <v>-3.44796580000002</v>
      </c>
      <c r="R28" s="855">
        <f t="shared" ca="1" si="4"/>
        <v>-8.7144764991415914E-3</v>
      </c>
      <c r="S28" s="81"/>
      <c r="T28" s="78">
        <f ca="1">'Exhibit No.__(RMM-2)pg1'!Q26</f>
        <v>-2.4112418698636162</v>
      </c>
      <c r="U28" s="855">
        <f t="shared" ca="1" si="1"/>
        <v>-6.0942340578530648E-3</v>
      </c>
      <c r="V28" s="81"/>
      <c r="W28" s="78">
        <f t="shared" ca="1" si="2"/>
        <v>2.6437923301363639</v>
      </c>
      <c r="X28" s="855">
        <f t="shared" ca="1" si="3"/>
        <v>6.6819880085771145E-3</v>
      </c>
    </row>
    <row r="29" spans="2:25">
      <c r="B29" s="44">
        <f>MAX(B$15:B28)+1</f>
        <v>8</v>
      </c>
      <c r="D29" s="54" t="s">
        <v>143</v>
      </c>
      <c r="F29" s="52">
        <v>48</v>
      </c>
      <c r="G29" s="77">
        <f>('Exhibit No.__(RMM-3)'!C858)/12</f>
        <v>64.477272727272748</v>
      </c>
      <c r="I29" s="77">
        <f>('Exhibit No.__(RMM-3)'!C869)/1000</f>
        <v>400185.56350036786</v>
      </c>
      <c r="K29" s="78">
        <f>('Exhibit No.__(RMM-3)'!F869)/1000</f>
        <v>29190.633713713039</v>
      </c>
      <c r="L29" s="79"/>
      <c r="M29" s="78">
        <f>'Exhibit No.__(RMM-3)'!I869/1000</f>
        <v>30465.257713713039</v>
      </c>
      <c r="N29" s="78"/>
      <c r="O29" s="78">
        <f ca="1">'Exhibit No.__(RMM-3)'!L869/1000</f>
        <v>30410.01071371304</v>
      </c>
      <c r="P29" s="78"/>
      <c r="Q29" s="78">
        <f t="shared" ca="1" si="0"/>
        <v>-55.246999999999389</v>
      </c>
      <c r="R29" s="855">
        <f t="shared" ca="1" si="4"/>
        <v>-1.8926276332961456E-3</v>
      </c>
      <c r="S29" s="81"/>
      <c r="T29" s="78">
        <f ca="1">'Exhibit No.__(RMM-2)pg1'!Q27</f>
        <v>-191.84074560746123</v>
      </c>
      <c r="U29" s="855">
        <f t="shared" ca="1" si="1"/>
        <v>-6.5719966030521352E-3</v>
      </c>
      <c r="V29" s="81"/>
      <c r="W29" s="78">
        <f t="shared" ca="1" si="2"/>
        <v>1027.5362543925403</v>
      </c>
      <c r="X29" s="855">
        <f t="shared" ca="1" si="3"/>
        <v>3.5200888903957887E-2</v>
      </c>
    </row>
    <row r="30" spans="2:25">
      <c r="B30" s="44">
        <f>MAX(B$15:B29)+1</f>
        <v>9</v>
      </c>
      <c r="D30" s="54" t="s">
        <v>421</v>
      </c>
      <c r="F30" s="76" t="s">
        <v>422</v>
      </c>
      <c r="G30" s="77">
        <f>('Exhibit No.__(RMM-3)'!C1034)/12</f>
        <v>1</v>
      </c>
      <c r="I30" s="77">
        <f>('Exhibit No.__(RMM-3)'!C1045)/1000</f>
        <v>471255.29337353742</v>
      </c>
      <c r="K30" s="78">
        <f>('Exhibit No.__(RMM-3)'!F1045)/1000</f>
        <v>27876.337040602797</v>
      </c>
      <c r="L30" s="79"/>
      <c r="M30" s="78">
        <f>'Exhibit No.__(RMM-3)'!I1045/1000</f>
        <v>29373.504040602795</v>
      </c>
      <c r="N30" s="78"/>
      <c r="O30" s="78">
        <f ca="1">'Exhibit No.__(RMM-3)'!L1045/1000</f>
        <v>29322.518040602798</v>
      </c>
      <c r="P30" s="78"/>
      <c r="Q30" s="78">
        <f t="shared" ca="1" si="0"/>
        <v>-50.985999999997148</v>
      </c>
      <c r="R30" s="855">
        <f t="shared" ca="1" si="4"/>
        <v>-1.8290064410447604E-3</v>
      </c>
      <c r="S30" s="81"/>
      <c r="T30" s="78">
        <f ca="1">'Exhibit No.__(RMM-2)pg1'!Q28</f>
        <v>-184.31970964388498</v>
      </c>
      <c r="U30" s="855">
        <f t="shared" ca="1" si="1"/>
        <v>-6.6120491144664121E-3</v>
      </c>
      <c r="V30" s="81"/>
      <c r="W30" s="78">
        <f t="shared" ca="1" si="2"/>
        <v>1261.8612903561152</v>
      </c>
      <c r="X30" s="855">
        <f t="shared" ca="1" si="3"/>
        <v>4.5266395241174366E-2</v>
      </c>
    </row>
    <row r="31" spans="2:25">
      <c r="B31" s="44">
        <f>MAX(B$15:B30)+1</f>
        <v>10</v>
      </c>
      <c r="D31" s="54" t="s">
        <v>80</v>
      </c>
      <c r="F31" s="52" t="s">
        <v>81</v>
      </c>
      <c r="G31" s="77">
        <f>'Exhibit No.__(RMM-3)'!C1119/12</f>
        <v>27</v>
      </c>
      <c r="I31" s="77">
        <f>'Exhibit No.__(RMM-3)'!C1123/1000</f>
        <v>285.28140758938906</v>
      </c>
      <c r="K31" s="78">
        <f>'Exhibit No.__(RMM-3)'!F1123/1000</f>
        <v>16.890895606556153</v>
      </c>
      <c r="L31" s="79"/>
      <c r="M31" s="78">
        <f>'Exhibit No.__(RMM-3)'!I1123/1000</f>
        <v>17.803895606556154</v>
      </c>
      <c r="N31" s="78"/>
      <c r="O31" s="78">
        <f ca="1">'Exhibit No.__(RMM-3)'!L1123/1000</f>
        <v>17.783895606556154</v>
      </c>
      <c r="P31" s="78"/>
      <c r="Q31" s="78">
        <f t="shared" ca="1" si="0"/>
        <v>-1.9999999999999574E-2</v>
      </c>
      <c r="R31" s="855">
        <f t="shared" ca="1" si="4"/>
        <v>-1.1840698365477216E-3</v>
      </c>
      <c r="S31" s="81"/>
      <c r="T31" s="78">
        <f ca="1">'Exhibit No.__(RMM-2)pg1'!Q29</f>
        <v>-6.901454661308902E-2</v>
      </c>
      <c r="U31" s="855">
        <f t="shared" ca="1" si="1"/>
        <v>-4.0859021463788585E-3</v>
      </c>
      <c r="V31" s="81"/>
      <c r="W31" s="78">
        <f t="shared" ca="1" si="2"/>
        <v>0.82398545338691065</v>
      </c>
      <c r="X31" s="855">
        <f t="shared" ca="1" si="3"/>
        <v>4.8782816055478018E-2</v>
      </c>
    </row>
    <row r="32" spans="2:25">
      <c r="B32" s="66"/>
      <c r="F32" s="52"/>
      <c r="G32" s="82"/>
      <c r="I32" s="82"/>
      <c r="K32" s="718"/>
      <c r="L32" s="95"/>
      <c r="M32" s="718"/>
      <c r="N32" s="95"/>
      <c r="O32" s="718"/>
      <c r="P32" s="59"/>
      <c r="Q32" s="82"/>
      <c r="R32" s="857"/>
      <c r="S32" s="59"/>
      <c r="T32" s="82"/>
      <c r="U32" s="857"/>
      <c r="V32" s="59"/>
      <c r="W32" s="82"/>
      <c r="X32" s="857"/>
    </row>
    <row r="33" spans="2:24">
      <c r="B33" s="66"/>
      <c r="K33" s="87"/>
      <c r="L33" s="87"/>
      <c r="M33" s="87"/>
      <c r="N33" s="87"/>
      <c r="O33" s="87"/>
      <c r="R33" s="83"/>
      <c r="S33" s="59"/>
      <c r="U33" s="83"/>
      <c r="V33" s="59"/>
      <c r="X33" s="83"/>
    </row>
    <row r="34" spans="2:24">
      <c r="B34" s="44">
        <f>MAX(B$15:B33)+1</f>
        <v>11</v>
      </c>
      <c r="D34" s="75" t="s">
        <v>144</v>
      </c>
      <c r="G34" s="84">
        <f>SUM(G24:G31)</f>
        <v>26233.928336762321</v>
      </c>
      <c r="I34" s="84">
        <f>SUM(I24:I31)</f>
        <v>2544681.4867692026</v>
      </c>
      <c r="J34" s="84"/>
      <c r="K34" s="78">
        <f>SUM(K24:K31)</f>
        <v>201545.41082545364</v>
      </c>
      <c r="L34" s="79"/>
      <c r="M34" s="78">
        <f>SUM(M24:M31)</f>
        <v>209646.60682545367</v>
      </c>
      <c r="N34" s="78"/>
      <c r="O34" s="78">
        <f ca="1">SUM(O24:O31)</f>
        <v>209299.25785965368</v>
      </c>
      <c r="P34" s="85"/>
      <c r="Q34" s="78">
        <f ca="1">SUM(Q24:Q31)</f>
        <v>-347.34896580000122</v>
      </c>
      <c r="R34" s="855">
        <f ca="1">Q34/K34</f>
        <v>-1.7234278090351523E-3</v>
      </c>
      <c r="S34" s="81"/>
      <c r="T34" s="78">
        <f ca="1">SUM(T24:T31)</f>
        <v>-1218.2779719160733</v>
      </c>
      <c r="U34" s="855">
        <f ca="1">T34/K34</f>
        <v>-6.0446822724787843E-3</v>
      </c>
      <c r="V34" s="81"/>
      <c r="W34" s="78">
        <f ca="1">SUM(W24:W31)</f>
        <v>6535.5690622839275</v>
      </c>
      <c r="X34" s="855">
        <f ca="1">W34/K34</f>
        <v>3.2427277979273819E-2</v>
      </c>
    </row>
    <row r="35" spans="2:24">
      <c r="B35" s="66"/>
      <c r="K35" s="87"/>
      <c r="L35" s="87"/>
      <c r="M35" s="87"/>
      <c r="N35" s="87"/>
      <c r="O35" s="87"/>
      <c r="R35" s="83"/>
      <c r="S35" s="59"/>
      <c r="U35" s="83"/>
      <c r="V35" s="59"/>
      <c r="X35" s="83"/>
    </row>
    <row r="36" spans="2:24">
      <c r="B36" s="66"/>
      <c r="D36" s="75" t="s">
        <v>82</v>
      </c>
      <c r="K36" s="87"/>
      <c r="L36" s="87"/>
      <c r="M36" s="87"/>
      <c r="N36" s="87"/>
      <c r="O36" s="87"/>
      <c r="R36" s="83"/>
      <c r="S36" s="59"/>
      <c r="U36" s="83"/>
      <c r="V36" s="59"/>
      <c r="X36" s="83"/>
    </row>
    <row r="37" spans="2:24">
      <c r="B37" s="44">
        <f>MAX(B$15:B36)+1</f>
        <v>12</v>
      </c>
      <c r="D37" s="54" t="s">
        <v>78</v>
      </c>
      <c r="F37" s="52" t="s">
        <v>79</v>
      </c>
      <c r="G37" s="77">
        <f>'Exhibit No.__(RMM-3)'!C18/12-0.3</f>
        <v>2323.5333333333333</v>
      </c>
      <c r="I37" s="77">
        <f>'Exhibit No.__(RMM-3)'!C21/1000</f>
        <v>3037.7085715346157</v>
      </c>
      <c r="K37" s="78">
        <f>'Exhibit No.__(RMM-3)'!F21/1000</f>
        <v>277.12832601818241</v>
      </c>
      <c r="L37" s="79"/>
      <c r="M37" s="78">
        <f>'Exhibit No.__(RMM-3)'!I21/1000</f>
        <v>287.00925480668451</v>
      </c>
      <c r="N37" s="78"/>
      <c r="O37" s="78">
        <f ca="1">'Exhibit No.__(RMM-3)'!L21/1000</f>
        <v>286.66535437218164</v>
      </c>
      <c r="P37" s="78"/>
      <c r="Q37" s="78">
        <f t="shared" ref="Q37:Q39" ca="1" si="5">O37-M37</f>
        <v>-0.34390043450287067</v>
      </c>
      <c r="R37" s="855">
        <f ca="1">Q37/K37</f>
        <v>-1.2409429214403271E-3</v>
      </c>
      <c r="S37" s="81"/>
      <c r="T37" s="78">
        <f ca="1">'Exhibit No.__(RMM-2)pg1'!Q35</f>
        <v>-0.73487466841478621</v>
      </c>
      <c r="U37" s="855">
        <f t="shared" ref="U37:U39" ca="1" si="6">T37/K37</f>
        <v>-2.6517486645034295E-3</v>
      </c>
      <c r="V37" s="81"/>
      <c r="W37" s="78">
        <f t="shared" ref="W37:W39" ca="1" si="7">O37+T37-K37</f>
        <v>8.8021536855844715</v>
      </c>
      <c r="X37" s="855">
        <f t="shared" ref="X37:X39" ca="1" si="8">W37/K37</f>
        <v>3.1762013692555421E-2</v>
      </c>
    </row>
    <row r="38" spans="2:24">
      <c r="B38" s="44">
        <f>MAX(B$15:B37)+1</f>
        <v>13</v>
      </c>
      <c r="D38" s="54" t="s">
        <v>145</v>
      </c>
      <c r="F38" s="52" t="s">
        <v>146</v>
      </c>
      <c r="G38" s="77">
        <f>'Exhibit No.__(RMM-3)'!C1068/12</f>
        <v>244</v>
      </c>
      <c r="I38" s="77">
        <f>'Exhibit No.__(RMM-3)'!C1071/1000</f>
        <v>5373.276656771407</v>
      </c>
      <c r="K38" s="78">
        <f>'Exhibit No.__(RMM-3)'!F1071/1000</f>
        <v>733.26276204534815</v>
      </c>
      <c r="L38" s="79"/>
      <c r="M38" s="78">
        <f>'Exhibit No.__(RMM-3)'!I1071/1000</f>
        <v>750.23576204534822</v>
      </c>
      <c r="N38" s="78"/>
      <c r="O38" s="78">
        <f ca="1">'Exhibit No.__(RMM-3)'!L1071/1000</f>
        <v>749.92876204534821</v>
      </c>
      <c r="P38" s="78"/>
      <c r="Q38" s="78">
        <f t="shared" ca="1" si="5"/>
        <v>-0.30700000000001637</v>
      </c>
      <c r="R38" s="855">
        <f ca="1">Q38/K38</f>
        <v>-4.1867665438740791E-4</v>
      </c>
      <c r="S38" s="81"/>
      <c r="T38" s="78">
        <f ca="1">'Exhibit No.__(RMM-2)pg1'!Q36</f>
        <v>-1.2998893107942111</v>
      </c>
      <c r="U38" s="855">
        <f t="shared" ca="1" si="6"/>
        <v>-1.7727469306750645E-3</v>
      </c>
      <c r="V38" s="81"/>
      <c r="W38" s="78">
        <f t="shared" ca="1" si="7"/>
        <v>15.366110689205811</v>
      </c>
      <c r="X38" s="855">
        <f t="shared" ca="1" si="8"/>
        <v>2.0955803955384145E-2</v>
      </c>
    </row>
    <row r="39" spans="2:24">
      <c r="B39" s="44">
        <f>MAX(B$15:B38)+1</f>
        <v>14</v>
      </c>
      <c r="D39" s="54" t="s">
        <v>145</v>
      </c>
      <c r="F39" s="52">
        <v>53</v>
      </c>
      <c r="G39" s="77">
        <f>'Exhibit No.__(RMM-3)'!C1079/12</f>
        <v>232.66666666666666</v>
      </c>
      <c r="I39" s="77">
        <f>'Exhibit No.__(RMM-3)'!C1082/1000</f>
        <v>3796.1347231696864</v>
      </c>
      <c r="K39" s="78">
        <f>'Exhibit No.__(RMM-3)'!F1082/1000</f>
        <v>168.23111480287815</v>
      </c>
      <c r="L39" s="79"/>
      <c r="M39" s="78">
        <f>'Exhibit No.__(RMM-3)'!I1082/1000</f>
        <v>180.16537571220798</v>
      </c>
      <c r="N39" s="78"/>
      <c r="O39" s="78">
        <f ca="1">'Exhibit No.__(RMM-3)'!L1082/1000</f>
        <v>179.83316671602614</v>
      </c>
      <c r="P39" s="78"/>
      <c r="Q39" s="78">
        <f t="shared" ca="1" si="5"/>
        <v>-0.33220899618183353</v>
      </c>
      <c r="R39" s="855">
        <f ca="1">Q39/K39</f>
        <v>-1.9747179145254644E-3</v>
      </c>
      <c r="S39" s="81"/>
      <c r="T39" s="78">
        <f ca="1">'Exhibit No.__(RMM-2)pg1'!Q37</f>
        <v>-0.91835117828234059</v>
      </c>
      <c r="U39" s="855">
        <f t="shared" ca="1" si="6"/>
        <v>-5.4588663895998217E-3</v>
      </c>
      <c r="V39" s="81"/>
      <c r="W39" s="78">
        <f t="shared" ca="1" si="7"/>
        <v>10.683700734865653</v>
      </c>
      <c r="X39" s="855">
        <f t="shared" ca="1" si="8"/>
        <v>6.3506092481073376E-2</v>
      </c>
    </row>
    <row r="40" spans="2:24">
      <c r="B40" s="66"/>
      <c r="G40" s="82"/>
      <c r="I40" s="82"/>
      <c r="K40" s="718"/>
      <c r="L40" s="95"/>
      <c r="M40" s="676"/>
      <c r="N40" s="95"/>
      <c r="O40" s="676"/>
      <c r="P40" s="59"/>
      <c r="Q40" s="82"/>
      <c r="R40" s="857"/>
      <c r="S40" s="59"/>
      <c r="T40" s="82"/>
      <c r="U40" s="857"/>
      <c r="V40" s="59"/>
      <c r="W40" s="82"/>
      <c r="X40" s="857"/>
    </row>
    <row r="41" spans="2:24">
      <c r="B41" s="66"/>
      <c r="K41" s="87"/>
      <c r="L41" s="87"/>
      <c r="M41" s="87"/>
      <c r="N41" s="87"/>
      <c r="O41" s="87"/>
      <c r="R41" s="83"/>
      <c r="S41" s="59"/>
      <c r="U41" s="83"/>
      <c r="V41" s="59"/>
      <c r="X41" s="83"/>
    </row>
    <row r="42" spans="2:24">
      <c r="B42" s="44">
        <f>MAX(B$15:B41)+1</f>
        <v>15</v>
      </c>
      <c r="D42" s="75" t="s">
        <v>147</v>
      </c>
      <c r="G42" s="88">
        <f>SUM(G37:G39)</f>
        <v>2800.2</v>
      </c>
      <c r="I42" s="88">
        <f>SUM(I37:I39)</f>
        <v>12207.11995147571</v>
      </c>
      <c r="J42" s="84"/>
      <c r="K42" s="89">
        <f>SUM(K37:K39)</f>
        <v>1178.6222028664088</v>
      </c>
      <c r="L42" s="677"/>
      <c r="M42" s="89">
        <f>SUM(M37:M39)</f>
        <v>1217.4103925642407</v>
      </c>
      <c r="N42" s="90"/>
      <c r="O42" s="89">
        <f ca="1">SUM(O37:O39)</f>
        <v>1216.4272831335561</v>
      </c>
      <c r="P42" s="90"/>
      <c r="Q42" s="89">
        <f ca="1">SUM(Q37:Q39)</f>
        <v>-0.98310943068472056</v>
      </c>
      <c r="R42" s="858">
        <f ca="1">Q42/K42</f>
        <v>-8.3411752153811358E-4</v>
      </c>
      <c r="S42" s="81"/>
      <c r="T42" s="89">
        <f ca="1">SUM(T37:T39)</f>
        <v>-2.9531151574913377</v>
      </c>
      <c r="U42" s="858">
        <f ca="1">T42/K42</f>
        <v>-2.5055655241428194E-3</v>
      </c>
      <c r="V42" s="81"/>
      <c r="W42" s="89">
        <f ca="1">SUM(W37:W39)</f>
        <v>34.851965109655936</v>
      </c>
      <c r="X42" s="858">
        <f ca="1">W42/K42</f>
        <v>2.9570090419895341E-2</v>
      </c>
    </row>
    <row r="43" spans="2:24">
      <c r="B43" s="66"/>
      <c r="D43" s="75"/>
      <c r="G43" s="91"/>
      <c r="I43" s="91"/>
      <c r="J43" s="84"/>
      <c r="K43" s="90"/>
      <c r="L43" s="90"/>
      <c r="M43" s="90"/>
      <c r="N43" s="90"/>
      <c r="O43" s="90"/>
      <c r="P43" s="90"/>
      <c r="Q43" s="90"/>
      <c r="R43" s="859"/>
      <c r="S43" s="90"/>
      <c r="T43" s="90"/>
      <c r="U43" s="859"/>
      <c r="V43" s="90"/>
      <c r="W43" s="90"/>
      <c r="X43" s="859"/>
    </row>
    <row r="44" spans="2:24" ht="16.5" thickBot="1">
      <c r="B44" s="44">
        <f>MAX(B$15:B43)+1</f>
        <v>16</v>
      </c>
      <c r="D44" s="92" t="s">
        <v>148</v>
      </c>
      <c r="G44" s="93">
        <f>G42+G34+G21</f>
        <v>136823.83263783515</v>
      </c>
      <c r="I44" s="93">
        <f>I42+I34+I21</f>
        <v>4081606.818594561</v>
      </c>
      <c r="K44" s="94">
        <f>K42+K34+K21</f>
        <v>351179.86309100746</v>
      </c>
      <c r="L44" s="677"/>
      <c r="M44" s="94">
        <f>M42+M34+M21</f>
        <v>364311.25928070524</v>
      </c>
      <c r="N44" s="95"/>
      <c r="O44" s="94">
        <f ca="1">O42+O34+O21</f>
        <v>363700.22220547462</v>
      </c>
      <c r="P44" s="95"/>
      <c r="Q44" s="94">
        <f ca="1">Q42+Q34+Q21</f>
        <v>-611.03707523070227</v>
      </c>
      <c r="R44" s="860">
        <f ca="1">Q44/K44</f>
        <v>-1.739954762361626E-3</v>
      </c>
      <c r="S44" s="81"/>
      <c r="T44" s="94">
        <f ca="1">T42+T34+T21</f>
        <v>-2143.1089999999995</v>
      </c>
      <c r="U44" s="860">
        <f ca="1">T44/K44</f>
        <v>-6.1025964904047412E-3</v>
      </c>
      <c r="V44" s="81"/>
      <c r="W44" s="94">
        <f ca="1">W42+W34+W21</f>
        <v>10377.250114467148</v>
      </c>
      <c r="X44" s="860">
        <f ca="1">W44/K44</f>
        <v>2.9549672988447823E-2</v>
      </c>
    </row>
    <row r="45" spans="2:24" ht="16.5" thickTop="1">
      <c r="B45" s="863" t="s">
        <v>13</v>
      </c>
      <c r="C45" s="864"/>
      <c r="D45" s="864"/>
      <c r="G45" s="96"/>
      <c r="I45" s="96"/>
      <c r="K45" s="95"/>
      <c r="L45" s="677"/>
      <c r="M45" s="95"/>
      <c r="N45" s="95"/>
      <c r="O45" s="95"/>
      <c r="P45" s="95"/>
      <c r="Q45" s="95"/>
      <c r="R45" s="83"/>
      <c r="S45" s="81"/>
      <c r="T45" s="95"/>
      <c r="U45" s="83"/>
      <c r="V45" s="81"/>
      <c r="W45" s="95"/>
      <c r="X45" s="83"/>
    </row>
    <row r="46" spans="2:24">
      <c r="B46" s="44">
        <f>MAX(B$15:B45)+1</f>
        <v>17</v>
      </c>
      <c r="D46" s="97" t="s">
        <v>149</v>
      </c>
      <c r="G46" s="96"/>
      <c r="I46" s="96"/>
      <c r="K46" s="79">
        <f>'Exhibit No.__(RMM-3)'!F1128/1000</f>
        <v>727.80209999999988</v>
      </c>
      <c r="L46" s="719"/>
      <c r="M46" s="79">
        <f>K46</f>
        <v>727.80209999999988</v>
      </c>
      <c r="N46" s="79"/>
      <c r="O46" s="79">
        <f>M46</f>
        <v>727.80209999999988</v>
      </c>
      <c r="P46" s="95"/>
      <c r="Q46" s="87"/>
      <c r="R46" s="855"/>
      <c r="S46" s="81"/>
      <c r="T46" s="87"/>
      <c r="U46" s="855"/>
      <c r="V46" s="81"/>
      <c r="W46" s="87"/>
      <c r="X46" s="855"/>
    </row>
    <row r="47" spans="2:24">
      <c r="B47" s="44"/>
      <c r="D47" s="97"/>
      <c r="G47" s="96"/>
      <c r="I47" s="96"/>
      <c r="K47" s="95"/>
      <c r="L47" s="719"/>
      <c r="M47" s="79"/>
      <c r="N47" s="79"/>
      <c r="O47" s="79"/>
      <c r="P47" s="95"/>
      <c r="Q47" s="87"/>
      <c r="R47" s="855"/>
      <c r="S47" s="81"/>
      <c r="T47" s="87"/>
      <c r="U47" s="855"/>
      <c r="V47" s="81"/>
      <c r="W47" s="87"/>
      <c r="X47" s="855"/>
    </row>
    <row r="48" spans="2:24" ht="16.5" thickBot="1">
      <c r="B48" s="44">
        <f>MAX(B$15:B47)+1</f>
        <v>18</v>
      </c>
      <c r="D48" s="45" t="s">
        <v>83</v>
      </c>
      <c r="G48" s="98">
        <f>SUM(G44:G46)</f>
        <v>136823.83263783515</v>
      </c>
      <c r="I48" s="98">
        <f>SUM(I44:I46)</f>
        <v>4081606.818594561</v>
      </c>
      <c r="K48" s="94">
        <f>SUM(K44:K46)</f>
        <v>351907.66519100743</v>
      </c>
      <c r="L48" s="87"/>
      <c r="M48" s="688">
        <f>SUM(M44:M46)</f>
        <v>365039.06138070521</v>
      </c>
      <c r="N48" s="677"/>
      <c r="O48" s="688">
        <f ca="1">SUM(O44:O46)</f>
        <v>364428.0243054746</v>
      </c>
      <c r="P48" s="95"/>
      <c r="Q48" s="94">
        <f ca="1">SUM(Q44:Q46)</f>
        <v>-611.03707523070227</v>
      </c>
      <c r="R48" s="860">
        <f ca="1">Q48/K48</f>
        <v>-1.7363562538458641E-3</v>
      </c>
      <c r="S48" s="59"/>
      <c r="T48" s="94">
        <f ca="1">SUM(T44:T46)</f>
        <v>-2143.1089999999995</v>
      </c>
      <c r="U48" s="860">
        <f ca="1">T48/K48</f>
        <v>-6.0899753315596834E-3</v>
      </c>
      <c r="V48" s="59"/>
      <c r="W48" s="94">
        <f ca="1">SUM(W44:W46)</f>
        <v>10377.250114467148</v>
      </c>
      <c r="X48" s="860">
        <f ca="1">W48/K48</f>
        <v>2.9488559474357041E-2</v>
      </c>
    </row>
    <row r="49" spans="8:22" ht="18.75" customHeight="1" thickTop="1">
      <c r="H49" s="531"/>
      <c r="Q49" s="78" t="s">
        <v>13</v>
      </c>
      <c r="R49" s="651" t="s">
        <v>13</v>
      </c>
    </row>
    <row r="50" spans="8:22" ht="18.75" customHeight="1">
      <c r="M50" s="196"/>
      <c r="N50" s="196"/>
      <c r="O50" s="196"/>
      <c r="Q50" s="626"/>
      <c r="R50" s="627"/>
    </row>
    <row r="51" spans="8:22">
      <c r="K51" s="99"/>
      <c r="L51" s="59"/>
      <c r="Q51" s="87"/>
      <c r="R51" s="100"/>
      <c r="S51" s="59"/>
      <c r="T51" s="59"/>
      <c r="U51" s="59"/>
      <c r="V51" s="59"/>
    </row>
    <row r="52" spans="8:22">
      <c r="L52" s="59"/>
      <c r="Q52" s="87"/>
      <c r="S52" s="59"/>
      <c r="T52" s="59"/>
      <c r="U52" s="59"/>
      <c r="V52" s="59"/>
    </row>
    <row r="53" spans="8:22">
      <c r="M53" s="80"/>
      <c r="N53" s="80"/>
      <c r="O53" s="80"/>
      <c r="R53" s="102"/>
    </row>
    <row r="54" spans="8:22">
      <c r="M54" s="59"/>
      <c r="N54" s="59"/>
      <c r="O54" s="59"/>
      <c r="Q54" s="103"/>
      <c r="R54" s="104"/>
    </row>
    <row r="55" spans="8:22">
      <c r="M55" s="74"/>
      <c r="N55" s="74"/>
      <c r="O55" s="74"/>
      <c r="Q55" s="105"/>
      <c r="R55" s="106"/>
    </row>
    <row r="56" spans="8:22">
      <c r="M56" s="107"/>
      <c r="N56" s="107"/>
      <c r="O56" s="107"/>
      <c r="R56" s="83"/>
    </row>
    <row r="57" spans="8:22">
      <c r="M57" s="55"/>
      <c r="N57" s="55"/>
      <c r="O57" s="55"/>
      <c r="R57" s="108"/>
    </row>
    <row r="59" spans="8:22">
      <c r="M59" s="74"/>
      <c r="N59" s="74"/>
      <c r="O59" s="74"/>
    </row>
  </sheetData>
  <mergeCells count="1">
    <mergeCell ref="B45:D45"/>
  </mergeCells>
  <phoneticPr fontId="0" type="noConversion"/>
  <printOptions horizontalCentered="1"/>
  <pageMargins left="0.25" right="0.25" top="0.5" bottom="0.5" header="0.5" footer="0.25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AQ1135"/>
  <sheetViews>
    <sheetView tabSelected="1" view="pageBreakPreview" topLeftCell="A1093" zoomScale="60" zoomScaleNormal="85" workbookViewId="0">
      <selection activeCell="T1125" sqref="T1125"/>
    </sheetView>
  </sheetViews>
  <sheetFormatPr defaultColWidth="10.25" defaultRowHeight="15.75"/>
  <cols>
    <col min="1" max="1" width="23.5" style="3" customWidth="1"/>
    <col min="2" max="2" width="5.875" style="3" customWidth="1"/>
    <col min="3" max="3" width="19.125" style="3" bestFit="1" customWidth="1"/>
    <col min="4" max="4" width="12" style="3" bestFit="1" customWidth="1"/>
    <col min="5" max="5" width="2.625" style="3" customWidth="1"/>
    <col min="6" max="6" width="19.875" style="3" bestFit="1" customWidth="1"/>
    <col min="7" max="7" width="12" style="3" bestFit="1" customWidth="1"/>
    <col min="8" max="8" width="2.125" style="3" bestFit="1" customWidth="1"/>
    <col min="9" max="9" width="19.875" style="3" bestFit="1" customWidth="1"/>
    <col min="10" max="10" width="19.875" style="3" customWidth="1"/>
    <col min="11" max="11" width="2.375" style="3" customWidth="1"/>
    <col min="12" max="12" width="19.875" style="3" bestFit="1" customWidth="1"/>
    <col min="13" max="14" width="15.125" style="3" bestFit="1" customWidth="1"/>
    <col min="15" max="15" width="22.625" style="33" customWidth="1"/>
    <col min="16" max="16" width="17" style="33" bestFit="1" customWidth="1"/>
    <col min="17" max="17" width="3.375" style="33" customWidth="1"/>
    <col min="18" max="18" width="9.5" style="3" bestFit="1" customWidth="1"/>
    <col min="19" max="19" width="10" style="3" bestFit="1" customWidth="1"/>
    <col min="20" max="20" width="8.5" style="3" bestFit="1" customWidth="1"/>
    <col min="21" max="21" width="8.25" style="3" bestFit="1" customWidth="1"/>
    <col min="22" max="22" width="14.75" style="3" customWidth="1"/>
    <col min="23" max="23" width="13.25" style="3" bestFit="1" customWidth="1"/>
    <col min="24" max="24" width="14.75" style="3" bestFit="1" customWidth="1"/>
    <col min="25" max="25" width="12.25" style="3" bestFit="1" customWidth="1"/>
    <col min="26" max="26" width="5.5" style="3" bestFit="1" customWidth="1"/>
    <col min="27" max="27" width="18" style="3" customWidth="1"/>
    <col min="28" max="28" width="10.25" style="3" customWidth="1"/>
    <col min="29" max="29" width="12.125" style="3" customWidth="1"/>
    <col min="30" max="16384" width="10.25" style="3"/>
  </cols>
  <sheetData>
    <row r="1" spans="1:36" ht="18">
      <c r="A1" s="109" t="s">
        <v>563</v>
      </c>
      <c r="B1" s="109"/>
      <c r="C1" s="109"/>
      <c r="D1" s="109"/>
      <c r="E1" s="109"/>
      <c r="F1" s="109"/>
      <c r="G1" s="109"/>
      <c r="H1" s="109"/>
      <c r="I1" s="109"/>
      <c r="J1" s="109"/>
      <c r="K1" s="652"/>
      <c r="L1" s="652"/>
      <c r="M1" s="11"/>
      <c r="N1" s="11"/>
      <c r="O1" s="38"/>
      <c r="P1" s="38"/>
      <c r="Q1" s="38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6" ht="18">
      <c r="A2" s="109" t="s">
        <v>150</v>
      </c>
      <c r="B2" s="109"/>
      <c r="C2" s="109"/>
      <c r="D2" s="109"/>
      <c r="E2" s="109"/>
      <c r="F2" s="109"/>
      <c r="G2" s="109"/>
      <c r="H2" s="109"/>
      <c r="I2" s="109"/>
      <c r="J2" s="109"/>
      <c r="K2" s="652"/>
      <c r="L2" s="652"/>
      <c r="M2" s="11"/>
      <c r="N2" s="11"/>
      <c r="O2" s="38"/>
      <c r="P2" s="38"/>
      <c r="Q2" s="38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6">
      <c r="A3" s="112" t="s">
        <v>523</v>
      </c>
      <c r="B3" s="112"/>
      <c r="C3" s="112"/>
      <c r="D3" s="112"/>
      <c r="E3" s="112"/>
      <c r="F3" s="112"/>
      <c r="G3" s="112"/>
      <c r="H3" s="112"/>
      <c r="I3" s="112"/>
      <c r="J3" s="112"/>
      <c r="K3" s="653"/>
      <c r="L3" s="653"/>
      <c r="M3" s="11"/>
      <c r="N3" s="11"/>
      <c r="O3" s="38"/>
      <c r="P3" s="38"/>
      <c r="Q3" s="38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6">
      <c r="A4" s="115" t="s">
        <v>151</v>
      </c>
      <c r="B4" s="115"/>
      <c r="C4" s="115"/>
      <c r="D4" s="115"/>
      <c r="E4" s="115"/>
      <c r="F4" s="115"/>
      <c r="G4" s="115"/>
      <c r="H4" s="115"/>
      <c r="I4" s="115"/>
      <c r="J4" s="115"/>
      <c r="K4" s="654"/>
      <c r="L4" s="654"/>
      <c r="M4" s="11"/>
      <c r="N4" s="11"/>
      <c r="O4" s="38"/>
      <c r="P4" s="38"/>
      <c r="Q4" s="38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6">
      <c r="A5" s="115"/>
      <c r="B5" s="113"/>
      <c r="C5" s="113"/>
      <c r="D5" s="114"/>
      <c r="E5" s="114"/>
      <c r="F5" s="113"/>
      <c r="G5" s="114"/>
      <c r="H5" s="113"/>
      <c r="I5" s="113"/>
      <c r="J5" s="113"/>
      <c r="K5" s="113"/>
      <c r="L5" s="114"/>
      <c r="M5" s="11"/>
      <c r="N5" s="11"/>
      <c r="O5" s="38"/>
      <c r="P5" s="38"/>
      <c r="Q5" s="38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</row>
    <row r="6" spans="1:36" hidden="1">
      <c r="A6" s="115"/>
      <c r="B6" s="113"/>
      <c r="C6" s="113"/>
      <c r="D6" s="114"/>
      <c r="E6" s="114"/>
      <c r="F6" s="113"/>
      <c r="G6" s="114"/>
      <c r="H6" s="113"/>
      <c r="I6" s="113"/>
      <c r="J6" s="113"/>
      <c r="K6" s="113"/>
      <c r="L6" s="114"/>
      <c r="M6" s="11"/>
      <c r="N6" s="11"/>
      <c r="O6" s="38"/>
      <c r="P6" s="38"/>
      <c r="Q6" s="38"/>
      <c r="R6" s="38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6" hidden="1">
      <c r="A7" s="113"/>
      <c r="B7" s="113"/>
      <c r="C7" s="113"/>
      <c r="D7" s="114"/>
      <c r="E7" s="114"/>
      <c r="F7" s="113"/>
      <c r="G7" s="114"/>
      <c r="H7" s="113"/>
      <c r="I7" s="113"/>
      <c r="J7" s="113"/>
      <c r="K7" s="113"/>
      <c r="L7" s="114"/>
      <c r="M7" s="11"/>
      <c r="N7" s="11"/>
      <c r="O7" s="38"/>
      <c r="P7" s="38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</row>
    <row r="8" spans="1:36">
      <c r="A8" s="116"/>
      <c r="B8" s="116"/>
      <c r="C8" s="117"/>
      <c r="D8" s="118"/>
      <c r="E8" s="118"/>
      <c r="G8" s="118"/>
      <c r="H8" s="119"/>
      <c r="I8" s="119"/>
      <c r="J8" s="119"/>
      <c r="K8" s="119"/>
      <c r="L8" s="118"/>
      <c r="M8" s="11"/>
      <c r="N8" s="659"/>
      <c r="O8" s="38"/>
      <c r="P8" s="38"/>
      <c r="Q8" s="38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6">
      <c r="A9" s="116"/>
      <c r="B9" s="116"/>
      <c r="C9" s="117" t="s">
        <v>152</v>
      </c>
      <c r="D9" s="865" t="s">
        <v>85</v>
      </c>
      <c r="E9" s="866"/>
      <c r="F9" s="867"/>
      <c r="G9" s="726" t="s">
        <v>565</v>
      </c>
      <c r="H9" s="727"/>
      <c r="I9" s="728"/>
      <c r="J9" s="726" t="s">
        <v>566</v>
      </c>
      <c r="K9" s="727"/>
      <c r="L9" s="728"/>
      <c r="M9" s="121"/>
      <c r="N9" s="121"/>
      <c r="O9" s="121"/>
      <c r="P9" s="38"/>
      <c r="Q9" s="3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6">
      <c r="A10" s="116"/>
      <c r="B10" s="116"/>
      <c r="C10" s="122" t="s">
        <v>119</v>
      </c>
      <c r="D10" s="123" t="s">
        <v>4</v>
      </c>
      <c r="E10" s="121"/>
      <c r="F10" s="119" t="s">
        <v>153</v>
      </c>
      <c r="G10" s="123" t="s">
        <v>4</v>
      </c>
      <c r="H10" s="123"/>
      <c r="I10" s="123" t="s">
        <v>153</v>
      </c>
      <c r="J10" s="123" t="s">
        <v>4</v>
      </c>
      <c r="K10" s="123"/>
      <c r="L10" s="123" t="s">
        <v>153</v>
      </c>
      <c r="M10" s="121"/>
      <c r="N10" s="121"/>
      <c r="O10" s="121"/>
      <c r="P10" s="38"/>
      <c r="Q10" s="38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</row>
    <row r="11" spans="1:36">
      <c r="A11" s="125" t="s">
        <v>155</v>
      </c>
      <c r="F11" s="126"/>
      <c r="M11" s="11"/>
      <c r="N11" s="11"/>
      <c r="O11" s="853" t="s">
        <v>1453</v>
      </c>
      <c r="P11" s="38"/>
      <c r="Q11" s="38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6">
      <c r="A12" s="3" t="s">
        <v>156</v>
      </c>
      <c r="F12" s="126"/>
      <c r="M12" s="11"/>
      <c r="N12" s="11"/>
      <c r="O12" s="852">
        <f ca="1">'Exhibit No.__(RMM-2)pg1'!O35*1000</f>
        <v>-210.48636664624354</v>
      </c>
      <c r="P12" s="38"/>
      <c r="Q12" s="38"/>
      <c r="R12" s="38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</row>
    <row r="13" spans="1:36">
      <c r="F13" s="126"/>
      <c r="M13" s="11"/>
      <c r="N13" s="11"/>
      <c r="O13" s="38"/>
      <c r="P13" s="38"/>
      <c r="Q13" s="38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</row>
    <row r="14" spans="1:36">
      <c r="A14" s="3" t="s">
        <v>536</v>
      </c>
      <c r="F14" s="126"/>
      <c r="M14" s="11"/>
      <c r="N14" t="s">
        <v>550</v>
      </c>
      <c r="O14" t="s">
        <v>551</v>
      </c>
      <c r="P14" s="38"/>
      <c r="Q14" s="38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</row>
    <row r="15" spans="1:36">
      <c r="A15" s="3" t="s">
        <v>537</v>
      </c>
      <c r="C15" s="127">
        <f t="shared" ref="C15:C20" si="0">C30+C42+C54</f>
        <v>26655.009122588643</v>
      </c>
      <c r="D15" s="128">
        <v>7.9205056020145186</v>
      </c>
      <c r="F15" s="2">
        <f>F30+F42+F54</f>
        <v>211121.14907721145</v>
      </c>
      <c r="G15" s="729">
        <v>8.17</v>
      </c>
      <c r="I15" s="2">
        <f>I30+I42+I54</f>
        <v>217771.42453154924</v>
      </c>
      <c r="J15" s="128">
        <f ca="1">G15+ROUND($O$12*(O15/SUM($O$15:$O$17))/C15,2)</f>
        <v>8.16</v>
      </c>
      <c r="L15" s="2">
        <f ca="1">L30+L42+L54</f>
        <v>217504.87444032333</v>
      </c>
      <c r="N15">
        <v>19</v>
      </c>
      <c r="O15" s="720">
        <f>N15*C15</f>
        <v>506445.17332918418</v>
      </c>
      <c r="P15" s="129"/>
      <c r="Q15" s="129"/>
      <c r="R15" s="129"/>
      <c r="S15" s="129"/>
      <c r="T15" s="130"/>
      <c r="U15" s="130"/>
      <c r="V15" s="130"/>
      <c r="W15" s="130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J15" s="42"/>
    </row>
    <row r="16" spans="1:36">
      <c r="A16" s="3" t="s">
        <v>538</v>
      </c>
      <c r="C16" s="127">
        <f t="shared" si="0"/>
        <v>5709.8995291503243</v>
      </c>
      <c r="D16" s="128">
        <v>8.9144883768660446</v>
      </c>
      <c r="F16" s="2">
        <f>F31+F43+F55</f>
        <v>50900.832985683468</v>
      </c>
      <c r="G16" s="729">
        <v>9.35</v>
      </c>
      <c r="I16" s="2">
        <f>I31+I43+I55</f>
        <v>53387.560597555523</v>
      </c>
      <c r="J16" s="128">
        <f ca="1">G16+ROUND($O$12*(O16/SUM($O$15:$O$17))/C16,2)</f>
        <v>9.34</v>
      </c>
      <c r="L16" s="2">
        <f ca="1">L31+L43+L55</f>
        <v>53330.461602264033</v>
      </c>
      <c r="N16">
        <v>34</v>
      </c>
      <c r="O16" s="720">
        <f>N16*C16</f>
        <v>194136.58399111102</v>
      </c>
      <c r="P16" s="129"/>
      <c r="Q16" s="129"/>
      <c r="R16" s="129"/>
      <c r="S16" s="129"/>
      <c r="T16" s="130"/>
      <c r="U16" s="130"/>
      <c r="V16" s="130"/>
      <c r="W16" s="130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J16" s="42"/>
    </row>
    <row r="17" spans="1:36">
      <c r="A17" s="3" t="s">
        <v>541</v>
      </c>
      <c r="C17" s="127">
        <f t="shared" si="0"/>
        <v>1012.5673992761089</v>
      </c>
      <c r="D17" s="128">
        <v>10.475307452299823</v>
      </c>
      <c r="F17" s="2">
        <f>F32+F44+F56</f>
        <v>10606.954823592874</v>
      </c>
      <c r="G17" s="729">
        <v>11.21</v>
      </c>
      <c r="I17" s="2">
        <f>I32+I44+I56</f>
        <v>11350.88054588518</v>
      </c>
      <c r="J17" s="128">
        <f ca="1">G17+ROUND($O$12*(O17/SUM($O$15:$O$17))/C17,2)</f>
        <v>11.190000000000001</v>
      </c>
      <c r="L17" s="2">
        <f ca="1">L32+L44+L56</f>
        <v>11330.62919789966</v>
      </c>
      <c r="N17">
        <v>57</v>
      </c>
      <c r="O17" s="720">
        <f>N17*C17</f>
        <v>57716.341758738206</v>
      </c>
      <c r="P17" s="129"/>
      <c r="Q17" s="129"/>
      <c r="R17" s="129"/>
      <c r="S17" s="129"/>
      <c r="T17" s="130"/>
      <c r="U17" s="130"/>
      <c r="V17" s="130"/>
      <c r="W17" s="130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J17" s="42"/>
    </row>
    <row r="18" spans="1:36">
      <c r="A18" s="3" t="s">
        <v>166</v>
      </c>
      <c r="C18" s="127">
        <f t="shared" si="0"/>
        <v>27886</v>
      </c>
      <c r="D18" s="128"/>
      <c r="F18" s="2"/>
      <c r="G18" s="729"/>
      <c r="I18" s="2"/>
      <c r="J18" s="128"/>
      <c r="L18" s="2"/>
      <c r="O18" s="42"/>
      <c r="P18" s="3"/>
      <c r="Q18" s="3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J18" s="42"/>
    </row>
    <row r="19" spans="1:36">
      <c r="A19" s="3" t="s">
        <v>15</v>
      </c>
      <c r="C19" s="127">
        <f t="shared" si="0"/>
        <v>3029770.5</v>
      </c>
      <c r="D19" s="132"/>
      <c r="E19" s="11"/>
      <c r="F19" s="2">
        <f>F34+F46+F58</f>
        <v>272628.93688648776</v>
      </c>
      <c r="G19" s="717"/>
      <c r="H19" s="11"/>
      <c r="I19" s="2">
        <f>I34+I46+I58</f>
        <v>282509.86567498988</v>
      </c>
      <c r="J19" s="132"/>
      <c r="K19" s="11"/>
      <c r="L19" s="2">
        <f ca="1">L34+L46+L58</f>
        <v>282165.96524048701</v>
      </c>
      <c r="O19" s="134"/>
      <c r="P19" s="3"/>
      <c r="Q19" s="3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J19" s="42"/>
    </row>
    <row r="20" spans="1:36">
      <c r="A20" s="3" t="s">
        <v>167</v>
      </c>
      <c r="C20" s="127">
        <f t="shared" si="0"/>
        <v>7938.0715346155903</v>
      </c>
      <c r="D20" s="132"/>
      <c r="E20" s="11"/>
      <c r="F20" s="135">
        <f>F35+F47+F59</f>
        <v>4499.3891316946401</v>
      </c>
      <c r="G20" s="717"/>
      <c r="H20" s="11"/>
      <c r="I20" s="135">
        <f>F20</f>
        <v>4499.3891316946401</v>
      </c>
      <c r="J20" s="132"/>
      <c r="K20" s="11"/>
      <c r="L20" s="135">
        <f>I20</f>
        <v>4499.3891316946401</v>
      </c>
      <c r="P20" s="503"/>
      <c r="Q20" s="503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J20" s="42"/>
    </row>
    <row r="21" spans="1:36" ht="16.5" thickBot="1">
      <c r="A21" s="3" t="s">
        <v>1</v>
      </c>
      <c r="C21" s="136">
        <f>C19+C20</f>
        <v>3037708.5715346155</v>
      </c>
      <c r="D21" s="175"/>
      <c r="E21" s="137"/>
      <c r="F21" s="137">
        <f>F19+F20</f>
        <v>277128.32601818239</v>
      </c>
      <c r="G21" s="730"/>
      <c r="H21" s="137"/>
      <c r="I21" s="137">
        <f>I19+I20</f>
        <v>287009.2548066845</v>
      </c>
      <c r="J21" s="175"/>
      <c r="K21" s="137"/>
      <c r="L21" s="137">
        <f ca="1">L19+L20</f>
        <v>286665.35437218164</v>
      </c>
      <c r="M21" s="11"/>
      <c r="N21" s="11"/>
      <c r="O21" s="279"/>
      <c r="P21" s="500"/>
      <c r="Q21" s="500"/>
      <c r="R21" s="8"/>
      <c r="S21" s="8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J21" s="42"/>
    </row>
    <row r="22" spans="1:36" ht="16.5" thickTop="1">
      <c r="A22" s="629" t="s">
        <v>13</v>
      </c>
      <c r="C22" s="213"/>
      <c r="D22" s="20"/>
      <c r="E22" s="20"/>
      <c r="F22" s="20"/>
      <c r="G22" s="622"/>
      <c r="H22" s="20"/>
      <c r="I22" s="20" t="s">
        <v>13</v>
      </c>
      <c r="J22" s="20"/>
      <c r="K22" s="20"/>
      <c r="L22" s="20" t="s">
        <v>13</v>
      </c>
      <c r="M22" s="11"/>
      <c r="N22" s="279"/>
      <c r="O22" s="279"/>
      <c r="P22" s="6"/>
      <c r="Q22" s="500"/>
      <c r="R22" s="8"/>
      <c r="S22" s="8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J22" s="42"/>
    </row>
    <row r="23" spans="1:36" ht="18" hidden="1" customHeight="1">
      <c r="C23" s="138"/>
      <c r="D23" s="172" t="s">
        <v>13</v>
      </c>
      <c r="E23" s="138"/>
      <c r="F23" s="126"/>
      <c r="G23" s="284" t="s">
        <v>13</v>
      </c>
      <c r="H23" s="138"/>
      <c r="I23" s="2" t="s">
        <v>13</v>
      </c>
      <c r="J23" s="1" t="s">
        <v>13</v>
      </c>
      <c r="K23" s="138"/>
      <c r="L23" s="2" t="s">
        <v>13</v>
      </c>
      <c r="Q23" s="104"/>
      <c r="R23" s="8"/>
      <c r="S23" s="8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J23" s="42"/>
    </row>
    <row r="24" spans="1:36" hidden="1">
      <c r="C24" s="138"/>
      <c r="D24" s="172"/>
      <c r="E24" s="138"/>
      <c r="F24" s="126"/>
      <c r="G24" s="284"/>
      <c r="H24" s="138"/>
      <c r="I24" s="2"/>
      <c r="J24" s="1"/>
      <c r="K24" s="138"/>
      <c r="L24" s="2"/>
      <c r="M24" s="490"/>
      <c r="N24" s="490"/>
      <c r="O24" s="490"/>
      <c r="P24" s="490"/>
      <c r="Q24" s="104"/>
      <c r="R24" s="8"/>
      <c r="S24" s="8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J24" s="42"/>
    </row>
    <row r="25" spans="1:36" hidden="1">
      <c r="C25" s="138"/>
      <c r="D25" s="172"/>
      <c r="E25" s="138"/>
      <c r="F25" s="126"/>
      <c r="G25" s="284"/>
      <c r="H25" s="138"/>
      <c r="I25" s="2"/>
      <c r="J25" s="1"/>
      <c r="K25" s="138"/>
      <c r="L25" s="2"/>
      <c r="M25" s="279"/>
      <c r="N25" s="279"/>
      <c r="O25" s="279"/>
      <c r="P25" s="279"/>
      <c r="Q25" s="104"/>
      <c r="R25" s="8"/>
      <c r="S25" s="8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J25" s="42"/>
    </row>
    <row r="26" spans="1:36" hidden="1">
      <c r="A26" s="125" t="s">
        <v>155</v>
      </c>
      <c r="F26" s="126"/>
      <c r="G26" s="4"/>
      <c r="O26" s="139" t="s">
        <v>13</v>
      </c>
      <c r="P26" s="3"/>
      <c r="Q26" s="3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J26" s="42"/>
    </row>
    <row r="27" spans="1:36" hidden="1">
      <c r="A27" s="3" t="s">
        <v>169</v>
      </c>
      <c r="F27" s="126"/>
      <c r="G27" s="4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1"/>
      <c r="AE27" s="11"/>
      <c r="AF27" s="11"/>
      <c r="AG27" s="11"/>
      <c r="AH27" s="11"/>
      <c r="AJ27" s="42"/>
    </row>
    <row r="28" spans="1:36" hidden="1">
      <c r="F28" s="126"/>
      <c r="G28" s="4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1"/>
      <c r="AE28" s="11"/>
      <c r="AF28" s="11"/>
      <c r="AG28" s="11"/>
      <c r="AH28" s="11"/>
      <c r="AJ28" s="42"/>
    </row>
    <row r="29" spans="1:36" hidden="1">
      <c r="A29" s="3" t="s">
        <v>536</v>
      </c>
      <c r="F29" s="126"/>
      <c r="G29" s="4"/>
      <c r="M29" s="141"/>
      <c r="N29" s="141"/>
      <c r="O29" s="141"/>
      <c r="P29" s="38"/>
      <c r="Q29" s="38"/>
      <c r="R29" s="142"/>
      <c r="S29" s="142"/>
      <c r="T29" s="143"/>
      <c r="U29" s="143"/>
      <c r="V29" s="143"/>
      <c r="W29" s="143"/>
      <c r="X29" s="144"/>
      <c r="Y29" s="145"/>
      <c r="Z29" s="141"/>
      <c r="AA29" s="141"/>
      <c r="AB29" s="141"/>
      <c r="AC29" s="141"/>
      <c r="AD29" s="11"/>
      <c r="AE29" s="11"/>
      <c r="AF29" s="11"/>
      <c r="AG29" s="11"/>
      <c r="AH29" s="11"/>
      <c r="AJ29" s="42"/>
    </row>
    <row r="30" spans="1:36" hidden="1">
      <c r="A30" s="3" t="s">
        <v>537</v>
      </c>
      <c r="C30" s="127">
        <v>12155.470255994704</v>
      </c>
      <c r="D30" s="128">
        <f>$D$15</f>
        <v>7.9205056020145186</v>
      </c>
      <c r="F30" s="2">
        <f>D30*C30</f>
        <v>96277.470257726905</v>
      </c>
      <c r="G30" s="729">
        <v>8.17</v>
      </c>
      <c r="I30" s="2">
        <f>(G30*$C30)</f>
        <v>99310.191991476735</v>
      </c>
      <c r="J30" s="128">
        <f ca="1">$J$15</f>
        <v>8.16</v>
      </c>
      <c r="L30" s="2">
        <f ca="1">(J30*$C30)</f>
        <v>99188.637288916783</v>
      </c>
      <c r="M30" s="11"/>
      <c r="N30" s="11"/>
      <c r="O30" s="144"/>
      <c r="P30" s="38"/>
      <c r="Q30" s="38"/>
      <c r="R30" s="141"/>
      <c r="S30" s="141"/>
      <c r="T30" s="146"/>
      <c r="U30" s="146"/>
      <c r="V30" s="146"/>
      <c r="W30" s="146"/>
      <c r="X30" s="147"/>
      <c r="Y30" s="141"/>
      <c r="Z30" s="144"/>
      <c r="AA30" s="144"/>
      <c r="AB30" s="148"/>
      <c r="AC30" s="144"/>
      <c r="AD30" s="11"/>
      <c r="AE30" s="11"/>
      <c r="AF30" s="11"/>
      <c r="AG30" s="11"/>
      <c r="AH30" s="11"/>
      <c r="AJ30" s="42"/>
    </row>
    <row r="31" spans="1:36" hidden="1">
      <c r="A31" s="3" t="s">
        <v>538</v>
      </c>
      <c r="C31" s="127">
        <v>490.36572138705202</v>
      </c>
      <c r="D31" s="128">
        <f>$D$16</f>
        <v>8.9144883768660446</v>
      </c>
      <c r="F31" s="2">
        <f>D31*C31</f>
        <v>4371.3595237184081</v>
      </c>
      <c r="G31" s="729">
        <v>9.35</v>
      </c>
      <c r="I31" s="2">
        <f>(G31*$C31)</f>
        <v>4584.9194949689363</v>
      </c>
      <c r="J31" s="128">
        <f ca="1">$J$16</f>
        <v>9.34</v>
      </c>
      <c r="L31" s="2">
        <f ca="1">(J31*$C31)</f>
        <v>4580.0158377550661</v>
      </c>
      <c r="M31" s="11"/>
      <c r="N31" s="11"/>
      <c r="O31" s="144"/>
      <c r="P31" s="38"/>
      <c r="Q31" s="38"/>
      <c r="R31" s="11"/>
      <c r="S31" s="11"/>
      <c r="T31" s="150"/>
      <c r="U31" s="150"/>
      <c r="V31" s="150"/>
      <c r="W31" s="150"/>
      <c r="X31" s="141"/>
      <c r="Y31" s="141"/>
      <c r="Z31" s="144"/>
      <c r="AA31" s="144"/>
      <c r="AB31" s="148"/>
      <c r="AC31" s="144"/>
      <c r="AD31" s="11"/>
      <c r="AE31" s="11"/>
      <c r="AF31" s="11"/>
      <c r="AG31" s="11"/>
      <c r="AH31" s="11"/>
      <c r="AJ31" s="42"/>
    </row>
    <row r="32" spans="1:36" hidden="1">
      <c r="A32" s="3" t="s">
        <v>541</v>
      </c>
      <c r="C32" s="127">
        <v>16.000389808823499</v>
      </c>
      <c r="D32" s="128">
        <f>$D$17</f>
        <v>10.475307452299823</v>
      </c>
      <c r="F32" s="2">
        <f>D32*C32</f>
        <v>167.60900260407095</v>
      </c>
      <c r="G32" s="729">
        <v>11.21</v>
      </c>
      <c r="I32" s="2">
        <f>(G32*$C32)</f>
        <v>179.36436975691143</v>
      </c>
      <c r="J32" s="128">
        <f ca="1">$J$17</f>
        <v>11.190000000000001</v>
      </c>
      <c r="L32" s="2">
        <f ca="1">(J32*$C32)</f>
        <v>179.04436196073499</v>
      </c>
      <c r="M32" s="11"/>
      <c r="N32" s="11"/>
      <c r="O32" s="144"/>
      <c r="P32" s="38"/>
      <c r="Q32" s="38"/>
      <c r="R32" s="11"/>
      <c r="S32" s="11"/>
      <c r="T32" s="150"/>
      <c r="U32" s="150"/>
      <c r="V32" s="150"/>
      <c r="W32" s="150"/>
      <c r="X32" s="141"/>
      <c r="Y32" s="141"/>
      <c r="Z32" s="144"/>
      <c r="AA32" s="144"/>
      <c r="AB32" s="148"/>
      <c r="AC32" s="144"/>
      <c r="AD32" s="11"/>
      <c r="AE32" s="11"/>
      <c r="AF32" s="11"/>
      <c r="AG32" s="11"/>
      <c r="AH32" s="11"/>
      <c r="AJ32" s="42"/>
    </row>
    <row r="33" spans="1:36" hidden="1">
      <c r="A33" s="3" t="s">
        <v>166</v>
      </c>
      <c r="C33" s="127">
        <v>12430</v>
      </c>
      <c r="D33" s="128"/>
      <c r="F33" s="2"/>
      <c r="G33" s="729"/>
      <c r="I33" s="2"/>
      <c r="J33" s="128"/>
      <c r="L33" s="2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51"/>
      <c r="AA33" s="141"/>
      <c r="AB33" s="141"/>
      <c r="AC33" s="141"/>
      <c r="AD33" s="11"/>
      <c r="AE33" s="11"/>
      <c r="AF33" s="11"/>
      <c r="AG33" s="11"/>
      <c r="AH33" s="11"/>
      <c r="AJ33" s="42"/>
    </row>
    <row r="34" spans="1:36" hidden="1">
      <c r="A34" s="3" t="s">
        <v>15</v>
      </c>
      <c r="C34" s="127">
        <v>949541</v>
      </c>
      <c r="D34" s="132"/>
      <c r="E34" s="11"/>
      <c r="F34" s="135">
        <f>SUM(F30:F32)</f>
        <v>100816.43878404939</v>
      </c>
      <c r="G34" s="717"/>
      <c r="H34" s="11"/>
      <c r="I34" s="135">
        <f>SUM(I30:I32)</f>
        <v>104074.47585620258</v>
      </c>
      <c r="J34" s="132"/>
      <c r="K34" s="11"/>
      <c r="L34" s="135">
        <f ca="1">SUM(L30:L32)</f>
        <v>103947.69748863259</v>
      </c>
      <c r="M34" s="141"/>
      <c r="N34" s="141"/>
      <c r="O34" s="150"/>
      <c r="P34" s="141"/>
      <c r="Q34" s="141"/>
      <c r="R34" s="11"/>
      <c r="S34" s="11"/>
      <c r="T34" s="11"/>
      <c r="U34" s="11"/>
      <c r="V34" s="11"/>
      <c r="W34" s="11"/>
      <c r="X34" s="11"/>
      <c r="Y34" s="141"/>
      <c r="Z34" s="141"/>
      <c r="AA34" s="141"/>
      <c r="AB34" s="141"/>
      <c r="AC34" s="141"/>
      <c r="AD34" s="11"/>
      <c r="AE34" s="11"/>
      <c r="AF34" s="11"/>
      <c r="AG34" s="11"/>
      <c r="AH34" s="11"/>
      <c r="AJ34" s="42"/>
    </row>
    <row r="35" spans="1:36" hidden="1">
      <c r="A35" s="3" t="s">
        <v>167</v>
      </c>
      <c r="C35" s="127">
        <v>-12137.764177561308</v>
      </c>
      <c r="D35" s="132"/>
      <c r="E35" s="11"/>
      <c r="F35" s="135">
        <v>598.80194963053941</v>
      </c>
      <c r="G35" s="717"/>
      <c r="H35" s="11"/>
      <c r="I35" s="135">
        <f>F35</f>
        <v>598.80194963053941</v>
      </c>
      <c r="J35" s="132"/>
      <c r="K35" s="11"/>
      <c r="L35" s="135">
        <f>I35</f>
        <v>598.80194963053941</v>
      </c>
      <c r="M35" s="307"/>
      <c r="N35" s="307"/>
      <c r="O35" s="150"/>
      <c r="P35" s="141"/>
      <c r="Q35" s="141"/>
      <c r="R35" s="141"/>
      <c r="S35" s="141"/>
      <c r="T35" s="146"/>
      <c r="U35" s="146"/>
      <c r="V35" s="146"/>
      <c r="W35" s="146"/>
      <c r="X35" s="144"/>
      <c r="Y35" s="141"/>
      <c r="Z35" s="141"/>
      <c r="AA35" s="141"/>
      <c r="AB35" s="141"/>
      <c r="AC35" s="141"/>
      <c r="AD35" s="11"/>
      <c r="AE35" s="11"/>
      <c r="AF35" s="11"/>
      <c r="AG35" s="11"/>
      <c r="AH35" s="11"/>
      <c r="AJ35" s="42"/>
    </row>
    <row r="36" spans="1:36" ht="16.5" hidden="1" thickBot="1">
      <c r="A36" s="3" t="s">
        <v>1</v>
      </c>
      <c r="C36" s="136">
        <f>C34+C35</f>
        <v>937403.23582243873</v>
      </c>
      <c r="D36" s="175"/>
      <c r="E36" s="137"/>
      <c r="F36" s="137">
        <f>F34+F35</f>
        <v>101415.24073367992</v>
      </c>
      <c r="G36" s="730"/>
      <c r="H36" s="137"/>
      <c r="I36" s="137">
        <f>I34+I35</f>
        <v>104673.27780583312</v>
      </c>
      <c r="J36" s="175"/>
      <c r="K36" s="137"/>
      <c r="L36" s="137">
        <f ca="1">L34+L35</f>
        <v>104546.49943826313</v>
      </c>
      <c r="M36" s="274"/>
      <c r="N36" s="274"/>
      <c r="O36" s="333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1"/>
      <c r="AE36" s="11"/>
      <c r="AF36" s="11"/>
      <c r="AG36" s="11"/>
      <c r="AH36" s="11"/>
      <c r="AJ36" s="42"/>
    </row>
    <row r="37" spans="1:36" ht="16.5" hidden="1" thickTop="1">
      <c r="C37" s="138"/>
      <c r="D37" s="172" t="s">
        <v>13</v>
      </c>
      <c r="E37" s="138"/>
      <c r="F37" s="126"/>
      <c r="G37" s="284" t="s">
        <v>13</v>
      </c>
      <c r="H37" s="138"/>
      <c r="I37" s="2" t="s">
        <v>13</v>
      </c>
      <c r="J37" s="1" t="s">
        <v>13</v>
      </c>
      <c r="K37" s="138"/>
      <c r="L37" s="2" t="s">
        <v>13</v>
      </c>
      <c r="M37" s="11"/>
      <c r="N37" s="11"/>
      <c r="O37" s="38"/>
      <c r="P37" s="38"/>
      <c r="Q37" s="38"/>
      <c r="R37" s="11"/>
      <c r="S37" s="11"/>
      <c r="T37" s="11"/>
      <c r="U37" s="11"/>
      <c r="V37" s="11"/>
      <c r="W37" s="11"/>
      <c r="X37" s="11"/>
      <c r="Y37" s="141"/>
      <c r="Z37" s="141"/>
      <c r="AA37" s="141"/>
      <c r="AB37" s="141"/>
      <c r="AC37" s="141"/>
      <c r="AD37" s="11"/>
      <c r="AE37" s="11"/>
      <c r="AF37" s="11"/>
      <c r="AG37" s="11"/>
      <c r="AH37" s="11"/>
      <c r="AJ37" s="42"/>
    </row>
    <row r="38" spans="1:36" hidden="1">
      <c r="A38" s="125" t="s">
        <v>155</v>
      </c>
      <c r="F38" s="126"/>
      <c r="G38" s="4"/>
      <c r="M38" s="11"/>
      <c r="N38" s="11"/>
      <c r="O38" s="38"/>
      <c r="P38" s="38"/>
      <c r="Q38" s="38"/>
      <c r="R38" s="11"/>
      <c r="S38" s="11"/>
      <c r="T38" s="11"/>
      <c r="U38" s="11"/>
      <c r="V38" s="11"/>
      <c r="W38" s="11"/>
      <c r="X38" s="11"/>
      <c r="Y38" s="141"/>
      <c r="Z38" s="141"/>
      <c r="AA38" s="141"/>
      <c r="AB38" s="141"/>
      <c r="AC38" s="141"/>
      <c r="AD38" s="11"/>
      <c r="AE38" s="11"/>
      <c r="AF38" s="11"/>
      <c r="AG38" s="11"/>
      <c r="AH38" s="11"/>
      <c r="AJ38" s="42"/>
    </row>
    <row r="39" spans="1:36" hidden="1">
      <c r="A39" s="3" t="s">
        <v>170</v>
      </c>
      <c r="F39" s="126"/>
      <c r="G39" s="4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1"/>
      <c r="AE39" s="11"/>
      <c r="AF39" s="11"/>
      <c r="AG39" s="11"/>
      <c r="AH39" s="11"/>
      <c r="AJ39" s="42"/>
    </row>
    <row r="40" spans="1:36" hidden="1">
      <c r="F40" s="126"/>
      <c r="G40" s="4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1"/>
      <c r="AE40" s="11"/>
      <c r="AF40" s="11"/>
      <c r="AG40" s="11"/>
      <c r="AH40" s="11"/>
      <c r="AJ40" s="42"/>
    </row>
    <row r="41" spans="1:36" hidden="1">
      <c r="A41" s="3" t="s">
        <v>536</v>
      </c>
      <c r="F41" s="126"/>
      <c r="G41" s="4"/>
      <c r="M41" s="141"/>
      <c r="N41" s="141"/>
      <c r="O41" s="141"/>
      <c r="P41" s="38"/>
      <c r="Q41" s="38"/>
      <c r="R41" s="142"/>
      <c r="S41" s="142"/>
      <c r="T41" s="143"/>
      <c r="U41" s="143"/>
      <c r="V41" s="143"/>
      <c r="W41" s="143"/>
      <c r="X41" s="144"/>
      <c r="Y41" s="145"/>
      <c r="Z41" s="141"/>
      <c r="AA41" s="141"/>
      <c r="AB41" s="141"/>
      <c r="AC41" s="141"/>
      <c r="AD41" s="11"/>
      <c r="AE41" s="11"/>
      <c r="AF41" s="11"/>
      <c r="AG41" s="11"/>
      <c r="AH41" s="11"/>
      <c r="AJ41" s="42"/>
    </row>
    <row r="42" spans="1:36" hidden="1">
      <c r="A42" s="3" t="s">
        <v>537</v>
      </c>
      <c r="C42" s="127">
        <v>13935.539018522964</v>
      </c>
      <c r="D42" s="128">
        <f>$D$15</f>
        <v>7.9205056020145186</v>
      </c>
      <c r="F42" s="2">
        <f>D42*C42</f>
        <v>110376.51486330305</v>
      </c>
      <c r="G42" s="729">
        <v>8.17</v>
      </c>
      <c r="I42" s="2">
        <f>(G42*$C42)</f>
        <v>113853.35378133261</v>
      </c>
      <c r="J42" s="128">
        <f ca="1">$J$15</f>
        <v>8.16</v>
      </c>
      <c r="L42" s="2">
        <f ca="1">(J42*$C42)</f>
        <v>113713.9983911474</v>
      </c>
      <c r="M42" s="11"/>
      <c r="N42" s="11"/>
      <c r="O42" s="144"/>
      <c r="P42" s="38"/>
      <c r="Q42" s="38"/>
      <c r="R42" s="141"/>
      <c r="S42" s="141"/>
      <c r="T42" s="146"/>
      <c r="U42" s="146"/>
      <c r="V42" s="146"/>
      <c r="W42" s="146"/>
      <c r="X42" s="147"/>
      <c r="Y42" s="141"/>
      <c r="Z42" s="144"/>
      <c r="AA42" s="144"/>
      <c r="AB42" s="148"/>
      <c r="AC42" s="144"/>
      <c r="AD42" s="11"/>
      <c r="AE42" s="11"/>
      <c r="AF42" s="11"/>
      <c r="AG42" s="11"/>
      <c r="AH42" s="11"/>
      <c r="AJ42" s="42"/>
    </row>
    <row r="43" spans="1:36" hidden="1">
      <c r="A43" s="3" t="s">
        <v>538</v>
      </c>
      <c r="C43" s="127">
        <v>4787.5354778324163</v>
      </c>
      <c r="D43" s="128">
        <f>$D$16</f>
        <v>8.9144883768660446</v>
      </c>
      <c r="F43" s="2">
        <f>D43*C43</f>
        <v>42678.429370970902</v>
      </c>
      <c r="G43" s="729">
        <v>9.35</v>
      </c>
      <c r="I43" s="2">
        <f>(G43*$C43)</f>
        <v>44763.45671773309</v>
      </c>
      <c r="J43" s="128">
        <f ca="1">$J$16</f>
        <v>9.34</v>
      </c>
      <c r="L43" s="2">
        <f ca="1">(J43*$C43)</f>
        <v>44715.58136295477</v>
      </c>
      <c r="M43" s="11"/>
      <c r="N43" s="11"/>
      <c r="O43" s="144"/>
      <c r="P43" s="38"/>
      <c r="Q43" s="38"/>
      <c r="R43" s="11"/>
      <c r="S43" s="11"/>
      <c r="T43" s="150"/>
      <c r="U43" s="150"/>
      <c r="V43" s="150"/>
      <c r="W43" s="150"/>
      <c r="X43" s="141"/>
      <c r="Y43" s="141"/>
      <c r="Z43" s="144"/>
      <c r="AA43" s="144"/>
      <c r="AB43" s="148"/>
      <c r="AC43" s="144"/>
      <c r="AD43" s="11"/>
      <c r="AE43" s="11"/>
      <c r="AF43" s="11"/>
      <c r="AG43" s="11"/>
      <c r="AH43" s="11"/>
      <c r="AJ43" s="42"/>
    </row>
    <row r="44" spans="1:36" hidden="1">
      <c r="A44" s="3" t="s">
        <v>541</v>
      </c>
      <c r="C44" s="127">
        <v>960.56699455694206</v>
      </c>
      <c r="D44" s="128">
        <f>$D$17</f>
        <v>10.475307452299823</v>
      </c>
      <c r="F44" s="2">
        <f>D44*C44</f>
        <v>10062.234596515578</v>
      </c>
      <c r="G44" s="729">
        <v>11.21</v>
      </c>
      <c r="I44" s="2">
        <f>(G44*$C44)</f>
        <v>10767.956008983321</v>
      </c>
      <c r="J44" s="128">
        <f ca="1">$J$17</f>
        <v>11.190000000000001</v>
      </c>
      <c r="L44" s="2">
        <f ca="1">(J44*$C44)</f>
        <v>10748.744669092182</v>
      </c>
      <c r="M44" s="11"/>
      <c r="N44" s="11"/>
      <c r="O44" s="144"/>
      <c r="P44" s="38"/>
      <c r="Q44" s="38"/>
      <c r="R44" s="11"/>
      <c r="S44" s="11"/>
      <c r="T44" s="150"/>
      <c r="U44" s="150"/>
      <c r="V44" s="150"/>
      <c r="W44" s="150"/>
      <c r="X44" s="141"/>
      <c r="Y44" s="141"/>
      <c r="Z44" s="144"/>
      <c r="AA44" s="144"/>
      <c r="AB44" s="148"/>
      <c r="AC44" s="144"/>
      <c r="AD44" s="11"/>
      <c r="AE44" s="11"/>
      <c r="AF44" s="11"/>
      <c r="AG44" s="11"/>
      <c r="AH44" s="11"/>
      <c r="AJ44" s="42"/>
    </row>
    <row r="45" spans="1:36" hidden="1">
      <c r="A45" s="3" t="s">
        <v>166</v>
      </c>
      <c r="C45" s="127">
        <v>14844</v>
      </c>
      <c r="D45" s="128"/>
      <c r="F45" s="2"/>
      <c r="G45" s="729"/>
      <c r="I45" s="2"/>
      <c r="J45" s="128"/>
      <c r="L45" s="2"/>
      <c r="M45" s="141"/>
      <c r="N45" s="141"/>
      <c r="O45" s="141"/>
      <c r="P45" s="141"/>
      <c r="Q45" s="141"/>
      <c r="R45" s="141"/>
      <c r="S45" s="141"/>
      <c r="T45" s="141"/>
      <c r="U45" s="141"/>
      <c r="V45" s="141"/>
      <c r="W45" s="141"/>
      <c r="X45" s="141"/>
      <c r="Y45" s="141"/>
      <c r="Z45" s="151"/>
      <c r="AA45" s="141"/>
      <c r="AB45" s="141"/>
      <c r="AC45" s="141"/>
      <c r="AD45" s="11"/>
      <c r="AE45" s="11"/>
      <c r="AF45" s="11"/>
      <c r="AG45" s="11"/>
      <c r="AH45" s="11"/>
      <c r="AJ45" s="42"/>
    </row>
    <row r="46" spans="1:36" hidden="1">
      <c r="A46" s="3" t="s">
        <v>15</v>
      </c>
      <c r="C46" s="127">
        <v>1957121.5</v>
      </c>
      <c r="D46" s="132"/>
      <c r="E46" s="11"/>
      <c r="F46" s="135">
        <f>SUM(F42:F44)</f>
        <v>163117.17883078952</v>
      </c>
      <c r="G46" s="717"/>
      <c r="H46" s="11"/>
      <c r="I46" s="135">
        <f>SUM(I42:I44)</f>
        <v>169384.76650804901</v>
      </c>
      <c r="J46" s="132"/>
      <c r="K46" s="11"/>
      <c r="L46" s="135">
        <f ca="1">SUM(L42:L44)</f>
        <v>169178.32442319434</v>
      </c>
      <c r="M46" s="141"/>
      <c r="N46" s="141"/>
      <c r="O46" s="150"/>
      <c r="P46" s="141"/>
      <c r="Q46" s="141"/>
      <c r="R46" s="11"/>
      <c r="S46" s="11"/>
      <c r="T46" s="11"/>
      <c r="U46" s="11"/>
      <c r="V46" s="11"/>
      <c r="W46" s="11"/>
      <c r="X46" s="11"/>
      <c r="Y46" s="141"/>
      <c r="Z46" s="141"/>
      <c r="AA46" s="141"/>
      <c r="AB46" s="141"/>
      <c r="AC46" s="141"/>
      <c r="AD46" s="11"/>
      <c r="AE46" s="11"/>
      <c r="AF46" s="11"/>
      <c r="AG46" s="11"/>
      <c r="AH46" s="11"/>
      <c r="AJ46" s="42"/>
    </row>
    <row r="47" spans="1:36" hidden="1">
      <c r="A47" s="3" t="s">
        <v>167</v>
      </c>
      <c r="C47" s="127">
        <v>17774.667566918739</v>
      </c>
      <c r="D47" s="132"/>
      <c r="E47" s="11"/>
      <c r="F47" s="135">
        <v>3798.4739986978907</v>
      </c>
      <c r="G47" s="717"/>
      <c r="H47" s="11"/>
      <c r="I47" s="135">
        <f>F47</f>
        <v>3798.4739986978907</v>
      </c>
      <c r="J47" s="132"/>
      <c r="K47" s="11"/>
      <c r="L47" s="135">
        <f>I47</f>
        <v>3798.4739986978907</v>
      </c>
      <c r="M47" s="307"/>
      <c r="N47" s="307"/>
      <c r="O47" s="150"/>
      <c r="P47" s="141"/>
      <c r="Q47" s="141"/>
      <c r="R47" s="141"/>
      <c r="S47" s="141"/>
      <c r="T47" s="146"/>
      <c r="U47" s="146"/>
      <c r="V47" s="146"/>
      <c r="W47" s="146"/>
      <c r="X47" s="144"/>
      <c r="Y47" s="141"/>
      <c r="Z47" s="141"/>
      <c r="AA47" s="141"/>
      <c r="AB47" s="141"/>
      <c r="AC47" s="141"/>
      <c r="AD47" s="11"/>
      <c r="AE47" s="11"/>
      <c r="AF47" s="11"/>
      <c r="AG47" s="11"/>
      <c r="AH47" s="11"/>
      <c r="AJ47" s="42"/>
    </row>
    <row r="48" spans="1:36" ht="16.5" hidden="1" thickBot="1">
      <c r="A48" s="3" t="s">
        <v>1</v>
      </c>
      <c r="C48" s="136">
        <f>C46+C47</f>
        <v>1974896.1675669188</v>
      </c>
      <c r="D48" s="175"/>
      <c r="E48" s="137"/>
      <c r="F48" s="137">
        <f>F46+F47</f>
        <v>166915.6528294874</v>
      </c>
      <c r="G48" s="730"/>
      <c r="H48" s="137"/>
      <c r="I48" s="137">
        <f>I46+I47</f>
        <v>173183.24050674689</v>
      </c>
      <c r="J48" s="175"/>
      <c r="K48" s="137"/>
      <c r="L48" s="137">
        <f ca="1">L46+L47</f>
        <v>172976.79842189222</v>
      </c>
      <c r="M48" s="274"/>
      <c r="N48" s="274"/>
      <c r="O48" s="333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1"/>
      <c r="AE48" s="11"/>
      <c r="AF48" s="11"/>
      <c r="AG48" s="11"/>
      <c r="AH48" s="11"/>
      <c r="AJ48" s="42"/>
    </row>
    <row r="49" spans="1:36" ht="16.5" hidden="1" thickTop="1">
      <c r="C49" s="138"/>
      <c r="D49" s="172" t="s">
        <v>13</v>
      </c>
      <c r="E49" s="138"/>
      <c r="F49" s="126"/>
      <c r="G49" s="284" t="s">
        <v>13</v>
      </c>
      <c r="H49" s="138"/>
      <c r="I49" s="2" t="s">
        <v>13</v>
      </c>
      <c r="J49" s="1" t="s">
        <v>13</v>
      </c>
      <c r="K49" s="138"/>
      <c r="L49" s="2" t="s">
        <v>13</v>
      </c>
      <c r="M49" s="11"/>
      <c r="N49" s="11"/>
      <c r="O49" s="38"/>
      <c r="P49" s="38"/>
      <c r="Q49" s="38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J49" s="42"/>
    </row>
    <row r="50" spans="1:36" hidden="1">
      <c r="A50" s="125" t="s">
        <v>155</v>
      </c>
      <c r="F50" s="126"/>
      <c r="G50" s="4"/>
      <c r="M50" s="11"/>
      <c r="N50" s="11"/>
      <c r="O50" s="38"/>
      <c r="P50" s="38"/>
      <c r="Q50" s="38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J50" s="42"/>
    </row>
    <row r="51" spans="1:36" hidden="1">
      <c r="A51" s="3" t="s">
        <v>171</v>
      </c>
      <c r="F51" s="126"/>
      <c r="G51" s="4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1"/>
      <c r="AE51" s="11"/>
      <c r="AF51" s="11"/>
      <c r="AG51" s="11"/>
      <c r="AH51" s="11"/>
      <c r="AJ51" s="42"/>
    </row>
    <row r="52" spans="1:36" hidden="1">
      <c r="F52" s="126"/>
      <c r="G52" s="4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1"/>
      <c r="AE52" s="11"/>
      <c r="AF52" s="11"/>
      <c r="AG52" s="11"/>
      <c r="AH52" s="11"/>
      <c r="AJ52" s="42"/>
    </row>
    <row r="53" spans="1:36" hidden="1">
      <c r="A53" s="3" t="s">
        <v>536</v>
      </c>
      <c r="F53" s="126"/>
      <c r="G53" s="4"/>
      <c r="M53" s="141"/>
      <c r="N53" s="141"/>
      <c r="O53" s="141"/>
      <c r="P53" s="38"/>
      <c r="Q53" s="38"/>
      <c r="R53" s="142"/>
      <c r="S53" s="142"/>
      <c r="T53" s="143"/>
      <c r="U53" s="143"/>
      <c r="V53" s="143"/>
      <c r="W53" s="143"/>
      <c r="X53" s="144"/>
      <c r="Y53" s="145"/>
      <c r="Z53" s="141"/>
      <c r="AA53" s="141"/>
      <c r="AB53" s="141"/>
      <c r="AC53" s="141"/>
      <c r="AD53" s="11"/>
      <c r="AE53" s="11"/>
      <c r="AF53" s="11"/>
      <c r="AG53" s="11"/>
      <c r="AH53" s="11"/>
      <c r="AJ53" s="42"/>
    </row>
    <row r="54" spans="1:36" hidden="1">
      <c r="A54" s="3" t="s">
        <v>537</v>
      </c>
      <c r="C54" s="127">
        <v>563.99984807097564</v>
      </c>
      <c r="D54" s="128">
        <f>$D$15</f>
        <v>7.9205056020145186</v>
      </c>
      <c r="F54" s="2">
        <f>D54*C54</f>
        <v>4467.1639561815</v>
      </c>
      <c r="G54" s="729">
        <v>8.17</v>
      </c>
      <c r="I54" s="2">
        <f>(G54*$C54)</f>
        <v>4607.878758739871</v>
      </c>
      <c r="J54" s="128">
        <f ca="1">$J$15</f>
        <v>8.16</v>
      </c>
      <c r="L54" s="2">
        <f ca="1">(J54*$C54)</f>
        <v>4602.2387602591616</v>
      </c>
      <c r="M54" s="11"/>
      <c r="N54" s="11"/>
      <c r="O54" s="144"/>
      <c r="P54" s="38"/>
      <c r="Q54" s="38"/>
      <c r="R54" s="141"/>
      <c r="S54" s="141"/>
      <c r="T54" s="146"/>
      <c r="U54" s="146"/>
      <c r="V54" s="146"/>
      <c r="W54" s="146"/>
      <c r="X54" s="147"/>
      <c r="Y54" s="141"/>
      <c r="Z54" s="144"/>
      <c r="AA54" s="144"/>
      <c r="AB54" s="148"/>
      <c r="AC54" s="144"/>
      <c r="AD54" s="11"/>
      <c r="AE54" s="11"/>
      <c r="AF54" s="11"/>
      <c r="AG54" s="11"/>
      <c r="AH54" s="11"/>
      <c r="AJ54" s="42"/>
    </row>
    <row r="55" spans="1:36" hidden="1">
      <c r="A55" s="3" t="s">
        <v>538</v>
      </c>
      <c r="C55" s="127">
        <v>431.9983299308559</v>
      </c>
      <c r="D55" s="128">
        <f>$D$16</f>
        <v>8.9144883768660446</v>
      </c>
      <c r="F55" s="2">
        <f>D55*C55</f>
        <v>3851.0440909941576</v>
      </c>
      <c r="G55" s="729">
        <v>9.35</v>
      </c>
      <c r="I55" s="2">
        <f>(G55*$C55)</f>
        <v>4039.1843848535027</v>
      </c>
      <c r="J55" s="128">
        <f ca="1">$J$16</f>
        <v>9.34</v>
      </c>
      <c r="L55" s="2">
        <f ca="1">(J55*$C55)</f>
        <v>4034.864401554194</v>
      </c>
      <c r="M55" s="11"/>
      <c r="N55" s="11"/>
      <c r="O55" s="144"/>
      <c r="P55" s="38"/>
      <c r="Q55" s="38"/>
      <c r="R55" s="11"/>
      <c r="S55" s="11"/>
      <c r="T55" s="150"/>
      <c r="U55" s="150"/>
      <c r="V55" s="150"/>
      <c r="W55" s="150"/>
      <c r="X55" s="141"/>
      <c r="Y55" s="141"/>
      <c r="Z55" s="144"/>
      <c r="AA55" s="144"/>
      <c r="AB55" s="148"/>
      <c r="AC55" s="144"/>
      <c r="AD55" s="11"/>
      <c r="AE55" s="11"/>
      <c r="AF55" s="11"/>
      <c r="AG55" s="11"/>
      <c r="AH55" s="11"/>
      <c r="AJ55" s="42"/>
    </row>
    <row r="56" spans="1:36" hidden="1">
      <c r="A56" s="3" t="s">
        <v>541</v>
      </c>
      <c r="C56" s="127">
        <v>36.000014910343303</v>
      </c>
      <c r="D56" s="128">
        <f>$D$17</f>
        <v>10.475307452299823</v>
      </c>
      <c r="F56" s="2">
        <f>D56*C56</f>
        <v>377.11122447322396</v>
      </c>
      <c r="G56" s="729">
        <v>11.21</v>
      </c>
      <c r="I56" s="2">
        <f>(G56*$C56)</f>
        <v>403.56016714494848</v>
      </c>
      <c r="J56" s="128">
        <f ca="1">$J$17</f>
        <v>11.190000000000001</v>
      </c>
      <c r="L56" s="2">
        <f ca="1">(J56*$C56)</f>
        <v>402.84016684674162</v>
      </c>
      <c r="M56" s="11"/>
      <c r="N56" s="11"/>
      <c r="O56" s="144"/>
      <c r="P56" s="38"/>
      <c r="Q56" s="38"/>
      <c r="R56" s="11"/>
      <c r="S56" s="11"/>
      <c r="T56" s="150"/>
      <c r="U56" s="150"/>
      <c r="V56" s="150"/>
      <c r="W56" s="150"/>
      <c r="X56" s="141"/>
      <c r="Y56" s="141"/>
      <c r="Z56" s="144"/>
      <c r="AA56" s="144"/>
      <c r="AB56" s="148"/>
      <c r="AC56" s="144"/>
      <c r="AD56" s="11"/>
      <c r="AE56" s="11"/>
      <c r="AF56" s="11"/>
      <c r="AG56" s="11"/>
      <c r="AH56" s="11"/>
      <c r="AJ56" s="42"/>
    </row>
    <row r="57" spans="1:36" hidden="1">
      <c r="A57" s="3" t="s">
        <v>166</v>
      </c>
      <c r="C57" s="127">
        <v>612</v>
      </c>
      <c r="D57" s="128"/>
      <c r="F57" s="2"/>
      <c r="G57" s="729"/>
      <c r="I57" s="2"/>
      <c r="J57" s="128"/>
      <c r="L57" s="2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51"/>
      <c r="AA57" s="141"/>
      <c r="AB57" s="141"/>
      <c r="AC57" s="141"/>
      <c r="AD57" s="11"/>
      <c r="AE57" s="11"/>
      <c r="AF57" s="11"/>
      <c r="AG57" s="11"/>
      <c r="AH57" s="11"/>
      <c r="AJ57" s="42"/>
    </row>
    <row r="58" spans="1:36" hidden="1">
      <c r="A58" s="3" t="s">
        <v>15</v>
      </c>
      <c r="C58" s="127">
        <v>123108</v>
      </c>
      <c r="D58" s="132"/>
      <c r="E58" s="11"/>
      <c r="F58" s="135">
        <f>SUM(F54:F56)</f>
        <v>8695.3192716488811</v>
      </c>
      <c r="G58" s="717"/>
      <c r="H58" s="11"/>
      <c r="I58" s="135">
        <f>SUM(I54:I56)</f>
        <v>9050.6233107383214</v>
      </c>
      <c r="J58" s="132"/>
      <c r="K58" s="11"/>
      <c r="L58" s="135">
        <f ca="1">SUM(L54:L56)</f>
        <v>9039.9433286600979</v>
      </c>
      <c r="M58" s="141"/>
      <c r="N58" s="141"/>
      <c r="O58" s="150"/>
      <c r="P58" s="141"/>
      <c r="Q58" s="141"/>
      <c r="R58" s="11"/>
      <c r="S58" s="11"/>
      <c r="T58" s="11"/>
      <c r="U58" s="11"/>
      <c r="V58" s="11"/>
      <c r="W58" s="11"/>
      <c r="X58" s="11"/>
      <c r="Y58" s="141"/>
      <c r="Z58" s="141"/>
      <c r="AA58" s="141"/>
      <c r="AB58" s="141"/>
      <c r="AC58" s="141"/>
      <c r="AD58" s="11"/>
      <c r="AE58" s="11"/>
      <c r="AF58" s="11"/>
      <c r="AG58" s="11"/>
      <c r="AH58" s="11"/>
      <c r="AJ58" s="42"/>
    </row>
    <row r="59" spans="1:36" hidden="1">
      <c r="A59" s="3" t="s">
        <v>167</v>
      </c>
      <c r="C59" s="127">
        <v>2301.1681452581602</v>
      </c>
      <c r="D59" s="132"/>
      <c r="E59" s="11"/>
      <c r="F59" s="135">
        <v>102.11318336621031</v>
      </c>
      <c r="G59" s="717"/>
      <c r="H59" s="11"/>
      <c r="I59" s="135">
        <f>F59</f>
        <v>102.11318336621031</v>
      </c>
      <c r="J59" s="132"/>
      <c r="K59" s="11"/>
      <c r="L59" s="135">
        <f>I59</f>
        <v>102.11318336621031</v>
      </c>
      <c r="M59" s="307"/>
      <c r="N59" s="307"/>
      <c r="O59" s="150"/>
      <c r="P59" s="141"/>
      <c r="Q59" s="141"/>
      <c r="R59" s="141"/>
      <c r="S59" s="141"/>
      <c r="T59" s="146"/>
      <c r="U59" s="146"/>
      <c r="V59" s="146"/>
      <c r="W59" s="146"/>
      <c r="X59" s="144"/>
      <c r="Y59" s="141"/>
      <c r="Z59" s="141"/>
      <c r="AA59" s="141"/>
      <c r="AB59" s="141"/>
      <c r="AC59" s="141"/>
      <c r="AD59" s="11"/>
      <c r="AE59" s="11"/>
      <c r="AF59" s="11"/>
      <c r="AG59" s="11"/>
      <c r="AH59" s="11"/>
      <c r="AJ59" s="42"/>
    </row>
    <row r="60" spans="1:36" ht="16.5" hidden="1" thickBot="1">
      <c r="A60" s="3" t="s">
        <v>1</v>
      </c>
      <c r="C60" s="136">
        <f>C58+C59</f>
        <v>125409.16814525815</v>
      </c>
      <c r="D60" s="175"/>
      <c r="E60" s="137"/>
      <c r="F60" s="137">
        <f>F58+F59</f>
        <v>8797.4324550150923</v>
      </c>
      <c r="G60" s="730"/>
      <c r="H60" s="137"/>
      <c r="I60" s="137">
        <f>I58+I59</f>
        <v>9152.7364941045325</v>
      </c>
      <c r="J60" s="175"/>
      <c r="K60" s="137"/>
      <c r="L60" s="137">
        <f ca="1">L58+L59</f>
        <v>9142.0565120263091</v>
      </c>
      <c r="M60" s="274"/>
      <c r="N60" s="274"/>
      <c r="O60" s="333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1"/>
      <c r="AE60" s="11"/>
      <c r="AF60" s="11"/>
      <c r="AG60" s="11"/>
      <c r="AH60" s="11"/>
      <c r="AJ60" s="42"/>
    </row>
    <row r="61" spans="1:36">
      <c r="C61" s="138"/>
      <c r="D61" s="172" t="s">
        <v>13</v>
      </c>
      <c r="E61" s="138"/>
      <c r="F61" s="126"/>
      <c r="G61" s="284" t="s">
        <v>13</v>
      </c>
      <c r="H61" s="138"/>
      <c r="I61" s="2" t="s">
        <v>13</v>
      </c>
      <c r="J61" s="1" t="s">
        <v>13</v>
      </c>
      <c r="K61" s="138"/>
      <c r="L61" s="2" t="s">
        <v>13</v>
      </c>
      <c r="M61" s="11"/>
      <c r="N61" s="11"/>
      <c r="O61" s="38"/>
      <c r="P61" s="38"/>
      <c r="Q61" s="38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J61" s="42"/>
    </row>
    <row r="62" spans="1:36">
      <c r="A62" s="156" t="s">
        <v>172</v>
      </c>
      <c r="B62" s="1"/>
      <c r="C62" s="1"/>
      <c r="D62" s="12"/>
      <c r="E62" s="1"/>
      <c r="F62" s="170"/>
      <c r="G62" s="28"/>
      <c r="H62" s="1"/>
      <c r="I62" s="1"/>
      <c r="J62" s="12"/>
      <c r="K62" s="1"/>
      <c r="L62" s="1"/>
      <c r="M62" s="11"/>
      <c r="N62" s="11"/>
      <c r="O62" s="853" t="s">
        <v>1454</v>
      </c>
      <c r="P62" s="38"/>
      <c r="Q62" s="38"/>
      <c r="R62" s="475"/>
      <c r="S62" s="18"/>
      <c r="T62" s="697"/>
      <c r="U62" s="698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J62" s="42"/>
    </row>
    <row r="63" spans="1:36">
      <c r="A63" s="1" t="s">
        <v>173</v>
      </c>
      <c r="B63" s="1"/>
      <c r="C63" s="1"/>
      <c r="D63" s="12"/>
      <c r="E63" s="1"/>
      <c r="F63" s="1"/>
      <c r="G63" s="731" t="s">
        <v>13</v>
      </c>
      <c r="H63" s="1"/>
      <c r="I63" s="1"/>
      <c r="J63" s="505" t="s">
        <v>13</v>
      </c>
      <c r="K63" s="1"/>
      <c r="L63" s="1"/>
      <c r="M63" s="334"/>
      <c r="N63" s="334"/>
      <c r="O63" s="852">
        <f ca="1">'Exhibit No.__(RMM-2)pg1'!O16*1000</f>
        <v>-264048.74289908656</v>
      </c>
      <c r="P63" s="38"/>
      <c r="Q63" s="38"/>
      <c r="R63" s="38"/>
      <c r="S63" s="661"/>
      <c r="T63" s="661"/>
      <c r="U63" s="66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J63" s="42"/>
    </row>
    <row r="64" spans="1:36">
      <c r="A64" s="160"/>
      <c r="B64" s="1"/>
      <c r="C64" s="1"/>
      <c r="D64" s="12"/>
      <c r="E64" s="1"/>
      <c r="F64" s="1"/>
      <c r="G64" s="28"/>
      <c r="H64" s="1"/>
      <c r="I64" s="1"/>
      <c r="J64" s="12"/>
      <c r="K64" s="1"/>
      <c r="L64" s="1"/>
      <c r="M64" s="11"/>
      <c r="N64" s="11"/>
      <c r="O64" s="38"/>
      <c r="P64" s="504"/>
      <c r="Q64" s="504"/>
      <c r="R64" s="699"/>
      <c r="S64" s="660"/>
      <c r="T64" s="662"/>
      <c r="U64" s="662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J64" s="42"/>
    </row>
    <row r="65" spans="1:36">
      <c r="A65" s="1" t="s">
        <v>174</v>
      </c>
      <c r="B65" s="1"/>
      <c r="C65" s="12">
        <f t="shared" ref="C65:C70" si="1">C84+C98+C111+C143+C156</f>
        <v>1293476.4516128739</v>
      </c>
      <c r="D65" s="161">
        <v>7.75</v>
      </c>
      <c r="E65" s="1"/>
      <c r="F65" s="2">
        <f t="shared" ref="F65:F70" si="2">F84+F98+F111+F143+F156</f>
        <v>10024443</v>
      </c>
      <c r="G65" s="506">
        <v>7.75</v>
      </c>
      <c r="H65" s="1"/>
      <c r="I65" s="2">
        <f t="shared" ref="I65:I70" si="3">I84+I98+I111+I143+I156</f>
        <v>10024443</v>
      </c>
      <c r="J65" s="164">
        <f t="shared" ref="J65" si="4">G65</f>
        <v>7.75</v>
      </c>
      <c r="K65" s="1"/>
      <c r="L65" s="2">
        <f t="shared" ref="L65:L70" si="5">L84+L98+L111+L143+L156</f>
        <v>10024443</v>
      </c>
      <c r="M65" s="279"/>
      <c r="N65" s="20"/>
      <c r="O65" s="38"/>
      <c r="P65" s="104"/>
      <c r="Q65" s="660"/>
      <c r="R65" s="11"/>
      <c r="S65" s="11"/>
      <c r="T65" s="11"/>
      <c r="U65" s="11"/>
      <c r="AC65" s="11"/>
      <c r="AD65" s="11"/>
      <c r="AE65" s="11"/>
      <c r="AF65" s="11"/>
      <c r="AG65" s="11"/>
      <c r="AH65" s="11"/>
      <c r="AJ65" s="42"/>
    </row>
    <row r="66" spans="1:36">
      <c r="A66" s="1" t="s">
        <v>177</v>
      </c>
      <c r="B66" s="1"/>
      <c r="C66" s="12">
        <f t="shared" si="1"/>
        <v>675973717.423473</v>
      </c>
      <c r="D66" s="162">
        <v>7.2759999999999998</v>
      </c>
      <c r="E66" s="1" t="s">
        <v>178</v>
      </c>
      <c r="F66" s="2">
        <f t="shared" si="2"/>
        <v>49183849</v>
      </c>
      <c r="G66" s="731">
        <v>7.5990000000000002</v>
      </c>
      <c r="H66" s="1" t="s">
        <v>178</v>
      </c>
      <c r="I66" s="2">
        <f t="shared" si="3"/>
        <v>51367242</v>
      </c>
      <c r="J66" s="162">
        <f ca="1">ROUND(G66+($O$63/$C$75)*100,3)</f>
        <v>7.5819999999999999</v>
      </c>
      <c r="K66" s="1" t="s">
        <v>178</v>
      </c>
      <c r="L66" s="2">
        <f t="shared" ca="1" si="5"/>
        <v>51252327</v>
      </c>
      <c r="M66" s="11"/>
      <c r="N66" s="11"/>
      <c r="O66" s="17"/>
      <c r="P66" s="104"/>
      <c r="Q66" s="510"/>
      <c r="R66" s="300"/>
      <c r="S66" s="11"/>
      <c r="T66" s="300"/>
      <c r="U66" s="11"/>
      <c r="V66" s="42"/>
      <c r="W66" s="42"/>
      <c r="X66" s="243"/>
      <c r="Y66" s="243"/>
      <c r="AA66" s="192"/>
      <c r="AC66" s="11"/>
      <c r="AD66" s="11"/>
      <c r="AE66" s="11"/>
      <c r="AF66" s="11"/>
      <c r="AG66" s="11"/>
      <c r="AH66" s="11"/>
      <c r="AJ66" s="42"/>
    </row>
    <row r="67" spans="1:36">
      <c r="A67" s="1" t="s">
        <v>179</v>
      </c>
      <c r="B67" s="1"/>
      <c r="C67" s="12">
        <f t="shared" si="1"/>
        <v>869356277.72312701</v>
      </c>
      <c r="D67" s="162">
        <v>10.198</v>
      </c>
      <c r="E67" s="1" t="s">
        <v>178</v>
      </c>
      <c r="F67" s="2">
        <f t="shared" si="2"/>
        <v>88656954</v>
      </c>
      <c r="G67" s="731">
        <v>10.521000000000001</v>
      </c>
      <c r="H67" s="1" t="s">
        <v>178</v>
      </c>
      <c r="I67" s="2">
        <f t="shared" si="3"/>
        <v>91464973</v>
      </c>
      <c r="J67" s="162">
        <f ca="1">ROUND(G67+($O$63/$C$75)*100,3)</f>
        <v>10.504</v>
      </c>
      <c r="K67" s="1" t="s">
        <v>178</v>
      </c>
      <c r="L67" s="2">
        <f t="shared" ca="1" si="5"/>
        <v>91317183</v>
      </c>
      <c r="M67" s="279"/>
      <c r="N67" s="20"/>
      <c r="O67" s="38"/>
      <c r="P67" s="104"/>
      <c r="Q67" s="510"/>
      <c r="R67" s="510"/>
      <c r="S67" s="662"/>
      <c r="T67" s="662"/>
      <c r="U67" s="11"/>
      <c r="V67" s="49"/>
      <c r="W67" s="49"/>
      <c r="X67" s="101"/>
      <c r="AC67" s="11"/>
      <c r="AD67" s="11"/>
      <c r="AE67" s="11"/>
      <c r="AF67" s="11"/>
      <c r="AG67" s="11"/>
      <c r="AH67" s="11"/>
      <c r="AJ67" s="42"/>
    </row>
    <row r="68" spans="1:36">
      <c r="A68" s="1" t="s">
        <v>181</v>
      </c>
      <c r="B68" s="1"/>
      <c r="C68" s="12">
        <f t="shared" si="1"/>
        <v>4989</v>
      </c>
      <c r="D68" s="164">
        <v>1.78</v>
      </c>
      <c r="E68" s="1"/>
      <c r="F68" s="2">
        <f t="shared" si="2"/>
        <v>8880</v>
      </c>
      <c r="G68" s="506">
        <v>1.78</v>
      </c>
      <c r="H68" s="1"/>
      <c r="I68" s="2">
        <f t="shared" si="3"/>
        <v>8880</v>
      </c>
      <c r="J68" s="161">
        <f t="shared" ref="J68:J69" si="6">G68</f>
        <v>1.78</v>
      </c>
      <c r="K68" s="1"/>
      <c r="L68" s="2">
        <f t="shared" si="5"/>
        <v>8880</v>
      </c>
      <c r="M68" s="11"/>
      <c r="N68" s="11"/>
      <c r="O68" s="38"/>
      <c r="P68" s="104"/>
      <c r="Q68" s="38"/>
      <c r="R68" s="11"/>
      <c r="S68" s="11"/>
      <c r="T68" s="11"/>
      <c r="U68" s="11"/>
      <c r="V68" s="42"/>
      <c r="W68" s="42"/>
      <c r="X68" s="101"/>
      <c r="AC68" s="11"/>
      <c r="AD68" s="11"/>
      <c r="AE68" s="11"/>
      <c r="AF68" s="11"/>
      <c r="AG68" s="11"/>
      <c r="AH68" s="11"/>
      <c r="AJ68" s="42"/>
    </row>
    <row r="69" spans="1:36">
      <c r="A69" s="166" t="s">
        <v>183</v>
      </c>
      <c r="B69" s="166"/>
      <c r="C69" s="12">
        <f t="shared" si="1"/>
        <v>696</v>
      </c>
      <c r="D69" s="164">
        <v>3.5</v>
      </c>
      <c r="E69" s="166"/>
      <c r="F69" s="2">
        <f t="shared" si="2"/>
        <v>2436</v>
      </c>
      <c r="G69" s="506">
        <v>3.5</v>
      </c>
      <c r="H69" s="166"/>
      <c r="I69" s="2">
        <f t="shared" si="3"/>
        <v>2436</v>
      </c>
      <c r="J69" s="161">
        <f t="shared" si="6"/>
        <v>3.5</v>
      </c>
      <c r="K69" s="166"/>
      <c r="L69" s="2">
        <f t="shared" si="5"/>
        <v>2436</v>
      </c>
      <c r="M69" s="11"/>
      <c r="N69" s="11"/>
      <c r="O69" s="38"/>
      <c r="P69" s="104"/>
      <c r="Q69" s="38"/>
      <c r="R69" s="11"/>
      <c r="S69" s="11"/>
      <c r="T69" s="11"/>
      <c r="U69" s="11"/>
      <c r="AC69" s="11"/>
      <c r="AD69" s="11"/>
      <c r="AE69" s="11"/>
      <c r="AF69" s="11"/>
      <c r="AG69" s="11"/>
      <c r="AH69" s="11"/>
      <c r="AJ69" s="42"/>
    </row>
    <row r="70" spans="1:36" hidden="1">
      <c r="A70" s="166" t="s">
        <v>184</v>
      </c>
      <c r="B70" s="166"/>
      <c r="C70" s="12">
        <f t="shared" si="1"/>
        <v>89</v>
      </c>
      <c r="D70" s="167">
        <v>-1.78</v>
      </c>
      <c r="E70" s="166"/>
      <c r="F70" s="2">
        <f t="shared" si="2"/>
        <v>-159</v>
      </c>
      <c r="G70" s="506">
        <v>-1.78</v>
      </c>
      <c r="H70" s="166"/>
      <c r="I70" s="2">
        <f t="shared" si="3"/>
        <v>-159</v>
      </c>
      <c r="J70" s="167">
        <f>-J68</f>
        <v>-1.78</v>
      </c>
      <c r="K70" s="166"/>
      <c r="L70" s="2">
        <f t="shared" si="5"/>
        <v>-159</v>
      </c>
      <c r="M70" s="11"/>
      <c r="N70" s="11"/>
      <c r="O70" s="38"/>
      <c r="P70" s="104"/>
      <c r="Q70" s="38"/>
      <c r="R70" s="11"/>
      <c r="S70" s="11"/>
      <c r="T70" s="11"/>
      <c r="U70" s="11"/>
      <c r="AC70" s="11"/>
      <c r="AD70" s="11"/>
      <c r="AE70" s="11"/>
      <c r="AF70" s="11"/>
      <c r="AG70" s="11"/>
      <c r="AH70" s="11"/>
      <c r="AJ70" s="42"/>
    </row>
    <row r="71" spans="1:36" s="545" customFormat="1" hidden="1">
      <c r="A71" s="524" t="s">
        <v>483</v>
      </c>
      <c r="C71" s="552">
        <f>C66</f>
        <v>675973717.423473</v>
      </c>
      <c r="D71" s="162">
        <v>0</v>
      </c>
      <c r="E71" s="1" t="s">
        <v>178</v>
      </c>
      <c r="F71" s="548"/>
      <c r="G71" s="731">
        <v>0</v>
      </c>
      <c r="H71" s="551" t="s">
        <v>178</v>
      </c>
      <c r="I71" s="548"/>
      <c r="J71" s="162">
        <v>0</v>
      </c>
      <c r="K71" s="551" t="s">
        <v>178</v>
      </c>
      <c r="L71" s="548"/>
      <c r="M71" s="555"/>
      <c r="N71" s="555"/>
      <c r="O71" s="315"/>
      <c r="P71" s="104"/>
      <c r="Q71" s="546"/>
      <c r="R71" s="700"/>
      <c r="S71" s="700"/>
      <c r="T71" s="546"/>
      <c r="U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J71" s="549"/>
    </row>
    <row r="72" spans="1:36" s="545" customFormat="1" hidden="1">
      <c r="A72" s="524" t="s">
        <v>484</v>
      </c>
      <c r="C72" s="552">
        <f>C67</f>
        <v>869356277.72312701</v>
      </c>
      <c r="D72" s="162">
        <v>0</v>
      </c>
      <c r="E72" s="1" t="s">
        <v>178</v>
      </c>
      <c r="F72" s="548"/>
      <c r="G72" s="731">
        <v>0</v>
      </c>
      <c r="H72" s="551" t="s">
        <v>178</v>
      </c>
      <c r="I72" s="548"/>
      <c r="J72" s="162">
        <v>0</v>
      </c>
      <c r="K72" s="551" t="s">
        <v>178</v>
      </c>
      <c r="L72" s="548"/>
      <c r="M72" s="555"/>
      <c r="N72" s="555"/>
      <c r="O72" s="315"/>
      <c r="P72" s="104"/>
      <c r="Q72" s="546"/>
      <c r="R72" s="510"/>
      <c r="S72" s="700"/>
      <c r="T72" s="546"/>
      <c r="U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J72" s="549"/>
    </row>
    <row r="73" spans="1:36" s="545" customFormat="1" hidden="1">
      <c r="A73" s="607" t="s">
        <v>479</v>
      </c>
      <c r="B73" s="608"/>
      <c r="C73" s="609"/>
      <c r="D73" s="611">
        <f>D66</f>
        <v>7.2759999999999998</v>
      </c>
      <c r="E73" s="612" t="s">
        <v>178</v>
      </c>
      <c r="F73" s="610"/>
      <c r="G73" s="732">
        <v>7.5990000000000002</v>
      </c>
      <c r="H73" s="612" t="s">
        <v>178</v>
      </c>
      <c r="I73" s="610"/>
      <c r="J73" s="611">
        <f ca="1">J66</f>
        <v>7.5819999999999999</v>
      </c>
      <c r="K73" s="612" t="s">
        <v>178</v>
      </c>
      <c r="L73" s="610"/>
      <c r="M73" s="555"/>
      <c r="N73" s="555"/>
      <c r="O73" s="315"/>
      <c r="P73" s="104"/>
      <c r="Q73" s="546"/>
      <c r="R73" s="700"/>
      <c r="S73" s="700"/>
      <c r="T73" s="546"/>
      <c r="U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6"/>
      <c r="AJ73" s="549"/>
    </row>
    <row r="74" spans="1:36" s="545" customFormat="1" hidden="1">
      <c r="A74" s="607" t="s">
        <v>480</v>
      </c>
      <c r="B74" s="608"/>
      <c r="C74" s="609"/>
      <c r="D74" s="611">
        <f>D67</f>
        <v>10.198</v>
      </c>
      <c r="E74" s="612" t="s">
        <v>178</v>
      </c>
      <c r="F74" s="610"/>
      <c r="G74" s="732">
        <v>10.521000000000001</v>
      </c>
      <c r="H74" s="612" t="s">
        <v>178</v>
      </c>
      <c r="I74" s="610"/>
      <c r="J74" s="611">
        <f ca="1">J67</f>
        <v>10.504</v>
      </c>
      <c r="K74" s="612" t="s">
        <v>178</v>
      </c>
      <c r="L74" s="610"/>
      <c r="M74" s="555"/>
      <c r="N74" s="555"/>
      <c r="O74" s="315"/>
      <c r="P74" s="104"/>
      <c r="Q74" s="546"/>
      <c r="R74" s="510"/>
      <c r="S74" s="700"/>
      <c r="T74" s="546"/>
      <c r="U74" s="546"/>
      <c r="X74" s="546"/>
      <c r="Y74" s="546"/>
      <c r="Z74" s="546"/>
      <c r="AA74" s="546"/>
      <c r="AB74" s="546"/>
      <c r="AC74" s="546"/>
      <c r="AD74" s="546"/>
      <c r="AE74" s="546"/>
      <c r="AF74" s="546"/>
      <c r="AG74" s="546"/>
      <c r="AH74" s="546"/>
      <c r="AJ74" s="549"/>
    </row>
    <row r="75" spans="1:36">
      <c r="A75" s="1" t="s">
        <v>185</v>
      </c>
      <c r="B75" s="168"/>
      <c r="C75" s="12">
        <f>C90+C104+C117+C149+C162</f>
        <v>1545329995.1466</v>
      </c>
      <c r="D75" s="518"/>
      <c r="E75" s="2"/>
      <c r="F75" s="2">
        <f>F90+F104+F117+F149+F162</f>
        <v>147876403</v>
      </c>
      <c r="G75" s="516"/>
      <c r="H75" s="2"/>
      <c r="I75" s="2">
        <f>I90+I104+I117+I149+I162</f>
        <v>152867815</v>
      </c>
      <c r="J75" s="2"/>
      <c r="K75" s="2"/>
      <c r="L75" s="2">
        <f ca="1">L90+L104+L117+L149+L162</f>
        <v>152605110</v>
      </c>
      <c r="M75" s="20"/>
      <c r="N75" s="20"/>
      <c r="O75" s="38"/>
      <c r="P75" s="104"/>
      <c r="Q75" s="38"/>
      <c r="R75" s="11"/>
      <c r="S75" s="11"/>
      <c r="T75" s="11"/>
      <c r="U75" s="11"/>
      <c r="AC75" s="11"/>
      <c r="AD75" s="11"/>
      <c r="AE75" s="11"/>
      <c r="AF75" s="11"/>
      <c r="AG75" s="11"/>
      <c r="AH75" s="11"/>
      <c r="AJ75" s="42"/>
    </row>
    <row r="76" spans="1:36">
      <c r="A76" s="1" t="s">
        <v>167</v>
      </c>
      <c r="B76" s="170"/>
      <c r="C76" s="171">
        <f>C91+C105+C118+C150+C163</f>
        <v>-20611783.272717644</v>
      </c>
      <c r="D76" s="172"/>
      <c r="E76" s="172"/>
      <c r="F76" s="173">
        <f>F91+F105+F118+F150+F163</f>
        <v>579427.06268736452</v>
      </c>
      <c r="G76" s="284"/>
      <c r="H76" s="172"/>
      <c r="I76" s="173">
        <f>I91+I105+I118+I150+I163</f>
        <v>579427.06268736452</v>
      </c>
      <c r="J76" s="172"/>
      <c r="K76" s="172"/>
      <c r="L76" s="173">
        <f>L91+L105+L118+L150+L163</f>
        <v>579427.06268736452</v>
      </c>
      <c r="M76" s="11"/>
      <c r="N76" s="11"/>
      <c r="O76" s="38"/>
      <c r="P76" s="38"/>
      <c r="Q76" s="38"/>
      <c r="R76" s="11"/>
      <c r="S76" s="11"/>
      <c r="T76" s="11"/>
      <c r="U76" s="11"/>
      <c r="AC76" s="11"/>
      <c r="AD76" s="11"/>
      <c r="AE76" s="11"/>
      <c r="AF76" s="11"/>
      <c r="AG76" s="11"/>
      <c r="AH76" s="11"/>
      <c r="AJ76" s="42"/>
    </row>
    <row r="77" spans="1:36" ht="16.5" thickBot="1">
      <c r="A77" s="1" t="s">
        <v>186</v>
      </c>
      <c r="B77" s="1"/>
      <c r="C77" s="174">
        <f>C75+C76</f>
        <v>1524718211.8738823</v>
      </c>
      <c r="D77" s="175"/>
      <c r="E77" s="175"/>
      <c r="F77" s="175">
        <f>F75+F76</f>
        <v>148455830.06268737</v>
      </c>
      <c r="G77" s="730"/>
      <c r="H77" s="175"/>
      <c r="I77" s="175">
        <f>I75+I76</f>
        <v>153447242.06268737</v>
      </c>
      <c r="J77" s="175"/>
      <c r="K77" s="175"/>
      <c r="L77" s="175">
        <f ca="1">L75+L76</f>
        <v>153184537.06268737</v>
      </c>
      <c r="M77" s="279"/>
      <c r="N77" s="11"/>
      <c r="O77" s="133"/>
      <c r="P77" s="500"/>
      <c r="Q77" s="500"/>
      <c r="R77" s="6"/>
      <c r="S77" s="6"/>
      <c r="T77" s="11"/>
      <c r="U77" s="11"/>
      <c r="AC77" s="11"/>
      <c r="AD77" s="11"/>
      <c r="AE77" s="11"/>
      <c r="AF77" s="11"/>
      <c r="AG77" s="11"/>
      <c r="AH77" s="11"/>
      <c r="AJ77" s="42"/>
    </row>
    <row r="78" spans="1:36" ht="16.5" thickTop="1">
      <c r="A78" s="1"/>
      <c r="B78" s="1"/>
      <c r="C78" s="685" t="s">
        <v>13</v>
      </c>
      <c r="D78" s="20"/>
      <c r="E78" s="20"/>
      <c r="F78" s="20"/>
      <c r="G78" s="622"/>
      <c r="H78" s="20"/>
      <c r="I78" s="20" t="s">
        <v>13</v>
      </c>
      <c r="J78" s="20"/>
      <c r="K78" s="20"/>
      <c r="L78" s="20" t="s">
        <v>13</v>
      </c>
      <c r="M78" s="11"/>
      <c r="N78" s="11"/>
      <c r="O78" s="279"/>
      <c r="P78" s="6"/>
      <c r="Q78" s="500"/>
      <c r="R78" s="6"/>
      <c r="S78" s="6"/>
      <c r="T78" s="11"/>
      <c r="U78" s="11"/>
      <c r="AC78" s="11"/>
      <c r="AD78" s="11"/>
      <c r="AE78" s="11"/>
      <c r="AF78" s="11"/>
      <c r="AG78" s="11"/>
      <c r="AH78" s="11"/>
      <c r="AJ78" s="42"/>
    </row>
    <row r="79" spans="1:36" hidden="1">
      <c r="A79" s="1"/>
      <c r="B79" s="1"/>
      <c r="C79" s="213"/>
      <c r="D79" s="20"/>
      <c r="E79" s="20"/>
      <c r="F79" s="20"/>
      <c r="G79" s="622"/>
      <c r="H79" s="20"/>
      <c r="I79" s="20"/>
      <c r="J79" s="20"/>
      <c r="K79" s="20"/>
      <c r="L79" s="20"/>
      <c r="M79" s="11"/>
      <c r="N79" s="11"/>
      <c r="O79" s="38"/>
      <c r="P79" s="38"/>
      <c r="Q79" s="500"/>
      <c r="R79" s="6"/>
      <c r="S79" s="6"/>
      <c r="T79" s="11"/>
      <c r="U79" s="11"/>
      <c r="AC79" s="11"/>
      <c r="AD79" s="11"/>
      <c r="AE79" s="11"/>
      <c r="AF79" s="11"/>
      <c r="AG79" s="11"/>
      <c r="AH79" s="11"/>
      <c r="AJ79" s="42"/>
    </row>
    <row r="80" spans="1:36" hidden="1">
      <c r="A80" s="1"/>
      <c r="B80" s="176"/>
      <c r="C80" s="12"/>
      <c r="D80" s="1" t="s">
        <v>13</v>
      </c>
      <c r="E80" s="1"/>
      <c r="G80" s="284" t="s">
        <v>13</v>
      </c>
      <c r="H80" s="1"/>
      <c r="I80" s="2"/>
      <c r="J80" s="1" t="s">
        <v>13</v>
      </c>
      <c r="K80" s="1"/>
      <c r="L80" s="2"/>
      <c r="M80" s="11"/>
      <c r="N80" s="11"/>
      <c r="O80" s="38"/>
      <c r="P80" s="38"/>
      <c r="Q80" s="509"/>
      <c r="R80" s="11"/>
      <c r="S80" s="11"/>
      <c r="T80" s="11"/>
      <c r="U80" s="11"/>
      <c r="AC80" s="11"/>
      <c r="AD80" s="11"/>
      <c r="AE80" s="11"/>
      <c r="AF80" s="11"/>
      <c r="AG80" s="11"/>
      <c r="AH80" s="11"/>
      <c r="AJ80" s="42"/>
    </row>
    <row r="81" spans="1:36" hidden="1">
      <c r="A81" s="156" t="s">
        <v>187</v>
      </c>
      <c r="B81" s="1"/>
      <c r="C81" s="1" t="s">
        <v>13</v>
      </c>
      <c r="D81" s="12"/>
      <c r="E81" s="1"/>
      <c r="F81" s="1"/>
      <c r="G81" s="28"/>
      <c r="H81" s="1"/>
      <c r="I81" s="628" t="s">
        <v>13</v>
      </c>
      <c r="J81" s="12"/>
      <c r="K81" s="1"/>
      <c r="L81" s="628" t="s">
        <v>13</v>
      </c>
      <c r="M81" s="20"/>
      <c r="N81" s="20"/>
      <c r="O81" s="20"/>
      <c r="P81" s="20"/>
      <c r="Q81" s="14"/>
      <c r="R81" s="11"/>
      <c r="S81" s="20"/>
      <c r="T81" s="14"/>
      <c r="U81" s="14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J81" s="42"/>
    </row>
    <row r="82" spans="1:36" hidden="1">
      <c r="A82" s="1" t="s">
        <v>135</v>
      </c>
      <c r="B82" s="1"/>
      <c r="C82" s="1" t="s">
        <v>13</v>
      </c>
      <c r="D82" s="12"/>
      <c r="E82" s="1"/>
      <c r="F82" s="1"/>
      <c r="G82" s="28"/>
      <c r="H82" s="1"/>
      <c r="I82" s="1"/>
      <c r="J82" s="12"/>
      <c r="K82" s="1"/>
      <c r="L82" s="1"/>
      <c r="M82" s="11"/>
      <c r="N82" s="11"/>
      <c r="O82" s="38"/>
      <c r="P82" s="38"/>
      <c r="Q82" s="38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J82" s="42"/>
    </row>
    <row r="83" spans="1:36" hidden="1">
      <c r="A83" s="211"/>
      <c r="B83" s="1"/>
      <c r="C83" s="1"/>
      <c r="D83" s="12"/>
      <c r="E83" s="1"/>
      <c r="F83" s="1"/>
      <c r="G83" s="28"/>
      <c r="H83" s="1"/>
      <c r="I83" s="1"/>
      <c r="J83" s="12"/>
      <c r="K83" s="1"/>
      <c r="L83" s="1"/>
      <c r="M83" s="11"/>
      <c r="N83" s="11"/>
      <c r="O83" s="38"/>
      <c r="P83" s="38"/>
      <c r="Q83" s="38"/>
      <c r="R83" s="6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J83" s="42"/>
    </row>
    <row r="84" spans="1:36" hidden="1">
      <c r="A84" s="1" t="s">
        <v>174</v>
      </c>
      <c r="B84" s="1"/>
      <c r="C84" s="12">
        <v>1217910.59483868</v>
      </c>
      <c r="D84" s="161">
        <f>$D$65</f>
        <v>7.75</v>
      </c>
      <c r="E84" s="1"/>
      <c r="F84" s="2">
        <f>ROUND(D84*C84,0)</f>
        <v>9438807</v>
      </c>
      <c r="G84" s="506">
        <v>7.75</v>
      </c>
      <c r="H84" s="1"/>
      <c r="I84" s="2">
        <f>ROUND(G84*$C84,0)</f>
        <v>9438807</v>
      </c>
      <c r="J84" s="161">
        <f t="shared" ref="J84" si="7">G84</f>
        <v>7.75</v>
      </c>
      <c r="K84" s="1"/>
      <c r="L84" s="2">
        <f>ROUND(J84*$C84,0)</f>
        <v>9438807</v>
      </c>
      <c r="M84" s="11"/>
      <c r="N84" s="11"/>
      <c r="O84" s="38"/>
      <c r="P84" s="38"/>
      <c r="Q84" s="38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J84" s="42"/>
    </row>
    <row r="85" spans="1:36" hidden="1">
      <c r="A85" s="1" t="s">
        <v>177</v>
      </c>
      <c r="B85" s="1"/>
      <c r="C85" s="12">
        <v>638778486.29178238</v>
      </c>
      <c r="D85" s="162">
        <f>$D$66</f>
        <v>7.2759999999999998</v>
      </c>
      <c r="E85" s="1" t="s">
        <v>178</v>
      </c>
      <c r="F85" s="2">
        <f>ROUND(C85*D85/100,0)</f>
        <v>46477523</v>
      </c>
      <c r="G85" s="731">
        <v>7.5990000000000002</v>
      </c>
      <c r="H85" s="1" t="s">
        <v>178</v>
      </c>
      <c r="I85" s="2">
        <f>ROUND(G85*$C85/100,0)</f>
        <v>48540777</v>
      </c>
      <c r="J85" s="162">
        <f ca="1">$J$66</f>
        <v>7.5819999999999999</v>
      </c>
      <c r="K85" s="1" t="s">
        <v>178</v>
      </c>
      <c r="L85" s="2">
        <f ca="1">ROUND(J85*$C85/100,0)</f>
        <v>48432185</v>
      </c>
      <c r="M85" s="11"/>
      <c r="N85" s="11"/>
      <c r="O85" s="38"/>
      <c r="P85" s="38"/>
      <c r="Q85" s="38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J85" s="42"/>
    </row>
    <row r="86" spans="1:36" hidden="1">
      <c r="A86" s="1" t="s">
        <v>179</v>
      </c>
      <c r="B86" s="12"/>
      <c r="C86" s="12">
        <v>815713648.78439105</v>
      </c>
      <c r="D86" s="162">
        <f>$D$67</f>
        <v>10.198</v>
      </c>
      <c r="E86" s="1" t="s">
        <v>178</v>
      </c>
      <c r="F86" s="2">
        <f>ROUND(C86*D86/100,0)</f>
        <v>83186478</v>
      </c>
      <c r="G86" s="731">
        <v>10.521000000000001</v>
      </c>
      <c r="H86" s="1" t="s">
        <v>178</v>
      </c>
      <c r="I86" s="2">
        <f>ROUND(G86*$C86/100,0)</f>
        <v>85821233</v>
      </c>
      <c r="J86" s="162">
        <f ca="1">$J$67</f>
        <v>10.504</v>
      </c>
      <c r="K86" s="1" t="s">
        <v>178</v>
      </c>
      <c r="L86" s="2">
        <f ca="1">ROUND(J86*$C86/100,0)</f>
        <v>85682562</v>
      </c>
      <c r="M86" s="11"/>
      <c r="N86" s="11"/>
      <c r="O86" s="38"/>
      <c r="P86" s="38"/>
      <c r="Q86" s="38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J86" s="42"/>
    </row>
    <row r="87" spans="1:36" hidden="1">
      <c r="A87" s="1" t="s">
        <v>181</v>
      </c>
      <c r="B87" s="1"/>
      <c r="C87" s="12">
        <v>0</v>
      </c>
      <c r="D87" s="164">
        <f>$D$68</f>
        <v>1.78</v>
      </c>
      <c r="E87" s="1"/>
      <c r="F87" s="2">
        <v>0</v>
      </c>
      <c r="G87" s="506">
        <v>1.78</v>
      </c>
      <c r="H87" s="1"/>
      <c r="I87" s="2">
        <f>ROUND(G87*$C87,0)</f>
        <v>0</v>
      </c>
      <c r="J87" s="164">
        <f t="shared" ref="J87:J88" si="8">G87</f>
        <v>1.78</v>
      </c>
      <c r="K87" s="1"/>
      <c r="L87" s="2">
        <f>ROUND(J87*$C87,0)</f>
        <v>0</v>
      </c>
      <c r="M87" s="11"/>
      <c r="N87" s="11"/>
      <c r="O87" s="38"/>
      <c r="P87" s="38"/>
      <c r="Q87" s="38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J87" s="42"/>
    </row>
    <row r="88" spans="1:36" hidden="1">
      <c r="A88" s="166" t="s">
        <v>183</v>
      </c>
      <c r="B88" s="166"/>
      <c r="C88" s="12">
        <v>0</v>
      </c>
      <c r="D88" s="164">
        <f>$D$69</f>
        <v>3.5</v>
      </c>
      <c r="E88" s="166"/>
      <c r="F88" s="2">
        <v>0</v>
      </c>
      <c r="G88" s="506">
        <v>3.5</v>
      </c>
      <c r="H88" s="166"/>
      <c r="I88" s="2">
        <f>ROUND(G88*$C88,0)</f>
        <v>0</v>
      </c>
      <c r="J88" s="164">
        <f t="shared" si="8"/>
        <v>3.5</v>
      </c>
      <c r="K88" s="166"/>
      <c r="L88" s="2">
        <f>ROUND(J88*$C88,0)</f>
        <v>0</v>
      </c>
      <c r="M88" s="11"/>
      <c r="N88" s="11"/>
      <c r="O88" s="38"/>
      <c r="P88" s="38"/>
      <c r="Q88" s="38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J88" s="42"/>
    </row>
    <row r="89" spans="1:36" hidden="1">
      <c r="A89" s="166" t="s">
        <v>184</v>
      </c>
      <c r="B89" s="166"/>
      <c r="C89" s="12">
        <v>0</v>
      </c>
      <c r="D89" s="167">
        <f>$D$70</f>
        <v>-1.78</v>
      </c>
      <c r="E89" s="166"/>
      <c r="F89" s="2">
        <v>0</v>
      </c>
      <c r="G89" s="506">
        <v>-1.78</v>
      </c>
      <c r="H89" s="166"/>
      <c r="I89" s="2">
        <f>ROUND(G89*$C89,0)</f>
        <v>0</v>
      </c>
      <c r="J89" s="167">
        <f>-J87</f>
        <v>-1.78</v>
      </c>
      <c r="K89" s="166"/>
      <c r="L89" s="2">
        <f>ROUND(J89*$C89,0)</f>
        <v>0</v>
      </c>
      <c r="M89" s="11"/>
      <c r="N89" s="11"/>
      <c r="O89" s="38"/>
      <c r="P89" s="38"/>
      <c r="Q89" s="38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J89" s="42"/>
    </row>
    <row r="90" spans="1:36" hidden="1">
      <c r="A90" s="1" t="s">
        <v>185</v>
      </c>
      <c r="B90" s="168"/>
      <c r="C90" s="12">
        <f>SUM(C85:C86)</f>
        <v>1454492135.0761733</v>
      </c>
      <c r="D90" s="518"/>
      <c r="E90" s="2"/>
      <c r="F90" s="2">
        <f>SUM(F84:F89)</f>
        <v>139102808</v>
      </c>
      <c r="G90" s="516"/>
      <c r="H90" s="2"/>
      <c r="I90" s="2">
        <f>SUM(I84:I89)</f>
        <v>143800817</v>
      </c>
      <c r="J90" s="2"/>
      <c r="K90" s="2"/>
      <c r="L90" s="2">
        <f ca="1">SUM(L84:L89)</f>
        <v>143553554</v>
      </c>
      <c r="M90" s="11"/>
      <c r="N90" s="11"/>
      <c r="O90" s="20"/>
      <c r="P90" s="38"/>
      <c r="Q90" s="38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J90" s="42"/>
    </row>
    <row r="91" spans="1:36" hidden="1">
      <c r="A91" s="1" t="s">
        <v>167</v>
      </c>
      <c r="B91" s="170"/>
      <c r="C91" s="180">
        <v>-19398896.755837858</v>
      </c>
      <c r="D91" s="172"/>
      <c r="E91" s="172"/>
      <c r="F91" s="173">
        <v>545022.73549619329</v>
      </c>
      <c r="G91" s="284"/>
      <c r="H91" s="172"/>
      <c r="I91" s="173">
        <f>F91</f>
        <v>545022.73549619329</v>
      </c>
      <c r="J91" s="172"/>
      <c r="K91" s="172"/>
      <c r="L91" s="173">
        <f>I91</f>
        <v>545022.73549619329</v>
      </c>
      <c r="M91" s="307"/>
      <c r="N91" s="307"/>
      <c r="O91" s="150"/>
      <c r="P91" s="38"/>
      <c r="Q91" s="38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J91" s="42"/>
    </row>
    <row r="92" spans="1:36" ht="16.5" hidden="1" thickBot="1">
      <c r="A92" s="1" t="s">
        <v>186</v>
      </c>
      <c r="B92" s="1"/>
      <c r="C92" s="174">
        <f>C90+C91</f>
        <v>1435093238.3203354</v>
      </c>
      <c r="D92" s="175"/>
      <c r="E92" s="175"/>
      <c r="F92" s="175">
        <f>SUM(F90:F91)</f>
        <v>139647830.73549619</v>
      </c>
      <c r="G92" s="730"/>
      <c r="H92" s="175"/>
      <c r="I92" s="175">
        <f>I90+I91</f>
        <v>144345839.73549619</v>
      </c>
      <c r="J92" s="175"/>
      <c r="K92" s="175"/>
      <c r="L92" s="175">
        <f ca="1">L90+L91</f>
        <v>144098576.73549619</v>
      </c>
      <c r="M92" s="274"/>
      <c r="N92" s="274"/>
      <c r="O92" s="333"/>
      <c r="P92" s="38"/>
      <c r="Q92" s="38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J92" s="42"/>
    </row>
    <row r="93" spans="1:36" ht="16.5" hidden="1" thickTop="1">
      <c r="A93" s="1"/>
      <c r="B93" s="176"/>
      <c r="C93" s="12" t="s">
        <v>13</v>
      </c>
      <c r="D93" s="1" t="s">
        <v>13</v>
      </c>
      <c r="E93" s="1"/>
      <c r="F93" s="42" t="s">
        <v>13</v>
      </c>
      <c r="G93" s="284" t="s">
        <v>13</v>
      </c>
      <c r="H93" s="1"/>
      <c r="I93" s="2" t="s">
        <v>13</v>
      </c>
      <c r="J93" s="1" t="s">
        <v>13</v>
      </c>
      <c r="K93" s="1"/>
      <c r="L93" s="2" t="s">
        <v>13</v>
      </c>
      <c r="M93" s="11"/>
      <c r="N93" s="11"/>
      <c r="O93" s="38"/>
      <c r="P93" s="38"/>
      <c r="Q93" s="38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J93" s="42"/>
    </row>
    <row r="94" spans="1:36" hidden="1">
      <c r="A94" s="1"/>
      <c r="B94" s="176"/>
      <c r="C94" s="12" t="s">
        <v>13</v>
      </c>
      <c r="D94" s="1" t="s">
        <v>13</v>
      </c>
      <c r="E94" s="1"/>
      <c r="G94" s="284" t="s">
        <v>13</v>
      </c>
      <c r="H94" s="1"/>
      <c r="I94" s="2"/>
      <c r="J94" s="1" t="s">
        <v>13</v>
      </c>
      <c r="K94" s="1"/>
      <c r="L94" s="2"/>
      <c r="M94" s="549"/>
      <c r="N94" s="549"/>
      <c r="O94" s="549"/>
      <c r="P94" s="549"/>
      <c r="Q94" s="509"/>
      <c r="AC94" s="11"/>
      <c r="AD94" s="11"/>
      <c r="AE94" s="11"/>
      <c r="AF94" s="11"/>
      <c r="AG94" s="11"/>
      <c r="AH94" s="11"/>
      <c r="AJ94" s="42"/>
    </row>
    <row r="95" spans="1:36" hidden="1">
      <c r="A95" s="156" t="s">
        <v>521</v>
      </c>
      <c r="B95" s="1"/>
      <c r="C95" s="1" t="s">
        <v>13</v>
      </c>
      <c r="D95" s="12"/>
      <c r="E95" s="1"/>
      <c r="F95" s="1"/>
      <c r="G95" s="28"/>
      <c r="H95" s="1"/>
      <c r="I95" s="628" t="s">
        <v>13</v>
      </c>
      <c r="J95" s="12"/>
      <c r="K95" s="1"/>
      <c r="L95" s="628" t="s">
        <v>13</v>
      </c>
      <c r="M95" s="2"/>
      <c r="N95" s="2"/>
      <c r="O95" s="2"/>
      <c r="P95" s="2"/>
      <c r="Q95" s="1"/>
      <c r="S95" s="2"/>
      <c r="T95" s="1" t="s">
        <v>13</v>
      </c>
      <c r="U95" s="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J95" s="42"/>
    </row>
    <row r="96" spans="1:36" hidden="1">
      <c r="A96" s="1" t="s">
        <v>135</v>
      </c>
      <c r="B96" s="1"/>
      <c r="C96" s="1" t="s">
        <v>13</v>
      </c>
      <c r="D96" s="12"/>
      <c r="E96" s="1"/>
      <c r="F96" s="1"/>
      <c r="G96" s="28"/>
      <c r="H96" s="1"/>
      <c r="I96" s="1"/>
      <c r="J96" s="12"/>
      <c r="K96" s="1"/>
      <c r="L96" s="1"/>
      <c r="M96" s="11"/>
      <c r="N96" s="11"/>
      <c r="O96" s="38"/>
      <c r="P96" s="38"/>
      <c r="Q96" s="38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J96" s="42"/>
    </row>
    <row r="97" spans="1:36" hidden="1">
      <c r="A97" s="211"/>
      <c r="B97" s="1"/>
      <c r="C97" s="1"/>
      <c r="D97" s="12"/>
      <c r="E97" s="1"/>
      <c r="F97" s="1"/>
      <c r="G97" s="28"/>
      <c r="H97" s="1"/>
      <c r="I97" s="1"/>
      <c r="J97" s="12"/>
      <c r="K97" s="1"/>
      <c r="L97" s="1"/>
      <c r="M97" s="11"/>
      <c r="N97" s="11"/>
      <c r="O97" s="38"/>
      <c r="P97" s="38"/>
      <c r="Q97" s="38"/>
      <c r="R97" s="6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J97" s="42"/>
    </row>
    <row r="98" spans="1:36" hidden="1">
      <c r="A98" s="1" t="s">
        <v>174</v>
      </c>
      <c r="B98" s="1"/>
      <c r="C98" s="12">
        <v>13729.1432258065</v>
      </c>
      <c r="D98" s="161">
        <f>$D$65</f>
        <v>7.75</v>
      </c>
      <c r="E98" s="1"/>
      <c r="F98" s="2">
        <f>ROUND(D98*C98,0)</f>
        <v>106401</v>
      </c>
      <c r="G98" s="506">
        <v>7.75</v>
      </c>
      <c r="H98" s="1"/>
      <c r="I98" s="2">
        <f>ROUND(G98*$C98,0)</f>
        <v>106401</v>
      </c>
      <c r="J98" s="161">
        <f>$G$65</f>
        <v>7.75</v>
      </c>
      <c r="K98" s="1"/>
      <c r="L98" s="2">
        <f>ROUND(J98*$C98,0)</f>
        <v>106401</v>
      </c>
      <c r="M98" s="11"/>
      <c r="N98" s="11"/>
      <c r="O98" s="38"/>
      <c r="P98" s="38"/>
      <c r="Q98" s="38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J98" s="42"/>
    </row>
    <row r="99" spans="1:36" hidden="1">
      <c r="A99" s="1" t="s">
        <v>177</v>
      </c>
      <c r="B99" s="1"/>
      <c r="C99" s="12">
        <v>4099624</v>
      </c>
      <c r="D99" s="162">
        <f>$D$66</f>
        <v>7.2759999999999998</v>
      </c>
      <c r="E99" s="1" t="s">
        <v>178</v>
      </c>
      <c r="F99" s="2">
        <f>ROUND(C99*D99/100,0)</f>
        <v>298289</v>
      </c>
      <c r="G99" s="731">
        <v>7.5990000000000002</v>
      </c>
      <c r="H99" s="1" t="s">
        <v>178</v>
      </c>
      <c r="I99" s="2">
        <f>ROUND(G99*$C99/100,0)</f>
        <v>311530</v>
      </c>
      <c r="J99" s="162">
        <f ca="1">$J$66</f>
        <v>7.5819999999999999</v>
      </c>
      <c r="K99" s="1" t="s">
        <v>178</v>
      </c>
      <c r="L99" s="2">
        <f ca="1">ROUND(J99*$C99/100,0)</f>
        <v>310833</v>
      </c>
      <c r="M99" s="11"/>
      <c r="N99" s="11"/>
      <c r="O99" s="38"/>
      <c r="P99" s="38"/>
      <c r="Q99" s="38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J99" s="42"/>
    </row>
    <row r="100" spans="1:36" hidden="1">
      <c r="A100" s="1" t="s">
        <v>179</v>
      </c>
      <c r="B100" s="12"/>
      <c r="C100" s="12">
        <v>8294016</v>
      </c>
      <c r="D100" s="162">
        <f>$D$67</f>
        <v>10.198</v>
      </c>
      <c r="E100" s="1" t="s">
        <v>178</v>
      </c>
      <c r="F100" s="2">
        <f>ROUND(C100*D100/100,0)</f>
        <v>845824</v>
      </c>
      <c r="G100" s="731">
        <v>10.521000000000001</v>
      </c>
      <c r="H100" s="1" t="s">
        <v>178</v>
      </c>
      <c r="I100" s="2">
        <f>ROUND(G100*$C100/100,0)</f>
        <v>872613</v>
      </c>
      <c r="J100" s="162">
        <f ca="1">$J$67</f>
        <v>10.504</v>
      </c>
      <c r="K100" s="1" t="s">
        <v>178</v>
      </c>
      <c r="L100" s="2">
        <f ca="1">ROUND(J100*$C100/100,0)</f>
        <v>871203</v>
      </c>
      <c r="M100" s="11"/>
      <c r="N100" s="11"/>
      <c r="O100" s="38"/>
      <c r="P100" s="38"/>
      <c r="Q100" s="38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J100" s="42"/>
    </row>
    <row r="101" spans="1:36" hidden="1">
      <c r="A101" s="1" t="s">
        <v>181</v>
      </c>
      <c r="B101" s="1"/>
      <c r="C101" s="12">
        <v>0</v>
      </c>
      <c r="D101" s="164">
        <f>$D$68</f>
        <v>1.78</v>
      </c>
      <c r="E101" s="1"/>
      <c r="F101" s="2">
        <v>0</v>
      </c>
      <c r="G101" s="506">
        <v>1.78</v>
      </c>
      <c r="H101" s="1"/>
      <c r="I101" s="2">
        <f>ROUND(G101*$C101,0)</f>
        <v>0</v>
      </c>
      <c r="J101" s="164">
        <f>$G$68</f>
        <v>1.78</v>
      </c>
      <c r="K101" s="1"/>
      <c r="L101" s="2">
        <f>ROUND(J101*$C101,0)</f>
        <v>0</v>
      </c>
      <c r="M101" s="11"/>
      <c r="N101" s="11"/>
      <c r="O101" s="38"/>
      <c r="P101" s="38"/>
      <c r="Q101" s="38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J101" s="42"/>
    </row>
    <row r="102" spans="1:36" hidden="1">
      <c r="A102" s="166" t="s">
        <v>183</v>
      </c>
      <c r="B102" s="166"/>
      <c r="C102" s="12">
        <v>0</v>
      </c>
      <c r="D102" s="164">
        <f>$D$69</f>
        <v>3.5</v>
      </c>
      <c r="E102" s="166"/>
      <c r="F102" s="2">
        <v>0</v>
      </c>
      <c r="G102" s="506">
        <v>3.5</v>
      </c>
      <c r="H102" s="166"/>
      <c r="I102" s="2">
        <f>ROUND(G102*$C102,0)</f>
        <v>0</v>
      </c>
      <c r="J102" s="164">
        <f>$G$69</f>
        <v>3.5</v>
      </c>
      <c r="K102" s="166"/>
      <c r="L102" s="2">
        <f>ROUND(J102*$C102,0)</f>
        <v>0</v>
      </c>
      <c r="M102" s="11"/>
      <c r="N102" s="11"/>
      <c r="O102" s="38"/>
      <c r="P102" s="38"/>
      <c r="Q102" s="38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J102" s="42"/>
    </row>
    <row r="103" spans="1:36" hidden="1">
      <c r="A103" s="166" t="s">
        <v>184</v>
      </c>
      <c r="B103" s="166"/>
      <c r="C103" s="12">
        <v>0</v>
      </c>
      <c r="D103" s="167">
        <f>$D$70</f>
        <v>-1.78</v>
      </c>
      <c r="E103" s="166"/>
      <c r="F103" s="2">
        <v>0</v>
      </c>
      <c r="G103" s="506">
        <v>-1.78</v>
      </c>
      <c r="H103" s="166"/>
      <c r="I103" s="2">
        <f>ROUND(G103*$C103,0)</f>
        <v>0</v>
      </c>
      <c r="J103" s="167">
        <f>-J101</f>
        <v>-1.78</v>
      </c>
      <c r="K103" s="166"/>
      <c r="L103" s="2">
        <f>ROUND(J103*$C103,0)</f>
        <v>0</v>
      </c>
      <c r="M103" s="11"/>
      <c r="N103" s="11"/>
      <c r="O103" s="38"/>
      <c r="P103" s="38"/>
      <c r="Q103" s="38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J103" s="42"/>
    </row>
    <row r="104" spans="1:36" hidden="1">
      <c r="A104" s="1" t="s">
        <v>185</v>
      </c>
      <c r="B104" s="168"/>
      <c r="C104" s="12">
        <f>SUM(C99:C100)</f>
        <v>12393640</v>
      </c>
      <c r="D104" s="518"/>
      <c r="E104" s="2"/>
      <c r="F104" s="2">
        <f>SUM(F98:F103)</f>
        <v>1250514</v>
      </c>
      <c r="G104" s="516"/>
      <c r="H104" s="2"/>
      <c r="I104" s="2">
        <f>SUM(I98:I103)</f>
        <v>1290544</v>
      </c>
      <c r="J104" s="2"/>
      <c r="K104" s="2"/>
      <c r="L104" s="2">
        <f ca="1">SUM(L98:L103)</f>
        <v>1288437</v>
      </c>
      <c r="M104" s="11"/>
      <c r="N104" s="11"/>
      <c r="O104" s="20"/>
      <c r="P104" s="38"/>
      <c r="Q104" s="38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J104" s="42"/>
    </row>
    <row r="105" spans="1:36" hidden="1">
      <c r="A105" s="1" t="s">
        <v>167</v>
      </c>
      <c r="B105" s="170"/>
      <c r="C105" s="180">
        <v>-159066.50768614683</v>
      </c>
      <c r="D105" s="172"/>
      <c r="E105" s="172"/>
      <c r="F105" s="173">
        <v>4772.6604979275762</v>
      </c>
      <c r="G105" s="284"/>
      <c r="H105" s="172"/>
      <c r="I105" s="173">
        <f>F105</f>
        <v>4772.6604979275762</v>
      </c>
      <c r="J105" s="172"/>
      <c r="K105" s="172"/>
      <c r="L105" s="173">
        <f>I105</f>
        <v>4772.6604979275762</v>
      </c>
      <c r="M105" s="307"/>
      <c r="N105" s="307"/>
      <c r="O105" s="150"/>
      <c r="P105" s="38"/>
      <c r="Q105" s="38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J105" s="42"/>
    </row>
    <row r="106" spans="1:36" ht="16.5" hidden="1" thickBot="1">
      <c r="A106" s="1" t="s">
        <v>186</v>
      </c>
      <c r="B106" s="1"/>
      <c r="C106" s="174">
        <f>C104+C105</f>
        <v>12234573.492313853</v>
      </c>
      <c r="D106" s="175"/>
      <c r="E106" s="175"/>
      <c r="F106" s="175">
        <f>SUM(F104:F105)</f>
        <v>1255286.6604979276</v>
      </c>
      <c r="G106" s="730"/>
      <c r="H106" s="175"/>
      <c r="I106" s="175">
        <f>I104+I105</f>
        <v>1295316.6604979276</v>
      </c>
      <c r="J106" s="175"/>
      <c r="K106" s="175"/>
      <c r="L106" s="175">
        <f ca="1">L104+L105</f>
        <v>1293209.6604979276</v>
      </c>
      <c r="M106" s="274"/>
      <c r="N106" s="274"/>
      <c r="O106" s="333"/>
      <c r="P106" s="38"/>
      <c r="Q106" s="38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J106" s="42"/>
    </row>
    <row r="107" spans="1:36" ht="16.5" hidden="1" thickTop="1">
      <c r="A107" s="1"/>
      <c r="B107" s="176"/>
      <c r="C107" s="12" t="s">
        <v>13</v>
      </c>
      <c r="D107" s="1" t="s">
        <v>13</v>
      </c>
      <c r="E107" s="1"/>
      <c r="F107" s="42" t="s">
        <v>13</v>
      </c>
      <c r="G107" s="284" t="s">
        <v>13</v>
      </c>
      <c r="H107" s="1"/>
      <c r="I107" s="2" t="s">
        <v>13</v>
      </c>
      <c r="J107" s="1" t="s">
        <v>13</v>
      </c>
      <c r="K107" s="1"/>
      <c r="L107" s="2" t="s">
        <v>13</v>
      </c>
      <c r="M107" s="11"/>
      <c r="N107" s="11"/>
      <c r="O107" s="38"/>
      <c r="P107" s="38"/>
      <c r="Q107" s="38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J107" s="42"/>
    </row>
    <row r="108" spans="1:36" hidden="1">
      <c r="A108" s="156" t="s">
        <v>188</v>
      </c>
      <c r="B108" s="1"/>
      <c r="C108" s="1" t="s">
        <v>13</v>
      </c>
      <c r="D108" s="12"/>
      <c r="E108" s="1"/>
      <c r="F108" s="1"/>
      <c r="G108" s="28"/>
      <c r="H108" s="1"/>
      <c r="I108" s="1"/>
      <c r="J108" s="12"/>
      <c r="K108" s="1"/>
      <c r="L108" s="1"/>
      <c r="M108" s="11"/>
      <c r="N108" s="11"/>
      <c r="O108" s="38"/>
      <c r="P108" s="38"/>
      <c r="Q108" s="38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J108" s="42"/>
    </row>
    <row r="109" spans="1:36" hidden="1">
      <c r="A109" s="1" t="s">
        <v>135</v>
      </c>
      <c r="B109" s="1"/>
      <c r="C109" s="1"/>
      <c r="D109" s="12"/>
      <c r="E109" s="1"/>
      <c r="F109" s="1"/>
      <c r="G109" s="28"/>
      <c r="H109" s="1"/>
      <c r="I109" s="1"/>
      <c r="J109" s="12"/>
      <c r="K109" s="1"/>
      <c r="L109" s="1"/>
      <c r="M109" s="11"/>
      <c r="N109" s="11"/>
      <c r="O109" s="38"/>
      <c r="P109" s="38"/>
      <c r="Q109" s="38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J109" s="42"/>
    </row>
    <row r="110" spans="1:36" hidden="1">
      <c r="A110" s="160"/>
      <c r="B110" s="1"/>
      <c r="C110" s="1"/>
      <c r="D110" s="12"/>
      <c r="E110" s="1"/>
      <c r="F110" s="1"/>
      <c r="G110" s="28"/>
      <c r="H110" s="1"/>
      <c r="I110" s="1"/>
      <c r="J110" s="12"/>
      <c r="K110" s="1"/>
      <c r="L110" s="1"/>
      <c r="M110" s="11"/>
      <c r="N110" s="11"/>
      <c r="O110" s="38"/>
      <c r="P110" s="38"/>
      <c r="Q110" s="38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J110" s="42"/>
    </row>
    <row r="111" spans="1:36" hidden="1">
      <c r="A111" s="1" t="s">
        <v>174</v>
      </c>
      <c r="B111" s="1"/>
      <c r="C111" s="12">
        <v>60732.110967742003</v>
      </c>
      <c r="D111" s="161">
        <f>$D$65</f>
        <v>7.75</v>
      </c>
      <c r="E111" s="1"/>
      <c r="F111" s="2">
        <f>ROUND(D111*C111,0)</f>
        <v>470674</v>
      </c>
      <c r="G111" s="506">
        <v>7.75</v>
      </c>
      <c r="H111" s="1"/>
      <c r="I111" s="2">
        <f>ROUND(G111*$C111,0)</f>
        <v>470674</v>
      </c>
      <c r="J111" s="161">
        <f t="shared" ref="J111" si="9">G111</f>
        <v>7.75</v>
      </c>
      <c r="K111" s="1"/>
      <c r="L111" s="2">
        <f>ROUND(J111*$C111,0)</f>
        <v>470674</v>
      </c>
      <c r="M111" s="11"/>
      <c r="N111" s="11"/>
      <c r="O111" s="38"/>
      <c r="P111" s="38"/>
      <c r="Q111" s="38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J111" s="42"/>
    </row>
    <row r="112" spans="1:36" hidden="1">
      <c r="A112" s="1" t="s">
        <v>177</v>
      </c>
      <c r="B112" s="1"/>
      <c r="C112" s="12">
        <v>32494683.088578962</v>
      </c>
      <c r="D112" s="162">
        <f>$D$66</f>
        <v>7.2759999999999998</v>
      </c>
      <c r="E112" s="1" t="s">
        <v>178</v>
      </c>
      <c r="F112" s="2">
        <f>ROUND(C112*D112/100,0)</f>
        <v>2364313</v>
      </c>
      <c r="G112" s="731">
        <v>7.5990000000000002</v>
      </c>
      <c r="H112" s="1" t="s">
        <v>178</v>
      </c>
      <c r="I112" s="2">
        <f>ROUND(G112*$C112/100,0)</f>
        <v>2469271</v>
      </c>
      <c r="J112" s="162">
        <f ca="1">$J$66</f>
        <v>7.5819999999999999</v>
      </c>
      <c r="K112" s="1" t="s">
        <v>178</v>
      </c>
      <c r="L112" s="2">
        <f ca="1">ROUND(J112*$C112/100,0)</f>
        <v>2463747</v>
      </c>
      <c r="M112" s="11"/>
      <c r="N112" s="11"/>
      <c r="O112" s="38"/>
      <c r="P112" s="38"/>
      <c r="Q112" s="38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J112" s="42"/>
    </row>
    <row r="113" spans="1:36" hidden="1">
      <c r="A113" s="1" t="s">
        <v>179</v>
      </c>
      <c r="B113" s="1"/>
      <c r="C113" s="12">
        <v>43594753.416123003</v>
      </c>
      <c r="D113" s="162">
        <f>$D$67</f>
        <v>10.198</v>
      </c>
      <c r="E113" s="1" t="s">
        <v>178</v>
      </c>
      <c r="F113" s="2">
        <f>ROUND(C113*D113/100,0)</f>
        <v>4445793</v>
      </c>
      <c r="G113" s="731">
        <v>10.521000000000001</v>
      </c>
      <c r="H113" s="1" t="s">
        <v>178</v>
      </c>
      <c r="I113" s="2">
        <f>ROUND(G113*$C113/100,0)</f>
        <v>4586604</v>
      </c>
      <c r="J113" s="162">
        <f ca="1">$J$67</f>
        <v>10.504</v>
      </c>
      <c r="K113" s="1" t="s">
        <v>178</v>
      </c>
      <c r="L113" s="2">
        <f ca="1">ROUND(J113*$C113/100,0)</f>
        <v>4579193</v>
      </c>
      <c r="M113" s="11"/>
      <c r="N113" s="11"/>
      <c r="O113" s="38"/>
      <c r="P113" s="38"/>
      <c r="Q113" s="38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J113" s="42"/>
    </row>
    <row r="114" spans="1:36" hidden="1">
      <c r="A114" s="1" t="s">
        <v>181</v>
      </c>
      <c r="B114" s="1"/>
      <c r="C114" s="12">
        <v>0</v>
      </c>
      <c r="D114" s="164">
        <f>$D$68</f>
        <v>1.78</v>
      </c>
      <c r="E114" s="1"/>
      <c r="F114" s="2">
        <v>0</v>
      </c>
      <c r="G114" s="506">
        <v>1.78</v>
      </c>
      <c r="H114" s="1"/>
      <c r="I114" s="2">
        <f>ROUND(G114*$C114,0)</f>
        <v>0</v>
      </c>
      <c r="J114" s="164">
        <f t="shared" ref="J114:J115" si="10">G114</f>
        <v>1.78</v>
      </c>
      <c r="K114" s="1"/>
      <c r="L114" s="2">
        <f>ROUND(J114*$C114,0)</f>
        <v>0</v>
      </c>
      <c r="M114" s="11"/>
      <c r="N114" s="11"/>
      <c r="O114" s="38"/>
      <c r="P114" s="38"/>
      <c r="Q114" s="38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J114" s="42"/>
    </row>
    <row r="115" spans="1:36" hidden="1">
      <c r="A115" s="166" t="s">
        <v>183</v>
      </c>
      <c r="B115" s="166"/>
      <c r="C115" s="12">
        <v>0</v>
      </c>
      <c r="D115" s="164">
        <f>$D$69</f>
        <v>3.5</v>
      </c>
      <c r="E115" s="166"/>
      <c r="F115" s="2">
        <v>0</v>
      </c>
      <c r="G115" s="506">
        <v>3.5</v>
      </c>
      <c r="H115" s="166"/>
      <c r="I115" s="2">
        <f>ROUND(G115*$C115,0)</f>
        <v>0</v>
      </c>
      <c r="J115" s="164">
        <f t="shared" si="10"/>
        <v>3.5</v>
      </c>
      <c r="K115" s="166"/>
      <c r="L115" s="2">
        <f>ROUND(J115*$C115,0)</f>
        <v>0</v>
      </c>
      <c r="M115" s="11"/>
      <c r="N115" s="11"/>
      <c r="O115" s="38"/>
      <c r="P115" s="38"/>
      <c r="Q115" s="38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J115" s="42"/>
    </row>
    <row r="116" spans="1:36" hidden="1">
      <c r="A116" s="166" t="s">
        <v>184</v>
      </c>
      <c r="B116" s="166"/>
      <c r="C116" s="12">
        <v>0</v>
      </c>
      <c r="D116" s="167">
        <f>$D$70</f>
        <v>-1.78</v>
      </c>
      <c r="E116" s="166"/>
      <c r="F116" s="2">
        <v>0</v>
      </c>
      <c r="G116" s="506">
        <v>-1.78</v>
      </c>
      <c r="H116" s="166"/>
      <c r="I116" s="2">
        <f>ROUND(G116*$C116,0)</f>
        <v>0</v>
      </c>
      <c r="J116" s="167">
        <f>-J114</f>
        <v>-1.78</v>
      </c>
      <c r="K116" s="166"/>
      <c r="L116" s="2">
        <f>ROUND(J116*$C116,0)</f>
        <v>0</v>
      </c>
      <c r="M116" s="11"/>
      <c r="N116" s="11"/>
      <c r="O116" s="38"/>
      <c r="P116" s="38"/>
      <c r="Q116" s="38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J116" s="42"/>
    </row>
    <row r="117" spans="1:36" hidden="1">
      <c r="A117" s="1" t="s">
        <v>185</v>
      </c>
      <c r="B117" s="1"/>
      <c r="C117" s="12">
        <f>SUM(C112:C113)</f>
        <v>76089436.504701972</v>
      </c>
      <c r="D117" s="518"/>
      <c r="E117" s="2"/>
      <c r="F117" s="2">
        <f>SUM(F111:F116)</f>
        <v>7280780</v>
      </c>
      <c r="G117" s="516"/>
      <c r="H117" s="2"/>
      <c r="I117" s="2">
        <f>SUM(I111:I116)</f>
        <v>7526549</v>
      </c>
      <c r="J117" s="2"/>
      <c r="K117" s="2"/>
      <c r="L117" s="2">
        <f ca="1">SUM(L111:L116)</f>
        <v>7513614</v>
      </c>
      <c r="M117" s="11"/>
      <c r="N117" s="11"/>
      <c r="O117" s="38"/>
      <c r="P117" s="38"/>
      <c r="Q117" s="38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J117" s="42"/>
    </row>
    <row r="118" spans="1:36" hidden="1">
      <c r="A118" s="1" t="s">
        <v>167</v>
      </c>
      <c r="B118" s="1"/>
      <c r="C118" s="180">
        <v>-1022509.0872067123</v>
      </c>
      <c r="D118" s="172"/>
      <c r="E118" s="172"/>
      <c r="F118" s="173">
        <v>28654.901740030542</v>
      </c>
      <c r="G118" s="284"/>
      <c r="H118" s="172"/>
      <c r="I118" s="173">
        <f>F118</f>
        <v>28654.901740030542</v>
      </c>
      <c r="J118" s="172"/>
      <c r="K118" s="172"/>
      <c r="L118" s="173">
        <f>I118</f>
        <v>28654.901740030542</v>
      </c>
      <c r="M118" s="307"/>
      <c r="N118" s="307"/>
      <c r="O118" s="150"/>
      <c r="P118" s="38"/>
      <c r="Q118" s="38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J118" s="42"/>
    </row>
    <row r="119" spans="1:36" ht="16.5" hidden="1" thickBot="1">
      <c r="A119" s="1" t="s">
        <v>186</v>
      </c>
      <c r="B119" s="1"/>
      <c r="C119" s="174">
        <f>C117+C118</f>
        <v>75066927.417495266</v>
      </c>
      <c r="D119" s="175"/>
      <c r="E119" s="175"/>
      <c r="F119" s="175">
        <f>SUM(F117:F118)</f>
        <v>7309434.9017400304</v>
      </c>
      <c r="G119" s="730"/>
      <c r="H119" s="175"/>
      <c r="I119" s="175">
        <f>I117+I118</f>
        <v>7555203.9017400304</v>
      </c>
      <c r="J119" s="175"/>
      <c r="K119" s="175"/>
      <c r="L119" s="175">
        <f ca="1">L117+L118</f>
        <v>7542268.9017400304</v>
      </c>
      <c r="M119" s="274"/>
      <c r="N119" s="274"/>
      <c r="O119" s="333"/>
      <c r="P119" s="38"/>
      <c r="Q119" s="38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J119" s="42"/>
    </row>
    <row r="120" spans="1:36" ht="16.5" hidden="1" thickTop="1">
      <c r="A120" s="1"/>
      <c r="B120" s="1"/>
      <c r="C120" s="213"/>
      <c r="D120" s="20"/>
      <c r="E120" s="20"/>
      <c r="F120" s="20"/>
      <c r="G120" s="622"/>
      <c r="H120" s="20"/>
      <c r="I120" s="20"/>
      <c r="J120" s="20"/>
      <c r="K120" s="20"/>
      <c r="L120" s="20"/>
      <c r="M120" s="274"/>
      <c r="N120" s="274"/>
      <c r="O120" s="333"/>
      <c r="P120" s="38"/>
      <c r="Q120" s="38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J120" s="42"/>
    </row>
    <row r="121" spans="1:36" hidden="1">
      <c r="A121" s="1"/>
      <c r="B121" s="1"/>
      <c r="C121" s="213"/>
      <c r="D121" s="20"/>
      <c r="E121" s="20"/>
      <c r="F121" s="20"/>
      <c r="G121" s="622"/>
      <c r="H121" s="20"/>
      <c r="I121" s="20"/>
      <c r="J121" s="20"/>
      <c r="K121" s="20"/>
      <c r="L121" s="20"/>
      <c r="M121" s="274"/>
      <c r="N121" s="274"/>
      <c r="O121" s="333"/>
      <c r="P121" s="38"/>
      <c r="Q121" s="38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J121" s="42"/>
    </row>
    <row r="122" spans="1:36">
      <c r="A122" s="156" t="s">
        <v>552</v>
      </c>
      <c r="B122" s="1"/>
      <c r="C122" s="1"/>
      <c r="D122" s="12"/>
      <c r="E122" s="1"/>
      <c r="F122" s="170"/>
      <c r="G122" s="28"/>
      <c r="H122" s="1"/>
      <c r="I122" s="1"/>
      <c r="J122" s="12"/>
      <c r="K122" s="1"/>
      <c r="L122" s="1"/>
      <c r="M122" s="274"/>
      <c r="N122" s="274"/>
      <c r="O122" s="333"/>
      <c r="P122" s="38"/>
      <c r="Q122" s="38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J122" s="42"/>
    </row>
    <row r="123" spans="1:36">
      <c r="A123" s="1" t="s">
        <v>554</v>
      </c>
      <c r="B123" s="1"/>
      <c r="C123" s="1"/>
      <c r="D123" s="12"/>
      <c r="E123" s="1"/>
      <c r="F123" s="1"/>
      <c r="G123" s="731" t="s">
        <v>13</v>
      </c>
      <c r="H123" s="1"/>
      <c r="I123" s="1"/>
      <c r="J123" s="505" t="s">
        <v>13</v>
      </c>
      <c r="K123" s="1"/>
      <c r="L123" s="1"/>
      <c r="M123" s="274"/>
      <c r="N123" s="274"/>
      <c r="O123" s="333"/>
      <c r="P123" s="38"/>
      <c r="Q123" s="38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J123" s="42"/>
    </row>
    <row r="124" spans="1:36">
      <c r="A124" s="160"/>
      <c r="B124" s="1"/>
      <c r="C124" s="1"/>
      <c r="D124" s="12"/>
      <c r="E124" s="1"/>
      <c r="F124" s="1"/>
      <c r="G124" s="28"/>
      <c r="H124" s="1"/>
      <c r="I124" s="1"/>
      <c r="J124" s="12"/>
      <c r="K124" s="1"/>
      <c r="L124" s="1"/>
      <c r="M124" s="274"/>
      <c r="N124" s="274"/>
      <c r="O124" s="333"/>
      <c r="P124" s="38"/>
      <c r="Q124" s="38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J124" s="42"/>
    </row>
    <row r="125" spans="1:36">
      <c r="A125" s="1" t="s">
        <v>174</v>
      </c>
      <c r="B125" s="1"/>
      <c r="C125" s="12">
        <v>0</v>
      </c>
      <c r="D125" s="161">
        <v>7.75</v>
      </c>
      <c r="E125" s="1"/>
      <c r="F125" s="2">
        <f>C125*D125</f>
        <v>0</v>
      </c>
      <c r="G125" s="506">
        <v>7.75</v>
      </c>
      <c r="H125" s="1"/>
      <c r="I125" s="2">
        <f>C125*G125</f>
        <v>0</v>
      </c>
      <c r="J125" s="164">
        <f t="shared" ref="J125" si="11">G125</f>
        <v>7.75</v>
      </c>
      <c r="K125" s="1"/>
      <c r="L125" s="2">
        <f>F125*J125</f>
        <v>0</v>
      </c>
      <c r="M125" s="274"/>
      <c r="N125" s="274"/>
      <c r="O125" s="333"/>
      <c r="P125" s="38"/>
      <c r="Q125" s="38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J125" s="42"/>
    </row>
    <row r="126" spans="1:36">
      <c r="A126" s="1" t="s">
        <v>553</v>
      </c>
      <c r="B126" s="1"/>
      <c r="C126" s="12">
        <v>0</v>
      </c>
      <c r="D126" s="161">
        <v>2</v>
      </c>
      <c r="E126" s="1"/>
      <c r="F126" s="2">
        <f>C126*D126</f>
        <v>0</v>
      </c>
      <c r="G126" s="506">
        <v>2</v>
      </c>
      <c r="H126" s="1"/>
      <c r="I126" s="2">
        <f>C126*G126</f>
        <v>0</v>
      </c>
      <c r="J126" s="164">
        <v>2</v>
      </c>
      <c r="K126" s="1"/>
      <c r="L126" s="2">
        <f>F126*J126</f>
        <v>0</v>
      </c>
      <c r="M126" s="274"/>
      <c r="N126" s="274"/>
      <c r="O126" s="333"/>
      <c r="P126" s="38"/>
      <c r="Q126" s="38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J126" s="42"/>
    </row>
    <row r="127" spans="1:36">
      <c r="A127" s="1" t="s">
        <v>557</v>
      </c>
      <c r="B127" s="1"/>
      <c r="C127" s="12">
        <v>0</v>
      </c>
      <c r="D127" s="162">
        <v>11.98</v>
      </c>
      <c r="E127" s="1" t="s">
        <v>178</v>
      </c>
      <c r="F127" s="2">
        <f>C127*D127/100</f>
        <v>0</v>
      </c>
      <c r="G127" s="731">
        <v>12.303245402690997</v>
      </c>
      <c r="H127" s="1" t="s">
        <v>178</v>
      </c>
      <c r="I127" s="2">
        <f>C127*G127/100</f>
        <v>0</v>
      </c>
      <c r="J127" s="162">
        <f t="shared" ref="J127:J128" ca="1" si="12">ROUND(G127+($O$63/$C$75)*100,3)</f>
        <v>12.286</v>
      </c>
      <c r="K127" s="1" t="s">
        <v>178</v>
      </c>
      <c r="L127" s="2">
        <f ca="1">F127*J127/100</f>
        <v>0</v>
      </c>
      <c r="M127" s="274"/>
      <c r="N127" s="274"/>
      <c r="O127" s="333"/>
      <c r="P127" s="38"/>
      <c r="Q127" s="38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J127" s="42"/>
    </row>
    <row r="128" spans="1:36">
      <c r="A128" s="1" t="s">
        <v>558</v>
      </c>
      <c r="B128" s="1"/>
      <c r="C128" s="12">
        <v>0</v>
      </c>
      <c r="D128" s="162">
        <v>6.6749999999999998</v>
      </c>
      <c r="E128" s="1" t="s">
        <v>178</v>
      </c>
      <c r="F128" s="2">
        <f>C128*D128/100</f>
        <v>0</v>
      </c>
      <c r="G128" s="731">
        <v>6.9982454026909977</v>
      </c>
      <c r="H128" s="1" t="s">
        <v>178</v>
      </c>
      <c r="I128" s="2">
        <f>C128*G128/100</f>
        <v>0</v>
      </c>
      <c r="J128" s="162">
        <f t="shared" ca="1" si="12"/>
        <v>6.9809999999999999</v>
      </c>
      <c r="K128" s="1" t="s">
        <v>178</v>
      </c>
      <c r="L128" s="2">
        <f ca="1">F128*J128/100</f>
        <v>0</v>
      </c>
      <c r="M128" s="274"/>
      <c r="N128" s="274"/>
      <c r="O128" s="333"/>
      <c r="P128" s="38"/>
      <c r="Q128" s="38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J128" s="42"/>
    </row>
    <row r="129" spans="1:36">
      <c r="A129" s="1" t="s">
        <v>185</v>
      </c>
      <c r="B129" s="168"/>
      <c r="C129" s="12">
        <v>0</v>
      </c>
      <c r="D129" s="518"/>
      <c r="E129" s="2"/>
      <c r="F129" s="2">
        <f>SUM(F125:F128)</f>
        <v>0</v>
      </c>
      <c r="G129" s="516"/>
      <c r="H129" s="2"/>
      <c r="I129" s="2">
        <f>SUM(I125:I128)</f>
        <v>0</v>
      </c>
      <c r="J129" s="2"/>
      <c r="K129" s="2"/>
      <c r="L129" s="2">
        <f ca="1">SUM(L125:L128)</f>
        <v>0</v>
      </c>
      <c r="M129" s="274"/>
      <c r="N129" s="274"/>
      <c r="O129" s="333"/>
      <c r="P129" s="38"/>
      <c r="Q129" s="38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J129" s="42"/>
    </row>
    <row r="130" spans="1:36">
      <c r="A130" s="1" t="s">
        <v>167</v>
      </c>
      <c r="B130" s="170"/>
      <c r="C130" s="171">
        <v>0</v>
      </c>
      <c r="D130" s="172"/>
      <c r="E130" s="172"/>
      <c r="F130" s="173">
        <v>0</v>
      </c>
      <c r="G130" s="284"/>
      <c r="H130" s="172"/>
      <c r="I130" s="173">
        <v>0</v>
      </c>
      <c r="J130" s="172"/>
      <c r="K130" s="172"/>
      <c r="L130" s="173">
        <v>0</v>
      </c>
      <c r="M130" s="274"/>
      <c r="N130" s="274"/>
      <c r="O130" s="333"/>
      <c r="P130" s="38"/>
      <c r="Q130" s="38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J130" s="42"/>
    </row>
    <row r="131" spans="1:36" ht="16.5" thickBot="1">
      <c r="A131" s="1" t="s">
        <v>186</v>
      </c>
      <c r="B131" s="1"/>
      <c r="C131" s="174">
        <v>0</v>
      </c>
      <c r="D131" s="175"/>
      <c r="E131" s="175"/>
      <c r="F131" s="175">
        <f>F129+F130</f>
        <v>0</v>
      </c>
      <c r="G131" s="730"/>
      <c r="H131" s="175"/>
      <c r="I131" s="175">
        <f>I129+I130</f>
        <v>0</v>
      </c>
      <c r="J131" s="175"/>
      <c r="K131" s="175"/>
      <c r="L131" s="175">
        <f ca="1">L129+L130</f>
        <v>0</v>
      </c>
      <c r="M131" s="274"/>
      <c r="N131" s="274"/>
      <c r="O131" s="333"/>
      <c r="P131" s="38"/>
      <c r="Q131" s="38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J131" s="42"/>
    </row>
    <row r="132" spans="1:36" ht="16.5" hidden="1" thickTop="1">
      <c r="A132" s="1"/>
      <c r="B132" s="1"/>
      <c r="C132" s="213"/>
      <c r="D132" s="20"/>
      <c r="E132" s="20"/>
      <c r="F132" s="20"/>
      <c r="G132" s="622"/>
      <c r="H132" s="20"/>
      <c r="I132" s="20"/>
      <c r="J132" s="20"/>
      <c r="K132" s="20"/>
      <c r="L132" s="20"/>
      <c r="M132" s="274"/>
      <c r="N132" s="274"/>
      <c r="O132" s="333"/>
      <c r="P132" s="38"/>
      <c r="Q132" s="38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J132" s="42"/>
    </row>
    <row r="133" spans="1:36" ht="16.5" hidden="1" thickTop="1">
      <c r="A133" s="1"/>
      <c r="B133" s="1"/>
      <c r="C133" s="213"/>
      <c r="D133" s="20"/>
      <c r="E133" s="20"/>
      <c r="F133" s="20"/>
      <c r="G133" s="622"/>
      <c r="H133" s="20"/>
      <c r="I133" s="20"/>
      <c r="J133" s="20"/>
      <c r="K133" s="20"/>
      <c r="L133" s="20"/>
      <c r="M133" s="274"/>
      <c r="N133" s="274"/>
      <c r="O133" s="333"/>
      <c r="P133" s="38"/>
      <c r="Q133" s="38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J133" s="42"/>
    </row>
    <row r="134" spans="1:36" ht="16.5" hidden="1" thickTop="1">
      <c r="A134" s="1"/>
      <c r="B134" s="1"/>
      <c r="C134" s="213"/>
      <c r="D134" s="20"/>
      <c r="E134" s="20"/>
      <c r="F134" s="20"/>
      <c r="G134" s="622"/>
      <c r="H134" s="20"/>
      <c r="I134" s="20"/>
      <c r="J134" s="20"/>
      <c r="K134" s="20"/>
      <c r="L134" s="20"/>
      <c r="M134" s="274"/>
      <c r="N134" s="274"/>
      <c r="O134" s="333"/>
      <c r="P134" s="38"/>
      <c r="Q134" s="38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J134" s="42"/>
    </row>
    <row r="135" spans="1:36" ht="16.5" hidden="1" thickTop="1">
      <c r="A135" s="1"/>
      <c r="B135" s="1"/>
      <c r="C135" s="213"/>
      <c r="D135" s="20"/>
      <c r="E135" s="20"/>
      <c r="F135" s="20"/>
      <c r="G135" s="622"/>
      <c r="H135" s="20"/>
      <c r="I135" s="20"/>
      <c r="J135" s="20"/>
      <c r="K135" s="20"/>
      <c r="L135" s="20"/>
      <c r="M135" s="274"/>
      <c r="N135" s="274"/>
      <c r="O135" s="333"/>
      <c r="P135" s="38"/>
      <c r="Q135" s="38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J135" s="42"/>
    </row>
    <row r="136" spans="1:36" ht="16.5" hidden="1" thickTop="1">
      <c r="A136" s="1"/>
      <c r="B136" s="1"/>
      <c r="C136" s="213"/>
      <c r="D136" s="20"/>
      <c r="E136" s="20"/>
      <c r="F136" s="20"/>
      <c r="G136" s="622"/>
      <c r="H136" s="20"/>
      <c r="I136" s="20"/>
      <c r="J136" s="20"/>
      <c r="K136" s="20"/>
      <c r="L136" s="20"/>
      <c r="M136" s="274"/>
      <c r="N136" s="274"/>
      <c r="O136" s="333"/>
      <c r="P136" s="38"/>
      <c r="Q136" s="38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J136" s="42"/>
    </row>
    <row r="137" spans="1:36" ht="16.5" hidden="1" thickTop="1">
      <c r="A137" s="1"/>
      <c r="B137" s="1"/>
      <c r="C137" s="213"/>
      <c r="D137" s="20"/>
      <c r="E137" s="20"/>
      <c r="F137" s="20"/>
      <c r="G137" s="622"/>
      <c r="H137" s="20"/>
      <c r="I137" s="20"/>
      <c r="J137" s="20"/>
      <c r="K137" s="20"/>
      <c r="L137" s="20"/>
      <c r="M137" s="274"/>
      <c r="N137" s="274"/>
      <c r="O137" s="333"/>
      <c r="P137" s="38"/>
      <c r="Q137" s="38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J137" s="42"/>
    </row>
    <row r="138" spans="1:36" ht="16.5" hidden="1" thickTop="1">
      <c r="A138" s="1"/>
      <c r="B138" s="1"/>
      <c r="C138" s="213"/>
      <c r="D138" s="20"/>
      <c r="E138" s="20"/>
      <c r="F138" s="20"/>
      <c r="G138" s="622"/>
      <c r="H138" s="20"/>
      <c r="I138" s="20"/>
      <c r="J138" s="20"/>
      <c r="K138" s="20"/>
      <c r="L138" s="20"/>
      <c r="M138" s="274"/>
      <c r="N138" s="274"/>
      <c r="O138" s="333"/>
      <c r="P138" s="38"/>
      <c r="Q138" s="38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J138" s="42"/>
    </row>
    <row r="139" spans="1:36" ht="16.5" thickTop="1">
      <c r="A139" s="1"/>
      <c r="B139" s="176"/>
      <c r="C139" s="12" t="s">
        <v>13</v>
      </c>
      <c r="D139" s="1" t="s">
        <v>13</v>
      </c>
      <c r="E139" s="1"/>
      <c r="G139" s="284" t="s">
        <v>13</v>
      </c>
      <c r="H139" s="1"/>
      <c r="I139" s="2" t="s">
        <v>13</v>
      </c>
      <c r="J139" s="1" t="s">
        <v>13</v>
      </c>
      <c r="K139" s="1"/>
      <c r="L139" s="2" t="s">
        <v>13</v>
      </c>
      <c r="M139" s="11"/>
      <c r="N139" s="11"/>
      <c r="O139" s="38"/>
      <c r="P139" s="38"/>
      <c r="Q139" s="38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J139" s="42"/>
    </row>
    <row r="140" spans="1:36" hidden="1">
      <c r="A140" s="156" t="s">
        <v>189</v>
      </c>
      <c r="B140" s="1"/>
      <c r="C140" s="1" t="s">
        <v>13</v>
      </c>
      <c r="D140" s="12"/>
      <c r="E140" s="1"/>
      <c r="F140" s="1"/>
      <c r="G140" s="28"/>
      <c r="H140" s="1"/>
      <c r="I140" s="1"/>
      <c r="J140" s="12"/>
      <c r="K140" s="1"/>
      <c r="L140" s="1"/>
      <c r="M140" s="11"/>
      <c r="N140" s="11"/>
      <c r="O140" s="38"/>
      <c r="P140" s="38"/>
      <c r="Q140" s="38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J140" s="42"/>
    </row>
    <row r="141" spans="1:36" hidden="1">
      <c r="A141" s="1" t="s">
        <v>135</v>
      </c>
      <c r="B141" s="1"/>
      <c r="C141" s="1"/>
      <c r="D141" s="12"/>
      <c r="E141" s="1"/>
      <c r="F141" s="1"/>
      <c r="G141" s="28"/>
      <c r="H141" s="1"/>
      <c r="I141" s="1"/>
      <c r="J141" s="12"/>
      <c r="K141" s="1"/>
      <c r="L141" s="1"/>
      <c r="M141" s="11"/>
      <c r="N141" s="11"/>
      <c r="O141" s="38"/>
      <c r="P141" s="38"/>
      <c r="Q141" s="38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J141" s="42"/>
    </row>
    <row r="142" spans="1:36" hidden="1">
      <c r="A142" s="160"/>
      <c r="B142" s="1"/>
      <c r="C142" s="1"/>
      <c r="D142" s="12"/>
      <c r="E142" s="1"/>
      <c r="F142" s="1"/>
      <c r="G142" s="28"/>
      <c r="H142" s="1"/>
      <c r="I142" s="1"/>
      <c r="J142" s="12"/>
      <c r="K142" s="1"/>
      <c r="L142" s="1"/>
      <c r="M142" s="11"/>
      <c r="N142" s="11"/>
      <c r="O142" s="38"/>
      <c r="P142" s="38"/>
      <c r="Q142" s="38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J142" s="42"/>
    </row>
    <row r="143" spans="1:36" hidden="1">
      <c r="A143" s="1" t="s">
        <v>174</v>
      </c>
      <c r="B143" s="1"/>
      <c r="C143" s="12">
        <v>948.63612903225805</v>
      </c>
      <c r="D143" s="161">
        <f>$D$65</f>
        <v>7.75</v>
      </c>
      <c r="E143" s="1"/>
      <c r="F143" s="2">
        <f>ROUND(D143*C143,0)</f>
        <v>7352</v>
      </c>
      <c r="G143" s="506">
        <v>7.75</v>
      </c>
      <c r="H143" s="1"/>
      <c r="I143" s="2">
        <f>ROUND(G143*$C143,0)</f>
        <v>7352</v>
      </c>
      <c r="J143" s="161">
        <f>$G$65</f>
        <v>7.75</v>
      </c>
      <c r="K143" s="1"/>
      <c r="L143" s="2">
        <f>ROUND(J143*$C143,0)</f>
        <v>7352</v>
      </c>
      <c r="M143" s="11"/>
      <c r="N143" s="11"/>
      <c r="O143" s="38"/>
      <c r="P143" s="38"/>
      <c r="Q143" s="38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J143" s="42"/>
    </row>
    <row r="144" spans="1:36" hidden="1">
      <c r="A144" s="1" t="s">
        <v>177</v>
      </c>
      <c r="B144" s="1"/>
      <c r="C144" s="12">
        <v>507458.17214397719</v>
      </c>
      <c r="D144" s="162">
        <f>$D$66</f>
        <v>7.2759999999999998</v>
      </c>
      <c r="E144" s="1" t="s">
        <v>178</v>
      </c>
      <c r="F144" s="2">
        <f>ROUND(C144*D144/100,0)</f>
        <v>36923</v>
      </c>
      <c r="G144" s="731">
        <v>7.5990000000000002</v>
      </c>
      <c r="H144" s="1" t="s">
        <v>178</v>
      </c>
      <c r="I144" s="2">
        <f>ROUND(G144*$C144/100,0)</f>
        <v>38562</v>
      </c>
      <c r="J144" s="162">
        <f ca="1">$J$66</f>
        <v>7.5819999999999999</v>
      </c>
      <c r="K144" s="1" t="s">
        <v>178</v>
      </c>
      <c r="L144" s="2">
        <f ca="1">ROUND(J144*$C144/100,0)</f>
        <v>38475</v>
      </c>
      <c r="M144" s="11"/>
      <c r="N144" s="11"/>
      <c r="O144" s="38"/>
      <c r="P144" s="38"/>
      <c r="Q144" s="38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J144" s="42"/>
    </row>
    <row r="145" spans="1:36" hidden="1">
      <c r="A145" s="1" t="s">
        <v>179</v>
      </c>
      <c r="B145" s="1"/>
      <c r="C145" s="12">
        <v>1526171.3935806504</v>
      </c>
      <c r="D145" s="162">
        <f>$D$67</f>
        <v>10.198</v>
      </c>
      <c r="E145" s="1" t="s">
        <v>178</v>
      </c>
      <c r="F145" s="2">
        <f>ROUND(C145*D145/100,0)</f>
        <v>155639</v>
      </c>
      <c r="G145" s="731">
        <v>10.521000000000001</v>
      </c>
      <c r="H145" s="1" t="s">
        <v>178</v>
      </c>
      <c r="I145" s="2">
        <f>ROUND(G145*$C145/100,0)</f>
        <v>160568</v>
      </c>
      <c r="J145" s="162">
        <f ca="1">$J$67</f>
        <v>10.504</v>
      </c>
      <c r="K145" s="1" t="s">
        <v>178</v>
      </c>
      <c r="L145" s="2">
        <f ca="1">ROUND(J145*$C145/100,0)</f>
        <v>160309</v>
      </c>
      <c r="M145" s="11"/>
      <c r="N145" s="11"/>
      <c r="O145" s="38"/>
      <c r="P145" s="38"/>
      <c r="Q145" s="38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J145" s="42"/>
    </row>
    <row r="146" spans="1:36" hidden="1">
      <c r="A146" s="1" t="s">
        <v>181</v>
      </c>
      <c r="B146" s="1"/>
      <c r="C146" s="12">
        <v>4421</v>
      </c>
      <c r="D146" s="164">
        <f>$D$68</f>
        <v>1.78</v>
      </c>
      <c r="E146" s="1"/>
      <c r="F146" s="2">
        <f>ROUND(D146*C146,0)</f>
        <v>7869</v>
      </c>
      <c r="G146" s="506">
        <v>1.78</v>
      </c>
      <c r="H146" s="1"/>
      <c r="I146" s="2">
        <f>ROUND(G146*$C146,0)</f>
        <v>7869</v>
      </c>
      <c r="J146" s="164">
        <f>$G$68</f>
        <v>1.78</v>
      </c>
      <c r="K146" s="1"/>
      <c r="L146" s="2">
        <f>ROUND(J146*$C146,0)</f>
        <v>7869</v>
      </c>
      <c r="M146" s="11"/>
      <c r="N146" s="11"/>
      <c r="O146" s="38"/>
      <c r="P146" s="38"/>
      <c r="Q146" s="38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J146" s="42"/>
    </row>
    <row r="147" spans="1:36" hidden="1">
      <c r="A147" s="166" t="s">
        <v>183</v>
      </c>
      <c r="B147" s="166"/>
      <c r="C147" s="12">
        <v>594</v>
      </c>
      <c r="D147" s="164">
        <f>$D$69</f>
        <v>3.5</v>
      </c>
      <c r="E147" s="166"/>
      <c r="F147" s="2">
        <f>ROUND(D147*C147,0)</f>
        <v>2079</v>
      </c>
      <c r="G147" s="506">
        <v>3.5</v>
      </c>
      <c r="H147" s="166"/>
      <c r="I147" s="2">
        <f>ROUND(G147*$C147,0)</f>
        <v>2079</v>
      </c>
      <c r="J147" s="164">
        <f>$G$69</f>
        <v>3.5</v>
      </c>
      <c r="K147" s="166"/>
      <c r="L147" s="2">
        <f>ROUND(J147*$C147,0)</f>
        <v>2079</v>
      </c>
      <c r="M147" s="11"/>
      <c r="N147" s="11"/>
      <c r="O147" s="38"/>
      <c r="P147" s="38"/>
      <c r="Q147" s="38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J147" s="42"/>
    </row>
    <row r="148" spans="1:36" hidden="1">
      <c r="A148" s="166" t="s">
        <v>184</v>
      </c>
      <c r="B148" s="166"/>
      <c r="C148" s="12">
        <v>74</v>
      </c>
      <c r="D148" s="167">
        <f>$D$70</f>
        <v>-1.78</v>
      </c>
      <c r="E148" s="166"/>
      <c r="F148" s="2">
        <f>ROUND(D148*C148,0)</f>
        <v>-132</v>
      </c>
      <c r="G148" s="506">
        <v>-1.78</v>
      </c>
      <c r="H148" s="166"/>
      <c r="I148" s="2">
        <f>ROUND(G148*$C148,0)</f>
        <v>-132</v>
      </c>
      <c r="J148" s="167">
        <f>-J146</f>
        <v>-1.78</v>
      </c>
      <c r="K148" s="166"/>
      <c r="L148" s="2">
        <f>ROUND(J148*$C148,0)</f>
        <v>-132</v>
      </c>
      <c r="M148" s="11"/>
      <c r="N148" s="11"/>
      <c r="O148" s="38"/>
      <c r="P148" s="38"/>
      <c r="Q148" s="38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J148" s="42"/>
    </row>
    <row r="149" spans="1:36" hidden="1">
      <c r="A149" s="1" t="s">
        <v>185</v>
      </c>
      <c r="B149" s="168"/>
      <c r="C149" s="12">
        <f>SUM(C144:C145)</f>
        <v>2033629.5657246276</v>
      </c>
      <c r="D149" s="518"/>
      <c r="E149" s="2"/>
      <c r="F149" s="2">
        <f>SUM(F143:F148)</f>
        <v>209730</v>
      </c>
      <c r="G149" s="516"/>
      <c r="H149" s="2"/>
      <c r="I149" s="2">
        <f>SUM(I143:I148)</f>
        <v>216298</v>
      </c>
      <c r="J149" s="2"/>
      <c r="K149" s="2"/>
      <c r="L149" s="2">
        <f ca="1">SUM(L143:L148)</f>
        <v>215952</v>
      </c>
      <c r="M149" s="11"/>
      <c r="N149" s="11"/>
      <c r="O149" s="38"/>
      <c r="P149" s="38"/>
      <c r="Q149" s="38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J149" s="42"/>
    </row>
    <row r="150" spans="1:36" hidden="1">
      <c r="A150" s="1" t="s">
        <v>167</v>
      </c>
      <c r="B150" s="15"/>
      <c r="C150" s="180">
        <v>-27187.606745109897</v>
      </c>
      <c r="D150" s="172"/>
      <c r="E150" s="172"/>
      <c r="F150" s="173">
        <v>849.76750150481053</v>
      </c>
      <c r="G150" s="284"/>
      <c r="H150" s="172"/>
      <c r="I150" s="173">
        <f>F150</f>
        <v>849.76750150481053</v>
      </c>
      <c r="J150" s="172"/>
      <c r="K150" s="172"/>
      <c r="L150" s="173">
        <f>I150</f>
        <v>849.76750150481053</v>
      </c>
      <c r="M150" s="307"/>
      <c r="N150" s="307"/>
      <c r="O150" s="150"/>
      <c r="P150" s="38"/>
      <c r="Q150" s="38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J150" s="42"/>
    </row>
    <row r="151" spans="1:36" ht="16.5" hidden="1" thickBot="1">
      <c r="A151" s="1" t="s">
        <v>186</v>
      </c>
      <c r="B151" s="1"/>
      <c r="C151" s="174">
        <f>C149+C150</f>
        <v>2006441.9589795177</v>
      </c>
      <c r="D151" s="175"/>
      <c r="E151" s="175"/>
      <c r="F151" s="175">
        <f>F149+F150</f>
        <v>210579.7675015048</v>
      </c>
      <c r="G151" s="730"/>
      <c r="H151" s="175"/>
      <c r="I151" s="175">
        <f>I149+I150</f>
        <v>217147.7675015048</v>
      </c>
      <c r="J151" s="175"/>
      <c r="K151" s="175"/>
      <c r="L151" s="175">
        <f ca="1">L149+L150</f>
        <v>216801.7675015048</v>
      </c>
      <c r="M151" s="274"/>
      <c r="N151" s="274"/>
      <c r="O151" s="333"/>
      <c r="P151" s="38"/>
      <c r="Q151" s="38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J151" s="42"/>
    </row>
    <row r="152" spans="1:36" ht="16.5" hidden="1" thickTop="1">
      <c r="A152" s="1"/>
      <c r="B152" s="176"/>
      <c r="C152" s="12" t="s">
        <v>13</v>
      </c>
      <c r="D152" s="1" t="s">
        <v>13</v>
      </c>
      <c r="E152" s="1"/>
      <c r="G152" s="284" t="s">
        <v>13</v>
      </c>
      <c r="H152" s="1"/>
      <c r="I152" s="2" t="s">
        <v>13</v>
      </c>
      <c r="J152" s="1" t="s">
        <v>13</v>
      </c>
      <c r="K152" s="1"/>
      <c r="L152" s="2" t="s">
        <v>13</v>
      </c>
      <c r="M152" s="11"/>
      <c r="N152" s="11"/>
      <c r="O152" s="38"/>
      <c r="P152" s="38"/>
      <c r="Q152" s="38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J152" s="42"/>
    </row>
    <row r="153" spans="1:36" hidden="1">
      <c r="A153" s="156" t="s">
        <v>190</v>
      </c>
      <c r="B153" s="1"/>
      <c r="C153" s="1"/>
      <c r="D153" s="12"/>
      <c r="E153" s="1"/>
      <c r="F153" s="1"/>
      <c r="G153" s="28"/>
      <c r="H153" s="1"/>
      <c r="I153" s="1"/>
      <c r="J153" s="12"/>
      <c r="K153" s="1"/>
      <c r="L153" s="1"/>
      <c r="M153" s="11"/>
      <c r="N153" s="11"/>
      <c r="O153" s="38"/>
      <c r="P153" s="38"/>
      <c r="Q153" s="38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J153" s="42"/>
    </row>
    <row r="154" spans="1:36" hidden="1">
      <c r="A154" s="1" t="s">
        <v>135</v>
      </c>
      <c r="B154" s="1"/>
      <c r="C154" s="1"/>
      <c r="D154" s="12"/>
      <c r="E154" s="1"/>
      <c r="F154" s="1"/>
      <c r="G154" s="28"/>
      <c r="H154" s="1"/>
      <c r="I154" s="1"/>
      <c r="J154" s="12"/>
      <c r="K154" s="1"/>
      <c r="L154" s="1"/>
      <c r="M154" s="11"/>
      <c r="N154" s="11"/>
      <c r="O154" s="38"/>
      <c r="P154" s="38"/>
      <c r="Q154" s="38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J154" s="42"/>
    </row>
    <row r="155" spans="1:36" hidden="1">
      <c r="A155" s="160"/>
      <c r="B155" s="1"/>
      <c r="C155" s="1"/>
      <c r="D155" s="12"/>
      <c r="E155" s="1"/>
      <c r="F155" s="1"/>
      <c r="G155" s="28"/>
      <c r="H155" s="1"/>
      <c r="I155" s="1"/>
      <c r="J155" s="12"/>
      <c r="K155" s="1"/>
      <c r="L155" s="1"/>
      <c r="M155" s="11"/>
      <c r="N155" s="11"/>
      <c r="O155" s="38"/>
      <c r="P155" s="38"/>
      <c r="Q155" s="38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J155" s="42"/>
    </row>
    <row r="156" spans="1:36" hidden="1">
      <c r="A156" s="1" t="s">
        <v>174</v>
      </c>
      <c r="B156" s="1"/>
      <c r="C156" s="12">
        <v>155.966451612903</v>
      </c>
      <c r="D156" s="161">
        <f>$D$65</f>
        <v>7.75</v>
      </c>
      <c r="E156" s="1"/>
      <c r="F156" s="2">
        <f>ROUND(D156*C156,0)</f>
        <v>1209</v>
      </c>
      <c r="G156" s="506">
        <v>7.75</v>
      </c>
      <c r="H156" s="1"/>
      <c r="I156" s="2">
        <f>ROUND(G156*$C156,0)</f>
        <v>1209</v>
      </c>
      <c r="J156" s="161">
        <f>$G$65</f>
        <v>7.75</v>
      </c>
      <c r="K156" s="1"/>
      <c r="L156" s="2">
        <f>ROUND(J156*$C156,0)</f>
        <v>1209</v>
      </c>
      <c r="M156" s="11"/>
      <c r="N156" s="11"/>
      <c r="O156" s="38"/>
      <c r="P156" s="38"/>
      <c r="Q156" s="38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J156" s="42"/>
    </row>
    <row r="157" spans="1:36" hidden="1">
      <c r="A157" s="1" t="s">
        <v>177</v>
      </c>
      <c r="B157" s="1"/>
      <c r="C157" s="12">
        <v>93465.870967741896</v>
      </c>
      <c r="D157" s="162">
        <f>$D$66</f>
        <v>7.2759999999999998</v>
      </c>
      <c r="E157" s="1" t="s">
        <v>178</v>
      </c>
      <c r="F157" s="2">
        <f>ROUND(C157*D157/100,0)</f>
        <v>6801</v>
      </c>
      <c r="G157" s="731">
        <v>7.5990000000000002</v>
      </c>
      <c r="H157" s="1" t="s">
        <v>178</v>
      </c>
      <c r="I157" s="2">
        <f>ROUND(G157*$C157/100,0)</f>
        <v>7102</v>
      </c>
      <c r="J157" s="162">
        <f ca="1">$J$66</f>
        <v>7.5819999999999999</v>
      </c>
      <c r="K157" s="1" t="s">
        <v>178</v>
      </c>
      <c r="L157" s="2">
        <f ca="1">ROUND(J157*$C157/100,0)</f>
        <v>7087</v>
      </c>
      <c r="M157" s="11"/>
      <c r="N157" s="11"/>
      <c r="O157" s="38"/>
      <c r="P157" s="38"/>
      <c r="Q157" s="38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J157" s="42"/>
    </row>
    <row r="158" spans="1:36" hidden="1">
      <c r="A158" s="1" t="s">
        <v>179</v>
      </c>
      <c r="B158" s="1"/>
      <c r="C158" s="12">
        <v>227688.12903225812</v>
      </c>
      <c r="D158" s="162">
        <f>$D$67</f>
        <v>10.198</v>
      </c>
      <c r="E158" s="1" t="s">
        <v>178</v>
      </c>
      <c r="F158" s="2">
        <f>ROUND(C158*D158/100,0)</f>
        <v>23220</v>
      </c>
      <c r="G158" s="731">
        <v>10.521000000000001</v>
      </c>
      <c r="H158" s="1" t="s">
        <v>178</v>
      </c>
      <c r="I158" s="2">
        <f>ROUND(G158*$C158/100,0)</f>
        <v>23955</v>
      </c>
      <c r="J158" s="162">
        <f ca="1">$J$67</f>
        <v>10.504</v>
      </c>
      <c r="K158" s="1" t="s">
        <v>178</v>
      </c>
      <c r="L158" s="2">
        <f ca="1">ROUND(J158*$C158/100,0)</f>
        <v>23916</v>
      </c>
      <c r="M158" s="11"/>
      <c r="N158" s="11"/>
      <c r="O158" s="38"/>
      <c r="P158" s="38"/>
      <c r="Q158" s="38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J158" s="42"/>
    </row>
    <row r="159" spans="1:36" hidden="1">
      <c r="A159" s="1" t="s">
        <v>181</v>
      </c>
      <c r="B159" s="1"/>
      <c r="C159" s="12">
        <v>568</v>
      </c>
      <c r="D159" s="164">
        <f>$D$68</f>
        <v>1.78</v>
      </c>
      <c r="E159" s="1"/>
      <c r="F159" s="2">
        <f>ROUND(D159*C159,0)</f>
        <v>1011</v>
      </c>
      <c r="G159" s="506">
        <v>1.78</v>
      </c>
      <c r="H159" s="1"/>
      <c r="I159" s="2">
        <f>ROUND(G159*$C159,0)</f>
        <v>1011</v>
      </c>
      <c r="J159" s="164">
        <f>$G$68</f>
        <v>1.78</v>
      </c>
      <c r="K159" s="1"/>
      <c r="L159" s="2">
        <f>ROUND(J159*$C159,0)</f>
        <v>1011</v>
      </c>
      <c r="M159" s="11"/>
      <c r="N159" s="11"/>
      <c r="O159" s="38"/>
      <c r="P159" s="38"/>
      <c r="Q159" s="38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J159" s="42"/>
    </row>
    <row r="160" spans="1:36" hidden="1">
      <c r="A160" s="166" t="s">
        <v>183</v>
      </c>
      <c r="B160" s="166"/>
      <c r="C160" s="12">
        <v>102</v>
      </c>
      <c r="D160" s="164">
        <f>$D$69</f>
        <v>3.5</v>
      </c>
      <c r="E160" s="166"/>
      <c r="F160" s="2">
        <f>ROUND(D160*C160,0)</f>
        <v>357</v>
      </c>
      <c r="G160" s="506">
        <v>3.5</v>
      </c>
      <c r="H160" s="166"/>
      <c r="I160" s="2">
        <f>ROUND(G160*$C160,0)</f>
        <v>357</v>
      </c>
      <c r="J160" s="164">
        <f>$G$69</f>
        <v>3.5</v>
      </c>
      <c r="K160" s="166"/>
      <c r="L160" s="2">
        <f>ROUND(J160*$C160,0)</f>
        <v>357</v>
      </c>
      <c r="M160" s="11"/>
      <c r="N160" s="11"/>
      <c r="O160" s="38"/>
      <c r="P160" s="38"/>
      <c r="Q160" s="38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J160" s="42"/>
    </row>
    <row r="161" spans="1:43" hidden="1">
      <c r="A161" s="166" t="s">
        <v>184</v>
      </c>
      <c r="B161" s="166"/>
      <c r="C161" s="12">
        <v>15</v>
      </c>
      <c r="D161" s="167">
        <f>$D$70</f>
        <v>-1.78</v>
      </c>
      <c r="E161" s="166"/>
      <c r="F161" s="2">
        <f>ROUND(D161*C161,0)</f>
        <v>-27</v>
      </c>
      <c r="G161" s="506">
        <v>-1.78</v>
      </c>
      <c r="H161" s="166"/>
      <c r="I161" s="2">
        <f>ROUND(G161*$C161,0)</f>
        <v>-27</v>
      </c>
      <c r="J161" s="167">
        <f>-J159</f>
        <v>-1.78</v>
      </c>
      <c r="K161" s="166"/>
      <c r="L161" s="2">
        <f>ROUND(J161*$C161,0)</f>
        <v>-27</v>
      </c>
      <c r="M161" s="11"/>
      <c r="N161" s="11"/>
      <c r="O161" s="38"/>
      <c r="P161" s="38"/>
      <c r="Q161" s="38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J161" s="42"/>
    </row>
    <row r="162" spans="1:43" hidden="1">
      <c r="A162" s="1" t="s">
        <v>185</v>
      </c>
      <c r="B162" s="1"/>
      <c r="C162" s="12">
        <f>SUM(C157:C158)</f>
        <v>321154</v>
      </c>
      <c r="D162" s="518"/>
      <c r="E162" s="2"/>
      <c r="F162" s="2">
        <f>SUM(F156:F161)</f>
        <v>32571</v>
      </c>
      <c r="G162" s="516"/>
      <c r="H162" s="2"/>
      <c r="I162" s="2">
        <f>SUM(I156:I161)</f>
        <v>33607</v>
      </c>
      <c r="J162" s="2"/>
      <c r="K162" s="2"/>
      <c r="L162" s="2">
        <f ca="1">SUM(L156:L161)</f>
        <v>33553</v>
      </c>
      <c r="M162" s="11"/>
      <c r="N162" s="11"/>
      <c r="O162" s="38"/>
      <c r="P162" s="38"/>
      <c r="Q162" s="38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J162" s="42"/>
    </row>
    <row r="163" spans="1:43" hidden="1">
      <c r="A163" s="1" t="s">
        <v>167</v>
      </c>
      <c r="B163" s="1"/>
      <c r="C163" s="180">
        <v>-4123.3152418191712</v>
      </c>
      <c r="D163" s="172"/>
      <c r="E163" s="172"/>
      <c r="F163" s="173">
        <v>126.9974517083012</v>
      </c>
      <c r="G163" s="284"/>
      <c r="H163" s="172"/>
      <c r="I163" s="173">
        <f>F163</f>
        <v>126.9974517083012</v>
      </c>
      <c r="J163" s="172"/>
      <c r="K163" s="172"/>
      <c r="L163" s="173">
        <f>I163</f>
        <v>126.9974517083012</v>
      </c>
      <c r="M163" s="307"/>
      <c r="N163" s="307"/>
      <c r="O163" s="150"/>
      <c r="P163" s="38"/>
      <c r="Q163" s="38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J163" s="42"/>
    </row>
    <row r="164" spans="1:43" ht="16.5" hidden="1" thickBot="1">
      <c r="A164" s="1" t="s">
        <v>186</v>
      </c>
      <c r="B164" s="1"/>
      <c r="C164" s="174">
        <f>C162+C163</f>
        <v>317030.68475818081</v>
      </c>
      <c r="D164" s="175"/>
      <c r="E164" s="175"/>
      <c r="F164" s="175">
        <f>F162+F163</f>
        <v>32697.997451708303</v>
      </c>
      <c r="G164" s="730"/>
      <c r="H164" s="175"/>
      <c r="I164" s="175">
        <f>I162+I163</f>
        <v>33733.997451708303</v>
      </c>
      <c r="J164" s="175"/>
      <c r="K164" s="175"/>
      <c r="L164" s="175">
        <f ca="1">L162+L163</f>
        <v>33679.997451708303</v>
      </c>
      <c r="M164" s="274"/>
      <c r="N164" s="274"/>
      <c r="O164" s="333"/>
      <c r="P164" s="38"/>
      <c r="Q164" s="38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J164" s="42"/>
    </row>
    <row r="165" spans="1:43" ht="16.5" hidden="1" thickTop="1">
      <c r="A165" s="1"/>
      <c r="B165" s="176"/>
      <c r="C165" s="12" t="s">
        <v>13</v>
      </c>
      <c r="D165" s="1" t="s">
        <v>13</v>
      </c>
      <c r="E165" s="1"/>
      <c r="G165" s="284" t="s">
        <v>13</v>
      </c>
      <c r="H165" s="1"/>
      <c r="I165" s="2" t="s">
        <v>13</v>
      </c>
      <c r="J165" s="1" t="s">
        <v>13</v>
      </c>
      <c r="K165" s="1"/>
      <c r="L165" s="2" t="s">
        <v>13</v>
      </c>
      <c r="M165" s="11"/>
      <c r="N165" s="11"/>
      <c r="O165" s="17"/>
      <c r="P165" s="38"/>
      <c r="Q165" s="38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J165" s="42"/>
    </row>
    <row r="166" spans="1:43">
      <c r="A166" s="1"/>
      <c r="B166" s="176"/>
      <c r="C166" s="12"/>
      <c r="D166" s="1"/>
      <c r="E166" s="1"/>
      <c r="G166" s="284"/>
      <c r="H166" s="1"/>
      <c r="I166" s="2"/>
      <c r="J166" s="1"/>
      <c r="K166" s="1"/>
      <c r="L166" s="2"/>
      <c r="M166" s="11"/>
      <c r="N166" s="11"/>
      <c r="O166" s="17"/>
      <c r="P166" s="38"/>
      <c r="Q166" s="38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J166" s="42"/>
    </row>
    <row r="167" spans="1:43">
      <c r="A167" s="156" t="s">
        <v>191</v>
      </c>
      <c r="B167" s="1"/>
      <c r="C167" s="1" t="s">
        <v>13</v>
      </c>
      <c r="D167" s="2"/>
      <c r="E167" s="1"/>
      <c r="F167" s="1"/>
      <c r="G167" s="516"/>
      <c r="H167" s="1"/>
      <c r="I167" s="1"/>
      <c r="J167" s="2"/>
      <c r="K167" s="1"/>
      <c r="L167" s="1"/>
      <c r="M167" s="11"/>
      <c r="N167" s="11"/>
      <c r="O167" s="853" t="s">
        <v>1455</v>
      </c>
      <c r="P167" s="38"/>
      <c r="Q167" s="38"/>
      <c r="R167" s="475"/>
      <c r="S167" s="18"/>
      <c r="T167" s="697"/>
      <c r="U167" s="698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J167" s="42"/>
    </row>
    <row r="168" spans="1:43">
      <c r="A168" s="1" t="s">
        <v>192</v>
      </c>
      <c r="B168" s="1"/>
      <c r="C168" s="1"/>
      <c r="D168" s="2"/>
      <c r="E168" s="1"/>
      <c r="F168" s="1"/>
      <c r="G168" s="516"/>
      <c r="H168" s="1"/>
      <c r="I168" s="1"/>
      <c r="J168" s="2"/>
      <c r="K168" s="1"/>
      <c r="L168" s="1"/>
      <c r="M168" s="11"/>
      <c r="N168" s="11"/>
      <c r="O168" s="852">
        <f ca="1">'Exhibit No.__(RMM-2)pg1'!O22*1000</f>
        <v>-81693.701008395656</v>
      </c>
      <c r="P168" s="38"/>
      <c r="Q168" s="38"/>
      <c r="R168" s="38"/>
      <c r="S168" s="661"/>
      <c r="T168" s="661"/>
      <c r="U168" s="66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J168" s="42"/>
    </row>
    <row r="169" spans="1:43">
      <c r="A169" s="1"/>
      <c r="B169" s="1"/>
      <c r="C169" s="1"/>
      <c r="D169" s="2"/>
      <c r="E169" s="1"/>
      <c r="F169" s="1"/>
      <c r="G169" s="516"/>
      <c r="H169" s="1"/>
      <c r="I169" s="1"/>
      <c r="J169" s="2"/>
      <c r="K169" s="1"/>
      <c r="L169" s="1"/>
      <c r="M169" s="11"/>
      <c r="N169" s="11"/>
      <c r="O169" s="38"/>
      <c r="P169" s="38"/>
      <c r="Q169" s="38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J169" s="42"/>
    </row>
    <row r="170" spans="1:43">
      <c r="A170" s="1" t="s">
        <v>193</v>
      </c>
      <c r="B170" s="1"/>
      <c r="C170" s="1"/>
      <c r="D170" s="2"/>
      <c r="E170" s="1"/>
      <c r="F170" s="1"/>
      <c r="G170" s="516"/>
      <c r="H170" s="1"/>
      <c r="I170" s="1"/>
      <c r="J170" s="2"/>
      <c r="K170" s="1"/>
      <c r="L170" s="1"/>
      <c r="M170" s="11"/>
      <c r="N170" s="11"/>
      <c r="O170" s="38"/>
      <c r="P170" s="504"/>
      <c r="Q170" s="504"/>
      <c r="R170" s="658"/>
      <c r="S170" s="660"/>
      <c r="T170" s="662"/>
      <c r="U170" s="662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J170" s="42"/>
    </row>
    <row r="171" spans="1:43">
      <c r="A171" s="1" t="s">
        <v>194</v>
      </c>
      <c r="B171" s="1"/>
      <c r="C171" s="12">
        <f>C440</f>
        <v>3</v>
      </c>
      <c r="D171" s="161">
        <v>118.32</v>
      </c>
      <c r="E171" s="1"/>
      <c r="F171" s="2">
        <f>F411</f>
        <v>355</v>
      </c>
      <c r="G171" s="506">
        <v>118.32</v>
      </c>
      <c r="H171" s="1"/>
      <c r="I171" s="2">
        <f>I411</f>
        <v>355</v>
      </c>
      <c r="J171" s="164">
        <f t="shared" ref="J171:J173" si="13">G171</f>
        <v>118.32</v>
      </c>
      <c r="K171" s="1"/>
      <c r="L171" s="2">
        <f>L411</f>
        <v>355</v>
      </c>
      <c r="M171" s="279"/>
      <c r="N171" s="279"/>
      <c r="O171" s="38"/>
      <c r="P171" s="512"/>
      <c r="Q171" s="512"/>
      <c r="R171" s="11"/>
      <c r="S171" s="11"/>
      <c r="T171" s="334"/>
      <c r="U171" s="11"/>
      <c r="V171" s="334"/>
      <c r="X171" s="22"/>
      <c r="Y171" s="22"/>
      <c r="AJ171" s="11"/>
      <c r="AK171" s="11"/>
      <c r="AL171" s="11"/>
      <c r="AM171" s="11"/>
      <c r="AN171" s="11"/>
      <c r="AO171" s="11"/>
      <c r="AQ171" s="42"/>
    </row>
    <row r="172" spans="1:43">
      <c r="A172" s="1" t="s">
        <v>195</v>
      </c>
      <c r="B172" s="1"/>
      <c r="C172" s="12">
        <f>C412</f>
        <v>74.671232876712295</v>
      </c>
      <c r="D172" s="161">
        <v>176.39999999999998</v>
      </c>
      <c r="E172" s="1"/>
      <c r="F172" s="2">
        <f>F412</f>
        <v>13172</v>
      </c>
      <c r="G172" s="506">
        <v>176.39999999999998</v>
      </c>
      <c r="H172" s="1"/>
      <c r="I172" s="2">
        <f>I412</f>
        <v>13172</v>
      </c>
      <c r="J172" s="164">
        <f t="shared" si="13"/>
        <v>176.39999999999998</v>
      </c>
      <c r="K172" s="1"/>
      <c r="L172" s="2">
        <f>L412</f>
        <v>13172</v>
      </c>
      <c r="M172" s="279"/>
      <c r="N172" s="279"/>
      <c r="O172" s="38"/>
      <c r="P172" s="512"/>
      <c r="Q172" s="512"/>
      <c r="R172" s="11"/>
      <c r="S172" s="279"/>
      <c r="T172" s="699"/>
      <c r="U172" s="279"/>
      <c r="V172" s="699"/>
      <c r="W172" s="42"/>
      <c r="X172" s="42"/>
      <c r="Y172" s="486"/>
      <c r="Z172" s="101"/>
      <c r="AA172" s="42"/>
      <c r="AB172" s="42"/>
      <c r="AJ172" s="11"/>
      <c r="AK172" s="11"/>
      <c r="AL172" s="11"/>
      <c r="AM172" s="11"/>
      <c r="AN172" s="11"/>
      <c r="AO172" s="11"/>
      <c r="AQ172" s="42"/>
    </row>
    <row r="173" spans="1:43">
      <c r="A173" s="1" t="s">
        <v>196</v>
      </c>
      <c r="B173" s="1"/>
      <c r="C173" s="12">
        <f>C413</f>
        <v>2454.0986301369899</v>
      </c>
      <c r="D173" s="161">
        <v>12.48</v>
      </c>
      <c r="E173" s="1"/>
      <c r="F173" s="2">
        <f>F413</f>
        <v>30627</v>
      </c>
      <c r="G173" s="506">
        <v>12.48</v>
      </c>
      <c r="H173" s="1"/>
      <c r="I173" s="2">
        <f>I413</f>
        <v>30627</v>
      </c>
      <c r="J173" s="164">
        <f t="shared" si="13"/>
        <v>12.48</v>
      </c>
      <c r="K173" s="1"/>
      <c r="L173" s="2">
        <f>L413</f>
        <v>30627</v>
      </c>
      <c r="M173" s="11"/>
      <c r="N173" s="11"/>
      <c r="O173" s="38"/>
      <c r="P173" s="512"/>
      <c r="Q173" s="512"/>
      <c r="R173" s="11"/>
      <c r="S173" s="279"/>
      <c r="T173" s="699"/>
      <c r="U173" s="279"/>
      <c r="V173" s="699"/>
      <c r="W173" s="42"/>
      <c r="X173" s="42"/>
      <c r="Y173" s="486"/>
      <c r="Z173" s="101"/>
      <c r="AA173" s="42"/>
      <c r="AB173" s="42"/>
      <c r="AJ173" s="11"/>
      <c r="AK173" s="11"/>
      <c r="AL173" s="11"/>
      <c r="AM173" s="11"/>
      <c r="AN173" s="11"/>
      <c r="AO173" s="11"/>
      <c r="AQ173" s="42"/>
    </row>
    <row r="174" spans="1:43">
      <c r="A174" s="1" t="s">
        <v>197</v>
      </c>
      <c r="B174" s="1"/>
      <c r="C174" s="182"/>
      <c r="D174" s="2"/>
      <c r="E174" s="1"/>
      <c r="F174" s="1"/>
      <c r="G174" s="516"/>
      <c r="H174" s="1"/>
      <c r="I174" s="1"/>
      <c r="J174" s="2"/>
      <c r="K174" s="1"/>
      <c r="L174" s="1"/>
      <c r="M174" s="279"/>
      <c r="N174" s="279"/>
      <c r="O174" s="38"/>
      <c r="P174" s="512"/>
      <c r="Q174" s="490"/>
      <c r="R174" s="11"/>
      <c r="S174" s="11"/>
      <c r="T174" s="699"/>
      <c r="U174" s="279"/>
      <c r="V174" s="699"/>
      <c r="W174" s="42"/>
      <c r="X174" s="42"/>
      <c r="Y174" s="486"/>
      <c r="Z174" s="101"/>
      <c r="AA174" s="42"/>
      <c r="AB174" s="42"/>
      <c r="AJ174" s="11"/>
      <c r="AK174" s="11"/>
      <c r="AL174" s="11"/>
      <c r="AM174" s="11"/>
      <c r="AN174" s="11"/>
      <c r="AO174" s="11"/>
      <c r="AQ174" s="42"/>
    </row>
    <row r="175" spans="1:43">
      <c r="A175" s="1" t="s">
        <v>194</v>
      </c>
      <c r="B175" s="1"/>
      <c r="C175" s="182">
        <f>C210+C323</f>
        <v>173160.33350720091</v>
      </c>
      <c r="D175" s="161">
        <v>9.86</v>
      </c>
      <c r="E175" s="186"/>
      <c r="F175" s="185">
        <f>F210+F323</f>
        <v>1707361</v>
      </c>
      <c r="G175" s="506">
        <v>9.86</v>
      </c>
      <c r="H175" s="186"/>
      <c r="I175" s="185">
        <f>I210+I323</f>
        <v>1707361</v>
      </c>
      <c r="J175" s="164">
        <f t="shared" ref="J175:J177" si="14">G175</f>
        <v>9.86</v>
      </c>
      <c r="K175" s="186"/>
      <c r="L175" s="185">
        <f>L210+L323</f>
        <v>1707361</v>
      </c>
      <c r="M175" s="11"/>
      <c r="N175" s="11"/>
      <c r="O175" s="38"/>
      <c r="P175" s="512"/>
      <c r="Q175" s="512"/>
      <c r="R175" s="11"/>
      <c r="S175" s="279"/>
      <c r="T175" s="699"/>
      <c r="U175" s="279"/>
      <c r="V175" s="699"/>
      <c r="W175" s="42"/>
      <c r="X175" s="42"/>
      <c r="Y175" s="486"/>
      <c r="Z175" s="101"/>
      <c r="AA175" s="42"/>
      <c r="AB175" s="42"/>
      <c r="AJ175" s="11"/>
      <c r="AK175" s="11"/>
      <c r="AL175" s="11"/>
      <c r="AM175" s="11"/>
      <c r="AN175" s="11"/>
      <c r="AO175" s="11"/>
      <c r="AQ175" s="42"/>
    </row>
    <row r="176" spans="1:43">
      <c r="A176" s="1" t="s">
        <v>195</v>
      </c>
      <c r="B176" s="1"/>
      <c r="C176" s="182">
        <f>C211+C324</f>
        <v>68177.199999999793</v>
      </c>
      <c r="D176" s="161">
        <v>14.7</v>
      </c>
      <c r="E176" s="188"/>
      <c r="F176" s="185">
        <f>F211+F324</f>
        <v>1002205</v>
      </c>
      <c r="G176" s="506">
        <v>14.7</v>
      </c>
      <c r="H176" s="188"/>
      <c r="I176" s="185">
        <f>I211+I324</f>
        <v>1002205</v>
      </c>
      <c r="J176" s="164">
        <f t="shared" si="14"/>
        <v>14.7</v>
      </c>
      <c r="K176" s="188"/>
      <c r="L176" s="185">
        <f>L211+L324</f>
        <v>1002205</v>
      </c>
      <c r="M176" s="475"/>
      <c r="N176" s="475"/>
      <c r="O176" s="38"/>
      <c r="P176" s="512"/>
      <c r="Q176" s="512"/>
      <c r="R176" s="701"/>
      <c r="S176" s="279"/>
      <c r="T176" s="699"/>
      <c r="U176" s="279"/>
      <c r="V176" s="658"/>
      <c r="W176" s="42"/>
      <c r="X176" s="42"/>
      <c r="Y176" s="485"/>
      <c r="AA176" s="11"/>
      <c r="AB176" s="11"/>
      <c r="AC176" s="11"/>
      <c r="AD176" s="11"/>
      <c r="AE176" s="11"/>
      <c r="AF176" s="11"/>
      <c r="AG176" s="11"/>
      <c r="AH176" s="11"/>
      <c r="AJ176" s="42"/>
    </row>
    <row r="177" spans="1:36">
      <c r="A177" s="1" t="s">
        <v>196</v>
      </c>
      <c r="B177" s="1"/>
      <c r="C177" s="182">
        <f>C212+C325</f>
        <v>1269889</v>
      </c>
      <c r="D177" s="161">
        <v>1.04</v>
      </c>
      <c r="E177" s="188"/>
      <c r="F177" s="185">
        <f>F212+F325</f>
        <v>1320685</v>
      </c>
      <c r="G177" s="506">
        <v>1.04</v>
      </c>
      <c r="H177" s="188"/>
      <c r="I177" s="185">
        <f>I212+I325</f>
        <v>1320685</v>
      </c>
      <c r="J177" s="164">
        <f t="shared" si="14"/>
        <v>1.04</v>
      </c>
      <c r="K177" s="188"/>
      <c r="L177" s="185">
        <f>L212+L325</f>
        <v>1320685</v>
      </c>
      <c r="M177" s="279"/>
      <c r="N177" s="279"/>
      <c r="O177" s="38"/>
      <c r="P177" s="512"/>
      <c r="Q177" s="512"/>
      <c r="R177" s="38"/>
      <c r="S177" s="11"/>
      <c r="T177" s="11"/>
      <c r="U177" s="477"/>
      <c r="V177" s="477"/>
      <c r="W177" s="9"/>
      <c r="X177" s="9"/>
      <c r="Y177" s="9"/>
      <c r="AA177" s="11"/>
      <c r="AB177" s="11"/>
      <c r="AC177" s="11"/>
      <c r="AD177" s="11"/>
      <c r="AE177" s="11"/>
      <c r="AF177" s="11"/>
      <c r="AG177" s="11"/>
      <c r="AH177" s="11"/>
      <c r="AJ177" s="42"/>
    </row>
    <row r="178" spans="1:36">
      <c r="A178" s="1" t="s">
        <v>198</v>
      </c>
      <c r="B178" s="1"/>
      <c r="C178" s="182">
        <f>SUM(C175:C176)</f>
        <v>241337.53350720071</v>
      </c>
      <c r="D178" s="161"/>
      <c r="E178" s="186"/>
      <c r="F178" s="185"/>
      <c r="G178" s="506"/>
      <c r="H178" s="186"/>
      <c r="I178" s="185"/>
      <c r="J178" s="164"/>
      <c r="K178" s="186"/>
      <c r="L178" s="185"/>
      <c r="M178" s="11"/>
      <c r="N178" s="11"/>
      <c r="O178" s="38"/>
      <c r="P178" s="490"/>
      <c r="Q178" s="490"/>
      <c r="R178" s="38"/>
      <c r="S178" s="11"/>
      <c r="T178" s="11"/>
      <c r="U178" s="11"/>
      <c r="V178" s="11"/>
      <c r="AA178" s="11"/>
      <c r="AB178" s="11"/>
      <c r="AC178" s="11"/>
      <c r="AD178" s="11"/>
      <c r="AE178" s="11"/>
      <c r="AF178" s="11"/>
      <c r="AG178" s="11"/>
      <c r="AH178" s="11"/>
      <c r="AJ178" s="42"/>
    </row>
    <row r="179" spans="1:36">
      <c r="A179" s="1" t="s">
        <v>166</v>
      </c>
      <c r="B179" s="1"/>
      <c r="C179" s="182">
        <f t="shared" ref="C179:C184" si="15">C213+C327+C415</f>
        <v>239143.68666666545</v>
      </c>
      <c r="D179" s="161"/>
      <c r="E179" s="186"/>
      <c r="F179" s="185"/>
      <c r="G179" s="506"/>
      <c r="H179" s="186"/>
      <c r="I179" s="185"/>
      <c r="J179" s="164"/>
      <c r="K179" s="186"/>
      <c r="L179" s="185"/>
      <c r="M179" s="11"/>
      <c r="N179" s="11"/>
      <c r="O179" s="38"/>
      <c r="P179" s="490"/>
      <c r="Q179" s="490"/>
      <c r="R179" s="38"/>
      <c r="S179" s="11"/>
      <c r="T179" s="11"/>
      <c r="U179" s="11"/>
      <c r="V179" s="11"/>
      <c r="AA179" s="11"/>
      <c r="AB179" s="11"/>
      <c r="AC179" s="11"/>
      <c r="AD179" s="11"/>
      <c r="AE179" s="11"/>
      <c r="AF179" s="11"/>
      <c r="AG179" s="11"/>
      <c r="AH179" s="11"/>
      <c r="AJ179" s="42"/>
    </row>
    <row r="180" spans="1:36">
      <c r="A180" s="1" t="s">
        <v>199</v>
      </c>
      <c r="B180" s="1"/>
      <c r="C180" s="182">
        <f t="shared" si="15"/>
        <v>793943.2</v>
      </c>
      <c r="D180" s="161">
        <v>3.81</v>
      </c>
      <c r="E180" s="186"/>
      <c r="F180" s="185">
        <f>F214+F328+F416</f>
        <v>3024924</v>
      </c>
      <c r="G180" s="506">
        <v>3.81</v>
      </c>
      <c r="H180" s="186"/>
      <c r="I180" s="185">
        <f>I214+I328+I416</f>
        <v>3024924</v>
      </c>
      <c r="J180" s="164">
        <f t="shared" ref="J180" si="16">G180</f>
        <v>3.81</v>
      </c>
      <c r="K180" s="186"/>
      <c r="L180" s="185">
        <f>L214+L328+L416</f>
        <v>3024924</v>
      </c>
      <c r="M180" s="279"/>
      <c r="N180" s="279"/>
      <c r="O180" s="38"/>
      <c r="P180" s="512"/>
      <c r="Q180" s="512"/>
      <c r="R180" s="38"/>
      <c r="S180" s="11"/>
      <c r="T180" s="11"/>
      <c r="U180" s="11"/>
      <c r="V180" s="11"/>
      <c r="AA180" s="11"/>
      <c r="AB180" s="11"/>
      <c r="AC180" s="11"/>
      <c r="AD180" s="11"/>
      <c r="AE180" s="11"/>
      <c r="AF180" s="11"/>
      <c r="AG180" s="11"/>
      <c r="AH180" s="11"/>
      <c r="AJ180" s="42"/>
    </row>
    <row r="181" spans="1:36">
      <c r="A181" s="1" t="s">
        <v>201</v>
      </c>
      <c r="B181" s="1"/>
      <c r="C181" s="182">
        <f t="shared" si="15"/>
        <v>136614732.84604526</v>
      </c>
      <c r="D181" s="162">
        <v>10.898999999999999</v>
      </c>
      <c r="E181" s="186" t="s">
        <v>178</v>
      </c>
      <c r="F181" s="185">
        <f>F215+F329+F417</f>
        <v>14889641</v>
      </c>
      <c r="G181" s="731">
        <v>11.222</v>
      </c>
      <c r="H181" s="186" t="s">
        <v>178</v>
      </c>
      <c r="I181" s="185">
        <f>I215+I329+I417</f>
        <v>15330904</v>
      </c>
      <c r="J181" s="162">
        <f ca="1">ROUND(G181+($O$168/$C$199)*100,3)</f>
        <v>11.207000000000001</v>
      </c>
      <c r="K181" s="186" t="s">
        <v>178</v>
      </c>
      <c r="L181" s="185">
        <f ca="1">L215+L329+L417</f>
        <v>15310414</v>
      </c>
      <c r="M181" s="11"/>
      <c r="N181" s="11"/>
      <c r="O181" s="38"/>
      <c r="P181" s="512"/>
      <c r="Q181" s="512"/>
      <c r="R181" s="38"/>
      <c r="S181" s="11"/>
      <c r="T181" s="702"/>
      <c r="U181" s="702"/>
      <c r="V181" s="702"/>
      <c r="W181" s="100"/>
      <c r="X181" s="100"/>
      <c r="AA181" s="11"/>
      <c r="AB181" s="11"/>
      <c r="AC181" s="11"/>
      <c r="AD181" s="11"/>
      <c r="AE181" s="11"/>
      <c r="AF181" s="11"/>
      <c r="AG181" s="11"/>
      <c r="AH181" s="11"/>
      <c r="AJ181" s="42"/>
    </row>
    <row r="182" spans="1:36">
      <c r="A182" s="1" t="s">
        <v>202</v>
      </c>
      <c r="B182" s="1"/>
      <c r="C182" s="182">
        <f t="shared" si="15"/>
        <v>291321756.15769178</v>
      </c>
      <c r="D182" s="162">
        <v>7.3739999999999997</v>
      </c>
      <c r="E182" s="186" t="s">
        <v>178</v>
      </c>
      <c r="F182" s="185">
        <f>F216+F330+F418</f>
        <v>21482065</v>
      </c>
      <c r="G182" s="731">
        <v>7.6970000000000001</v>
      </c>
      <c r="H182" s="186" t="s">
        <v>178</v>
      </c>
      <c r="I182" s="185">
        <f>I216+I330+I418</f>
        <v>22423036</v>
      </c>
      <c r="J182" s="162">
        <f ca="1">ROUND(G182+($O$168/$C$199)*100,3)</f>
        <v>7.6820000000000004</v>
      </c>
      <c r="K182" s="186" t="s">
        <v>178</v>
      </c>
      <c r="L182" s="185">
        <f ca="1">L216+L330+L418</f>
        <v>22379337</v>
      </c>
      <c r="M182" s="292"/>
      <c r="N182" s="292"/>
      <c r="O182" s="38"/>
      <c r="P182" s="512"/>
      <c r="Q182" s="512"/>
      <c r="R182" s="703"/>
      <c r="S182" s="11"/>
      <c r="T182" s="11"/>
      <c r="U182" s="11"/>
      <c r="V182" s="704"/>
      <c r="AA182" s="11"/>
      <c r="AB182" s="11"/>
      <c r="AC182" s="11"/>
      <c r="AD182" s="11"/>
      <c r="AE182" s="11"/>
      <c r="AF182" s="11"/>
      <c r="AG182" s="11"/>
      <c r="AH182" s="11"/>
      <c r="AJ182" s="42"/>
    </row>
    <row r="183" spans="1:36">
      <c r="A183" s="1" t="s">
        <v>203</v>
      </c>
      <c r="B183" s="1"/>
      <c r="C183" s="182">
        <f t="shared" si="15"/>
        <v>122057286.54865542</v>
      </c>
      <c r="D183" s="162">
        <v>6.8529999999999998</v>
      </c>
      <c r="E183" s="186" t="s">
        <v>178</v>
      </c>
      <c r="F183" s="185">
        <f>F217+F331+F419</f>
        <v>8364586</v>
      </c>
      <c r="G183" s="731">
        <v>7.1760000000000002</v>
      </c>
      <c r="H183" s="186" t="s">
        <v>178</v>
      </c>
      <c r="I183" s="185">
        <f>I217+I331+I419</f>
        <v>8758831</v>
      </c>
      <c r="J183" s="162">
        <f ca="1">ROUND(G183+($O$168/$C$199)*100,3)</f>
        <v>7.1609999999999996</v>
      </c>
      <c r="K183" s="186" t="s">
        <v>178</v>
      </c>
      <c r="L183" s="185">
        <f ca="1">L217+L331+L419</f>
        <v>8740523</v>
      </c>
      <c r="M183" s="279"/>
      <c r="N183" s="279"/>
      <c r="O183" s="38"/>
      <c r="P183" s="512"/>
      <c r="Q183" s="512"/>
      <c r="R183" s="703"/>
      <c r="S183" s="705"/>
      <c r="T183" s="11"/>
      <c r="U183" s="11"/>
      <c r="V183" s="704"/>
      <c r="AA183" s="11"/>
      <c r="AB183" s="11"/>
      <c r="AC183" s="11"/>
      <c r="AD183" s="11"/>
      <c r="AE183" s="11"/>
      <c r="AF183" s="11"/>
      <c r="AG183" s="11"/>
      <c r="AH183" s="11"/>
      <c r="AJ183" s="42"/>
    </row>
    <row r="184" spans="1:36">
      <c r="A184" s="1" t="s">
        <v>204</v>
      </c>
      <c r="B184" s="1"/>
      <c r="C184" s="182">
        <f t="shared" si="15"/>
        <v>121030.29055555548</v>
      </c>
      <c r="D184" s="193">
        <v>58</v>
      </c>
      <c r="E184" s="186" t="s">
        <v>178</v>
      </c>
      <c r="F184" s="185">
        <f>F218+F332+F420</f>
        <v>70197</v>
      </c>
      <c r="G184" s="733">
        <v>58</v>
      </c>
      <c r="H184" s="186" t="s">
        <v>178</v>
      </c>
      <c r="I184" s="185">
        <f>I218+I332+I420</f>
        <v>70197</v>
      </c>
      <c r="J184" s="193">
        <f t="shared" ref="J184:J185" si="17">G184</f>
        <v>58</v>
      </c>
      <c r="K184" s="186" t="s">
        <v>178</v>
      </c>
      <c r="L184" s="185">
        <f>L218+L332+L420</f>
        <v>70197</v>
      </c>
      <c r="M184" s="279"/>
      <c r="N184" s="279"/>
      <c r="O184" s="38"/>
      <c r="P184" s="512"/>
      <c r="Q184" s="512"/>
      <c r="R184" s="38"/>
      <c r="S184" s="11"/>
      <c r="T184" s="11"/>
      <c r="U184" s="11"/>
      <c r="V184" s="11"/>
      <c r="AA184" s="11"/>
      <c r="AB184" s="11"/>
      <c r="AC184" s="11"/>
      <c r="AD184" s="11"/>
      <c r="AE184" s="11"/>
      <c r="AF184" s="11"/>
      <c r="AG184" s="11"/>
      <c r="AH184" s="11"/>
      <c r="AJ184" s="42"/>
    </row>
    <row r="185" spans="1:36">
      <c r="A185" s="194" t="s">
        <v>205</v>
      </c>
      <c r="B185" s="1"/>
      <c r="C185" s="182"/>
      <c r="D185" s="195">
        <v>-0.01</v>
      </c>
      <c r="E185" s="186"/>
      <c r="F185" s="185"/>
      <c r="G185" s="734">
        <v>-0.01</v>
      </c>
      <c r="H185" s="186"/>
      <c r="I185" s="185"/>
      <c r="J185" s="195">
        <f t="shared" si="17"/>
        <v>-0.01</v>
      </c>
      <c r="K185" s="186"/>
      <c r="L185" s="185"/>
      <c r="M185" s="279"/>
      <c r="N185" s="11"/>
      <c r="O185" s="706"/>
      <c r="P185" s="38"/>
      <c r="Q185" s="38"/>
      <c r="R185" s="11"/>
      <c r="S185" s="11"/>
      <c r="T185" s="11"/>
      <c r="U185" s="11"/>
      <c r="V185" s="11"/>
      <c r="AA185" s="11"/>
      <c r="AB185" s="11"/>
      <c r="AC185" s="11"/>
      <c r="AD185" s="11"/>
      <c r="AE185" s="11"/>
      <c r="AF185" s="11"/>
      <c r="AG185" s="11"/>
      <c r="AH185" s="11"/>
      <c r="AJ185" s="42"/>
    </row>
    <row r="186" spans="1:36">
      <c r="A186" s="1" t="s">
        <v>194</v>
      </c>
      <c r="B186" s="1"/>
      <c r="C186" s="182">
        <f t="shared" ref="C186:C195" si="18">C220+C334+C422</f>
        <v>83.966666666666697</v>
      </c>
      <c r="D186" s="197">
        <v>9.99</v>
      </c>
      <c r="E186" s="184"/>
      <c r="F186" s="185">
        <f t="shared" ref="F186:F195" si="19">F220+F334+F422</f>
        <v>-8</v>
      </c>
      <c r="G186" s="216">
        <v>9.86</v>
      </c>
      <c r="H186" s="184"/>
      <c r="I186" s="185">
        <f t="shared" ref="I186:I195" si="20">I220+I334+I422</f>
        <v>-8</v>
      </c>
      <c r="J186" s="197">
        <f>J175</f>
        <v>9.86</v>
      </c>
      <c r="K186" s="184"/>
      <c r="L186" s="185">
        <f t="shared" ref="L186:L195" si="21">L220+L334+L422</f>
        <v>-8</v>
      </c>
      <c r="M186" s="11"/>
      <c r="N186" s="11"/>
      <c r="O186" s="38"/>
      <c r="P186" s="38"/>
      <c r="Q186" s="38"/>
      <c r="R186" s="11"/>
      <c r="S186" s="11"/>
      <c r="T186" s="11"/>
      <c r="U186" s="11"/>
      <c r="V186" s="11"/>
      <c r="AA186" s="11"/>
      <c r="AB186" s="11"/>
      <c r="AC186" s="11"/>
      <c r="AD186" s="11"/>
      <c r="AE186" s="11"/>
      <c r="AF186" s="11"/>
      <c r="AG186" s="11"/>
      <c r="AH186" s="11"/>
      <c r="AJ186" s="42"/>
    </row>
    <row r="187" spans="1:36">
      <c r="A187" s="1" t="s">
        <v>195</v>
      </c>
      <c r="B187" s="1"/>
      <c r="C187" s="182">
        <f t="shared" si="18"/>
        <v>103.9666666666667</v>
      </c>
      <c r="D187" s="197">
        <v>14.89</v>
      </c>
      <c r="E187" s="184"/>
      <c r="F187" s="185">
        <f t="shared" si="19"/>
        <v>-16</v>
      </c>
      <c r="G187" s="216">
        <v>14.7</v>
      </c>
      <c r="H187" s="184"/>
      <c r="I187" s="185">
        <f t="shared" si="20"/>
        <v>-16</v>
      </c>
      <c r="J187" s="197">
        <f>J176</f>
        <v>14.7</v>
      </c>
      <c r="K187" s="184"/>
      <c r="L187" s="185">
        <f t="shared" si="21"/>
        <v>-16</v>
      </c>
      <c r="M187" s="11"/>
      <c r="N187" s="11"/>
      <c r="O187" s="17"/>
      <c r="P187" s="38"/>
      <c r="Q187" s="38"/>
      <c r="R187" s="11"/>
      <c r="S187" s="11"/>
      <c r="T187" s="11"/>
      <c r="U187" s="11"/>
      <c r="V187" s="11"/>
      <c r="AC187" s="11"/>
      <c r="AD187" s="11"/>
      <c r="AE187" s="11"/>
      <c r="AF187" s="11"/>
      <c r="AG187" s="11"/>
      <c r="AH187" s="11"/>
      <c r="AJ187" s="42"/>
    </row>
    <row r="188" spans="1:36">
      <c r="A188" s="1" t="s">
        <v>206</v>
      </c>
      <c r="B188" s="1"/>
      <c r="C188" s="182">
        <f t="shared" si="18"/>
        <v>5541</v>
      </c>
      <c r="D188" s="197">
        <v>1.04</v>
      </c>
      <c r="E188" s="184"/>
      <c r="F188" s="185">
        <f t="shared" si="19"/>
        <v>-58</v>
      </c>
      <c r="G188" s="216">
        <v>1.04</v>
      </c>
      <c r="H188" s="184"/>
      <c r="I188" s="185">
        <f t="shared" si="20"/>
        <v>-58</v>
      </c>
      <c r="J188" s="197">
        <f>J177</f>
        <v>1.04</v>
      </c>
      <c r="K188" s="184"/>
      <c r="L188" s="185">
        <f t="shared" si="21"/>
        <v>-58</v>
      </c>
      <c r="M188" s="11"/>
      <c r="N188" s="11"/>
      <c r="O188" s="38"/>
      <c r="P188" s="17"/>
      <c r="Q188" s="38"/>
      <c r="R188" s="6"/>
      <c r="S188" s="11"/>
      <c r="T188" s="11"/>
      <c r="U188" s="11"/>
      <c r="V188" s="11"/>
      <c r="AC188" s="11"/>
      <c r="AD188" s="11"/>
      <c r="AE188" s="11"/>
      <c r="AF188" s="11"/>
      <c r="AG188" s="11"/>
      <c r="AH188" s="11"/>
      <c r="AJ188" s="42"/>
    </row>
    <row r="189" spans="1:36">
      <c r="A189" s="1" t="s">
        <v>207</v>
      </c>
      <c r="B189" s="1"/>
      <c r="C189" s="182">
        <f t="shared" si="18"/>
        <v>1992</v>
      </c>
      <c r="D189" s="197">
        <v>3.8</v>
      </c>
      <c r="E189" s="186"/>
      <c r="F189" s="185">
        <f t="shared" si="19"/>
        <v>-76</v>
      </c>
      <c r="G189" s="216">
        <v>3.81</v>
      </c>
      <c r="H189" s="186"/>
      <c r="I189" s="185">
        <f t="shared" si="20"/>
        <v>-76</v>
      </c>
      <c r="J189" s="197">
        <f>J180</f>
        <v>3.81</v>
      </c>
      <c r="K189" s="186"/>
      <c r="L189" s="185">
        <f t="shared" si="21"/>
        <v>-76</v>
      </c>
      <c r="M189" s="11"/>
      <c r="N189" s="11"/>
      <c r="O189" s="38"/>
      <c r="P189" s="38"/>
      <c r="Q189" s="17"/>
      <c r="R189" s="11"/>
      <c r="S189" s="11"/>
      <c r="T189" s="11"/>
      <c r="U189" s="11"/>
      <c r="V189" s="11"/>
      <c r="AC189" s="11"/>
      <c r="AD189" s="11"/>
      <c r="AE189" s="11"/>
      <c r="AF189" s="11"/>
      <c r="AG189" s="11"/>
      <c r="AH189" s="11"/>
      <c r="AJ189" s="42"/>
    </row>
    <row r="190" spans="1:36">
      <c r="A190" s="1" t="s">
        <v>209</v>
      </c>
      <c r="B190" s="1"/>
      <c r="C190" s="182">
        <f t="shared" si="18"/>
        <v>149222.66666666669</v>
      </c>
      <c r="D190" s="198">
        <v>10.878</v>
      </c>
      <c r="E190" s="186" t="s">
        <v>178</v>
      </c>
      <c r="F190" s="185">
        <f t="shared" si="19"/>
        <v>-163</v>
      </c>
      <c r="G190" s="735">
        <v>11.222</v>
      </c>
      <c r="H190" s="186" t="s">
        <v>178</v>
      </c>
      <c r="I190" s="185">
        <f t="shared" si="20"/>
        <v>-167</v>
      </c>
      <c r="J190" s="198">
        <f ca="1">J181</f>
        <v>11.207000000000001</v>
      </c>
      <c r="K190" s="186" t="s">
        <v>178</v>
      </c>
      <c r="L190" s="185">
        <f t="shared" ca="1" si="21"/>
        <v>-167</v>
      </c>
      <c r="AC190" s="11"/>
      <c r="AD190" s="11"/>
      <c r="AE190" s="11"/>
      <c r="AF190" s="11"/>
      <c r="AG190" s="11"/>
      <c r="AH190" s="11"/>
      <c r="AJ190" s="42"/>
    </row>
    <row r="191" spans="1:36">
      <c r="A191" s="1" t="s">
        <v>202</v>
      </c>
      <c r="B191" s="1"/>
      <c r="C191" s="182">
        <f t="shared" si="18"/>
        <v>626125.33333333326</v>
      </c>
      <c r="D191" s="198">
        <v>7.5140000000000002</v>
      </c>
      <c r="E191" s="186" t="s">
        <v>178</v>
      </c>
      <c r="F191" s="185">
        <f t="shared" si="19"/>
        <v>-462</v>
      </c>
      <c r="G191" s="735">
        <v>7.6970000000000001</v>
      </c>
      <c r="H191" s="186" t="s">
        <v>178</v>
      </c>
      <c r="I191" s="185">
        <f t="shared" si="20"/>
        <v>-482</v>
      </c>
      <c r="J191" s="198">
        <f ca="1">J182</f>
        <v>7.6820000000000004</v>
      </c>
      <c r="K191" s="186" t="s">
        <v>178</v>
      </c>
      <c r="L191" s="185">
        <f t="shared" ca="1" si="21"/>
        <v>-481</v>
      </c>
      <c r="M191" s="11"/>
      <c r="N191" s="11"/>
      <c r="O191" s="38"/>
      <c r="P191" s="38"/>
      <c r="Q191" s="38"/>
      <c r="R191" s="11"/>
      <c r="S191" s="11"/>
      <c r="T191" s="11"/>
      <c r="U191" s="11"/>
      <c r="V191" s="11"/>
      <c r="AC191" s="11"/>
      <c r="AD191" s="11"/>
      <c r="AE191" s="11"/>
      <c r="AF191" s="11"/>
      <c r="AG191" s="11"/>
      <c r="AH191" s="11"/>
      <c r="AJ191" s="42"/>
    </row>
    <row r="192" spans="1:36">
      <c r="A192" s="1" t="s">
        <v>203</v>
      </c>
      <c r="B192" s="1"/>
      <c r="C192" s="182">
        <f t="shared" si="18"/>
        <v>362541</v>
      </c>
      <c r="D192" s="198">
        <v>6.4720000000000004</v>
      </c>
      <c r="E192" s="186" t="s">
        <v>178</v>
      </c>
      <c r="F192" s="185">
        <f t="shared" si="19"/>
        <v>-249</v>
      </c>
      <c r="G192" s="735">
        <v>7.1760000000000002</v>
      </c>
      <c r="H192" s="186" t="s">
        <v>178</v>
      </c>
      <c r="I192" s="185">
        <f t="shared" si="20"/>
        <v>-261</v>
      </c>
      <c r="J192" s="198">
        <f ca="1">J183</f>
        <v>7.1609999999999996</v>
      </c>
      <c r="K192" s="186" t="s">
        <v>178</v>
      </c>
      <c r="L192" s="185">
        <f t="shared" ca="1" si="21"/>
        <v>-260</v>
      </c>
      <c r="M192" s="11"/>
      <c r="N192" s="11"/>
      <c r="O192" s="38"/>
      <c r="P192" s="38"/>
      <c r="Q192" s="38"/>
      <c r="R192" s="11"/>
      <c r="S192" s="11"/>
      <c r="T192" s="11"/>
      <c r="U192" s="11"/>
      <c r="V192" s="11"/>
      <c r="AA192" s="11"/>
      <c r="AB192" s="11"/>
      <c r="AC192" s="11"/>
      <c r="AD192" s="11"/>
      <c r="AE192" s="11"/>
      <c r="AF192" s="11"/>
      <c r="AG192" s="11"/>
      <c r="AH192" s="11"/>
      <c r="AJ192" s="42"/>
    </row>
    <row r="193" spans="1:36">
      <c r="A193" s="1" t="s">
        <v>204</v>
      </c>
      <c r="B193" s="1"/>
      <c r="C193" s="182">
        <f t="shared" si="18"/>
        <v>1169.8</v>
      </c>
      <c r="D193" s="199">
        <v>58</v>
      </c>
      <c r="E193" s="186" t="s">
        <v>178</v>
      </c>
      <c r="F193" s="185">
        <f t="shared" si="19"/>
        <v>-6</v>
      </c>
      <c r="G193" s="736">
        <v>58</v>
      </c>
      <c r="H193" s="186" t="s">
        <v>178</v>
      </c>
      <c r="I193" s="185">
        <f t="shared" si="20"/>
        <v>-6</v>
      </c>
      <c r="J193" s="199">
        <f>J184</f>
        <v>58</v>
      </c>
      <c r="K193" s="186" t="s">
        <v>178</v>
      </c>
      <c r="L193" s="185">
        <f t="shared" si="21"/>
        <v>-6</v>
      </c>
      <c r="M193" s="11"/>
      <c r="N193" s="11"/>
      <c r="O193" s="38"/>
      <c r="P193" s="38"/>
      <c r="Q193" s="38"/>
      <c r="R193" s="11"/>
      <c r="S193" s="11"/>
      <c r="T193" s="11"/>
      <c r="U193" s="11"/>
      <c r="V193" s="11"/>
      <c r="AA193" s="11"/>
      <c r="AB193" s="11"/>
      <c r="AC193" s="11"/>
      <c r="AD193" s="11"/>
      <c r="AE193" s="11"/>
      <c r="AF193" s="11"/>
      <c r="AG193" s="11"/>
      <c r="AH193" s="11"/>
      <c r="AJ193" s="42"/>
    </row>
    <row r="194" spans="1:36">
      <c r="A194" s="1" t="s">
        <v>211</v>
      </c>
      <c r="B194" s="1"/>
      <c r="C194" s="182">
        <f t="shared" si="18"/>
        <v>155.93333333333339</v>
      </c>
      <c r="D194" s="200">
        <v>60</v>
      </c>
      <c r="E194" s="186"/>
      <c r="F194" s="185">
        <f t="shared" si="19"/>
        <v>9356</v>
      </c>
      <c r="G194" s="216">
        <v>60</v>
      </c>
      <c r="H194" s="186"/>
      <c r="I194" s="185">
        <f t="shared" si="20"/>
        <v>9356</v>
      </c>
      <c r="J194" s="200">
        <f t="shared" ref="J194:J195" si="22">G194</f>
        <v>60</v>
      </c>
      <c r="K194" s="186"/>
      <c r="L194" s="185">
        <f t="shared" si="21"/>
        <v>9356</v>
      </c>
      <c r="M194" s="279"/>
      <c r="N194" s="279"/>
      <c r="O194" s="38"/>
      <c r="P194" s="512"/>
      <c r="Q194" s="38"/>
      <c r="R194" s="11"/>
      <c r="S194" s="11"/>
      <c r="T194" s="11"/>
      <c r="U194" s="11"/>
      <c r="V194" s="11"/>
      <c r="AA194" s="11"/>
      <c r="AB194" s="11"/>
      <c r="AC194" s="11"/>
      <c r="AD194" s="11"/>
      <c r="AE194" s="11"/>
      <c r="AF194" s="11"/>
      <c r="AG194" s="11"/>
      <c r="AH194" s="11"/>
      <c r="AJ194" s="42"/>
    </row>
    <row r="195" spans="1:36">
      <c r="A195" s="1" t="s">
        <v>212</v>
      </c>
      <c r="B195" s="1"/>
      <c r="C195" s="182">
        <f t="shared" si="18"/>
        <v>5455</v>
      </c>
      <c r="D195" s="202">
        <v>-30</v>
      </c>
      <c r="E195" s="186" t="s">
        <v>178</v>
      </c>
      <c r="F195" s="185">
        <f t="shared" si="19"/>
        <v>-1637</v>
      </c>
      <c r="G195" s="737">
        <v>-30</v>
      </c>
      <c r="H195" s="186" t="s">
        <v>178</v>
      </c>
      <c r="I195" s="185">
        <f t="shared" si="20"/>
        <v>-1637</v>
      </c>
      <c r="J195" s="202">
        <f t="shared" si="22"/>
        <v>-30</v>
      </c>
      <c r="K195" s="186" t="s">
        <v>178</v>
      </c>
      <c r="L195" s="185">
        <f t="shared" si="21"/>
        <v>-1637</v>
      </c>
      <c r="M195" s="279"/>
      <c r="N195" s="279"/>
      <c r="O195" s="279"/>
      <c r="P195" s="512"/>
      <c r="Q195" s="38"/>
      <c r="R195" s="707"/>
      <c r="S195" s="707"/>
      <c r="T195" s="11"/>
      <c r="U195" s="11"/>
      <c r="V195" s="11"/>
      <c r="AA195" s="11"/>
      <c r="AB195" s="11"/>
      <c r="AC195" s="11"/>
      <c r="AD195" s="11"/>
      <c r="AE195" s="11"/>
      <c r="AF195" s="11"/>
      <c r="AG195" s="11"/>
      <c r="AH195" s="11"/>
      <c r="AJ195" s="42"/>
    </row>
    <row r="196" spans="1:36" s="545" customFormat="1" hidden="1">
      <c r="A196" s="524" t="s">
        <v>485</v>
      </c>
      <c r="C196" s="527">
        <f>C190</f>
        <v>149222.66666666669</v>
      </c>
      <c r="D196" s="132">
        <v>0</v>
      </c>
      <c r="E196" s="546"/>
      <c r="F196" s="548"/>
      <c r="G196" s="738" t="e">
        <v>#REF!</v>
      </c>
      <c r="H196" s="525" t="s">
        <v>178</v>
      </c>
      <c r="I196" s="185" t="e">
        <f>#REF!+#REF!+#REF!</f>
        <v>#REF!</v>
      </c>
      <c r="J196" s="553" t="e">
        <f>#REF!</f>
        <v>#REF!</v>
      </c>
      <c r="K196" s="525" t="s">
        <v>178</v>
      </c>
      <c r="L196" s="185" t="e">
        <f>#REF!+#REF!+#REF!</f>
        <v>#REF!</v>
      </c>
      <c r="M196" s="546"/>
      <c r="N196" s="546"/>
      <c r="O196" s="315"/>
      <c r="P196" s="512"/>
      <c r="Q196" s="546"/>
      <c r="R196" s="700"/>
      <c r="S196" s="700"/>
      <c r="T196" s="546"/>
      <c r="U196" s="546"/>
      <c r="V196" s="546"/>
      <c r="X196" s="546"/>
      <c r="Y196" s="546"/>
      <c r="Z196" s="546"/>
      <c r="AA196" s="546"/>
      <c r="AB196" s="546"/>
      <c r="AC196" s="546"/>
      <c r="AD196" s="546"/>
      <c r="AE196" s="546"/>
      <c r="AF196" s="546"/>
      <c r="AG196" s="546"/>
      <c r="AH196" s="546"/>
      <c r="AJ196" s="549"/>
    </row>
    <row r="197" spans="1:36" s="545" customFormat="1" hidden="1">
      <c r="A197" s="524" t="s">
        <v>486</v>
      </c>
      <c r="C197" s="527">
        <f>C191</f>
        <v>626125.33333333326</v>
      </c>
      <c r="D197" s="132">
        <v>0</v>
      </c>
      <c r="E197" s="546"/>
      <c r="F197" s="548"/>
      <c r="G197" s="738" t="e">
        <v>#REF!</v>
      </c>
      <c r="H197" s="525" t="s">
        <v>178</v>
      </c>
      <c r="I197" s="185" t="e">
        <f>#REF!+#REF!+#REF!</f>
        <v>#REF!</v>
      </c>
      <c r="J197" s="553" t="e">
        <f>#REF!</f>
        <v>#REF!</v>
      </c>
      <c r="K197" s="525" t="s">
        <v>178</v>
      </c>
      <c r="L197" s="185" t="e">
        <f>#REF!+#REF!+#REF!</f>
        <v>#REF!</v>
      </c>
      <c r="M197" s="546"/>
      <c r="N197" s="546"/>
      <c r="O197" s="315"/>
      <c r="P197" s="512"/>
      <c r="Q197" s="546"/>
      <c r="R197" s="700"/>
      <c r="S197" s="700"/>
      <c r="T197" s="546"/>
      <c r="U197" s="546"/>
      <c r="V197" s="546"/>
      <c r="X197" s="546"/>
      <c r="Y197" s="546"/>
      <c r="Z197" s="546"/>
      <c r="AA197" s="546"/>
      <c r="AB197" s="546"/>
      <c r="AC197" s="546"/>
      <c r="AD197" s="546"/>
      <c r="AE197" s="546"/>
      <c r="AF197" s="546"/>
      <c r="AG197" s="546"/>
      <c r="AH197" s="546"/>
      <c r="AJ197" s="549"/>
    </row>
    <row r="198" spans="1:36" s="545" customFormat="1" hidden="1">
      <c r="A198" s="524" t="s">
        <v>487</v>
      </c>
      <c r="C198" s="527">
        <f>C192</f>
        <v>362541</v>
      </c>
      <c r="D198" s="132">
        <v>0</v>
      </c>
      <c r="E198" s="546"/>
      <c r="F198" s="548"/>
      <c r="G198" s="738" t="e">
        <v>#REF!</v>
      </c>
      <c r="H198" s="525" t="s">
        <v>178</v>
      </c>
      <c r="I198" s="185" t="e">
        <f>#REF!+#REF!+#REF!</f>
        <v>#REF!</v>
      </c>
      <c r="J198" s="553" t="e">
        <f>#REF!</f>
        <v>#REF!</v>
      </c>
      <c r="K198" s="525" t="s">
        <v>178</v>
      </c>
      <c r="L198" s="185" t="e">
        <f>#REF!+#REF!+#REF!</f>
        <v>#REF!</v>
      </c>
      <c r="M198" s="546"/>
      <c r="N198" s="546"/>
      <c r="O198" s="315"/>
      <c r="P198" s="512"/>
      <c r="Q198" s="546"/>
      <c r="R198" s="700"/>
      <c r="S198" s="700"/>
      <c r="T198" s="546"/>
      <c r="U198" s="546"/>
      <c r="V198" s="546"/>
      <c r="X198" s="546"/>
      <c r="Y198" s="546"/>
      <c r="Z198" s="546"/>
      <c r="AA198" s="546"/>
      <c r="AB198" s="546"/>
      <c r="AC198" s="546"/>
      <c r="AD198" s="546"/>
      <c r="AE198" s="546"/>
      <c r="AF198" s="546"/>
      <c r="AG198" s="546"/>
      <c r="AH198" s="546"/>
      <c r="AJ198" s="549"/>
    </row>
    <row r="199" spans="1:36">
      <c r="A199" s="1" t="s">
        <v>185</v>
      </c>
      <c r="B199" s="127"/>
      <c r="C199" s="182">
        <f>C230+C344+C432</f>
        <v>549993775.55239236</v>
      </c>
      <c r="D199" s="193"/>
      <c r="E199" s="186"/>
      <c r="F199" s="185">
        <f>F230+F344+F432</f>
        <v>51912499</v>
      </c>
      <c r="G199" s="733"/>
      <c r="H199" s="186"/>
      <c r="I199" s="185">
        <f>I230+I344+I432</f>
        <v>53688942</v>
      </c>
      <c r="J199" s="193"/>
      <c r="K199" s="186"/>
      <c r="L199" s="185">
        <f ca="1">L230+L344+L432</f>
        <v>53606447</v>
      </c>
      <c r="M199" s="20"/>
      <c r="N199" s="20"/>
      <c r="O199" s="20"/>
      <c r="P199" s="512"/>
      <c r="Q199" s="38"/>
      <c r="R199" s="11"/>
      <c r="S199" s="11"/>
      <c r="T199" s="11"/>
      <c r="U199" s="11"/>
      <c r="V199" s="11"/>
      <c r="AA199" s="11"/>
      <c r="AB199" s="11"/>
      <c r="AC199" s="11"/>
      <c r="AD199" s="11"/>
      <c r="AE199" s="11"/>
      <c r="AF199" s="11"/>
      <c r="AG199" s="11"/>
      <c r="AH199" s="11"/>
      <c r="AJ199" s="42"/>
    </row>
    <row r="200" spans="1:36">
      <c r="A200" s="1" t="s">
        <v>167</v>
      </c>
      <c r="B200" s="15"/>
      <c r="C200" s="203">
        <f>C231+C345+C433</f>
        <v>4745356.2778315768</v>
      </c>
      <c r="D200" s="172"/>
      <c r="E200" s="172"/>
      <c r="F200" s="204">
        <f>F231+F345+F433</f>
        <v>646735.19913938292</v>
      </c>
      <c r="G200" s="284"/>
      <c r="H200" s="172"/>
      <c r="I200" s="173">
        <f>F200</f>
        <v>646735.19913938292</v>
      </c>
      <c r="J200" s="172"/>
      <c r="K200" s="172"/>
      <c r="L200" s="173">
        <f>I200</f>
        <v>646735.19913938292</v>
      </c>
      <c r="M200" s="11"/>
      <c r="N200" s="11"/>
      <c r="O200" s="38"/>
      <c r="P200" s="510"/>
      <c r="Q200" s="510"/>
      <c r="R200" s="11"/>
      <c r="S200" s="11"/>
      <c r="T200" s="11"/>
      <c r="U200" s="11"/>
      <c r="V200" s="11"/>
      <c r="AA200" s="11"/>
      <c r="AB200" s="11"/>
      <c r="AC200" s="11"/>
      <c r="AD200" s="11"/>
      <c r="AE200" s="11"/>
      <c r="AF200" s="11"/>
      <c r="AG200" s="11"/>
      <c r="AH200" s="11"/>
      <c r="AJ200" s="42"/>
    </row>
    <row r="201" spans="1:36" ht="16.5" thickBot="1">
      <c r="A201" s="1" t="s">
        <v>186</v>
      </c>
      <c r="B201" s="1"/>
      <c r="C201" s="174">
        <f>SUM(C199:C200)</f>
        <v>554739131.83022392</v>
      </c>
      <c r="D201" s="519"/>
      <c r="E201" s="208"/>
      <c r="F201" s="207">
        <f>F199+F200</f>
        <v>52559234.199139386</v>
      </c>
      <c r="G201" s="739"/>
      <c r="H201" s="208"/>
      <c r="I201" s="207">
        <f>I199+I200</f>
        <v>54335677.199139386</v>
      </c>
      <c r="J201" s="335"/>
      <c r="K201" s="208"/>
      <c r="L201" s="207">
        <f ca="1">L199+L200</f>
        <v>54253182.199139386</v>
      </c>
      <c r="M201" s="11"/>
      <c r="N201" s="279"/>
      <c r="O201" s="279"/>
      <c r="P201" s="500"/>
      <c r="Q201" s="510"/>
      <c r="R201" s="512"/>
      <c r="S201" s="11"/>
      <c r="T201" s="11"/>
      <c r="U201" s="11"/>
      <c r="V201" s="11"/>
      <c r="AA201" s="11"/>
      <c r="AB201" s="11"/>
      <c r="AC201" s="11"/>
      <c r="AD201" s="11"/>
      <c r="AE201" s="11"/>
      <c r="AF201" s="11"/>
      <c r="AG201" s="11"/>
      <c r="AH201" s="11"/>
      <c r="AJ201" s="42"/>
    </row>
    <row r="202" spans="1:36" ht="16.5" thickTop="1">
      <c r="A202" s="1"/>
      <c r="B202" s="1"/>
      <c r="C202" s="213"/>
      <c r="D202" s="614"/>
      <c r="E202" s="14"/>
      <c r="F202" s="185"/>
      <c r="G202" s="740"/>
      <c r="H202" s="14"/>
      <c r="I202" s="185" t="s">
        <v>13</v>
      </c>
      <c r="J202" s="615"/>
      <c r="K202" s="14"/>
      <c r="L202" s="185" t="s">
        <v>13</v>
      </c>
      <c r="M202" s="11"/>
      <c r="N202" s="11"/>
      <c r="O202" s="279"/>
      <c r="P202" s="6"/>
      <c r="Q202" s="510"/>
      <c r="R202" s="512"/>
      <c r="S202" s="11"/>
      <c r="T202" s="11"/>
      <c r="U202" s="11"/>
      <c r="V202" s="11"/>
      <c r="AA202" s="11"/>
      <c r="AB202" s="11"/>
      <c r="AC202" s="11"/>
      <c r="AD202" s="11"/>
      <c r="AE202" s="11"/>
      <c r="AF202" s="11"/>
      <c r="AG202" s="11"/>
      <c r="AH202" s="11"/>
      <c r="AJ202" s="42"/>
    </row>
    <row r="203" spans="1:36" hidden="1">
      <c r="A203" s="1"/>
      <c r="B203" s="1"/>
      <c r="C203" s="213"/>
      <c r="D203" s="614"/>
      <c r="E203" s="14"/>
      <c r="F203" s="185"/>
      <c r="G203" s="740"/>
      <c r="H203" s="14"/>
      <c r="I203" s="185"/>
      <c r="J203" s="615"/>
      <c r="K203" s="14"/>
      <c r="L203" s="185"/>
      <c r="M203" s="11"/>
      <c r="N203" s="11"/>
      <c r="O203" s="38"/>
      <c r="P203" s="38"/>
      <c r="Q203" s="510"/>
      <c r="R203" s="512"/>
      <c r="S203" s="11"/>
      <c r="T203" s="11"/>
      <c r="U203" s="11"/>
      <c r="V203" s="11"/>
      <c r="AA203" s="11"/>
      <c r="AB203" s="11"/>
      <c r="AC203" s="11"/>
      <c r="AD203" s="11"/>
      <c r="AE203" s="11"/>
      <c r="AF203" s="11"/>
      <c r="AG203" s="11"/>
      <c r="AH203" s="11"/>
      <c r="AJ203" s="42"/>
    </row>
    <row r="204" spans="1:36" hidden="1">
      <c r="A204" s="1"/>
      <c r="B204" s="1"/>
      <c r="C204" s="12"/>
      <c r="D204" s="200"/>
      <c r="E204" s="1"/>
      <c r="F204" s="2" t="s">
        <v>13</v>
      </c>
      <c r="G204" s="216"/>
      <c r="H204" s="1"/>
      <c r="I204" s="2" t="s">
        <v>13</v>
      </c>
      <c r="J204" s="200"/>
      <c r="K204" s="1"/>
      <c r="L204" s="2" t="s">
        <v>13</v>
      </c>
      <c r="M204" s="11"/>
      <c r="N204" s="11"/>
      <c r="O204" s="38"/>
      <c r="P204" s="38"/>
      <c r="Q204" s="554"/>
      <c r="R204" s="11"/>
      <c r="S204" s="11"/>
      <c r="T204" s="11"/>
      <c r="U204" s="11"/>
      <c r="V204" s="11"/>
      <c r="AA204" s="11"/>
      <c r="AB204" s="11"/>
      <c r="AC204" s="11"/>
      <c r="AD204" s="11"/>
      <c r="AE204" s="11"/>
      <c r="AF204" s="11"/>
      <c r="AG204" s="11"/>
      <c r="AH204" s="11"/>
      <c r="AJ204" s="42"/>
    </row>
    <row r="205" spans="1:36" hidden="1">
      <c r="A205" s="1"/>
      <c r="B205" s="1"/>
      <c r="C205" s="12"/>
      <c r="D205" s="200"/>
      <c r="E205" s="1"/>
      <c r="F205" s="2"/>
      <c r="G205" s="216"/>
      <c r="H205" s="1"/>
      <c r="J205" s="200"/>
      <c r="K205" s="1"/>
      <c r="M205" s="11"/>
      <c r="N205" s="11"/>
      <c r="O205" s="38"/>
      <c r="P205" s="38"/>
      <c r="Q205" s="38"/>
      <c r="R205" s="11"/>
      <c r="S205" s="11"/>
      <c r="T205" s="11"/>
      <c r="U205" s="11"/>
      <c r="V205" s="11"/>
      <c r="AA205" s="11"/>
      <c r="AB205" s="11"/>
      <c r="AC205" s="11"/>
      <c r="AD205" s="11"/>
      <c r="AE205" s="11"/>
      <c r="AF205" s="11"/>
      <c r="AG205" s="11"/>
      <c r="AH205" s="11"/>
      <c r="AJ205" s="42"/>
    </row>
    <row r="206" spans="1:36" hidden="1">
      <c r="A206" s="156" t="s">
        <v>191</v>
      </c>
      <c r="B206" s="1"/>
      <c r="C206" s="1"/>
      <c r="D206" s="2"/>
      <c r="E206" s="1"/>
      <c r="F206" s="1"/>
      <c r="G206" s="516"/>
      <c r="H206" s="1"/>
      <c r="I206" s="1"/>
      <c r="J206" s="2"/>
      <c r="K206" s="1"/>
      <c r="L206" s="1"/>
      <c r="M206" s="11"/>
      <c r="N206" s="11"/>
      <c r="O206" s="286"/>
      <c r="P206" s="104"/>
      <c r="Q206" s="104"/>
      <c r="R206" s="11"/>
      <c r="S206" s="11"/>
      <c r="T206" s="11"/>
      <c r="U206" s="11"/>
      <c r="V206" s="11"/>
      <c r="AA206" s="11"/>
      <c r="AB206" s="11"/>
      <c r="AC206" s="11"/>
      <c r="AD206" s="11"/>
      <c r="AE206" s="11"/>
      <c r="AF206" s="11"/>
      <c r="AG206" s="11"/>
      <c r="AH206" s="11"/>
      <c r="AJ206" s="42"/>
    </row>
    <row r="207" spans="1:36" hidden="1">
      <c r="A207" s="1" t="s">
        <v>214</v>
      </c>
      <c r="B207" s="1"/>
      <c r="C207" s="1"/>
      <c r="D207" s="2"/>
      <c r="E207" s="1"/>
      <c r="F207" s="1"/>
      <c r="G207" s="516"/>
      <c r="H207" s="1"/>
      <c r="I207" s="1"/>
      <c r="J207" s="2"/>
      <c r="K207" s="1"/>
      <c r="L207" s="1"/>
      <c r="M207" s="279"/>
      <c r="N207" s="279"/>
      <c r="O207" s="38"/>
      <c r="P207" s="38"/>
      <c r="Q207" s="38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J207" s="42"/>
    </row>
    <row r="208" spans="1:36" hidden="1">
      <c r="A208" s="1"/>
      <c r="B208" s="1"/>
      <c r="C208" s="1"/>
      <c r="D208" s="2"/>
      <c r="E208" s="1"/>
      <c r="F208" s="1"/>
      <c r="G208" s="516"/>
      <c r="H208" s="1"/>
      <c r="I208" s="1"/>
      <c r="J208" s="2"/>
      <c r="K208" s="1"/>
      <c r="L208" s="1"/>
      <c r="M208" s="279"/>
      <c r="N208" s="279"/>
      <c r="O208" s="38"/>
      <c r="P208" s="38"/>
      <c r="Q208" s="38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J208" s="42"/>
    </row>
    <row r="209" spans="1:36" hidden="1">
      <c r="A209" s="1" t="s">
        <v>197</v>
      </c>
      <c r="B209" s="1"/>
      <c r="C209" s="182"/>
      <c r="D209" s="2"/>
      <c r="E209" s="1"/>
      <c r="F209" s="1"/>
      <c r="G209" s="516"/>
      <c r="H209" s="1"/>
      <c r="I209" s="1"/>
      <c r="J209" s="2"/>
      <c r="K209" s="1"/>
      <c r="L209" s="1"/>
      <c r="M209" s="11"/>
      <c r="N209" s="11"/>
      <c r="O209" s="38"/>
      <c r="P209" s="38"/>
      <c r="Q209" s="38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J209" s="42"/>
    </row>
    <row r="210" spans="1:36" hidden="1">
      <c r="A210" s="1" t="s">
        <v>194</v>
      </c>
      <c r="B210" s="1"/>
      <c r="C210" s="182">
        <f>C267+C295+C238</f>
        <v>168732.33333333232</v>
      </c>
      <c r="D210" s="161">
        <f>$D$175</f>
        <v>9.86</v>
      </c>
      <c r="E210" s="186"/>
      <c r="F210" s="2">
        <f>F267+F295+F238</f>
        <v>1663701</v>
      </c>
      <c r="G210" s="506">
        <v>9.86</v>
      </c>
      <c r="H210" s="186"/>
      <c r="I210" s="2">
        <f>I267+I295+I238</f>
        <v>1663701</v>
      </c>
      <c r="J210" s="161">
        <f>$G$175</f>
        <v>9.86</v>
      </c>
      <c r="K210" s="186"/>
      <c r="L210" s="2">
        <f>L267+L295+L238</f>
        <v>1663701</v>
      </c>
      <c r="M210" s="11"/>
      <c r="N210" s="11"/>
      <c r="O210" s="38"/>
      <c r="P210" s="38"/>
      <c r="Q210" s="38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J210" s="42"/>
    </row>
    <row r="211" spans="1:36" hidden="1">
      <c r="A211" s="1" t="s">
        <v>195</v>
      </c>
      <c r="B211" s="1"/>
      <c r="C211" s="182">
        <f>C268+C296+C239</f>
        <v>68177.199999999793</v>
      </c>
      <c r="D211" s="161">
        <f>$D$176</f>
        <v>14.7</v>
      </c>
      <c r="E211" s="188"/>
      <c r="F211" s="2">
        <f>F268+F296+F239</f>
        <v>1002205</v>
      </c>
      <c r="G211" s="506">
        <v>14.7</v>
      </c>
      <c r="H211" s="188"/>
      <c r="I211" s="2">
        <f>I268+I296+I239</f>
        <v>1002205</v>
      </c>
      <c r="J211" s="161">
        <f>$G$176</f>
        <v>14.7</v>
      </c>
      <c r="K211" s="188"/>
      <c r="L211" s="2">
        <f>L268+L296+L239</f>
        <v>1002205</v>
      </c>
      <c r="M211" s="11"/>
      <c r="N211" s="11"/>
      <c r="O211" s="38"/>
      <c r="P211" s="38"/>
      <c r="Q211" s="38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J211" s="42"/>
    </row>
    <row r="212" spans="1:36" hidden="1">
      <c r="A212" s="1" t="s">
        <v>196</v>
      </c>
      <c r="B212" s="1"/>
      <c r="C212" s="182">
        <f>C269+C297+C240</f>
        <v>1269889</v>
      </c>
      <c r="D212" s="161">
        <f>$D$177</f>
        <v>1.04</v>
      </c>
      <c r="E212" s="188"/>
      <c r="F212" s="2">
        <f>F269+F297+F240</f>
        <v>1320685</v>
      </c>
      <c r="G212" s="506">
        <v>1.04</v>
      </c>
      <c r="H212" s="188"/>
      <c r="I212" s="2">
        <f>I269+I297+I240</f>
        <v>1320685</v>
      </c>
      <c r="J212" s="161">
        <f>$G$177</f>
        <v>1.04</v>
      </c>
      <c r="K212" s="188"/>
      <c r="L212" s="2">
        <f>L269+L297+L240</f>
        <v>1320685</v>
      </c>
      <c r="M212" s="11"/>
      <c r="N212" s="11"/>
      <c r="O212" s="38"/>
      <c r="P212" s="38"/>
      <c r="Q212" s="38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J212" s="42"/>
    </row>
    <row r="213" spans="1:36" hidden="1">
      <c r="A213" s="1" t="s">
        <v>198</v>
      </c>
      <c r="B213" s="1"/>
      <c r="C213" s="182">
        <f>SUM(C210:C211)</f>
        <v>236909.5333333321</v>
      </c>
      <c r="D213" s="161"/>
      <c r="E213" s="186"/>
      <c r="F213" s="2"/>
      <c r="G213" s="506"/>
      <c r="H213" s="186"/>
      <c r="I213" s="2"/>
      <c r="J213" s="161"/>
      <c r="K213" s="186"/>
      <c r="L213" s="2"/>
      <c r="M213" s="11"/>
      <c r="N213" s="11"/>
      <c r="O213" s="38"/>
      <c r="P213" s="38"/>
      <c r="Q213" s="38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J213" s="42"/>
    </row>
    <row r="214" spans="1:36" hidden="1">
      <c r="A214" s="1" t="s">
        <v>199</v>
      </c>
      <c r="B214" s="1"/>
      <c r="C214" s="182">
        <f>C271+C299+C242</f>
        <v>790481</v>
      </c>
      <c r="D214" s="189">
        <f>$D$180</f>
        <v>3.81</v>
      </c>
      <c r="E214" s="186"/>
      <c r="F214" s="2">
        <f>F271+F299+F242</f>
        <v>3011733</v>
      </c>
      <c r="G214" s="216">
        <v>3.81</v>
      </c>
      <c r="H214" s="186"/>
      <c r="I214" s="2">
        <f>I271+I299+I242</f>
        <v>3011733</v>
      </c>
      <c r="J214" s="189">
        <f>$G$180</f>
        <v>3.81</v>
      </c>
      <c r="K214" s="186"/>
      <c r="L214" s="2">
        <f>L271+L299+L242</f>
        <v>3011733</v>
      </c>
      <c r="M214" s="11"/>
      <c r="N214" s="11"/>
      <c r="O214" s="38"/>
      <c r="P214" s="38"/>
      <c r="Q214" s="38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J214" s="42"/>
    </row>
    <row r="215" spans="1:36" hidden="1">
      <c r="A215" s="1" t="s">
        <v>201</v>
      </c>
      <c r="B215" s="1"/>
      <c r="C215" s="182">
        <f>C272+C300+C243</f>
        <v>135323558.69232529</v>
      </c>
      <c r="D215" s="162">
        <f>$D$181</f>
        <v>10.898999999999999</v>
      </c>
      <c r="E215" s="186" t="s">
        <v>178</v>
      </c>
      <c r="F215" s="2">
        <f>F272+F300+F243</f>
        <v>14748915</v>
      </c>
      <c r="G215" s="731">
        <v>11.222</v>
      </c>
      <c r="H215" s="186" t="s">
        <v>178</v>
      </c>
      <c r="I215" s="2">
        <f>I272+I300+I243</f>
        <v>15186010</v>
      </c>
      <c r="J215" s="162">
        <f ca="1">$J$181</f>
        <v>11.207000000000001</v>
      </c>
      <c r="K215" s="186" t="s">
        <v>178</v>
      </c>
      <c r="L215" s="2">
        <f ca="1">L272+L300+L243</f>
        <v>15165712</v>
      </c>
      <c r="M215" s="11"/>
      <c r="N215" s="11"/>
      <c r="O215" s="38"/>
      <c r="P215" s="38"/>
      <c r="Q215" s="38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J215" s="42"/>
    </row>
    <row r="216" spans="1:36" hidden="1">
      <c r="A216" s="1" t="s">
        <v>202</v>
      </c>
      <c r="B216" s="1"/>
      <c r="C216" s="182">
        <f>C273+C301+C244</f>
        <v>291219231.15769178</v>
      </c>
      <c r="D216" s="162">
        <f>$D$182</f>
        <v>7.3739999999999997</v>
      </c>
      <c r="E216" s="186" t="s">
        <v>178</v>
      </c>
      <c r="F216" s="2">
        <f>F273+F301+F244</f>
        <v>21474505</v>
      </c>
      <c r="G216" s="731">
        <v>7.6970000000000001</v>
      </c>
      <c r="H216" s="186" t="s">
        <v>178</v>
      </c>
      <c r="I216" s="2">
        <f>I273+I301+I244</f>
        <v>22415145</v>
      </c>
      <c r="J216" s="162">
        <f ca="1">$J$182</f>
        <v>7.6820000000000004</v>
      </c>
      <c r="K216" s="186" t="s">
        <v>178</v>
      </c>
      <c r="L216" s="2">
        <f ca="1">L273+L301+L244</f>
        <v>22371461</v>
      </c>
      <c r="M216" s="11"/>
      <c r="N216" s="11"/>
      <c r="O216" s="38"/>
      <c r="P216" s="38"/>
      <c r="Q216" s="38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J216" s="42"/>
    </row>
    <row r="217" spans="1:36" hidden="1">
      <c r="A217" s="1" t="s">
        <v>203</v>
      </c>
      <c r="B217" s="1"/>
      <c r="C217" s="182">
        <f>C274+C302+C245</f>
        <v>122057286.54865542</v>
      </c>
      <c r="D217" s="162">
        <f>$D$183</f>
        <v>6.8529999999999998</v>
      </c>
      <c r="E217" s="186" t="s">
        <v>178</v>
      </c>
      <c r="F217" s="2">
        <f>F274+F302+F245</f>
        <v>8364586</v>
      </c>
      <c r="G217" s="731">
        <v>7.1760000000000002</v>
      </c>
      <c r="H217" s="186" t="s">
        <v>178</v>
      </c>
      <c r="I217" s="2">
        <f>I274+I302+I245</f>
        <v>8758831</v>
      </c>
      <c r="J217" s="162">
        <f ca="1">$J$183</f>
        <v>7.1609999999999996</v>
      </c>
      <c r="K217" s="186" t="s">
        <v>178</v>
      </c>
      <c r="L217" s="2">
        <f ca="1">L274+L302+L245</f>
        <v>8740523</v>
      </c>
      <c r="M217" s="11"/>
      <c r="N217" s="11"/>
      <c r="O217" s="38"/>
      <c r="P217" s="38"/>
      <c r="Q217" s="38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J217" s="42"/>
    </row>
    <row r="218" spans="1:36" hidden="1">
      <c r="A218" s="1" t="s">
        <v>204</v>
      </c>
      <c r="B218" s="1"/>
      <c r="C218" s="182">
        <f>C275+C303+C246</f>
        <v>120246.76666666659</v>
      </c>
      <c r="D218" s="189">
        <f>$D$184</f>
        <v>58</v>
      </c>
      <c r="E218" s="186" t="s">
        <v>178</v>
      </c>
      <c r="F218" s="2">
        <f>F275+F303+F246</f>
        <v>69743</v>
      </c>
      <c r="G218" s="733">
        <v>58</v>
      </c>
      <c r="H218" s="186" t="s">
        <v>178</v>
      </c>
      <c r="I218" s="2">
        <f>I275+I303+I246</f>
        <v>69743</v>
      </c>
      <c r="J218" s="193">
        <f>$G$184</f>
        <v>58</v>
      </c>
      <c r="K218" s="186" t="s">
        <v>178</v>
      </c>
      <c r="L218" s="2">
        <f>L275+L303+L246</f>
        <v>69743</v>
      </c>
      <c r="M218" s="11"/>
      <c r="N218" s="11"/>
      <c r="O218" s="38"/>
      <c r="P218" s="38"/>
      <c r="Q218" s="38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J218" s="42"/>
    </row>
    <row r="219" spans="1:36" hidden="1">
      <c r="A219" s="194" t="s">
        <v>205</v>
      </c>
      <c r="B219" s="1"/>
      <c r="C219" s="182"/>
      <c r="D219" s="195">
        <f>$D$185</f>
        <v>-0.01</v>
      </c>
      <c r="E219" s="186"/>
      <c r="F219" s="2"/>
      <c r="G219" s="734">
        <v>-0.01</v>
      </c>
      <c r="H219" s="186"/>
      <c r="I219" s="2"/>
      <c r="J219" s="195">
        <v>-0.01</v>
      </c>
      <c r="K219" s="186"/>
      <c r="L219" s="2"/>
      <c r="M219" s="11"/>
      <c r="N219" s="11"/>
      <c r="O219" s="17"/>
      <c r="P219" s="38"/>
      <c r="Q219" s="38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J219" s="42"/>
    </row>
    <row r="220" spans="1:36" hidden="1">
      <c r="A220" s="1" t="s">
        <v>194</v>
      </c>
      <c r="B220" s="1"/>
      <c r="C220" s="182">
        <f t="shared" ref="C220:C230" si="23">C277+C305+C248</f>
        <v>83.966666666666697</v>
      </c>
      <c r="D220" s="197">
        <f>$D$210</f>
        <v>9.86</v>
      </c>
      <c r="E220" s="184"/>
      <c r="F220" s="2">
        <f t="shared" ref="F220:F230" si="24">F277+F305+F248</f>
        <v>-8</v>
      </c>
      <c r="G220" s="216">
        <v>9.86</v>
      </c>
      <c r="H220" s="184"/>
      <c r="I220" s="2">
        <f t="shared" ref="I220:I230" si="25">I277+I305+I248</f>
        <v>-8</v>
      </c>
      <c r="J220" s="197">
        <f>J210</f>
        <v>9.86</v>
      </c>
      <c r="K220" s="184"/>
      <c r="L220" s="2">
        <f t="shared" ref="L220:L230" si="26">L277+L305+L248</f>
        <v>-8</v>
      </c>
      <c r="M220" s="11"/>
      <c r="N220" s="11"/>
      <c r="O220" s="38"/>
      <c r="P220" s="38"/>
      <c r="Q220" s="38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J220" s="42"/>
    </row>
    <row r="221" spans="1:36" hidden="1">
      <c r="A221" s="1" t="s">
        <v>195</v>
      </c>
      <c r="B221" s="1"/>
      <c r="C221" s="182">
        <f t="shared" si="23"/>
        <v>103.9666666666667</v>
      </c>
      <c r="D221" s="197">
        <f>$D$211</f>
        <v>14.7</v>
      </c>
      <c r="E221" s="184"/>
      <c r="F221" s="2">
        <f t="shared" si="24"/>
        <v>-16</v>
      </c>
      <c r="G221" s="216">
        <v>14.7</v>
      </c>
      <c r="H221" s="184"/>
      <c r="I221" s="2">
        <f t="shared" si="25"/>
        <v>-16</v>
      </c>
      <c r="J221" s="197">
        <f>J211</f>
        <v>14.7</v>
      </c>
      <c r="K221" s="184"/>
      <c r="L221" s="2">
        <f t="shared" si="26"/>
        <v>-16</v>
      </c>
      <c r="M221" s="11"/>
      <c r="N221" s="11"/>
      <c r="O221" s="38"/>
      <c r="P221" s="38"/>
      <c r="Q221" s="38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J221" s="42"/>
    </row>
    <row r="222" spans="1:36" hidden="1">
      <c r="A222" s="1" t="s">
        <v>206</v>
      </c>
      <c r="B222" s="1"/>
      <c r="C222" s="182">
        <f t="shared" si="23"/>
        <v>5541</v>
      </c>
      <c r="D222" s="197">
        <f>$D$212</f>
        <v>1.04</v>
      </c>
      <c r="E222" s="184"/>
      <c r="F222" s="2">
        <f t="shared" si="24"/>
        <v>-58</v>
      </c>
      <c r="G222" s="216">
        <v>1.04</v>
      </c>
      <c r="H222" s="184"/>
      <c r="I222" s="2">
        <f t="shared" si="25"/>
        <v>-58</v>
      </c>
      <c r="J222" s="197">
        <f>J212</f>
        <v>1.04</v>
      </c>
      <c r="K222" s="184"/>
      <c r="L222" s="2">
        <f t="shared" si="26"/>
        <v>-58</v>
      </c>
      <c r="M222" s="11"/>
      <c r="N222" s="11"/>
      <c r="O222" s="38"/>
      <c r="P222" s="38"/>
      <c r="Q222" s="38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J222" s="42"/>
    </row>
    <row r="223" spans="1:36" hidden="1">
      <c r="A223" s="1" t="s">
        <v>207</v>
      </c>
      <c r="B223" s="1"/>
      <c r="C223" s="182">
        <f t="shared" si="23"/>
        <v>1992</v>
      </c>
      <c r="D223" s="197">
        <f>$D$214</f>
        <v>3.81</v>
      </c>
      <c r="E223" s="186"/>
      <c r="F223" s="2">
        <f t="shared" si="24"/>
        <v>-76</v>
      </c>
      <c r="G223" s="216">
        <v>3.81</v>
      </c>
      <c r="H223" s="186"/>
      <c r="I223" s="2">
        <f t="shared" si="25"/>
        <v>-76</v>
      </c>
      <c r="J223" s="197">
        <f>J214</f>
        <v>3.81</v>
      </c>
      <c r="K223" s="186"/>
      <c r="L223" s="2">
        <f t="shared" si="26"/>
        <v>-76</v>
      </c>
      <c r="M223" s="11"/>
      <c r="N223" s="11"/>
      <c r="O223" s="38"/>
      <c r="P223" s="38"/>
      <c r="Q223" s="38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J223" s="42"/>
    </row>
    <row r="224" spans="1:36" hidden="1">
      <c r="A224" s="1" t="s">
        <v>209</v>
      </c>
      <c r="B224" s="1"/>
      <c r="C224" s="182">
        <f t="shared" si="23"/>
        <v>149222.66666666669</v>
      </c>
      <c r="D224" s="198">
        <f>$D$215</f>
        <v>10.898999999999999</v>
      </c>
      <c r="E224" s="186" t="s">
        <v>178</v>
      </c>
      <c r="F224" s="2">
        <f t="shared" si="24"/>
        <v>-163</v>
      </c>
      <c r="G224" s="735">
        <v>11.222</v>
      </c>
      <c r="H224" s="186" t="s">
        <v>178</v>
      </c>
      <c r="I224" s="2">
        <f t="shared" si="25"/>
        <v>-167</v>
      </c>
      <c r="J224" s="198">
        <f ca="1">J215</f>
        <v>11.207000000000001</v>
      </c>
      <c r="K224" s="186" t="s">
        <v>178</v>
      </c>
      <c r="L224" s="2">
        <f t="shared" ca="1" si="26"/>
        <v>-167</v>
      </c>
      <c r="M224" s="11"/>
      <c r="N224" s="11"/>
      <c r="O224" s="38"/>
      <c r="P224" s="38"/>
      <c r="Q224" s="38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J224" s="42"/>
    </row>
    <row r="225" spans="1:36" hidden="1">
      <c r="A225" s="1" t="s">
        <v>202</v>
      </c>
      <c r="B225" s="1"/>
      <c r="C225" s="182">
        <f t="shared" si="23"/>
        <v>626125.33333333326</v>
      </c>
      <c r="D225" s="198">
        <f>$D$216</f>
        <v>7.3739999999999997</v>
      </c>
      <c r="E225" s="186" t="s">
        <v>178</v>
      </c>
      <c r="F225" s="2">
        <f t="shared" si="24"/>
        <v>-462</v>
      </c>
      <c r="G225" s="735">
        <v>7.6970000000000001</v>
      </c>
      <c r="H225" s="186" t="s">
        <v>178</v>
      </c>
      <c r="I225" s="2">
        <f t="shared" si="25"/>
        <v>-482</v>
      </c>
      <c r="J225" s="198">
        <f ca="1">J216</f>
        <v>7.6820000000000004</v>
      </c>
      <c r="K225" s="186" t="s">
        <v>178</v>
      </c>
      <c r="L225" s="2">
        <f t="shared" ca="1" si="26"/>
        <v>-481</v>
      </c>
      <c r="M225" s="11"/>
      <c r="N225" s="11"/>
      <c r="O225" s="38"/>
      <c r="P225" s="38"/>
      <c r="Q225" s="38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J225" s="42"/>
    </row>
    <row r="226" spans="1:36" hidden="1">
      <c r="A226" s="1" t="s">
        <v>203</v>
      </c>
      <c r="B226" s="1"/>
      <c r="C226" s="182">
        <f t="shared" si="23"/>
        <v>362541</v>
      </c>
      <c r="D226" s="198">
        <f>$D$217</f>
        <v>6.8529999999999998</v>
      </c>
      <c r="E226" s="186" t="s">
        <v>178</v>
      </c>
      <c r="F226" s="2">
        <f t="shared" si="24"/>
        <v>-249</v>
      </c>
      <c r="G226" s="735">
        <v>7.1760000000000002</v>
      </c>
      <c r="H226" s="186" t="s">
        <v>178</v>
      </c>
      <c r="I226" s="2">
        <f t="shared" si="25"/>
        <v>-261</v>
      </c>
      <c r="J226" s="198">
        <f ca="1">J217</f>
        <v>7.1609999999999996</v>
      </c>
      <c r="K226" s="186" t="s">
        <v>178</v>
      </c>
      <c r="L226" s="2">
        <f t="shared" ca="1" si="26"/>
        <v>-260</v>
      </c>
      <c r="M226" s="11"/>
      <c r="N226" s="11"/>
      <c r="O226" s="38"/>
      <c r="P226" s="38"/>
      <c r="Q226" s="38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J226" s="42"/>
    </row>
    <row r="227" spans="1:36" hidden="1">
      <c r="A227" s="1" t="s">
        <v>204</v>
      </c>
      <c r="B227" s="1"/>
      <c r="C227" s="182">
        <f t="shared" si="23"/>
        <v>1169.8</v>
      </c>
      <c r="D227" s="199">
        <f>$D$218</f>
        <v>58</v>
      </c>
      <c r="E227" s="186" t="s">
        <v>178</v>
      </c>
      <c r="F227" s="2">
        <f t="shared" si="24"/>
        <v>-6</v>
      </c>
      <c r="G227" s="736">
        <v>58</v>
      </c>
      <c r="H227" s="186" t="s">
        <v>178</v>
      </c>
      <c r="I227" s="2">
        <f t="shared" si="25"/>
        <v>-6</v>
      </c>
      <c r="J227" s="199">
        <f>J218</f>
        <v>58</v>
      </c>
      <c r="K227" s="186" t="s">
        <v>178</v>
      </c>
      <c r="L227" s="2">
        <f t="shared" si="26"/>
        <v>-6</v>
      </c>
      <c r="M227" s="11"/>
      <c r="N227" s="11"/>
      <c r="O227" s="38"/>
      <c r="P227" s="38"/>
      <c r="Q227" s="38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J227" s="42"/>
    </row>
    <row r="228" spans="1:36" hidden="1">
      <c r="A228" s="1" t="s">
        <v>211</v>
      </c>
      <c r="B228" s="1"/>
      <c r="C228" s="182">
        <f t="shared" si="23"/>
        <v>155.93333333333339</v>
      </c>
      <c r="D228" s="200">
        <v>60</v>
      </c>
      <c r="E228" s="186"/>
      <c r="F228" s="2">
        <f t="shared" si="24"/>
        <v>9356</v>
      </c>
      <c r="G228" s="216">
        <v>60</v>
      </c>
      <c r="H228" s="186"/>
      <c r="I228" s="2">
        <f t="shared" si="25"/>
        <v>9356</v>
      </c>
      <c r="J228" s="200">
        <f>$G$194</f>
        <v>60</v>
      </c>
      <c r="K228" s="186"/>
      <c r="L228" s="2">
        <f t="shared" si="26"/>
        <v>9356</v>
      </c>
      <c r="M228" s="11"/>
      <c r="N228" s="11"/>
      <c r="O228" s="38"/>
      <c r="P228" s="38"/>
      <c r="Q228" s="38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J228" s="42"/>
    </row>
    <row r="229" spans="1:36" hidden="1">
      <c r="A229" s="1" t="s">
        <v>212</v>
      </c>
      <c r="B229" s="1"/>
      <c r="C229" s="182">
        <f t="shared" si="23"/>
        <v>5455</v>
      </c>
      <c r="D229" s="202">
        <v>-30</v>
      </c>
      <c r="E229" s="186" t="s">
        <v>178</v>
      </c>
      <c r="F229" s="2">
        <f t="shared" si="24"/>
        <v>-1637</v>
      </c>
      <c r="G229" s="737">
        <v>-30</v>
      </c>
      <c r="H229" s="186" t="s">
        <v>178</v>
      </c>
      <c r="I229" s="2">
        <f t="shared" si="25"/>
        <v>-1637</v>
      </c>
      <c r="J229" s="202">
        <f>$G$195</f>
        <v>-30</v>
      </c>
      <c r="K229" s="186" t="s">
        <v>178</v>
      </c>
      <c r="L229" s="2">
        <f t="shared" si="26"/>
        <v>-1637</v>
      </c>
      <c r="M229" s="11"/>
      <c r="N229" s="11"/>
      <c r="O229" s="38"/>
      <c r="P229" s="38"/>
      <c r="Q229" s="38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J229" s="42"/>
    </row>
    <row r="230" spans="1:36" hidden="1">
      <c r="A230" s="1" t="s">
        <v>185</v>
      </c>
      <c r="B230" s="127"/>
      <c r="C230" s="182">
        <f t="shared" si="23"/>
        <v>548600076.39867246</v>
      </c>
      <c r="D230" s="193"/>
      <c r="E230" s="186"/>
      <c r="F230" s="2">
        <f t="shared" si="24"/>
        <v>51662754</v>
      </c>
      <c r="G230" s="733"/>
      <c r="H230" s="186"/>
      <c r="I230" s="2">
        <f t="shared" si="25"/>
        <v>53434698</v>
      </c>
      <c r="J230" s="193"/>
      <c r="K230" s="186"/>
      <c r="L230" s="2">
        <f t="shared" ca="1" si="26"/>
        <v>53352410</v>
      </c>
      <c r="M230" s="11"/>
      <c r="N230" s="11"/>
      <c r="O230" s="38"/>
      <c r="P230" s="38"/>
      <c r="Q230" s="38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J230" s="42"/>
    </row>
    <row r="231" spans="1:36" hidden="1">
      <c r="A231" s="1" t="s">
        <v>167</v>
      </c>
      <c r="B231" s="210"/>
      <c r="C231" s="203">
        <f>C259+C288+C316</f>
        <v>4732308.0558541138</v>
      </c>
      <c r="D231" s="172"/>
      <c r="E231" s="172"/>
      <c r="F231" s="204">
        <f>F259+F288+F316</f>
        <v>643531.3369268917</v>
      </c>
      <c r="G231" s="284"/>
      <c r="H231" s="172"/>
      <c r="I231" s="204">
        <f>F231</f>
        <v>643531.3369268917</v>
      </c>
      <c r="J231" s="172"/>
      <c r="K231" s="172"/>
      <c r="L231" s="204">
        <f>I231</f>
        <v>643531.3369268917</v>
      </c>
      <c r="M231" s="307"/>
      <c r="N231" s="307"/>
      <c r="O231" s="150"/>
      <c r="P231" s="38"/>
      <c r="Q231" s="38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J231" s="42"/>
    </row>
    <row r="232" spans="1:36" ht="16.5" hidden="1" thickBot="1">
      <c r="A232" s="1" t="s">
        <v>186</v>
      </c>
      <c r="B232" s="1"/>
      <c r="C232" s="174">
        <f>SUM(C230:C231)</f>
        <v>553332384.45452654</v>
      </c>
      <c r="D232" s="205"/>
      <c r="E232" s="208"/>
      <c r="F232" s="207">
        <f>F230+F231</f>
        <v>52306285.336926892</v>
      </c>
      <c r="G232" s="741"/>
      <c r="H232" s="208"/>
      <c r="I232" s="207">
        <f>I230+I231</f>
        <v>54078229.336926892</v>
      </c>
      <c r="J232" s="205"/>
      <c r="K232" s="208"/>
      <c r="L232" s="207">
        <f ca="1">L230+L231</f>
        <v>53995941.336926892</v>
      </c>
      <c r="M232" s="274"/>
      <c r="N232" s="274"/>
      <c r="O232" s="333"/>
      <c r="P232" s="38"/>
      <c r="Q232" s="38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J232" s="42"/>
    </row>
    <row r="233" spans="1:36" ht="16.5" hidden="1" thickTop="1">
      <c r="A233" s="1"/>
      <c r="B233" s="1"/>
      <c r="C233" s="12"/>
      <c r="D233" s="200"/>
      <c r="E233" s="1"/>
      <c r="F233" s="2"/>
      <c r="G233" s="216"/>
      <c r="H233" s="1"/>
      <c r="I233" s="2" t="s">
        <v>13</v>
      </c>
      <c r="J233" s="200"/>
      <c r="K233" s="1"/>
      <c r="L233" s="2" t="s">
        <v>13</v>
      </c>
      <c r="M233" s="11"/>
      <c r="N233" s="11"/>
      <c r="O233" s="38"/>
      <c r="P233" s="38"/>
      <c r="Q233" s="38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J233" s="42"/>
    </row>
    <row r="234" spans="1:36" hidden="1">
      <c r="A234" s="156" t="s">
        <v>191</v>
      </c>
      <c r="B234" s="1"/>
      <c r="C234" s="1"/>
      <c r="D234" s="2"/>
      <c r="E234" s="1"/>
      <c r="F234" s="243" t="s">
        <v>13</v>
      </c>
      <c r="G234" s="516"/>
      <c r="H234" s="1"/>
      <c r="I234" s="1"/>
      <c r="J234" s="2"/>
      <c r="K234" s="1"/>
      <c r="L234" s="1"/>
      <c r="M234" s="11"/>
      <c r="N234" s="11"/>
      <c r="O234" s="38"/>
      <c r="P234" s="38"/>
      <c r="Q234" s="38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J234" s="42"/>
    </row>
    <row r="235" spans="1:36" hidden="1">
      <c r="A235" s="1" t="s">
        <v>444</v>
      </c>
      <c r="B235" s="1"/>
      <c r="C235" s="1"/>
      <c r="D235" s="2"/>
      <c r="E235" s="1"/>
      <c r="F235" s="1"/>
      <c r="G235" s="516"/>
      <c r="H235" s="1"/>
      <c r="I235" s="1"/>
      <c r="J235" s="2"/>
      <c r="K235" s="1"/>
      <c r="L235" s="1"/>
      <c r="M235" s="11"/>
      <c r="N235" s="11"/>
      <c r="O235" s="38"/>
      <c r="P235" s="38"/>
      <c r="Q235" s="38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J235" s="42"/>
    </row>
    <row r="236" spans="1:36" hidden="1">
      <c r="A236" s="211" t="s">
        <v>522</v>
      </c>
      <c r="B236" s="1"/>
      <c r="C236" s="12"/>
      <c r="D236" s="2"/>
      <c r="E236" s="1"/>
      <c r="F236" s="1"/>
      <c r="G236" s="516"/>
      <c r="H236" s="1"/>
      <c r="I236" s="1"/>
      <c r="J236" s="2"/>
      <c r="K236" s="1"/>
      <c r="L236" s="1"/>
      <c r="M236" s="11"/>
      <c r="N236" s="11"/>
      <c r="O236" s="38"/>
      <c r="P236" s="38"/>
      <c r="Q236" s="38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J236" s="42"/>
    </row>
    <row r="237" spans="1:36" hidden="1">
      <c r="A237" s="1" t="s">
        <v>197</v>
      </c>
      <c r="B237" s="1"/>
      <c r="C237" s="182"/>
      <c r="D237" s="2"/>
      <c r="E237" s="1"/>
      <c r="F237" s="1"/>
      <c r="G237" s="516"/>
      <c r="H237" s="1"/>
      <c r="I237" s="1"/>
      <c r="J237" s="2"/>
      <c r="K237" s="1"/>
      <c r="L237" s="1"/>
      <c r="M237" s="11"/>
      <c r="N237" s="11"/>
      <c r="O237" s="38"/>
      <c r="P237" s="38"/>
      <c r="Q237" s="38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J237" s="42"/>
    </row>
    <row r="238" spans="1:36" hidden="1">
      <c r="A238" s="1" t="s">
        <v>194</v>
      </c>
      <c r="B238" s="1"/>
      <c r="C238" s="182">
        <v>38729.3999999999</v>
      </c>
      <c r="D238" s="161">
        <f>$D$175</f>
        <v>9.86</v>
      </c>
      <c r="E238" s="186"/>
      <c r="F238" s="2">
        <f>ROUND(D238*$C238,0)</f>
        <v>381872</v>
      </c>
      <c r="G238" s="506">
        <v>9.86</v>
      </c>
      <c r="H238" s="186"/>
      <c r="I238" s="2">
        <f>ROUND(G238*$C238,0)</f>
        <v>381872</v>
      </c>
      <c r="J238" s="161">
        <f>$G$175</f>
        <v>9.86</v>
      </c>
      <c r="K238" s="186"/>
      <c r="L238" s="2">
        <f>ROUND(J238*$C238,0)</f>
        <v>381872</v>
      </c>
      <c r="M238" s="11"/>
      <c r="N238" s="11"/>
      <c r="O238" s="38"/>
      <c r="P238" s="38"/>
      <c r="Q238" s="38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J238" s="42"/>
    </row>
    <row r="239" spans="1:36" hidden="1">
      <c r="A239" s="1" t="s">
        <v>195</v>
      </c>
      <c r="B239" s="1"/>
      <c r="C239" s="182">
        <v>2867.3333333333298</v>
      </c>
      <c r="D239" s="161">
        <f>$D$176</f>
        <v>14.7</v>
      </c>
      <c r="E239" s="188"/>
      <c r="F239" s="2">
        <f>ROUND(D239*$C239,0)</f>
        <v>42150</v>
      </c>
      <c r="G239" s="506">
        <v>14.7</v>
      </c>
      <c r="H239" s="188"/>
      <c r="I239" s="2">
        <f>ROUND(G239*$C239,0)</f>
        <v>42150</v>
      </c>
      <c r="J239" s="161">
        <f>$G$176</f>
        <v>14.7</v>
      </c>
      <c r="K239" s="188"/>
      <c r="L239" s="2">
        <f>ROUND(J239*$C239,0)</f>
        <v>42150</v>
      </c>
      <c r="M239" s="11"/>
      <c r="N239" s="11"/>
      <c r="O239" s="38"/>
      <c r="P239" s="38"/>
      <c r="Q239" s="38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J239" s="42"/>
    </row>
    <row r="240" spans="1:36" hidden="1">
      <c r="A240" s="1" t="s">
        <v>196</v>
      </c>
      <c r="B240" s="1"/>
      <c r="C240" s="182">
        <v>22892</v>
      </c>
      <c r="D240" s="161">
        <f>$D$177</f>
        <v>1.04</v>
      </c>
      <c r="E240" s="188"/>
      <c r="F240" s="2">
        <f>ROUND(D240*$C240,0)</f>
        <v>23808</v>
      </c>
      <c r="G240" s="506">
        <v>1.04</v>
      </c>
      <c r="H240" s="188"/>
      <c r="I240" s="2">
        <f>ROUND(G240*$C240,0)</f>
        <v>23808</v>
      </c>
      <c r="J240" s="161">
        <f>$G$177</f>
        <v>1.04</v>
      </c>
      <c r="K240" s="188"/>
      <c r="L240" s="2">
        <f>ROUND(J240*$C240,0)</f>
        <v>23808</v>
      </c>
      <c r="M240" s="11"/>
      <c r="N240" s="11"/>
      <c r="O240" s="38"/>
      <c r="P240" s="38"/>
      <c r="Q240" s="38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J240" s="42"/>
    </row>
    <row r="241" spans="1:36" hidden="1">
      <c r="A241" s="1" t="s">
        <v>198</v>
      </c>
      <c r="B241" s="1"/>
      <c r="C241" s="182">
        <v>41596.733333333228</v>
      </c>
      <c r="D241" s="161"/>
      <c r="E241" s="186"/>
      <c r="F241" s="2"/>
      <c r="G241" s="506"/>
      <c r="H241" s="186"/>
      <c r="I241" s="2"/>
      <c r="J241" s="161"/>
      <c r="K241" s="186"/>
      <c r="L241" s="2"/>
      <c r="M241" s="11"/>
      <c r="N241" s="11"/>
      <c r="O241" s="38"/>
      <c r="P241" s="38"/>
      <c r="Q241" s="38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J241" s="42"/>
    </row>
    <row r="242" spans="1:36" hidden="1">
      <c r="A242" s="1" t="s">
        <v>199</v>
      </c>
      <c r="B242" s="1"/>
      <c r="C242" s="182">
        <v>13419</v>
      </c>
      <c r="D242" s="189">
        <f>$D$180</f>
        <v>3.81</v>
      </c>
      <c r="E242" s="186"/>
      <c r="F242" s="2">
        <f>ROUND(D242*C242,0)</f>
        <v>51126</v>
      </c>
      <c r="G242" s="216">
        <v>3.81</v>
      </c>
      <c r="H242" s="186"/>
      <c r="I242" s="2">
        <f>ROUND(G242*$C242,0)</f>
        <v>51126</v>
      </c>
      <c r="J242" s="189">
        <f>$G$180</f>
        <v>3.81</v>
      </c>
      <c r="K242" s="186"/>
      <c r="L242" s="2">
        <f>ROUND(J242*$C242,0)</f>
        <v>51126</v>
      </c>
      <c r="M242" s="11"/>
      <c r="N242" s="11"/>
      <c r="O242" s="38"/>
      <c r="P242" s="38"/>
      <c r="Q242" s="38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J242" s="42"/>
    </row>
    <row r="243" spans="1:36" hidden="1">
      <c r="A243" s="1" t="s">
        <v>201</v>
      </c>
      <c r="B243" s="182"/>
      <c r="C243" s="182">
        <v>12898510.523406433</v>
      </c>
      <c r="D243" s="162">
        <f>$D$181</f>
        <v>10.898999999999999</v>
      </c>
      <c r="E243" s="186" t="s">
        <v>178</v>
      </c>
      <c r="F243" s="2">
        <f>ROUND(D243*C243/100,0)</f>
        <v>1405809</v>
      </c>
      <c r="G243" s="731">
        <v>11.222</v>
      </c>
      <c r="H243" s="186" t="s">
        <v>178</v>
      </c>
      <c r="I243" s="2">
        <f t="shared" ref="I243:I246" si="27">ROUND(G243*$C243/100,0)</f>
        <v>1447471</v>
      </c>
      <c r="J243" s="162">
        <f ca="1">$J$181</f>
        <v>11.207000000000001</v>
      </c>
      <c r="K243" s="186" t="s">
        <v>178</v>
      </c>
      <c r="L243" s="2">
        <f t="shared" ref="L243:L246" ca="1" si="28">ROUND(J243*$C243/100,0)</f>
        <v>1445536</v>
      </c>
      <c r="M243" s="336"/>
      <c r="N243" s="336"/>
      <c r="O243" s="38"/>
      <c r="P243" s="38"/>
      <c r="Q243" s="38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J243" s="42"/>
    </row>
    <row r="244" spans="1:36" hidden="1">
      <c r="A244" s="1" t="s">
        <v>202</v>
      </c>
      <c r="B244" s="182"/>
      <c r="C244" s="182">
        <v>6969737.7449656567</v>
      </c>
      <c r="D244" s="162">
        <f>$D$182</f>
        <v>7.3739999999999997</v>
      </c>
      <c r="E244" s="186" t="s">
        <v>178</v>
      </c>
      <c r="F244" s="2">
        <f>ROUND(D244*C244/100,0)</f>
        <v>513948</v>
      </c>
      <c r="G244" s="731">
        <v>7.6970000000000001</v>
      </c>
      <c r="H244" s="186" t="s">
        <v>178</v>
      </c>
      <c r="I244" s="2">
        <f t="shared" si="27"/>
        <v>536461</v>
      </c>
      <c r="J244" s="162">
        <f ca="1">$J$182</f>
        <v>7.6820000000000004</v>
      </c>
      <c r="K244" s="186" t="s">
        <v>178</v>
      </c>
      <c r="L244" s="2">
        <f t="shared" ca="1" si="28"/>
        <v>535415</v>
      </c>
      <c r="M244" s="336"/>
      <c r="N244" s="336"/>
      <c r="O244" s="38"/>
      <c r="P244" s="38"/>
      <c r="Q244" s="38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J244" s="42"/>
    </row>
    <row r="245" spans="1:36" hidden="1">
      <c r="A245" s="1" t="s">
        <v>203</v>
      </c>
      <c r="B245" s="182"/>
      <c r="C245" s="182">
        <v>958818.95498779241</v>
      </c>
      <c r="D245" s="162">
        <f>$D$183</f>
        <v>6.8529999999999998</v>
      </c>
      <c r="E245" s="186" t="s">
        <v>178</v>
      </c>
      <c r="F245" s="2">
        <f>ROUND(D245*C245/100,0)</f>
        <v>65708</v>
      </c>
      <c r="G245" s="731">
        <v>7.1760000000000002</v>
      </c>
      <c r="H245" s="186" t="s">
        <v>178</v>
      </c>
      <c r="I245" s="2">
        <f t="shared" si="27"/>
        <v>68805</v>
      </c>
      <c r="J245" s="162">
        <f ca="1">$J$183</f>
        <v>7.1609999999999996</v>
      </c>
      <c r="K245" s="186" t="s">
        <v>178</v>
      </c>
      <c r="L245" s="2">
        <f t="shared" ca="1" si="28"/>
        <v>68661</v>
      </c>
      <c r="M245" s="336"/>
      <c r="N245" s="336"/>
      <c r="O245" s="38"/>
      <c r="P245" s="38"/>
      <c r="Q245" s="38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J245" s="42"/>
    </row>
    <row r="246" spans="1:36" hidden="1">
      <c r="A246" s="1" t="s">
        <v>204</v>
      </c>
      <c r="B246" s="12"/>
      <c r="C246" s="182">
        <v>105</v>
      </c>
      <c r="D246" s="189">
        <f>$D$184</f>
        <v>58</v>
      </c>
      <c r="E246" s="186" t="s">
        <v>178</v>
      </c>
      <c r="F246" s="2">
        <f>ROUND(D246*C246/100,0)</f>
        <v>61</v>
      </c>
      <c r="G246" s="733">
        <v>58</v>
      </c>
      <c r="H246" s="186" t="s">
        <v>178</v>
      </c>
      <c r="I246" s="2">
        <f t="shared" si="27"/>
        <v>61</v>
      </c>
      <c r="J246" s="193">
        <f>$G$184</f>
        <v>58</v>
      </c>
      <c r="K246" s="186" t="s">
        <v>178</v>
      </c>
      <c r="L246" s="2">
        <f t="shared" si="28"/>
        <v>61</v>
      </c>
      <c r="M246" s="11"/>
      <c r="N246" s="11"/>
      <c r="O246" s="38"/>
      <c r="P246" s="38"/>
      <c r="Q246" s="38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J246" s="42"/>
    </row>
    <row r="247" spans="1:36" hidden="1">
      <c r="A247" s="194" t="s">
        <v>205</v>
      </c>
      <c r="B247" s="12"/>
      <c r="C247" s="182"/>
      <c r="D247" s="195">
        <f>$D$185</f>
        <v>-0.01</v>
      </c>
      <c r="E247" s="186"/>
      <c r="F247" s="2"/>
      <c r="G247" s="734">
        <v>-0.01</v>
      </c>
      <c r="H247" s="186"/>
      <c r="I247" s="2"/>
      <c r="J247" s="195">
        <v>-0.01</v>
      </c>
      <c r="K247" s="186"/>
      <c r="L247" s="2"/>
      <c r="M247" s="11"/>
      <c r="N247" s="11"/>
      <c r="O247" s="38"/>
      <c r="P247" s="38"/>
      <c r="Q247" s="38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J247" s="42"/>
    </row>
    <row r="248" spans="1:36" hidden="1">
      <c r="A248" s="1" t="s">
        <v>194</v>
      </c>
      <c r="B248" s="1"/>
      <c r="C248" s="182">
        <v>0</v>
      </c>
      <c r="D248" s="197">
        <f>$D$210</f>
        <v>9.86</v>
      </c>
      <c r="E248" s="184"/>
      <c r="F248" s="2">
        <f>-ROUND(D248*$C248/100,0)</f>
        <v>0</v>
      </c>
      <c r="G248" s="216">
        <v>9.86</v>
      </c>
      <c r="H248" s="184"/>
      <c r="I248" s="2">
        <f>-ROUND(G248*$C248/100,0)</f>
        <v>0</v>
      </c>
      <c r="J248" s="197">
        <f>J238</f>
        <v>9.86</v>
      </c>
      <c r="K248" s="184"/>
      <c r="L248" s="2">
        <f>-ROUND(J248*$C248/100,0)</f>
        <v>0</v>
      </c>
      <c r="M248" s="11"/>
      <c r="N248" s="11"/>
      <c r="O248" s="38"/>
      <c r="P248" s="38"/>
      <c r="Q248" s="38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J248" s="42"/>
    </row>
    <row r="249" spans="1:36" hidden="1">
      <c r="A249" s="1" t="s">
        <v>195</v>
      </c>
      <c r="B249" s="1"/>
      <c r="C249" s="182">
        <v>0</v>
      </c>
      <c r="D249" s="197">
        <f>$D$211</f>
        <v>14.7</v>
      </c>
      <c r="E249" s="184"/>
      <c r="F249" s="2">
        <f>-ROUND(D249*$C249/100,0)</f>
        <v>0</v>
      </c>
      <c r="G249" s="216">
        <v>14.7</v>
      </c>
      <c r="H249" s="184"/>
      <c r="I249" s="2">
        <f>-ROUND(G249*$C249/100,0)</f>
        <v>0</v>
      </c>
      <c r="J249" s="197">
        <f>J239</f>
        <v>14.7</v>
      </c>
      <c r="K249" s="184"/>
      <c r="L249" s="2">
        <f>-ROUND(J249*$C249/100,0)</f>
        <v>0</v>
      </c>
      <c r="M249" s="11"/>
      <c r="N249" s="11"/>
      <c r="O249" s="38"/>
      <c r="P249" s="38"/>
      <c r="Q249" s="38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J249" s="42"/>
    </row>
    <row r="250" spans="1:36" hidden="1">
      <c r="A250" s="1" t="s">
        <v>206</v>
      </c>
      <c r="B250" s="1"/>
      <c r="C250" s="182">
        <v>0</v>
      </c>
      <c r="D250" s="197">
        <f>$D$212</f>
        <v>1.04</v>
      </c>
      <c r="E250" s="184"/>
      <c r="F250" s="2">
        <f>-ROUND(D250*$C250/100,0)</f>
        <v>0</v>
      </c>
      <c r="G250" s="216">
        <v>1.04</v>
      </c>
      <c r="H250" s="184"/>
      <c r="I250" s="2">
        <f>-ROUND(G250*$C250/100,0)</f>
        <v>0</v>
      </c>
      <c r="J250" s="197">
        <f>J240</f>
        <v>1.04</v>
      </c>
      <c r="K250" s="184"/>
      <c r="L250" s="2">
        <f>-ROUND(J250*$C250/100,0)</f>
        <v>0</v>
      </c>
      <c r="M250" s="11"/>
      <c r="N250" s="11"/>
      <c r="O250" s="38"/>
      <c r="P250" s="38"/>
      <c r="Q250" s="38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J250" s="42"/>
    </row>
    <row r="251" spans="1:36" hidden="1">
      <c r="A251" s="1" t="s">
        <v>217</v>
      </c>
      <c r="B251" s="1"/>
      <c r="C251" s="182">
        <f>0</f>
        <v>0</v>
      </c>
      <c r="D251" s="197">
        <f>$D$214</f>
        <v>3.81</v>
      </c>
      <c r="E251" s="186"/>
      <c r="F251" s="2">
        <f>-ROUND(D251*$C251/100,0)</f>
        <v>0</v>
      </c>
      <c r="G251" s="216">
        <v>3.81</v>
      </c>
      <c r="H251" s="186"/>
      <c r="I251" s="2">
        <f>-ROUND(G251*$C251/100,0)</f>
        <v>0</v>
      </c>
      <c r="J251" s="197">
        <f>J242</f>
        <v>3.81</v>
      </c>
      <c r="K251" s="186"/>
      <c r="L251" s="2">
        <f>-ROUND(J251*$C251/100,0)</f>
        <v>0</v>
      </c>
      <c r="M251" s="11"/>
      <c r="N251" s="11"/>
      <c r="O251" s="38"/>
      <c r="P251" s="38"/>
      <c r="Q251" s="38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J251" s="42"/>
    </row>
    <row r="252" spans="1:36" hidden="1">
      <c r="A252" s="1" t="s">
        <v>209</v>
      </c>
      <c r="B252" s="1"/>
      <c r="C252" s="182">
        <v>0</v>
      </c>
      <c r="D252" s="198">
        <f>$D$215</f>
        <v>10.898999999999999</v>
      </c>
      <c r="E252" s="186" t="s">
        <v>178</v>
      </c>
      <c r="F252" s="2">
        <f>ROUND(D252*$C252/100*D247,0)</f>
        <v>0</v>
      </c>
      <c r="G252" s="735">
        <v>11.222</v>
      </c>
      <c r="H252" s="186" t="s">
        <v>178</v>
      </c>
      <c r="I252" s="2">
        <f>ROUND(G252*$C252/100*G247,0)</f>
        <v>0</v>
      </c>
      <c r="J252" s="198">
        <f ca="1">J243</f>
        <v>11.207000000000001</v>
      </c>
      <c r="K252" s="186" t="s">
        <v>178</v>
      </c>
      <c r="L252" s="2">
        <f ca="1">ROUND(J252*$C252/100*J247,0)</f>
        <v>0</v>
      </c>
      <c r="M252" s="11"/>
      <c r="N252" s="11"/>
      <c r="O252" s="38"/>
      <c r="P252" s="38"/>
      <c r="Q252" s="38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J252" s="42"/>
    </row>
    <row r="253" spans="1:36" hidden="1">
      <c r="A253" s="1" t="s">
        <v>202</v>
      </c>
      <c r="B253" s="1"/>
      <c r="C253" s="182">
        <v>0</v>
      </c>
      <c r="D253" s="198">
        <f>$D$216</f>
        <v>7.3739999999999997</v>
      </c>
      <c r="E253" s="186" t="s">
        <v>178</v>
      </c>
      <c r="F253" s="2">
        <f>ROUND(D253*$C253/100*D247,0)</f>
        <v>0</v>
      </c>
      <c r="G253" s="735">
        <v>7.6970000000000001</v>
      </c>
      <c r="H253" s="186" t="s">
        <v>178</v>
      </c>
      <c r="I253" s="2">
        <f>ROUND(G253*$C253/100*G247,0)</f>
        <v>0</v>
      </c>
      <c r="J253" s="198">
        <f ca="1">J244</f>
        <v>7.6820000000000004</v>
      </c>
      <c r="K253" s="186" t="s">
        <v>178</v>
      </c>
      <c r="L253" s="2">
        <f ca="1">ROUND(J253*$C253/100*J247,0)</f>
        <v>0</v>
      </c>
      <c r="M253" s="11"/>
      <c r="N253" s="11"/>
      <c r="O253" s="38"/>
      <c r="P253" s="38"/>
      <c r="Q253" s="38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J253" s="42"/>
    </row>
    <row r="254" spans="1:36" hidden="1">
      <c r="A254" s="1" t="s">
        <v>203</v>
      </c>
      <c r="B254" s="1"/>
      <c r="C254" s="182">
        <v>0</v>
      </c>
      <c r="D254" s="198">
        <f>$D$217</f>
        <v>6.8529999999999998</v>
      </c>
      <c r="E254" s="186" t="s">
        <v>178</v>
      </c>
      <c r="F254" s="2">
        <f>ROUND(D254*$C254/100*D247,0)</f>
        <v>0</v>
      </c>
      <c r="G254" s="735">
        <v>7.1760000000000002</v>
      </c>
      <c r="H254" s="186" t="s">
        <v>178</v>
      </c>
      <c r="I254" s="2">
        <f>ROUND(G254*$C254/100*G247,0)</f>
        <v>0</v>
      </c>
      <c r="J254" s="198">
        <f ca="1">J245</f>
        <v>7.1609999999999996</v>
      </c>
      <c r="K254" s="186" t="s">
        <v>178</v>
      </c>
      <c r="L254" s="2">
        <f ca="1">ROUND(J254*$C254/100*J247,0)</f>
        <v>0</v>
      </c>
      <c r="M254" s="11"/>
      <c r="N254" s="11"/>
      <c r="O254" s="38"/>
      <c r="P254" s="38"/>
      <c r="Q254" s="38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J254" s="42"/>
    </row>
    <row r="255" spans="1:36" hidden="1">
      <c r="A255" s="1" t="s">
        <v>204</v>
      </c>
      <c r="B255" s="1"/>
      <c r="C255" s="182">
        <v>0</v>
      </c>
      <c r="D255" s="199">
        <f>$D$218</f>
        <v>58</v>
      </c>
      <c r="E255" s="186" t="s">
        <v>178</v>
      </c>
      <c r="F255" s="2">
        <f>ROUND(D255*$C255/100*D247,0)</f>
        <v>0</v>
      </c>
      <c r="G255" s="736">
        <v>58</v>
      </c>
      <c r="H255" s="186" t="s">
        <v>178</v>
      </c>
      <c r="I255" s="2">
        <f>ROUND(G255*$C255/100*G247,0)</f>
        <v>0</v>
      </c>
      <c r="J255" s="199">
        <f>J246</f>
        <v>58</v>
      </c>
      <c r="K255" s="186" t="s">
        <v>178</v>
      </c>
      <c r="L255" s="2">
        <f>ROUND(J255*$C255/100*J247,0)</f>
        <v>0</v>
      </c>
      <c r="M255" s="11"/>
      <c r="N255" s="11"/>
      <c r="O255" s="38"/>
      <c r="P255" s="38"/>
      <c r="Q255" s="38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J255" s="42"/>
    </row>
    <row r="256" spans="1:36" hidden="1">
      <c r="A256" s="1" t="s">
        <v>211</v>
      </c>
      <c r="B256" s="1"/>
      <c r="C256" s="182">
        <v>0</v>
      </c>
      <c r="D256" s="200">
        <v>60</v>
      </c>
      <c r="E256" s="186"/>
      <c r="F256" s="2">
        <f>ROUND(D256*C256,0)</f>
        <v>0</v>
      </c>
      <c r="G256" s="216">
        <v>60</v>
      </c>
      <c r="H256" s="186"/>
      <c r="I256" s="2">
        <f>ROUND(G256*$C256,0)</f>
        <v>0</v>
      </c>
      <c r="J256" s="200">
        <f>$G$194</f>
        <v>60</v>
      </c>
      <c r="K256" s="186"/>
      <c r="L256" s="2">
        <f>ROUND(J256*$C256,0)</f>
        <v>0</v>
      </c>
      <c r="M256" s="11"/>
      <c r="N256" s="11"/>
      <c r="O256" s="38"/>
      <c r="P256" s="38"/>
      <c r="Q256" s="38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J256" s="42"/>
    </row>
    <row r="257" spans="1:36" hidden="1">
      <c r="A257" s="1" t="s">
        <v>212</v>
      </c>
      <c r="B257" s="1"/>
      <c r="C257" s="182">
        <v>0</v>
      </c>
      <c r="D257" s="202">
        <v>-30</v>
      </c>
      <c r="E257" s="186" t="s">
        <v>178</v>
      </c>
      <c r="F257" s="2">
        <f>ROUND(D257*C257/100,0)</f>
        <v>0</v>
      </c>
      <c r="G257" s="737">
        <v>-30</v>
      </c>
      <c r="H257" s="186" t="s">
        <v>178</v>
      </c>
      <c r="I257" s="2">
        <f>ROUND(G257*$C257/100,0)</f>
        <v>0</v>
      </c>
      <c r="J257" s="202">
        <f>$G$195</f>
        <v>-30</v>
      </c>
      <c r="K257" s="186" t="s">
        <v>178</v>
      </c>
      <c r="L257" s="2">
        <f>ROUND(J257*$C257/100,0)</f>
        <v>0</v>
      </c>
      <c r="M257" s="11"/>
      <c r="N257" s="11"/>
      <c r="O257" s="38"/>
      <c r="P257" s="38"/>
      <c r="Q257" s="38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J257" s="42"/>
    </row>
    <row r="258" spans="1:36" hidden="1">
      <c r="A258" s="1" t="s">
        <v>185</v>
      </c>
      <c r="B258" s="170"/>
      <c r="C258" s="182">
        <f>SUM(C243:C245)</f>
        <v>20827067.223359883</v>
      </c>
      <c r="D258" s="193"/>
      <c r="E258" s="186"/>
      <c r="F258" s="2">
        <f>SUM(F238:F257)</f>
        <v>2484482</v>
      </c>
      <c r="G258" s="733"/>
      <c r="H258" s="186"/>
      <c r="I258" s="2">
        <f>SUM(I238:I257)</f>
        <v>2551754</v>
      </c>
      <c r="J258" s="193"/>
      <c r="K258" s="186"/>
      <c r="L258" s="2">
        <f ca="1">SUM(L238:L257)</f>
        <v>2548629</v>
      </c>
      <c r="M258" s="279"/>
      <c r="N258" s="279"/>
      <c r="O258" s="38"/>
      <c r="P258" s="38"/>
      <c r="Q258" s="38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J258" s="42"/>
    </row>
    <row r="259" spans="1:36" hidden="1">
      <c r="A259" s="1" t="s">
        <v>167</v>
      </c>
      <c r="B259" s="1"/>
      <c r="C259" s="212">
        <v>-272078.96310479299</v>
      </c>
      <c r="D259" s="172"/>
      <c r="E259" s="172"/>
      <c r="F259" s="204">
        <v>9974.135363005058</v>
      </c>
      <c r="G259" s="284"/>
      <c r="H259" s="172"/>
      <c r="I259" s="204">
        <f>F259</f>
        <v>9974.135363005058</v>
      </c>
      <c r="J259" s="172"/>
      <c r="K259" s="172"/>
      <c r="L259" s="204">
        <f>I259</f>
        <v>9974.135363005058</v>
      </c>
      <c r="M259" s="307"/>
      <c r="N259" s="307"/>
      <c r="O259" s="150"/>
      <c r="P259" s="38"/>
      <c r="Q259" s="38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J259" s="42"/>
    </row>
    <row r="260" spans="1:36" ht="16.5" hidden="1" thickBot="1">
      <c r="A260" s="1" t="s">
        <v>186</v>
      </c>
      <c r="B260" s="1"/>
      <c r="C260" s="174">
        <f>SUM(C258:C259)</f>
        <v>20554988.260255091</v>
      </c>
      <c r="D260" s="205"/>
      <c r="E260" s="208"/>
      <c r="F260" s="207">
        <f>F258+F259</f>
        <v>2494456.1353630051</v>
      </c>
      <c r="G260" s="741"/>
      <c r="H260" s="208"/>
      <c r="I260" s="207">
        <f>I258+I259</f>
        <v>2561728.1353630051</v>
      </c>
      <c r="J260" s="205"/>
      <c r="K260" s="208"/>
      <c r="L260" s="207">
        <f ca="1">L258+L259</f>
        <v>2558603.1353630051</v>
      </c>
      <c r="M260" s="274"/>
      <c r="N260" s="274"/>
      <c r="O260" s="333"/>
      <c r="P260" s="38"/>
      <c r="Q260" s="38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J260" s="42"/>
    </row>
    <row r="261" spans="1:36" ht="16.5" hidden="1" thickTop="1">
      <c r="A261" s="1"/>
      <c r="B261" s="1"/>
      <c r="C261" s="12"/>
      <c r="D261" s="200"/>
      <c r="E261" s="1"/>
      <c r="F261" s="2"/>
      <c r="G261" s="216"/>
      <c r="H261" s="1"/>
      <c r="I261" s="2" t="s">
        <v>13</v>
      </c>
      <c r="J261" s="200"/>
      <c r="K261" s="1"/>
      <c r="L261" s="2" t="s">
        <v>13</v>
      </c>
      <c r="M261" s="11"/>
      <c r="N261" s="11"/>
      <c r="O261" s="38"/>
      <c r="P261" s="38"/>
      <c r="Q261" s="38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J261" s="42"/>
    </row>
    <row r="262" spans="1:36" hidden="1">
      <c r="A262" s="1"/>
      <c r="B262" s="1"/>
      <c r="C262" s="12"/>
      <c r="D262" s="200"/>
      <c r="E262" s="1"/>
      <c r="F262" s="2"/>
      <c r="G262" s="216"/>
      <c r="H262" s="1"/>
      <c r="I262" s="2" t="s">
        <v>13</v>
      </c>
      <c r="J262" s="200"/>
      <c r="K262" s="1"/>
      <c r="L262" s="2" t="s">
        <v>13</v>
      </c>
      <c r="M262" s="11"/>
      <c r="N262" s="11"/>
      <c r="O262" s="38"/>
      <c r="P262" s="38"/>
      <c r="Q262" s="38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J262" s="42"/>
    </row>
    <row r="263" spans="1:36" hidden="1">
      <c r="A263" s="156" t="s">
        <v>191</v>
      </c>
      <c r="B263" s="1"/>
      <c r="C263" s="1"/>
      <c r="D263" s="2"/>
      <c r="E263" s="1"/>
      <c r="F263" s="1"/>
      <c r="G263" s="516"/>
      <c r="H263" s="1"/>
      <c r="I263" s="1"/>
      <c r="J263" s="2"/>
      <c r="K263" s="1"/>
      <c r="L263" s="1"/>
      <c r="M263" s="11"/>
      <c r="N263" s="11"/>
      <c r="O263" s="38"/>
      <c r="P263" s="38"/>
      <c r="Q263" s="38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J263" s="42"/>
    </row>
    <row r="264" spans="1:36" hidden="1">
      <c r="A264" s="1" t="s">
        <v>215</v>
      </c>
      <c r="B264" s="1"/>
      <c r="C264" s="1"/>
      <c r="D264" s="2"/>
      <c r="E264" s="1"/>
      <c r="F264" s="1"/>
      <c r="G264" s="516"/>
      <c r="H264" s="1"/>
      <c r="I264" s="1"/>
      <c r="J264" s="2"/>
      <c r="K264" s="1"/>
      <c r="L264" s="1"/>
      <c r="M264" s="11"/>
      <c r="N264" s="11"/>
      <c r="O264" s="38"/>
      <c r="P264" s="38"/>
      <c r="Q264" s="38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J264" s="42"/>
    </row>
    <row r="265" spans="1:36" hidden="1">
      <c r="A265" s="211" t="s">
        <v>216</v>
      </c>
      <c r="B265" s="1"/>
      <c r="C265" s="12"/>
      <c r="D265" s="2"/>
      <c r="E265" s="1"/>
      <c r="F265" s="1"/>
      <c r="G265" s="516"/>
      <c r="H265" s="1"/>
      <c r="I265" s="1"/>
      <c r="J265" s="2"/>
      <c r="K265" s="1"/>
      <c r="L265" s="1"/>
      <c r="M265" s="11"/>
      <c r="N265" s="11"/>
      <c r="O265" s="38"/>
      <c r="P265" s="38"/>
      <c r="Q265" s="38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J265" s="42"/>
    </row>
    <row r="266" spans="1:36" hidden="1">
      <c r="A266" s="1" t="s">
        <v>197</v>
      </c>
      <c r="B266" s="1"/>
      <c r="C266" s="182"/>
      <c r="D266" s="2"/>
      <c r="E266" s="1"/>
      <c r="F266" s="1"/>
      <c r="G266" s="516"/>
      <c r="H266" s="1"/>
      <c r="I266" s="1"/>
      <c r="J266" s="2"/>
      <c r="K266" s="1"/>
      <c r="L266" s="1"/>
      <c r="M266" s="11"/>
      <c r="N266" s="11"/>
      <c r="O266" s="38"/>
      <c r="P266" s="38"/>
      <c r="Q266" s="38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J266" s="42"/>
    </row>
    <row r="267" spans="1:36" hidden="1">
      <c r="A267" s="1" t="s">
        <v>194</v>
      </c>
      <c r="B267" s="1"/>
      <c r="C267" s="182">
        <v>128419.16666666574</v>
      </c>
      <c r="D267" s="161">
        <f>$D$175</f>
        <v>9.86</v>
      </c>
      <c r="E267" s="186"/>
      <c r="F267" s="2">
        <f>ROUND(D267*$C267,0)</f>
        <v>1266213</v>
      </c>
      <c r="G267" s="506">
        <v>9.86</v>
      </c>
      <c r="H267" s="186"/>
      <c r="I267" s="2">
        <f>ROUND(G267*$C267,0)</f>
        <v>1266213</v>
      </c>
      <c r="J267" s="161">
        <f>$G$175</f>
        <v>9.86</v>
      </c>
      <c r="K267" s="186"/>
      <c r="L267" s="2">
        <f>ROUND(J267*$C267,0)</f>
        <v>1266213</v>
      </c>
      <c r="M267" s="11"/>
      <c r="N267" s="11"/>
      <c r="O267" s="38"/>
      <c r="P267" s="38"/>
      <c r="Q267" s="38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J267" s="42"/>
    </row>
    <row r="268" spans="1:36" hidden="1">
      <c r="A268" s="1" t="s">
        <v>195</v>
      </c>
      <c r="B268" s="1"/>
      <c r="C268" s="182">
        <v>62460.433333333131</v>
      </c>
      <c r="D268" s="161">
        <f>$D$176</f>
        <v>14.7</v>
      </c>
      <c r="E268" s="188"/>
      <c r="F268" s="2">
        <f>ROUND(D268*$C268,0)</f>
        <v>918168</v>
      </c>
      <c r="G268" s="506">
        <v>14.7</v>
      </c>
      <c r="H268" s="188"/>
      <c r="I268" s="2">
        <f>ROUND(G268*$C268,0)</f>
        <v>918168</v>
      </c>
      <c r="J268" s="161">
        <f>$G$176</f>
        <v>14.7</v>
      </c>
      <c r="K268" s="188"/>
      <c r="L268" s="2">
        <f>ROUND(J268*$C268,0)</f>
        <v>918168</v>
      </c>
      <c r="M268" s="11"/>
      <c r="N268" s="11"/>
      <c r="O268" s="38"/>
      <c r="P268" s="38"/>
      <c r="Q268" s="38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J268" s="42"/>
    </row>
    <row r="269" spans="1:36" hidden="1">
      <c r="A269" s="1" t="s">
        <v>196</v>
      </c>
      <c r="B269" s="1"/>
      <c r="C269" s="182">
        <v>1189650</v>
      </c>
      <c r="D269" s="161">
        <f>$D$177</f>
        <v>1.04</v>
      </c>
      <c r="E269" s="188"/>
      <c r="F269" s="2">
        <f>ROUND(D269*$C269,0)</f>
        <v>1237236</v>
      </c>
      <c r="G269" s="506">
        <v>1.04</v>
      </c>
      <c r="H269" s="188"/>
      <c r="I269" s="2">
        <f>ROUND(G269*$C269,0)</f>
        <v>1237236</v>
      </c>
      <c r="J269" s="161">
        <f>$G$177</f>
        <v>1.04</v>
      </c>
      <c r="K269" s="188"/>
      <c r="L269" s="2">
        <f>ROUND(J269*$C269,0)</f>
        <v>1237236</v>
      </c>
      <c r="M269" s="11"/>
      <c r="N269" s="11"/>
      <c r="O269" s="38"/>
      <c r="P269" s="38"/>
      <c r="Q269" s="38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J269" s="42"/>
    </row>
    <row r="270" spans="1:36" hidden="1">
      <c r="A270" s="1" t="s">
        <v>198</v>
      </c>
      <c r="B270" s="1"/>
      <c r="C270" s="182">
        <f>SUM(C267:C268)</f>
        <v>190879.59999999887</v>
      </c>
      <c r="D270" s="161"/>
      <c r="E270" s="186"/>
      <c r="F270" s="2"/>
      <c r="G270" s="506"/>
      <c r="H270" s="186"/>
      <c r="I270" s="2"/>
      <c r="J270" s="161"/>
      <c r="K270" s="186"/>
      <c r="L270" s="2"/>
      <c r="M270" s="11"/>
      <c r="N270" s="11"/>
      <c r="O270" s="38"/>
      <c r="P270" s="38"/>
      <c r="Q270" s="38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J270" s="42"/>
    </row>
    <row r="271" spans="1:36" hidden="1">
      <c r="A271" s="1" t="s">
        <v>199</v>
      </c>
      <c r="B271" s="1"/>
      <c r="C271" s="182">
        <v>741549</v>
      </c>
      <c r="D271" s="189">
        <f>$D$180</f>
        <v>3.81</v>
      </c>
      <c r="E271" s="186"/>
      <c r="F271" s="2">
        <f>ROUND(D271*C271,0)</f>
        <v>2825302</v>
      </c>
      <c r="G271" s="216">
        <v>3.81</v>
      </c>
      <c r="H271" s="186"/>
      <c r="I271" s="2">
        <f>ROUND(G271*$C271,0)</f>
        <v>2825302</v>
      </c>
      <c r="J271" s="189">
        <f>$G$180</f>
        <v>3.81</v>
      </c>
      <c r="K271" s="186"/>
      <c r="L271" s="2">
        <f>ROUND(J271*$C271,0)</f>
        <v>2825302</v>
      </c>
      <c r="M271" s="11"/>
      <c r="N271" s="11"/>
      <c r="O271" s="38"/>
      <c r="P271" s="38"/>
      <c r="Q271" s="38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J271" s="42"/>
    </row>
    <row r="272" spans="1:36" hidden="1">
      <c r="A272" s="1" t="s">
        <v>201</v>
      </c>
      <c r="B272" s="182"/>
      <c r="C272" s="182">
        <v>119427399.16891886</v>
      </c>
      <c r="D272" s="162">
        <f>$D$181</f>
        <v>10.898999999999999</v>
      </c>
      <c r="E272" s="186" t="s">
        <v>178</v>
      </c>
      <c r="F272" s="2">
        <f>ROUND(D272*C272/100,0)</f>
        <v>13016392</v>
      </c>
      <c r="G272" s="731">
        <v>11.222</v>
      </c>
      <c r="H272" s="186" t="s">
        <v>178</v>
      </c>
      <c r="I272" s="2">
        <f t="shared" ref="I272:I275" si="29">ROUND(G272*$C272/100,0)</f>
        <v>13402143</v>
      </c>
      <c r="J272" s="162">
        <f ca="1">$J$181</f>
        <v>11.207000000000001</v>
      </c>
      <c r="K272" s="186" t="s">
        <v>178</v>
      </c>
      <c r="L272" s="2">
        <f t="shared" ref="L272:L275" ca="1" si="30">ROUND(J272*$C272/100,0)</f>
        <v>13384229</v>
      </c>
      <c r="M272" s="336"/>
      <c r="N272" s="336"/>
      <c r="O272" s="38"/>
      <c r="P272" s="38"/>
      <c r="Q272" s="38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J272" s="42"/>
    </row>
    <row r="273" spans="1:36" hidden="1">
      <c r="A273" s="1" t="s">
        <v>202</v>
      </c>
      <c r="B273" s="182"/>
      <c r="C273" s="182">
        <v>275176664.4127261</v>
      </c>
      <c r="D273" s="162">
        <f>$D$182</f>
        <v>7.3739999999999997</v>
      </c>
      <c r="E273" s="186" t="s">
        <v>178</v>
      </c>
      <c r="F273" s="2">
        <f>ROUND(D273*C273/100,0)</f>
        <v>20291527</v>
      </c>
      <c r="G273" s="731">
        <v>7.6970000000000001</v>
      </c>
      <c r="H273" s="186" t="s">
        <v>178</v>
      </c>
      <c r="I273" s="2">
        <f t="shared" si="29"/>
        <v>21180348</v>
      </c>
      <c r="J273" s="162">
        <f ca="1">$J$182</f>
        <v>7.6820000000000004</v>
      </c>
      <c r="K273" s="186" t="s">
        <v>178</v>
      </c>
      <c r="L273" s="2">
        <f t="shared" ca="1" si="30"/>
        <v>21139071</v>
      </c>
      <c r="M273" s="336"/>
      <c r="N273" s="336"/>
      <c r="O273" s="38"/>
      <c r="P273" s="38"/>
      <c r="Q273" s="38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J273" s="42"/>
    </row>
    <row r="274" spans="1:36" hidden="1">
      <c r="A274" s="1" t="s">
        <v>203</v>
      </c>
      <c r="B274" s="182"/>
      <c r="C274" s="182">
        <v>117063421.59366763</v>
      </c>
      <c r="D274" s="162">
        <f>$D$183</f>
        <v>6.8529999999999998</v>
      </c>
      <c r="E274" s="186" t="s">
        <v>178</v>
      </c>
      <c r="F274" s="2">
        <f>ROUND(D274*C274/100,0)</f>
        <v>8022356</v>
      </c>
      <c r="G274" s="731">
        <v>7.1760000000000002</v>
      </c>
      <c r="H274" s="186" t="s">
        <v>178</v>
      </c>
      <c r="I274" s="2">
        <f t="shared" si="29"/>
        <v>8400471</v>
      </c>
      <c r="J274" s="162">
        <f ca="1">$J$183</f>
        <v>7.1609999999999996</v>
      </c>
      <c r="K274" s="186" t="s">
        <v>178</v>
      </c>
      <c r="L274" s="2">
        <f t="shared" ca="1" si="30"/>
        <v>8382912</v>
      </c>
      <c r="M274" s="336"/>
      <c r="N274" s="336"/>
      <c r="O274" s="38"/>
      <c r="P274" s="38"/>
      <c r="Q274" s="38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J274" s="42"/>
    </row>
    <row r="275" spans="1:36" hidden="1">
      <c r="A275" s="1" t="s">
        <v>204</v>
      </c>
      <c r="B275" s="12"/>
      <c r="C275" s="182">
        <v>105510.8666666666</v>
      </c>
      <c r="D275" s="189">
        <f>$D$184</f>
        <v>58</v>
      </c>
      <c r="E275" s="186" t="s">
        <v>178</v>
      </c>
      <c r="F275" s="2">
        <f>ROUND(D275*C275/100,0)</f>
        <v>61196</v>
      </c>
      <c r="G275" s="733">
        <v>58</v>
      </c>
      <c r="H275" s="186" t="s">
        <v>178</v>
      </c>
      <c r="I275" s="2">
        <f t="shared" si="29"/>
        <v>61196</v>
      </c>
      <c r="J275" s="193">
        <f>$G$184</f>
        <v>58</v>
      </c>
      <c r="K275" s="186" t="s">
        <v>178</v>
      </c>
      <c r="L275" s="2">
        <f t="shared" si="30"/>
        <v>61196</v>
      </c>
      <c r="M275" s="11"/>
      <c r="N275" s="11"/>
      <c r="O275" s="38"/>
      <c r="P275" s="38"/>
      <c r="Q275" s="38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J275" s="42"/>
    </row>
    <row r="276" spans="1:36" hidden="1">
      <c r="A276" s="194" t="s">
        <v>205</v>
      </c>
      <c r="B276" s="12"/>
      <c r="C276" s="182"/>
      <c r="D276" s="195">
        <f>$D$185</f>
        <v>-0.01</v>
      </c>
      <c r="E276" s="186"/>
      <c r="F276" s="2"/>
      <c r="G276" s="734">
        <v>-0.01</v>
      </c>
      <c r="H276" s="186"/>
      <c r="I276" s="2"/>
      <c r="J276" s="195">
        <v>-0.01</v>
      </c>
      <c r="K276" s="186"/>
      <c r="L276" s="2"/>
      <c r="M276" s="11"/>
      <c r="N276" s="11"/>
      <c r="O276" s="38"/>
      <c r="P276" s="38"/>
      <c r="Q276" s="38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J276" s="42"/>
    </row>
    <row r="277" spans="1:36" hidden="1">
      <c r="A277" s="1" t="s">
        <v>194</v>
      </c>
      <c r="B277" s="1"/>
      <c r="C277" s="182">
        <v>83.966666666666697</v>
      </c>
      <c r="D277" s="197">
        <f>$D$210</f>
        <v>9.86</v>
      </c>
      <c r="E277" s="184"/>
      <c r="F277" s="2">
        <f>-ROUND(D277*$C277/100,0)</f>
        <v>-8</v>
      </c>
      <c r="G277" s="216">
        <v>9.86</v>
      </c>
      <c r="H277" s="184"/>
      <c r="I277" s="2">
        <f>-ROUND(G277*$C277/100,0)</f>
        <v>-8</v>
      </c>
      <c r="J277" s="197">
        <f>J267</f>
        <v>9.86</v>
      </c>
      <c r="K277" s="184"/>
      <c r="L277" s="2">
        <f>-ROUND(J277*$C277/100,0)</f>
        <v>-8</v>
      </c>
      <c r="M277" s="11"/>
      <c r="N277" s="11"/>
      <c r="O277" s="38"/>
      <c r="P277" s="38"/>
      <c r="Q277" s="38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J277" s="42"/>
    </row>
    <row r="278" spans="1:36" hidden="1">
      <c r="A278" s="1" t="s">
        <v>195</v>
      </c>
      <c r="B278" s="1"/>
      <c r="C278" s="182">
        <v>91.966666666666697</v>
      </c>
      <c r="D278" s="197">
        <f>$D$211</f>
        <v>14.7</v>
      </c>
      <c r="E278" s="184"/>
      <c r="F278" s="2">
        <f>-ROUND(D278*$C278/100,0)</f>
        <v>-14</v>
      </c>
      <c r="G278" s="216">
        <v>14.7</v>
      </c>
      <c r="H278" s="184"/>
      <c r="I278" s="2">
        <f>-ROUND(G278*$C278/100,0)</f>
        <v>-14</v>
      </c>
      <c r="J278" s="197">
        <f>J268</f>
        <v>14.7</v>
      </c>
      <c r="K278" s="184"/>
      <c r="L278" s="2">
        <f>-ROUND(J278*$C278/100,0)</f>
        <v>-14</v>
      </c>
      <c r="M278" s="11"/>
      <c r="N278" s="11"/>
      <c r="O278" s="38"/>
      <c r="P278" s="38"/>
      <c r="Q278" s="38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J278" s="42"/>
    </row>
    <row r="279" spans="1:36" hidden="1">
      <c r="A279" s="1" t="s">
        <v>206</v>
      </c>
      <c r="B279" s="1"/>
      <c r="C279" s="182">
        <v>1639</v>
      </c>
      <c r="D279" s="197">
        <f>$D$212</f>
        <v>1.04</v>
      </c>
      <c r="E279" s="184"/>
      <c r="F279" s="2">
        <f>-ROUND(D279*$C279/100,0)</f>
        <v>-17</v>
      </c>
      <c r="G279" s="216">
        <v>1.04</v>
      </c>
      <c r="H279" s="184"/>
      <c r="I279" s="2">
        <f>-ROUND(G279*$C279/100,0)</f>
        <v>-17</v>
      </c>
      <c r="J279" s="197">
        <f>J269</f>
        <v>1.04</v>
      </c>
      <c r="K279" s="184"/>
      <c r="L279" s="2">
        <f>-ROUND(J279*$C279/100,0)</f>
        <v>-17</v>
      </c>
      <c r="M279" s="11"/>
      <c r="N279" s="11"/>
      <c r="O279" s="38"/>
      <c r="P279" s="38"/>
      <c r="Q279" s="38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J279" s="42"/>
    </row>
    <row r="280" spans="1:36" hidden="1">
      <c r="A280" s="1" t="s">
        <v>217</v>
      </c>
      <c r="B280" s="1"/>
      <c r="C280" s="182">
        <v>1040</v>
      </c>
      <c r="D280" s="197">
        <f>$D$214</f>
        <v>3.81</v>
      </c>
      <c r="E280" s="186"/>
      <c r="F280" s="2">
        <f>-ROUND(D280*$C280/100,0)</f>
        <v>-40</v>
      </c>
      <c r="G280" s="216">
        <v>3.81</v>
      </c>
      <c r="H280" s="186"/>
      <c r="I280" s="2">
        <f>-ROUND(G280*$C280/100,0)</f>
        <v>-40</v>
      </c>
      <c r="J280" s="197">
        <f>J271</f>
        <v>3.81</v>
      </c>
      <c r="K280" s="186"/>
      <c r="L280" s="2">
        <f>-ROUND(J280*$C280/100,0)</f>
        <v>-40</v>
      </c>
      <c r="M280" s="11"/>
      <c r="N280" s="11"/>
      <c r="O280" s="38"/>
      <c r="P280" s="38"/>
      <c r="Q280" s="38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J280" s="42"/>
    </row>
    <row r="281" spans="1:36" hidden="1">
      <c r="A281" s="1" t="s">
        <v>209</v>
      </c>
      <c r="B281" s="1"/>
      <c r="C281" s="182">
        <v>137222.66666666669</v>
      </c>
      <c r="D281" s="198">
        <f>$D$215</f>
        <v>10.898999999999999</v>
      </c>
      <c r="E281" s="186" t="s">
        <v>178</v>
      </c>
      <c r="F281" s="2">
        <f>ROUND(D281*$C281/100*D276,0)</f>
        <v>-150</v>
      </c>
      <c r="G281" s="735">
        <v>11.222</v>
      </c>
      <c r="H281" s="186" t="s">
        <v>178</v>
      </c>
      <c r="I281" s="2">
        <f>ROUND(G281*$C281/100*G276,0)</f>
        <v>-154</v>
      </c>
      <c r="J281" s="198">
        <f ca="1">J272</f>
        <v>11.207000000000001</v>
      </c>
      <c r="K281" s="186" t="s">
        <v>178</v>
      </c>
      <c r="L281" s="2">
        <f ca="1">ROUND(J281*$C281/100*J276,0)</f>
        <v>-154</v>
      </c>
      <c r="M281" s="11"/>
      <c r="N281" s="11"/>
      <c r="O281" s="38"/>
      <c r="P281" s="38"/>
      <c r="Q281" s="38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J281" s="42"/>
    </row>
    <row r="282" spans="1:36" hidden="1">
      <c r="A282" s="1" t="s">
        <v>202</v>
      </c>
      <c r="B282" s="1"/>
      <c r="C282" s="182">
        <v>534325.33333333326</v>
      </c>
      <c r="D282" s="198">
        <f>$D$216</f>
        <v>7.3739999999999997</v>
      </c>
      <c r="E282" s="186" t="s">
        <v>178</v>
      </c>
      <c r="F282" s="2">
        <f>ROUND(D282*$C282/100*D276,0)</f>
        <v>-394</v>
      </c>
      <c r="G282" s="735">
        <v>7.6970000000000001</v>
      </c>
      <c r="H282" s="186" t="s">
        <v>178</v>
      </c>
      <c r="I282" s="2">
        <f>ROUND(G282*$C282/100*G276,0)</f>
        <v>-411</v>
      </c>
      <c r="J282" s="198">
        <f ca="1">J273</f>
        <v>7.6820000000000004</v>
      </c>
      <c r="K282" s="186" t="s">
        <v>178</v>
      </c>
      <c r="L282" s="2">
        <f ca="1">ROUND(J282*$C282/100*J276,0)</f>
        <v>-410</v>
      </c>
      <c r="M282" s="11"/>
      <c r="N282" s="11"/>
      <c r="O282" s="38"/>
      <c r="P282" s="38"/>
      <c r="Q282" s="38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J282" s="42"/>
    </row>
    <row r="283" spans="1:36" hidden="1">
      <c r="A283" s="1" t="s">
        <v>203</v>
      </c>
      <c r="B283" s="1"/>
      <c r="C283" s="182">
        <v>303141</v>
      </c>
      <c r="D283" s="198">
        <f>$D$217</f>
        <v>6.8529999999999998</v>
      </c>
      <c r="E283" s="186" t="s">
        <v>178</v>
      </c>
      <c r="F283" s="2">
        <f>ROUND(D283*$C283/100*D276,0)</f>
        <v>-208</v>
      </c>
      <c r="G283" s="735">
        <v>7.1760000000000002</v>
      </c>
      <c r="H283" s="186" t="s">
        <v>178</v>
      </c>
      <c r="I283" s="2">
        <f>ROUND(G283*$C283/100*G276,0)</f>
        <v>-218</v>
      </c>
      <c r="J283" s="198">
        <f ca="1">J274</f>
        <v>7.1609999999999996</v>
      </c>
      <c r="K283" s="186" t="s">
        <v>178</v>
      </c>
      <c r="L283" s="2">
        <f ca="1">ROUND(J283*$C283/100*J276,0)</f>
        <v>-217</v>
      </c>
      <c r="M283" s="11"/>
      <c r="N283" s="11"/>
      <c r="O283" s="38"/>
      <c r="P283" s="38"/>
      <c r="Q283" s="38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J283" s="42"/>
    </row>
    <row r="284" spans="1:36" hidden="1">
      <c r="A284" s="1" t="s">
        <v>204</v>
      </c>
      <c r="B284" s="1"/>
      <c r="C284" s="182">
        <v>744.8</v>
      </c>
      <c r="D284" s="199">
        <f>$D$218</f>
        <v>58</v>
      </c>
      <c r="E284" s="186" t="s">
        <v>178</v>
      </c>
      <c r="F284" s="2">
        <f>ROUND(D284*$C284/100*D276,0)</f>
        <v>-4</v>
      </c>
      <c r="G284" s="736">
        <v>58</v>
      </c>
      <c r="H284" s="186" t="s">
        <v>178</v>
      </c>
      <c r="I284" s="2">
        <f>ROUND(G284*$C284/100*G276,0)</f>
        <v>-4</v>
      </c>
      <c r="J284" s="199">
        <f>J275</f>
        <v>58</v>
      </c>
      <c r="K284" s="186" t="s">
        <v>178</v>
      </c>
      <c r="L284" s="2">
        <f>ROUND(J284*$C284/100*J276,0)</f>
        <v>-4</v>
      </c>
      <c r="M284" s="11"/>
      <c r="N284" s="11"/>
      <c r="O284" s="38"/>
      <c r="P284" s="38"/>
      <c r="Q284" s="38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J284" s="42"/>
    </row>
    <row r="285" spans="1:36" hidden="1">
      <c r="A285" s="1" t="s">
        <v>211</v>
      </c>
      <c r="B285" s="1"/>
      <c r="C285" s="182">
        <v>143.93333333333339</v>
      </c>
      <c r="D285" s="200">
        <v>60</v>
      </c>
      <c r="E285" s="186"/>
      <c r="F285" s="2">
        <f>ROUND(D285*C285,0)</f>
        <v>8636</v>
      </c>
      <c r="G285" s="216">
        <v>60</v>
      </c>
      <c r="H285" s="186"/>
      <c r="I285" s="2">
        <f>ROUND(G285*$C285,0)</f>
        <v>8636</v>
      </c>
      <c r="J285" s="200">
        <f>$G$194</f>
        <v>60</v>
      </c>
      <c r="K285" s="186"/>
      <c r="L285" s="2">
        <f>ROUND(J285*$C285,0)</f>
        <v>8636</v>
      </c>
      <c r="M285" s="11"/>
      <c r="N285" s="11"/>
      <c r="O285" s="38"/>
      <c r="P285" s="38"/>
      <c r="Q285" s="38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J285" s="42"/>
    </row>
    <row r="286" spans="1:36" hidden="1">
      <c r="A286" s="1" t="s">
        <v>212</v>
      </c>
      <c r="B286" s="1"/>
      <c r="C286" s="182">
        <v>1553</v>
      </c>
      <c r="D286" s="202">
        <v>-30</v>
      </c>
      <c r="E286" s="186" t="s">
        <v>178</v>
      </c>
      <c r="F286" s="2">
        <f>ROUND(D286*C286/100,0)</f>
        <v>-466</v>
      </c>
      <c r="G286" s="737">
        <v>-30</v>
      </c>
      <c r="H286" s="186" t="s">
        <v>178</v>
      </c>
      <c r="I286" s="2">
        <f>ROUND(G286*$C286/100,0)</f>
        <v>-466</v>
      </c>
      <c r="J286" s="202">
        <f>$G$195</f>
        <v>-30</v>
      </c>
      <c r="K286" s="186" t="s">
        <v>178</v>
      </c>
      <c r="L286" s="2">
        <f>ROUND(J286*$C286/100,0)</f>
        <v>-466</v>
      </c>
      <c r="M286" s="11"/>
      <c r="N286" s="11"/>
      <c r="O286" s="38"/>
      <c r="P286" s="38"/>
      <c r="Q286" s="38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J286" s="42"/>
    </row>
    <row r="287" spans="1:36" hidden="1">
      <c r="A287" s="1" t="s">
        <v>185</v>
      </c>
      <c r="B287" s="170"/>
      <c r="C287" s="182">
        <f>SUM(C272:C274)</f>
        <v>511667485.17531258</v>
      </c>
      <c r="D287" s="193"/>
      <c r="E287" s="186"/>
      <c r="F287" s="2">
        <f>SUM(F267:F286)</f>
        <v>47645725</v>
      </c>
      <c r="G287" s="733"/>
      <c r="H287" s="186"/>
      <c r="I287" s="2">
        <f>SUM(I267:I286)</f>
        <v>49298381</v>
      </c>
      <c r="J287" s="193"/>
      <c r="K287" s="186"/>
      <c r="L287" s="2">
        <f ca="1">SUM(L267:L286)</f>
        <v>49221633</v>
      </c>
      <c r="M287" s="279"/>
      <c r="N287" s="279"/>
      <c r="O287" s="38"/>
      <c r="P287" s="38"/>
      <c r="Q287" s="38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J287" s="42"/>
    </row>
    <row r="288" spans="1:36" hidden="1">
      <c r="A288" s="1" t="s">
        <v>167</v>
      </c>
      <c r="B288" s="1"/>
      <c r="C288" s="212">
        <v>4703700.3237753101</v>
      </c>
      <c r="D288" s="172"/>
      <c r="E288" s="172"/>
      <c r="F288" s="204">
        <v>624428.93111745664</v>
      </c>
      <c r="G288" s="284"/>
      <c r="H288" s="172"/>
      <c r="I288" s="204">
        <f>F288</f>
        <v>624428.93111745664</v>
      </c>
      <c r="J288" s="172"/>
      <c r="K288" s="172"/>
      <c r="L288" s="204">
        <f>I288</f>
        <v>624428.93111745664</v>
      </c>
      <c r="M288" s="307"/>
      <c r="N288" s="307"/>
      <c r="O288" s="150"/>
      <c r="P288" s="38"/>
      <c r="Q288" s="38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J288" s="42"/>
    </row>
    <row r="289" spans="1:36" ht="16.5" hidden="1" thickBot="1">
      <c r="A289" s="1" t="s">
        <v>186</v>
      </c>
      <c r="B289" s="1"/>
      <c r="C289" s="174">
        <f>SUM(C287:C288)</f>
        <v>516371185.49908787</v>
      </c>
      <c r="D289" s="205"/>
      <c r="E289" s="208"/>
      <c r="F289" s="207">
        <f>F287+F288</f>
        <v>48270153.93111746</v>
      </c>
      <c r="G289" s="741"/>
      <c r="H289" s="208"/>
      <c r="I289" s="207">
        <f>I287+I288</f>
        <v>49922809.93111746</v>
      </c>
      <c r="J289" s="205"/>
      <c r="K289" s="208"/>
      <c r="L289" s="207">
        <f ca="1">L287+L288</f>
        <v>49846061.93111746</v>
      </c>
      <c r="M289" s="274"/>
      <c r="N289" s="274"/>
      <c r="O289" s="333"/>
      <c r="P289" s="38"/>
      <c r="Q289" s="38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J289" s="42"/>
    </row>
    <row r="290" spans="1:36" ht="16.5" hidden="1" thickTop="1">
      <c r="A290" s="1"/>
      <c r="B290" s="1"/>
      <c r="C290" s="12"/>
      <c r="D290" s="200"/>
      <c r="E290" s="1"/>
      <c r="F290" s="2"/>
      <c r="G290" s="216"/>
      <c r="H290" s="1"/>
      <c r="I290" s="2" t="s">
        <v>13</v>
      </c>
      <c r="J290" s="200"/>
      <c r="K290" s="1"/>
      <c r="L290" s="2" t="s">
        <v>13</v>
      </c>
      <c r="M290" s="11"/>
      <c r="N290" s="11"/>
      <c r="O290" s="38"/>
      <c r="P290" s="38"/>
      <c r="Q290" s="38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J290" s="42"/>
    </row>
    <row r="291" spans="1:36" hidden="1">
      <c r="A291" s="156" t="s">
        <v>191</v>
      </c>
      <c r="B291" s="1"/>
      <c r="C291" s="1"/>
      <c r="D291" s="2"/>
      <c r="E291" s="1"/>
      <c r="F291" s="1"/>
      <c r="G291" s="516"/>
      <c r="H291" s="1"/>
      <c r="I291" s="1"/>
      <c r="J291" s="2"/>
      <c r="K291" s="1"/>
      <c r="L291" s="1"/>
      <c r="M291" s="11"/>
      <c r="N291" s="11"/>
      <c r="O291" s="38"/>
      <c r="P291" s="38"/>
      <c r="Q291" s="38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J291" s="42"/>
    </row>
    <row r="292" spans="1:36" hidden="1">
      <c r="A292" s="1" t="s">
        <v>218</v>
      </c>
      <c r="B292" s="1"/>
      <c r="C292" s="12"/>
      <c r="D292" s="2"/>
      <c r="E292" s="1"/>
      <c r="F292" s="1"/>
      <c r="G292" s="516"/>
      <c r="H292" s="1"/>
      <c r="I292" s="1"/>
      <c r="J292" s="2"/>
      <c r="K292" s="1"/>
      <c r="L292" s="1"/>
      <c r="M292" s="11"/>
      <c r="N292" s="11"/>
      <c r="O292" s="38"/>
      <c r="P292" s="38"/>
      <c r="Q292" s="38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J292" s="42"/>
    </row>
    <row r="293" spans="1:36" hidden="1">
      <c r="A293" s="1"/>
      <c r="B293" s="1"/>
      <c r="C293" s="1"/>
      <c r="D293" s="2"/>
      <c r="E293" s="1"/>
      <c r="F293" s="1"/>
      <c r="G293" s="516"/>
      <c r="H293" s="1"/>
      <c r="I293" s="1"/>
      <c r="J293" s="2"/>
      <c r="K293" s="1"/>
      <c r="L293" s="1"/>
      <c r="M293" s="11"/>
      <c r="N293" s="11"/>
      <c r="O293" s="38"/>
      <c r="P293" s="38"/>
      <c r="Q293" s="38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J293" s="42"/>
    </row>
    <row r="294" spans="1:36" hidden="1">
      <c r="A294" s="1" t="s">
        <v>197</v>
      </c>
      <c r="B294" s="1"/>
      <c r="C294" s="182"/>
      <c r="D294" s="2"/>
      <c r="E294" s="1"/>
      <c r="F294" s="1"/>
      <c r="G294" s="516"/>
      <c r="H294" s="1"/>
      <c r="I294" s="1"/>
      <c r="J294" s="2"/>
      <c r="K294" s="1"/>
      <c r="L294" s="1"/>
      <c r="M294" s="11"/>
      <c r="N294" s="11"/>
      <c r="O294" s="38"/>
      <c r="P294" s="38"/>
      <c r="Q294" s="38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J294" s="42"/>
    </row>
    <row r="295" spans="1:36" hidden="1">
      <c r="A295" s="1" t="s">
        <v>194</v>
      </c>
      <c r="B295" s="1"/>
      <c r="C295" s="182">
        <v>1583.7666666666701</v>
      </c>
      <c r="D295" s="161">
        <f>$D$175</f>
        <v>9.86</v>
      </c>
      <c r="E295" s="186"/>
      <c r="F295" s="2">
        <f>ROUND(D295*$C295,0)</f>
        <v>15616</v>
      </c>
      <c r="G295" s="506">
        <v>9.86</v>
      </c>
      <c r="H295" s="186"/>
      <c r="I295" s="2">
        <f>ROUND(G295*$C295,0)</f>
        <v>15616</v>
      </c>
      <c r="J295" s="161">
        <f>$G$175</f>
        <v>9.86</v>
      </c>
      <c r="K295" s="186"/>
      <c r="L295" s="2">
        <f>ROUND(J295*$C295,0)</f>
        <v>15616</v>
      </c>
      <c r="M295" s="11"/>
      <c r="N295" s="11"/>
      <c r="O295" s="38"/>
      <c r="P295" s="38"/>
      <c r="Q295" s="38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J295" s="42"/>
    </row>
    <row r="296" spans="1:36" hidden="1">
      <c r="A296" s="1" t="s">
        <v>195</v>
      </c>
      <c r="B296" s="1"/>
      <c r="C296" s="182">
        <v>2849.4333333333302</v>
      </c>
      <c r="D296" s="161">
        <f>$D$176</f>
        <v>14.7</v>
      </c>
      <c r="E296" s="188"/>
      <c r="F296" s="2">
        <f>ROUND(D296*$C296,0)</f>
        <v>41887</v>
      </c>
      <c r="G296" s="506">
        <v>14.7</v>
      </c>
      <c r="H296" s="188"/>
      <c r="I296" s="2">
        <f>ROUND(G296*$C296,0)</f>
        <v>41887</v>
      </c>
      <c r="J296" s="161">
        <f>$G$176</f>
        <v>14.7</v>
      </c>
      <c r="K296" s="188"/>
      <c r="L296" s="2">
        <f>ROUND(J296*$C296,0)</f>
        <v>41887</v>
      </c>
      <c r="M296" s="11"/>
      <c r="N296" s="11"/>
      <c r="O296" s="38"/>
      <c r="P296" s="38"/>
      <c r="Q296" s="38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J296" s="42"/>
    </row>
    <row r="297" spans="1:36" hidden="1">
      <c r="A297" s="1" t="s">
        <v>196</v>
      </c>
      <c r="B297" s="1"/>
      <c r="C297" s="182">
        <v>57347</v>
      </c>
      <c r="D297" s="161">
        <f>$D$177</f>
        <v>1.04</v>
      </c>
      <c r="E297" s="188"/>
      <c r="F297" s="2">
        <f>ROUND(D297*$C297,0)</f>
        <v>59641</v>
      </c>
      <c r="G297" s="506">
        <v>1.04</v>
      </c>
      <c r="H297" s="188"/>
      <c r="I297" s="2">
        <f>ROUND(G297*$C297,0)</f>
        <v>59641</v>
      </c>
      <c r="J297" s="161">
        <f>$G$177</f>
        <v>1.04</v>
      </c>
      <c r="K297" s="188"/>
      <c r="L297" s="2">
        <f>ROUND(J297*$C297,0)</f>
        <v>59641</v>
      </c>
      <c r="M297" s="11"/>
      <c r="N297" s="11"/>
      <c r="O297" s="38"/>
      <c r="P297" s="38"/>
      <c r="Q297" s="38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J297" s="42"/>
    </row>
    <row r="298" spans="1:36" hidden="1">
      <c r="A298" s="1" t="s">
        <v>198</v>
      </c>
      <c r="B298" s="1"/>
      <c r="C298" s="182">
        <f>SUM(C295:C296)</f>
        <v>4433.2000000000007</v>
      </c>
      <c r="D298" s="161"/>
      <c r="E298" s="186"/>
      <c r="F298" s="2"/>
      <c r="G298" s="506"/>
      <c r="H298" s="186"/>
      <c r="I298" s="2"/>
      <c r="J298" s="161"/>
      <c r="K298" s="186"/>
      <c r="L298" s="2"/>
      <c r="M298" s="11"/>
      <c r="N298" s="11"/>
      <c r="O298" s="38"/>
      <c r="P298" s="38"/>
      <c r="Q298" s="38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J298" s="42"/>
    </row>
    <row r="299" spans="1:36" hidden="1">
      <c r="A299" s="1" t="s">
        <v>199</v>
      </c>
      <c r="B299" s="1"/>
      <c r="C299" s="182">
        <v>35513</v>
      </c>
      <c r="D299" s="189">
        <f>$D$180</f>
        <v>3.81</v>
      </c>
      <c r="E299" s="186"/>
      <c r="F299" s="2">
        <f>ROUND(D299*C299,0)</f>
        <v>135305</v>
      </c>
      <c r="G299" s="216">
        <v>3.81</v>
      </c>
      <c r="H299" s="186"/>
      <c r="I299" s="2">
        <f>ROUND(G299*$C299,0)</f>
        <v>135305</v>
      </c>
      <c r="J299" s="189">
        <f>$G$180</f>
        <v>3.81</v>
      </c>
      <c r="K299" s="186"/>
      <c r="L299" s="2">
        <f>ROUND(J299*$C299,0)</f>
        <v>135305</v>
      </c>
      <c r="M299" s="11"/>
      <c r="N299" s="11"/>
      <c r="O299" s="38"/>
      <c r="P299" s="38"/>
      <c r="Q299" s="38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J299" s="42"/>
    </row>
    <row r="300" spans="1:36" hidden="1">
      <c r="A300" s="1" t="s">
        <v>201</v>
      </c>
      <c r="B300" s="1"/>
      <c r="C300" s="182">
        <v>2997648.9999999972</v>
      </c>
      <c r="D300" s="162">
        <f>$D$181</f>
        <v>10.898999999999999</v>
      </c>
      <c r="E300" s="186" t="s">
        <v>178</v>
      </c>
      <c r="F300" s="2">
        <f>ROUND(D300*C300/100,0)</f>
        <v>326714</v>
      </c>
      <c r="G300" s="731">
        <v>11.222</v>
      </c>
      <c r="H300" s="186" t="s">
        <v>178</v>
      </c>
      <c r="I300" s="2">
        <f t="shared" ref="I300:I303" si="31">ROUND(G300*$C300/100,0)</f>
        <v>336396</v>
      </c>
      <c r="J300" s="162">
        <f ca="1">$J$181</f>
        <v>11.207000000000001</v>
      </c>
      <c r="K300" s="186" t="s">
        <v>178</v>
      </c>
      <c r="L300" s="2">
        <f t="shared" ref="L300:L303" ca="1" si="32">ROUND(J300*$C300/100,0)</f>
        <v>335947</v>
      </c>
      <c r="M300" s="11"/>
      <c r="N300" s="11"/>
      <c r="O300" s="38"/>
      <c r="P300" s="38"/>
      <c r="Q300" s="38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J300" s="42"/>
    </row>
    <row r="301" spans="1:36" hidden="1">
      <c r="A301" s="1" t="s">
        <v>202</v>
      </c>
      <c r="B301" s="1"/>
      <c r="C301" s="182">
        <v>9072829.0000000037</v>
      </c>
      <c r="D301" s="162">
        <f>$D$182</f>
        <v>7.3739999999999997</v>
      </c>
      <c r="E301" s="186" t="s">
        <v>178</v>
      </c>
      <c r="F301" s="2">
        <f>ROUND(D301*C301/100,0)</f>
        <v>669030</v>
      </c>
      <c r="G301" s="731">
        <v>7.6970000000000001</v>
      </c>
      <c r="H301" s="186" t="s">
        <v>178</v>
      </c>
      <c r="I301" s="2">
        <f t="shared" si="31"/>
        <v>698336</v>
      </c>
      <c r="J301" s="162">
        <f ca="1">$J$182</f>
        <v>7.6820000000000004</v>
      </c>
      <c r="K301" s="186" t="s">
        <v>178</v>
      </c>
      <c r="L301" s="2">
        <f t="shared" ca="1" si="32"/>
        <v>696975</v>
      </c>
      <c r="M301" s="11"/>
      <c r="N301" s="11"/>
      <c r="O301" s="38"/>
      <c r="P301" s="38"/>
      <c r="Q301" s="38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J301" s="42"/>
    </row>
    <row r="302" spans="1:36" hidden="1">
      <c r="A302" s="1" t="s">
        <v>203</v>
      </c>
      <c r="B302" s="1"/>
      <c r="C302" s="182">
        <v>4035046</v>
      </c>
      <c r="D302" s="162">
        <f>$D$183</f>
        <v>6.8529999999999998</v>
      </c>
      <c r="E302" s="186" t="s">
        <v>178</v>
      </c>
      <c r="F302" s="2">
        <f>ROUND(D302*C302/100,0)</f>
        <v>276522</v>
      </c>
      <c r="G302" s="731">
        <v>7.1760000000000002</v>
      </c>
      <c r="H302" s="186" t="s">
        <v>178</v>
      </c>
      <c r="I302" s="2">
        <f t="shared" si="31"/>
        <v>289555</v>
      </c>
      <c r="J302" s="162">
        <f ca="1">$J$183</f>
        <v>7.1609999999999996</v>
      </c>
      <c r="K302" s="186" t="s">
        <v>178</v>
      </c>
      <c r="L302" s="2">
        <f t="shared" ca="1" si="32"/>
        <v>288950</v>
      </c>
      <c r="M302" s="11"/>
      <c r="N302" s="11"/>
      <c r="O302" s="38"/>
      <c r="P302" s="38"/>
      <c r="Q302" s="38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J302" s="42"/>
    </row>
    <row r="303" spans="1:36" hidden="1">
      <c r="A303" s="1" t="s">
        <v>204</v>
      </c>
      <c r="B303" s="1"/>
      <c r="C303" s="182">
        <v>14630.9</v>
      </c>
      <c r="D303" s="189">
        <f>$D$184</f>
        <v>58</v>
      </c>
      <c r="E303" s="186" t="s">
        <v>178</v>
      </c>
      <c r="F303" s="2">
        <f>ROUND(D303*C303/100,0)</f>
        <v>8486</v>
      </c>
      <c r="G303" s="733">
        <v>58</v>
      </c>
      <c r="H303" s="186" t="s">
        <v>178</v>
      </c>
      <c r="I303" s="2">
        <f t="shared" si="31"/>
        <v>8486</v>
      </c>
      <c r="J303" s="193">
        <f>$G$184</f>
        <v>58</v>
      </c>
      <c r="K303" s="186" t="s">
        <v>178</v>
      </c>
      <c r="L303" s="2">
        <f t="shared" si="32"/>
        <v>8486</v>
      </c>
      <c r="M303" s="11"/>
      <c r="N303" s="11"/>
      <c r="O303" s="38"/>
      <c r="P303" s="38"/>
      <c r="Q303" s="38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J303" s="42"/>
    </row>
    <row r="304" spans="1:36" hidden="1">
      <c r="A304" s="194" t="s">
        <v>205</v>
      </c>
      <c r="B304" s="1"/>
      <c r="C304" s="182"/>
      <c r="D304" s="195">
        <f>$D$185</f>
        <v>-0.01</v>
      </c>
      <c r="E304" s="186"/>
      <c r="F304" s="2"/>
      <c r="G304" s="734">
        <v>-0.01</v>
      </c>
      <c r="H304" s="186"/>
      <c r="I304" s="2"/>
      <c r="J304" s="195">
        <v>-0.01</v>
      </c>
      <c r="K304" s="186"/>
      <c r="L304" s="2"/>
      <c r="M304" s="11"/>
      <c r="N304" s="11"/>
      <c r="O304" s="38"/>
      <c r="P304" s="38"/>
      <c r="Q304" s="38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J304" s="42"/>
    </row>
    <row r="305" spans="1:36" hidden="1">
      <c r="A305" s="1" t="s">
        <v>194</v>
      </c>
      <c r="B305" s="1"/>
      <c r="C305" s="182">
        <v>0</v>
      </c>
      <c r="D305" s="197">
        <f>$D$210</f>
        <v>9.86</v>
      </c>
      <c r="E305" s="184"/>
      <c r="F305" s="2">
        <f>-ROUND(D305*$C305/100,0)</f>
        <v>0</v>
      </c>
      <c r="G305" s="216">
        <v>9.86</v>
      </c>
      <c r="H305" s="184"/>
      <c r="I305" s="2">
        <f>-ROUND(G305*$C305/100,0)</f>
        <v>0</v>
      </c>
      <c r="J305" s="197">
        <f>J295</f>
        <v>9.86</v>
      </c>
      <c r="K305" s="184"/>
      <c r="L305" s="2">
        <f>-ROUND(J305*$C305/100,0)</f>
        <v>0</v>
      </c>
      <c r="M305" s="11"/>
      <c r="N305" s="11"/>
      <c r="O305" s="38"/>
      <c r="P305" s="38"/>
      <c r="Q305" s="38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J305" s="42"/>
    </row>
    <row r="306" spans="1:36" hidden="1">
      <c r="A306" s="1" t="s">
        <v>195</v>
      </c>
      <c r="B306" s="1"/>
      <c r="C306" s="182">
        <v>12</v>
      </c>
      <c r="D306" s="197">
        <f>$D$211</f>
        <v>14.7</v>
      </c>
      <c r="E306" s="184"/>
      <c r="F306" s="2">
        <f>-ROUND(D306*$C306/100,0)</f>
        <v>-2</v>
      </c>
      <c r="G306" s="216">
        <v>14.7</v>
      </c>
      <c r="H306" s="184"/>
      <c r="I306" s="2">
        <f>-ROUND(G306*$C306/100,0)</f>
        <v>-2</v>
      </c>
      <c r="J306" s="197">
        <f>J296</f>
        <v>14.7</v>
      </c>
      <c r="K306" s="184"/>
      <c r="L306" s="2">
        <f>-ROUND(J306*$C306/100,0)</f>
        <v>-2</v>
      </c>
      <c r="M306" s="11"/>
      <c r="N306" s="11"/>
      <c r="O306" s="38"/>
      <c r="P306" s="38"/>
      <c r="Q306" s="38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J306" s="42"/>
    </row>
    <row r="307" spans="1:36" hidden="1">
      <c r="A307" s="1" t="s">
        <v>206</v>
      </c>
      <c r="B307" s="1"/>
      <c r="C307" s="182">
        <v>3902</v>
      </c>
      <c r="D307" s="197">
        <f>$D$212</f>
        <v>1.04</v>
      </c>
      <c r="E307" s="184"/>
      <c r="F307" s="2">
        <f>-ROUND(D307*$C307/100,0)</f>
        <v>-41</v>
      </c>
      <c r="G307" s="216">
        <v>1.04</v>
      </c>
      <c r="H307" s="184"/>
      <c r="I307" s="2">
        <f>-ROUND(G307*$C307/100,0)</f>
        <v>-41</v>
      </c>
      <c r="J307" s="197">
        <f>J297</f>
        <v>1.04</v>
      </c>
      <c r="K307" s="184"/>
      <c r="L307" s="2">
        <f>-ROUND(J307*$C307/100,0)</f>
        <v>-41</v>
      </c>
      <c r="M307" s="11"/>
      <c r="N307" s="11"/>
      <c r="O307" s="38"/>
      <c r="P307" s="38"/>
      <c r="Q307" s="38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J307" s="42"/>
    </row>
    <row r="308" spans="1:36" hidden="1">
      <c r="A308" s="1" t="s">
        <v>207</v>
      </c>
      <c r="B308" s="1"/>
      <c r="C308" s="182">
        <v>952</v>
      </c>
      <c r="D308" s="197">
        <f>$D$214</f>
        <v>3.81</v>
      </c>
      <c r="E308" s="186"/>
      <c r="F308" s="2">
        <f>-ROUND(D308*$C308/100,0)</f>
        <v>-36</v>
      </c>
      <c r="G308" s="216">
        <v>3.81</v>
      </c>
      <c r="H308" s="186"/>
      <c r="I308" s="2">
        <f>-ROUND(G308*$C308/100,0)</f>
        <v>-36</v>
      </c>
      <c r="J308" s="197">
        <f>J299</f>
        <v>3.81</v>
      </c>
      <c r="K308" s="186"/>
      <c r="L308" s="2">
        <f>-ROUND(J308*$C308/100,0)</f>
        <v>-36</v>
      </c>
      <c r="M308" s="11"/>
      <c r="N308" s="11"/>
      <c r="O308" s="38"/>
      <c r="P308" s="38"/>
      <c r="Q308" s="38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J308" s="42"/>
    </row>
    <row r="309" spans="1:36" hidden="1">
      <c r="A309" s="1" t="s">
        <v>209</v>
      </c>
      <c r="B309" s="1"/>
      <c r="C309" s="182">
        <v>12000</v>
      </c>
      <c r="D309" s="198">
        <f>$D$215</f>
        <v>10.898999999999999</v>
      </c>
      <c r="E309" s="186" t="s">
        <v>178</v>
      </c>
      <c r="F309" s="2">
        <f>ROUND(D309*$C309/100*D304,0)</f>
        <v>-13</v>
      </c>
      <c r="G309" s="735">
        <v>11.222</v>
      </c>
      <c r="H309" s="186" t="s">
        <v>178</v>
      </c>
      <c r="I309" s="2">
        <f>ROUND(G309*$C309/100*G304,0)</f>
        <v>-13</v>
      </c>
      <c r="J309" s="198">
        <f ca="1">J300</f>
        <v>11.207000000000001</v>
      </c>
      <c r="K309" s="186" t="s">
        <v>178</v>
      </c>
      <c r="L309" s="2">
        <f ca="1">ROUND(J309*$C309/100*J304,0)</f>
        <v>-13</v>
      </c>
      <c r="M309" s="11"/>
      <c r="N309" s="11"/>
      <c r="O309" s="38"/>
      <c r="P309" s="38"/>
      <c r="Q309" s="38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J309" s="42"/>
    </row>
    <row r="310" spans="1:36" hidden="1">
      <c r="A310" s="1" t="s">
        <v>202</v>
      </c>
      <c r="B310" s="1"/>
      <c r="C310" s="182">
        <v>91800</v>
      </c>
      <c r="D310" s="198">
        <f>$D$216</f>
        <v>7.3739999999999997</v>
      </c>
      <c r="E310" s="186" t="s">
        <v>178</v>
      </c>
      <c r="F310" s="2">
        <f>ROUND(D310*$C310/100*D304,0)</f>
        <v>-68</v>
      </c>
      <c r="G310" s="735">
        <v>7.6970000000000001</v>
      </c>
      <c r="H310" s="186" t="s">
        <v>178</v>
      </c>
      <c r="I310" s="2">
        <f>ROUND(G310*$C310/100*G304,0)</f>
        <v>-71</v>
      </c>
      <c r="J310" s="198">
        <f ca="1">J301</f>
        <v>7.6820000000000004</v>
      </c>
      <c r="K310" s="186" t="s">
        <v>178</v>
      </c>
      <c r="L310" s="2">
        <f ca="1">ROUND(J310*$C310/100*J304,0)</f>
        <v>-71</v>
      </c>
      <c r="M310" s="11"/>
      <c r="N310" s="11"/>
      <c r="O310" s="38"/>
      <c r="P310" s="38"/>
      <c r="Q310" s="38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J310" s="42"/>
    </row>
    <row r="311" spans="1:36" hidden="1">
      <c r="A311" s="1" t="s">
        <v>203</v>
      </c>
      <c r="B311" s="1"/>
      <c r="C311" s="182">
        <v>59400</v>
      </c>
      <c r="D311" s="198">
        <f>$D$217</f>
        <v>6.8529999999999998</v>
      </c>
      <c r="E311" s="186" t="s">
        <v>178</v>
      </c>
      <c r="F311" s="2">
        <f>ROUND(D311*$C311/100*D304,0)</f>
        <v>-41</v>
      </c>
      <c r="G311" s="735">
        <v>7.1760000000000002</v>
      </c>
      <c r="H311" s="186" t="s">
        <v>178</v>
      </c>
      <c r="I311" s="2">
        <f>ROUND(G311*$C311/100*G304,0)</f>
        <v>-43</v>
      </c>
      <c r="J311" s="198">
        <f ca="1">J302</f>
        <v>7.1609999999999996</v>
      </c>
      <c r="K311" s="186" t="s">
        <v>178</v>
      </c>
      <c r="L311" s="2">
        <f ca="1">ROUND(J311*$C311/100*J304,0)</f>
        <v>-43</v>
      </c>
      <c r="M311" s="11"/>
      <c r="N311" s="11"/>
      <c r="O311" s="38"/>
      <c r="P311" s="38"/>
      <c r="Q311" s="38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J311" s="42"/>
    </row>
    <row r="312" spans="1:36" hidden="1">
      <c r="A312" s="1" t="s">
        <v>204</v>
      </c>
      <c r="B312" s="1"/>
      <c r="C312" s="182">
        <v>425</v>
      </c>
      <c r="D312" s="199">
        <f>$D$218</f>
        <v>58</v>
      </c>
      <c r="E312" s="186" t="s">
        <v>178</v>
      </c>
      <c r="F312" s="2">
        <f>ROUND(D312*$C312/100*D304,0)</f>
        <v>-2</v>
      </c>
      <c r="G312" s="736">
        <v>58</v>
      </c>
      <c r="H312" s="186" t="s">
        <v>178</v>
      </c>
      <c r="I312" s="2">
        <f>ROUND(G312*$C312/100*G304,0)</f>
        <v>-2</v>
      </c>
      <c r="J312" s="199">
        <f>J303</f>
        <v>58</v>
      </c>
      <c r="K312" s="186" t="s">
        <v>178</v>
      </c>
      <c r="L312" s="2">
        <f>ROUND(J312*$C312/100*J304,0)</f>
        <v>-2</v>
      </c>
      <c r="M312" s="11"/>
      <c r="N312" s="11"/>
      <c r="O312" s="38"/>
      <c r="P312" s="38"/>
      <c r="Q312" s="38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J312" s="42"/>
    </row>
    <row r="313" spans="1:36" hidden="1">
      <c r="A313" s="1" t="s">
        <v>211</v>
      </c>
      <c r="B313" s="1"/>
      <c r="C313" s="182">
        <v>12</v>
      </c>
      <c r="D313" s="200">
        <v>60</v>
      </c>
      <c r="E313" s="186"/>
      <c r="F313" s="2">
        <f>ROUND(D313*C313,0)</f>
        <v>720</v>
      </c>
      <c r="G313" s="216">
        <v>60</v>
      </c>
      <c r="H313" s="186"/>
      <c r="I313" s="2">
        <f>ROUND(G313*$C313,0)</f>
        <v>720</v>
      </c>
      <c r="J313" s="200">
        <f>$G$194</f>
        <v>60</v>
      </c>
      <c r="K313" s="186"/>
      <c r="L313" s="2">
        <f>ROUND(J313*$C313,0)</f>
        <v>720</v>
      </c>
      <c r="M313" s="11"/>
      <c r="N313" s="11"/>
      <c r="O313" s="38"/>
      <c r="P313" s="38"/>
      <c r="Q313" s="38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J313" s="42"/>
    </row>
    <row r="314" spans="1:36" hidden="1">
      <c r="A314" s="1" t="s">
        <v>212</v>
      </c>
      <c r="B314" s="1"/>
      <c r="C314" s="182">
        <v>3902</v>
      </c>
      <c r="D314" s="202">
        <v>-30</v>
      </c>
      <c r="E314" s="186" t="s">
        <v>178</v>
      </c>
      <c r="F314" s="2">
        <f>ROUND(D314*C314/100,0)</f>
        <v>-1171</v>
      </c>
      <c r="G314" s="737">
        <v>-30</v>
      </c>
      <c r="H314" s="186" t="s">
        <v>178</v>
      </c>
      <c r="I314" s="2">
        <f>ROUND(G314*$C314/100,0)</f>
        <v>-1171</v>
      </c>
      <c r="J314" s="202">
        <f>$G$195</f>
        <v>-30</v>
      </c>
      <c r="K314" s="186" t="s">
        <v>178</v>
      </c>
      <c r="L314" s="2">
        <f>ROUND(J314*$C314/100,0)</f>
        <v>-1171</v>
      </c>
      <c r="M314" s="11"/>
      <c r="N314" s="11"/>
      <c r="O314" s="38"/>
      <c r="P314" s="38"/>
      <c r="Q314" s="38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J314" s="42"/>
    </row>
    <row r="315" spans="1:36" hidden="1">
      <c r="A315" s="1" t="s">
        <v>185</v>
      </c>
      <c r="B315" s="1"/>
      <c r="C315" s="182">
        <f>SUM(C300:C302)</f>
        <v>16105524</v>
      </c>
      <c r="D315" s="193"/>
      <c r="E315" s="186"/>
      <c r="F315" s="2">
        <f>SUM(F295:F314)</f>
        <v>1532547</v>
      </c>
      <c r="G315" s="733"/>
      <c r="H315" s="186"/>
      <c r="I315" s="2">
        <f>SUM(I295:I314)</f>
        <v>1584563</v>
      </c>
      <c r="J315" s="193"/>
      <c r="K315" s="186"/>
      <c r="L315" s="2">
        <f ca="1">SUM(L295:L314)</f>
        <v>1582148</v>
      </c>
      <c r="M315" s="11"/>
      <c r="N315" s="11"/>
      <c r="O315" s="38"/>
      <c r="P315" s="38"/>
      <c r="Q315" s="38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J315" s="42"/>
    </row>
    <row r="316" spans="1:36" hidden="1">
      <c r="A316" s="1" t="s">
        <v>167</v>
      </c>
      <c r="B316" s="1"/>
      <c r="C316" s="212">
        <v>300686.69518359675</v>
      </c>
      <c r="D316" s="172"/>
      <c r="E316" s="172"/>
      <c r="F316" s="204">
        <v>9128.2704464299368</v>
      </c>
      <c r="G316" s="284"/>
      <c r="H316" s="172"/>
      <c r="I316" s="204">
        <f>F316</f>
        <v>9128.2704464299368</v>
      </c>
      <c r="J316" s="172"/>
      <c r="K316" s="172"/>
      <c r="L316" s="204">
        <f>I316</f>
        <v>9128.2704464299368</v>
      </c>
      <c r="M316" s="307"/>
      <c r="N316" s="307"/>
      <c r="O316" s="150"/>
      <c r="P316" s="38"/>
      <c r="Q316" s="38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J316" s="42"/>
    </row>
    <row r="317" spans="1:36" ht="16.5" hidden="1" thickBot="1">
      <c r="A317" s="1" t="s">
        <v>186</v>
      </c>
      <c r="B317" s="1"/>
      <c r="C317" s="174">
        <f>SUM(C315:C316)</f>
        <v>16406210.695183598</v>
      </c>
      <c r="D317" s="205"/>
      <c r="E317" s="208"/>
      <c r="F317" s="207">
        <f>F315+F316</f>
        <v>1541675.27044643</v>
      </c>
      <c r="G317" s="741"/>
      <c r="H317" s="208"/>
      <c r="I317" s="207">
        <f>I315+I316</f>
        <v>1593691.27044643</v>
      </c>
      <c r="J317" s="205"/>
      <c r="K317" s="208"/>
      <c r="L317" s="207">
        <f ca="1">L315+L316</f>
        <v>1591276.27044643</v>
      </c>
      <c r="M317" s="274"/>
      <c r="N317" s="274"/>
      <c r="O317" s="333"/>
      <c r="P317" s="38"/>
      <c r="Q317" s="38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J317" s="42"/>
    </row>
    <row r="318" spans="1:36" ht="16.5" hidden="1" thickTop="1">
      <c r="A318" s="1"/>
      <c r="B318" s="1"/>
      <c r="C318" s="213"/>
      <c r="D318" s="214"/>
      <c r="E318" s="14"/>
      <c r="F318" s="185"/>
      <c r="G318" s="742"/>
      <c r="H318" s="14"/>
      <c r="I318" s="185"/>
      <c r="J318" s="214"/>
      <c r="K318" s="14"/>
      <c r="L318" s="185"/>
      <c r="M318" s="11"/>
      <c r="N318" s="11"/>
      <c r="O318" s="38"/>
      <c r="P318" s="38"/>
      <c r="Q318" s="38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J318" s="42"/>
    </row>
    <row r="319" spans="1:36" hidden="1">
      <c r="A319" s="156" t="s">
        <v>219</v>
      </c>
      <c r="B319" s="1"/>
      <c r="C319" s="1"/>
      <c r="D319" s="2"/>
      <c r="E319" s="1"/>
      <c r="F319" s="1"/>
      <c r="G319" s="516"/>
      <c r="H319" s="1"/>
      <c r="I319" s="1"/>
      <c r="J319" s="2"/>
      <c r="K319" s="1"/>
      <c r="L319" s="1"/>
      <c r="M319" s="11"/>
      <c r="N319" s="11"/>
      <c r="O319" s="38"/>
      <c r="P319" s="38"/>
      <c r="Q319" s="38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J319" s="42"/>
    </row>
    <row r="320" spans="1:36" hidden="1">
      <c r="A320" s="1" t="s">
        <v>214</v>
      </c>
      <c r="B320" s="1"/>
      <c r="C320" s="1"/>
      <c r="D320" s="2"/>
      <c r="E320" s="1"/>
      <c r="F320" s="1"/>
      <c r="G320" s="516"/>
      <c r="H320" s="1"/>
      <c r="I320" s="1"/>
      <c r="J320" s="2"/>
      <c r="K320" s="1"/>
      <c r="L320" s="1"/>
      <c r="M320" s="11"/>
      <c r="N320" s="11"/>
      <c r="O320" s="38"/>
      <c r="P320" s="38"/>
      <c r="Q320" s="38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J320" s="42"/>
    </row>
    <row r="321" spans="1:36" hidden="1">
      <c r="A321" s="1"/>
      <c r="B321" s="1"/>
      <c r="C321" s="1"/>
      <c r="D321" s="2"/>
      <c r="E321" s="1"/>
      <c r="F321" s="1"/>
      <c r="G321" s="516"/>
      <c r="H321" s="1"/>
      <c r="I321" s="1"/>
      <c r="J321" s="2"/>
      <c r="K321" s="1"/>
      <c r="L321" s="1"/>
      <c r="M321" s="11"/>
      <c r="N321" s="11"/>
      <c r="O321" s="38"/>
      <c r="P321" s="38"/>
      <c r="Q321" s="38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J321" s="42"/>
    </row>
    <row r="322" spans="1:36" hidden="1">
      <c r="A322" s="1" t="s">
        <v>197</v>
      </c>
      <c r="B322" s="1"/>
      <c r="C322" s="182"/>
      <c r="D322" s="2"/>
      <c r="E322" s="1"/>
      <c r="F322" s="1"/>
      <c r="G322" s="516"/>
      <c r="H322" s="1"/>
      <c r="I322" s="1"/>
      <c r="J322" s="2"/>
      <c r="K322" s="1"/>
      <c r="L322" s="1"/>
      <c r="M322" s="11"/>
      <c r="N322" s="11"/>
      <c r="O322" s="38"/>
      <c r="P322" s="38"/>
      <c r="Q322" s="38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J322" s="42"/>
    </row>
    <row r="323" spans="1:36" hidden="1">
      <c r="A323" s="1" t="s">
        <v>220</v>
      </c>
      <c r="B323" s="1"/>
      <c r="C323" s="182">
        <f>C352+C381</f>
        <v>4428.0001738685805</v>
      </c>
      <c r="D323" s="161">
        <f>$D$175</f>
        <v>9.86</v>
      </c>
      <c r="E323" s="186"/>
      <c r="F323" s="2">
        <f>ROUND(D323*$C323,0)</f>
        <v>43660</v>
      </c>
      <c r="G323" s="506">
        <v>9.86</v>
      </c>
      <c r="H323" s="186"/>
      <c r="I323" s="2">
        <f>I352+I381</f>
        <v>43660</v>
      </c>
      <c r="J323" s="161">
        <f>$G$175</f>
        <v>9.86</v>
      </c>
      <c r="K323" s="186"/>
      <c r="L323" s="2">
        <f>L352+L381</f>
        <v>43660</v>
      </c>
      <c r="M323" s="11"/>
      <c r="N323" s="11"/>
      <c r="O323" s="38"/>
      <c r="P323" s="38"/>
      <c r="Q323" s="38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J323" s="42"/>
    </row>
    <row r="324" spans="1:36" hidden="1">
      <c r="A324" s="1" t="s">
        <v>195</v>
      </c>
      <c r="B324" s="1"/>
      <c r="C324" s="182">
        <f>C353+C382</f>
        <v>0</v>
      </c>
      <c r="D324" s="161">
        <f>$D$176</f>
        <v>14.7</v>
      </c>
      <c r="E324" s="188"/>
      <c r="F324" s="2">
        <f>ROUND(D324*$C324,0)</f>
        <v>0</v>
      </c>
      <c r="G324" s="506">
        <v>14.7</v>
      </c>
      <c r="H324" s="188"/>
      <c r="I324" s="2">
        <f>I353+I382</f>
        <v>0</v>
      </c>
      <c r="J324" s="161">
        <f>$G$176</f>
        <v>14.7</v>
      </c>
      <c r="K324" s="188"/>
      <c r="L324" s="2">
        <f>L353+L382</f>
        <v>0</v>
      </c>
      <c r="M324" s="11"/>
      <c r="N324" s="11"/>
      <c r="O324" s="38"/>
      <c r="P324" s="38"/>
      <c r="Q324" s="38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J324" s="42"/>
    </row>
    <row r="325" spans="1:36" hidden="1">
      <c r="A325" s="1" t="s">
        <v>196</v>
      </c>
      <c r="B325" s="1"/>
      <c r="C325" s="182">
        <f>C354+C383</f>
        <v>0</v>
      </c>
      <c r="D325" s="161">
        <f>$D$177</f>
        <v>1.04</v>
      </c>
      <c r="E325" s="188"/>
      <c r="F325" s="2">
        <f>ROUND(D325*$C325,0)</f>
        <v>0</v>
      </c>
      <c r="G325" s="506">
        <v>1.04</v>
      </c>
      <c r="H325" s="188"/>
      <c r="I325" s="2">
        <f>I354+I383</f>
        <v>0</v>
      </c>
      <c r="J325" s="161">
        <f>$G$177</f>
        <v>1.04</v>
      </c>
      <c r="K325" s="188"/>
      <c r="L325" s="2">
        <f>L354+L383</f>
        <v>0</v>
      </c>
      <c r="M325" s="11"/>
      <c r="N325" s="11"/>
      <c r="O325" s="38"/>
      <c r="P325" s="38"/>
      <c r="Q325" s="38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J325" s="42"/>
    </row>
    <row r="326" spans="1:36" hidden="1">
      <c r="A326" s="1" t="s">
        <v>198</v>
      </c>
      <c r="B326" s="1"/>
      <c r="C326" s="182">
        <f>SUM(C323:C324)</f>
        <v>4428.0001738685805</v>
      </c>
      <c r="D326" s="161"/>
      <c r="E326" s="186"/>
      <c r="F326" s="2"/>
      <c r="G326" s="506"/>
      <c r="H326" s="186"/>
      <c r="I326" s="2"/>
      <c r="J326" s="161"/>
      <c r="K326" s="186"/>
      <c r="L326" s="2"/>
      <c r="M326" s="11"/>
      <c r="N326" s="11"/>
      <c r="O326" s="38"/>
      <c r="P326" s="38"/>
      <c r="Q326" s="38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J326" s="42"/>
    </row>
    <row r="327" spans="1:36" hidden="1">
      <c r="A327" s="1" t="s">
        <v>166</v>
      </c>
      <c r="B327" s="1"/>
      <c r="C327" s="182">
        <f t="shared" ref="C327:C332" si="33">C356+C385</f>
        <v>1371.2</v>
      </c>
      <c r="D327" s="161"/>
      <c r="E327" s="186"/>
      <c r="F327" s="2"/>
      <c r="G327" s="506"/>
      <c r="H327" s="186"/>
      <c r="I327" s="2"/>
      <c r="J327" s="161"/>
      <c r="K327" s="186"/>
      <c r="L327" s="2"/>
      <c r="M327" s="11"/>
      <c r="N327" s="11"/>
      <c r="O327" s="38"/>
      <c r="P327" s="38"/>
      <c r="Q327" s="38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J327" s="42"/>
    </row>
    <row r="328" spans="1:36" hidden="1">
      <c r="A328" s="1" t="s">
        <v>199</v>
      </c>
      <c r="B328" s="1"/>
      <c r="C328" s="182">
        <f t="shared" si="33"/>
        <v>0</v>
      </c>
      <c r="D328" s="189">
        <f>$D$180</f>
        <v>3.81</v>
      </c>
      <c r="E328" s="186"/>
      <c r="F328" s="2">
        <f>ROUND(D328*C328,0)</f>
        <v>0</v>
      </c>
      <c r="G328" s="216">
        <v>3.81</v>
      </c>
      <c r="H328" s="186"/>
      <c r="I328" s="2">
        <f>I357+I386</f>
        <v>0</v>
      </c>
      <c r="J328" s="189">
        <f>$G$180</f>
        <v>3.81</v>
      </c>
      <c r="K328" s="186"/>
      <c r="L328" s="2">
        <f>L357+L386</f>
        <v>0</v>
      </c>
      <c r="M328" s="11"/>
      <c r="N328" s="11"/>
      <c r="O328" s="38"/>
      <c r="P328" s="38"/>
      <c r="Q328" s="38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J328" s="42"/>
    </row>
    <row r="329" spans="1:36" hidden="1">
      <c r="A329" s="1" t="s">
        <v>201</v>
      </c>
      <c r="B329" s="1"/>
      <c r="C329" s="182">
        <f t="shared" si="33"/>
        <v>1204399.1537199491</v>
      </c>
      <c r="D329" s="162">
        <f>$D$181</f>
        <v>10.898999999999999</v>
      </c>
      <c r="E329" s="186" t="s">
        <v>178</v>
      </c>
      <c r="F329" s="2">
        <f>F358+F387</f>
        <v>131268</v>
      </c>
      <c r="G329" s="731">
        <v>11.222</v>
      </c>
      <c r="H329" s="186" t="s">
        <v>178</v>
      </c>
      <c r="I329" s="2">
        <f>I358+I387</f>
        <v>135157</v>
      </c>
      <c r="J329" s="162">
        <f ca="1">$J$181</f>
        <v>11.207000000000001</v>
      </c>
      <c r="K329" s="186" t="s">
        <v>178</v>
      </c>
      <c r="L329" s="2">
        <f ca="1">L358+L387</f>
        <v>134977</v>
      </c>
      <c r="M329" s="11"/>
      <c r="N329" s="11"/>
      <c r="O329" s="38"/>
      <c r="P329" s="38"/>
      <c r="Q329" s="38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J329" s="42"/>
    </row>
    <row r="330" spans="1:36" hidden="1">
      <c r="A330" s="1" t="s">
        <v>202</v>
      </c>
      <c r="B330" s="1"/>
      <c r="C330" s="182">
        <f t="shared" si="33"/>
        <v>55032</v>
      </c>
      <c r="D330" s="162">
        <f>$D$182</f>
        <v>7.3739999999999997</v>
      </c>
      <c r="E330" s="186" t="s">
        <v>178</v>
      </c>
      <c r="F330" s="2">
        <f>ROUND(D330*C330/100,0)</f>
        <v>4058</v>
      </c>
      <c r="G330" s="731">
        <v>7.6970000000000001</v>
      </c>
      <c r="H330" s="186" t="s">
        <v>178</v>
      </c>
      <c r="I330" s="2">
        <f>I359+I388</f>
        <v>4236</v>
      </c>
      <c r="J330" s="162">
        <f ca="1">$J$182</f>
        <v>7.6820000000000004</v>
      </c>
      <c r="K330" s="186" t="s">
        <v>178</v>
      </c>
      <c r="L330" s="2">
        <f ca="1">L359+L388</f>
        <v>4228</v>
      </c>
      <c r="M330" s="11"/>
      <c r="N330" s="11"/>
      <c r="O330" s="38"/>
      <c r="P330" s="38"/>
      <c r="Q330" s="38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J330" s="42"/>
    </row>
    <row r="331" spans="1:36" hidden="1">
      <c r="A331" s="1" t="s">
        <v>203</v>
      </c>
      <c r="B331" s="1"/>
      <c r="C331" s="182">
        <f t="shared" si="33"/>
        <v>0</v>
      </c>
      <c r="D331" s="162">
        <f>$D$183</f>
        <v>6.8529999999999998</v>
      </c>
      <c r="E331" s="186" t="s">
        <v>178</v>
      </c>
      <c r="F331" s="2">
        <f>ROUND(D331*C331/100,0)</f>
        <v>0</v>
      </c>
      <c r="G331" s="731">
        <v>7.1760000000000002</v>
      </c>
      <c r="H331" s="186" t="s">
        <v>178</v>
      </c>
      <c r="I331" s="2">
        <f>I360+I389</f>
        <v>0</v>
      </c>
      <c r="J331" s="162">
        <f ca="1">$J$183</f>
        <v>7.1609999999999996</v>
      </c>
      <c r="K331" s="186" t="s">
        <v>178</v>
      </c>
      <c r="L331" s="2">
        <f ca="1">L360+L389</f>
        <v>0</v>
      </c>
      <c r="M331" s="11"/>
      <c r="N331" s="11"/>
      <c r="O331" s="38"/>
      <c r="P331" s="38"/>
      <c r="Q331" s="38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J331" s="42"/>
    </row>
    <row r="332" spans="1:36" hidden="1">
      <c r="A332" s="1" t="s">
        <v>204</v>
      </c>
      <c r="B332" s="1"/>
      <c r="C332" s="182">
        <f t="shared" si="33"/>
        <v>0</v>
      </c>
      <c r="D332" s="189">
        <f>$D$184</f>
        <v>58</v>
      </c>
      <c r="E332" s="186" t="s">
        <v>178</v>
      </c>
      <c r="F332" s="2">
        <f>ROUND(D332*C332/100,0)</f>
        <v>0</v>
      </c>
      <c r="G332" s="733">
        <v>58</v>
      </c>
      <c r="H332" s="186" t="s">
        <v>178</v>
      </c>
      <c r="I332" s="2">
        <f>I361+I390</f>
        <v>0</v>
      </c>
      <c r="J332" s="193">
        <f>$G$184</f>
        <v>58</v>
      </c>
      <c r="K332" s="186" t="s">
        <v>178</v>
      </c>
      <c r="L332" s="2">
        <f>L361+L390</f>
        <v>0</v>
      </c>
      <c r="M332" s="11"/>
      <c r="N332" s="11"/>
      <c r="O332" s="38"/>
      <c r="P332" s="38"/>
      <c r="Q332" s="38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J332" s="42"/>
    </row>
    <row r="333" spans="1:36" hidden="1">
      <c r="A333" s="194" t="s">
        <v>205</v>
      </c>
      <c r="B333" s="1"/>
      <c r="C333" s="182"/>
      <c r="D333" s="195">
        <f>$D$185</f>
        <v>-0.01</v>
      </c>
      <c r="E333" s="186"/>
      <c r="F333" s="2"/>
      <c r="G333" s="734">
        <v>-0.01</v>
      </c>
      <c r="H333" s="186"/>
      <c r="I333" s="2"/>
      <c r="J333" s="195">
        <v>-0.01</v>
      </c>
      <c r="K333" s="186"/>
      <c r="L333" s="2"/>
      <c r="M333" s="11"/>
      <c r="N333" s="11"/>
      <c r="O333" s="38"/>
      <c r="P333" s="38"/>
      <c r="Q333" s="38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J333" s="42"/>
    </row>
    <row r="334" spans="1:36" hidden="1">
      <c r="A334" s="1" t="s">
        <v>194</v>
      </c>
      <c r="B334" s="1"/>
      <c r="C334" s="182">
        <v>0</v>
      </c>
      <c r="D334" s="197">
        <f>$D$210</f>
        <v>9.86</v>
      </c>
      <c r="E334" s="184"/>
      <c r="F334" s="2">
        <f>-ROUND(D334*$C334/100,0)</f>
        <v>0</v>
      </c>
      <c r="G334" s="216">
        <v>9.86</v>
      </c>
      <c r="H334" s="184"/>
      <c r="I334" s="2">
        <f t="shared" ref="I334:I344" si="34">I363+I392</f>
        <v>0</v>
      </c>
      <c r="J334" s="197">
        <f>J323</f>
        <v>9.86</v>
      </c>
      <c r="K334" s="184"/>
      <c r="L334" s="2">
        <f t="shared" ref="L334:L344" si="35">L363+L392</f>
        <v>0</v>
      </c>
      <c r="M334" s="11"/>
      <c r="N334" s="11"/>
      <c r="O334" s="38"/>
      <c r="P334" s="38"/>
      <c r="Q334" s="38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J334" s="42"/>
    </row>
    <row r="335" spans="1:36" hidden="1">
      <c r="A335" s="1" t="s">
        <v>195</v>
      </c>
      <c r="B335" s="1"/>
      <c r="C335" s="182">
        <v>0</v>
      </c>
      <c r="D335" s="197">
        <f>$D$211</f>
        <v>14.7</v>
      </c>
      <c r="E335" s="184"/>
      <c r="F335" s="2">
        <f>-ROUND(D335*$C335/100,0)</f>
        <v>0</v>
      </c>
      <c r="G335" s="216">
        <v>14.7</v>
      </c>
      <c r="H335" s="184"/>
      <c r="I335" s="2">
        <f t="shared" si="34"/>
        <v>0</v>
      </c>
      <c r="J335" s="197">
        <f>J324</f>
        <v>14.7</v>
      </c>
      <c r="K335" s="184"/>
      <c r="L335" s="2">
        <f t="shared" si="35"/>
        <v>0</v>
      </c>
      <c r="M335" s="11"/>
      <c r="N335" s="11"/>
      <c r="O335" s="38"/>
      <c r="P335" s="38"/>
      <c r="Q335" s="38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J335" s="42"/>
    </row>
    <row r="336" spans="1:36" hidden="1">
      <c r="A336" s="1" t="s">
        <v>206</v>
      </c>
      <c r="B336" s="1"/>
      <c r="C336" s="182">
        <v>0</v>
      </c>
      <c r="D336" s="197">
        <f>$D$212</f>
        <v>1.04</v>
      </c>
      <c r="E336" s="184"/>
      <c r="F336" s="2">
        <f>-ROUND(D336*$C336/100,0)</f>
        <v>0</v>
      </c>
      <c r="G336" s="216">
        <v>1.04</v>
      </c>
      <c r="H336" s="184"/>
      <c r="I336" s="2">
        <f t="shared" si="34"/>
        <v>0</v>
      </c>
      <c r="J336" s="197">
        <f>J325</f>
        <v>1.04</v>
      </c>
      <c r="K336" s="184"/>
      <c r="L336" s="2">
        <f t="shared" si="35"/>
        <v>0</v>
      </c>
      <c r="M336" s="11"/>
      <c r="N336" s="11"/>
      <c r="O336" s="38"/>
      <c r="P336" s="38"/>
      <c r="Q336" s="38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J336" s="42"/>
    </row>
    <row r="337" spans="1:36" hidden="1">
      <c r="A337" s="1" t="s">
        <v>207</v>
      </c>
      <c r="B337" s="1"/>
      <c r="C337" s="182">
        <v>0</v>
      </c>
      <c r="D337" s="197">
        <f>$D$214</f>
        <v>3.81</v>
      </c>
      <c r="E337" s="186"/>
      <c r="F337" s="2">
        <f>-ROUND(D337*$C337/100,0)</f>
        <v>0</v>
      </c>
      <c r="G337" s="216">
        <v>3.81</v>
      </c>
      <c r="H337" s="186"/>
      <c r="I337" s="2">
        <f t="shared" si="34"/>
        <v>0</v>
      </c>
      <c r="J337" s="197">
        <f>J328</f>
        <v>3.81</v>
      </c>
      <c r="K337" s="186"/>
      <c r="L337" s="2">
        <f t="shared" si="35"/>
        <v>0</v>
      </c>
      <c r="M337" s="11"/>
      <c r="N337" s="11"/>
      <c r="O337" s="38"/>
      <c r="P337" s="38"/>
      <c r="Q337" s="38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J337" s="42"/>
    </row>
    <row r="338" spans="1:36" hidden="1">
      <c r="A338" s="1" t="s">
        <v>209</v>
      </c>
      <c r="B338" s="1"/>
      <c r="C338" s="182">
        <v>0</v>
      </c>
      <c r="D338" s="198">
        <f>$D$215</f>
        <v>10.898999999999999</v>
      </c>
      <c r="E338" s="186" t="s">
        <v>178</v>
      </c>
      <c r="F338" s="2">
        <f>ROUND(D338*$C338/100*D333,0)</f>
        <v>0</v>
      </c>
      <c r="G338" s="735">
        <v>11.222</v>
      </c>
      <c r="H338" s="186" t="s">
        <v>178</v>
      </c>
      <c r="I338" s="2">
        <f t="shared" si="34"/>
        <v>0</v>
      </c>
      <c r="J338" s="198">
        <f ca="1">J329</f>
        <v>11.207000000000001</v>
      </c>
      <c r="K338" s="186" t="s">
        <v>178</v>
      </c>
      <c r="L338" s="2">
        <f t="shared" ca="1" si="35"/>
        <v>0</v>
      </c>
      <c r="M338" s="11"/>
      <c r="N338" s="11"/>
      <c r="O338" s="38"/>
      <c r="P338" s="38"/>
      <c r="Q338" s="38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J338" s="42"/>
    </row>
    <row r="339" spans="1:36" hidden="1">
      <c r="A339" s="1" t="s">
        <v>202</v>
      </c>
      <c r="B339" s="1"/>
      <c r="C339" s="182">
        <v>0</v>
      </c>
      <c r="D339" s="198">
        <f>$D$216</f>
        <v>7.3739999999999997</v>
      </c>
      <c r="E339" s="186" t="s">
        <v>178</v>
      </c>
      <c r="F339" s="2">
        <f>ROUND(D339*$C339/100*D333,0)</f>
        <v>0</v>
      </c>
      <c r="G339" s="735">
        <v>7.6970000000000001</v>
      </c>
      <c r="H339" s="186" t="s">
        <v>178</v>
      </c>
      <c r="I339" s="2">
        <f t="shared" si="34"/>
        <v>0</v>
      </c>
      <c r="J339" s="198">
        <f ca="1">J330</f>
        <v>7.6820000000000004</v>
      </c>
      <c r="K339" s="186" t="s">
        <v>178</v>
      </c>
      <c r="L339" s="2">
        <f t="shared" ca="1" si="35"/>
        <v>0</v>
      </c>
      <c r="M339" s="11"/>
      <c r="N339" s="11"/>
      <c r="O339" s="38"/>
      <c r="P339" s="38"/>
      <c r="Q339" s="38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J339" s="42"/>
    </row>
    <row r="340" spans="1:36" hidden="1">
      <c r="A340" s="1" t="s">
        <v>203</v>
      </c>
      <c r="B340" s="1"/>
      <c r="C340" s="182">
        <v>0</v>
      </c>
      <c r="D340" s="198">
        <f>$D$217</f>
        <v>6.8529999999999998</v>
      </c>
      <c r="E340" s="186" t="s">
        <v>178</v>
      </c>
      <c r="F340" s="2">
        <f>ROUND(D340*$C340/100*D333,0)</f>
        <v>0</v>
      </c>
      <c r="G340" s="735">
        <v>7.1760000000000002</v>
      </c>
      <c r="H340" s="186" t="s">
        <v>178</v>
      </c>
      <c r="I340" s="2">
        <f t="shared" si="34"/>
        <v>0</v>
      </c>
      <c r="J340" s="198">
        <f ca="1">J331</f>
        <v>7.1609999999999996</v>
      </c>
      <c r="K340" s="186" t="s">
        <v>178</v>
      </c>
      <c r="L340" s="2">
        <f t="shared" ca="1" si="35"/>
        <v>0</v>
      </c>
      <c r="M340" s="11"/>
      <c r="N340" s="11"/>
      <c r="O340" s="38"/>
      <c r="P340" s="38"/>
      <c r="Q340" s="38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J340" s="42"/>
    </row>
    <row r="341" spans="1:36" hidden="1">
      <c r="A341" s="1" t="s">
        <v>204</v>
      </c>
      <c r="B341" s="1"/>
      <c r="C341" s="182">
        <v>0</v>
      </c>
      <c r="D341" s="199">
        <f>$D$218</f>
        <v>58</v>
      </c>
      <c r="E341" s="186" t="s">
        <v>178</v>
      </c>
      <c r="F341" s="2">
        <f>ROUND(D341*$C341/100*D333,0)</f>
        <v>0</v>
      </c>
      <c r="G341" s="736">
        <v>58</v>
      </c>
      <c r="H341" s="186" t="s">
        <v>178</v>
      </c>
      <c r="I341" s="2">
        <f t="shared" si="34"/>
        <v>0</v>
      </c>
      <c r="J341" s="199">
        <f>J332</f>
        <v>58</v>
      </c>
      <c r="K341" s="186" t="s">
        <v>178</v>
      </c>
      <c r="L341" s="2">
        <f t="shared" si="35"/>
        <v>0</v>
      </c>
      <c r="M341" s="11"/>
      <c r="N341" s="11"/>
      <c r="O341" s="38"/>
      <c r="P341" s="38"/>
      <c r="Q341" s="38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J341" s="42"/>
    </row>
    <row r="342" spans="1:36" hidden="1">
      <c r="A342" s="1" t="s">
        <v>211</v>
      </c>
      <c r="B342" s="1"/>
      <c r="C342" s="182">
        <v>0</v>
      </c>
      <c r="D342" s="200">
        <v>60</v>
      </c>
      <c r="E342" s="186"/>
      <c r="F342" s="2">
        <f>ROUND(D342*C342,0)</f>
        <v>0</v>
      </c>
      <c r="G342" s="216">
        <v>60</v>
      </c>
      <c r="H342" s="186"/>
      <c r="I342" s="2">
        <f t="shared" si="34"/>
        <v>0</v>
      </c>
      <c r="J342" s="200">
        <f>$G$194</f>
        <v>60</v>
      </c>
      <c r="K342" s="186"/>
      <c r="L342" s="2">
        <f t="shared" si="35"/>
        <v>0</v>
      </c>
      <c r="M342" s="11"/>
      <c r="N342" s="11"/>
      <c r="O342" s="38"/>
      <c r="P342" s="38"/>
      <c r="Q342" s="38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J342" s="42"/>
    </row>
    <row r="343" spans="1:36" hidden="1">
      <c r="A343" s="1" t="s">
        <v>212</v>
      </c>
      <c r="B343" s="1"/>
      <c r="C343" s="182">
        <v>0</v>
      </c>
      <c r="D343" s="202">
        <v>-30</v>
      </c>
      <c r="E343" s="186" t="s">
        <v>178</v>
      </c>
      <c r="F343" s="2">
        <f>ROUND(D343*C343/100,0)</f>
        <v>0</v>
      </c>
      <c r="G343" s="737">
        <v>-30</v>
      </c>
      <c r="H343" s="186" t="s">
        <v>178</v>
      </c>
      <c r="I343" s="2">
        <f t="shared" si="34"/>
        <v>0</v>
      </c>
      <c r="J343" s="202">
        <f>$G$195</f>
        <v>-30</v>
      </c>
      <c r="K343" s="186" t="s">
        <v>178</v>
      </c>
      <c r="L343" s="2">
        <f t="shared" si="35"/>
        <v>0</v>
      </c>
      <c r="M343" s="11"/>
      <c r="N343" s="11"/>
      <c r="O343" s="38"/>
      <c r="P343" s="38"/>
      <c r="Q343" s="38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J343" s="42"/>
    </row>
    <row r="344" spans="1:36" hidden="1">
      <c r="A344" s="1" t="s">
        <v>185</v>
      </c>
      <c r="B344" s="1"/>
      <c r="C344" s="182">
        <f>C373+C402</f>
        <v>1259431.1537199491</v>
      </c>
      <c r="D344" s="193"/>
      <c r="E344" s="186"/>
      <c r="F344" s="2">
        <f>F373+F402</f>
        <v>178986</v>
      </c>
      <c r="G344" s="733"/>
      <c r="H344" s="186"/>
      <c r="I344" s="2">
        <f t="shared" si="34"/>
        <v>183053</v>
      </c>
      <c r="J344" s="193"/>
      <c r="K344" s="186"/>
      <c r="L344" s="2">
        <f t="shared" ca="1" si="35"/>
        <v>182865</v>
      </c>
      <c r="M344" s="11"/>
      <c r="N344" s="11"/>
      <c r="O344" s="38"/>
      <c r="P344" s="38"/>
      <c r="Q344" s="38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J344" s="42"/>
    </row>
    <row r="345" spans="1:36" hidden="1">
      <c r="A345" s="1" t="s">
        <v>167</v>
      </c>
      <c r="B345" s="1"/>
      <c r="C345" s="203">
        <f>C374+C403</f>
        <v>11778.668952023776</v>
      </c>
      <c r="D345" s="172"/>
      <c r="E345" s="172"/>
      <c r="F345" s="204">
        <f>F374+F403</f>
        <v>2289.9420988606521</v>
      </c>
      <c r="G345" s="284"/>
      <c r="H345" s="172"/>
      <c r="I345" s="204">
        <f>F345</f>
        <v>2289.9420988606521</v>
      </c>
      <c r="J345" s="172"/>
      <c r="K345" s="172"/>
      <c r="L345" s="204">
        <f>I345</f>
        <v>2289.9420988606521</v>
      </c>
      <c r="M345" s="307"/>
      <c r="N345" s="307"/>
      <c r="O345" s="150"/>
      <c r="P345" s="38"/>
      <c r="Q345" s="38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J345" s="42"/>
    </row>
    <row r="346" spans="1:36" ht="16.5" hidden="1" thickBot="1">
      <c r="A346" s="1" t="s">
        <v>186</v>
      </c>
      <c r="B346" s="1"/>
      <c r="C346" s="174">
        <f>SUM(C344:C345)</f>
        <v>1271209.8226719729</v>
      </c>
      <c r="D346" s="205"/>
      <c r="E346" s="208"/>
      <c r="F346" s="207">
        <f>F344+F345</f>
        <v>181275.94209886066</v>
      </c>
      <c r="G346" s="741"/>
      <c r="H346" s="208"/>
      <c r="I346" s="207">
        <f>I344+I345</f>
        <v>185342.94209886066</v>
      </c>
      <c r="J346" s="205"/>
      <c r="K346" s="208"/>
      <c r="L346" s="207">
        <f ca="1">L344+L345</f>
        <v>185154.94209886066</v>
      </c>
      <c r="M346" s="274"/>
      <c r="N346" s="274"/>
      <c r="O346" s="333"/>
      <c r="P346" s="38"/>
      <c r="Q346" s="38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J346" s="42"/>
    </row>
    <row r="347" spans="1:36" ht="16.5" hidden="1" thickTop="1">
      <c r="A347" s="1"/>
      <c r="B347" s="1"/>
      <c r="C347" s="12"/>
      <c r="D347" s="200"/>
      <c r="E347" s="1"/>
      <c r="F347" s="2"/>
      <c r="G347" s="216"/>
      <c r="H347" s="1"/>
      <c r="I347" s="2" t="s">
        <v>13</v>
      </c>
      <c r="J347" s="200"/>
      <c r="K347" s="1"/>
      <c r="L347" s="2" t="s">
        <v>13</v>
      </c>
      <c r="M347" s="11"/>
      <c r="N347" s="11"/>
      <c r="O347" s="38"/>
      <c r="P347" s="38"/>
      <c r="Q347" s="38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J347" s="42"/>
    </row>
    <row r="348" spans="1:36" hidden="1">
      <c r="A348" s="156" t="s">
        <v>219</v>
      </c>
      <c r="B348" s="1"/>
      <c r="C348" s="1"/>
      <c r="D348" s="2"/>
      <c r="E348" s="1"/>
      <c r="F348" s="1"/>
      <c r="G348" s="516"/>
      <c r="H348" s="1"/>
      <c r="I348" s="1"/>
      <c r="J348" s="2"/>
      <c r="K348" s="1"/>
      <c r="L348" s="1"/>
      <c r="M348" s="11"/>
      <c r="N348" s="11"/>
      <c r="O348" s="38"/>
      <c r="P348" s="38"/>
      <c r="Q348" s="38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J348" s="42"/>
    </row>
    <row r="349" spans="1:36" hidden="1">
      <c r="A349" s="1" t="s">
        <v>215</v>
      </c>
      <c r="B349" s="1"/>
      <c r="C349" s="1"/>
      <c r="D349" s="2"/>
      <c r="E349" s="1"/>
      <c r="F349" s="1"/>
      <c r="G349" s="516"/>
      <c r="H349" s="1"/>
      <c r="I349" s="1"/>
      <c r="J349" s="2"/>
      <c r="K349" s="1"/>
      <c r="L349" s="1"/>
      <c r="M349" s="11"/>
      <c r="N349" s="11"/>
      <c r="O349" s="38"/>
      <c r="P349" s="38"/>
      <c r="Q349" s="38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J349" s="42"/>
    </row>
    <row r="350" spans="1:36" hidden="1">
      <c r="A350" s="1"/>
      <c r="B350" s="1"/>
      <c r="C350" s="1"/>
      <c r="D350" s="2"/>
      <c r="E350" s="1"/>
      <c r="F350" s="1"/>
      <c r="G350" s="516"/>
      <c r="H350" s="1"/>
      <c r="I350" s="1"/>
      <c r="J350" s="2"/>
      <c r="K350" s="1"/>
      <c r="L350" s="1"/>
      <c r="M350" s="11"/>
      <c r="N350" s="11"/>
      <c r="O350" s="38"/>
      <c r="P350" s="38"/>
      <c r="Q350" s="38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J350" s="42"/>
    </row>
    <row r="351" spans="1:36" hidden="1">
      <c r="A351" s="1" t="s">
        <v>197</v>
      </c>
      <c r="B351" s="1"/>
      <c r="C351" s="182"/>
      <c r="D351" s="2"/>
      <c r="E351" s="1"/>
      <c r="F351" s="1"/>
      <c r="G351" s="516"/>
      <c r="H351" s="1"/>
      <c r="I351" s="1"/>
      <c r="J351" s="2"/>
      <c r="K351" s="1"/>
      <c r="L351" s="1"/>
      <c r="M351" s="11"/>
      <c r="N351" s="11"/>
      <c r="O351" s="38"/>
      <c r="P351" s="38"/>
      <c r="Q351" s="38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J351" s="42"/>
    </row>
    <row r="352" spans="1:36" hidden="1">
      <c r="A352" s="1" t="s">
        <v>220</v>
      </c>
      <c r="B352" s="1"/>
      <c r="C352" s="182">
        <v>3912.0001738685801</v>
      </c>
      <c r="D352" s="161">
        <f>$D$175</f>
        <v>9.86</v>
      </c>
      <c r="E352" s="186"/>
      <c r="F352" s="2">
        <f>ROUND(D352*$C352,0)</f>
        <v>38572</v>
      </c>
      <c r="G352" s="506">
        <v>9.86</v>
      </c>
      <c r="H352" s="186"/>
      <c r="I352" s="2">
        <f>ROUND(G352*$C352,0)</f>
        <v>38572</v>
      </c>
      <c r="J352" s="161">
        <f>$G$175</f>
        <v>9.86</v>
      </c>
      <c r="K352" s="186"/>
      <c r="L352" s="2">
        <f>ROUND(J352*$C352,0)</f>
        <v>38572</v>
      </c>
      <c r="M352" s="11"/>
      <c r="N352" s="11"/>
      <c r="O352" s="38"/>
      <c r="P352" s="38"/>
      <c r="Q352" s="38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J352" s="42"/>
    </row>
    <row r="353" spans="1:36" hidden="1">
      <c r="A353" s="1" t="s">
        <v>195</v>
      </c>
      <c r="B353" s="1"/>
      <c r="C353" s="182">
        <v>0</v>
      </c>
      <c r="D353" s="161">
        <f>$D$176</f>
        <v>14.7</v>
      </c>
      <c r="E353" s="188"/>
      <c r="F353" s="2">
        <f>ROUND(D353*$C353,0)</f>
        <v>0</v>
      </c>
      <c r="G353" s="506">
        <v>14.7</v>
      </c>
      <c r="H353" s="188"/>
      <c r="I353" s="2">
        <f>ROUND(G353*$C353,0)</f>
        <v>0</v>
      </c>
      <c r="J353" s="161">
        <f>$G$176</f>
        <v>14.7</v>
      </c>
      <c r="K353" s="188"/>
      <c r="L353" s="2">
        <f>ROUND(J353*$C353,0)</f>
        <v>0</v>
      </c>
      <c r="M353" s="11"/>
      <c r="N353" s="11"/>
      <c r="O353" s="38"/>
      <c r="P353" s="38"/>
      <c r="Q353" s="38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J353" s="42"/>
    </row>
    <row r="354" spans="1:36" hidden="1">
      <c r="A354" s="1" t="s">
        <v>196</v>
      </c>
      <c r="B354" s="1"/>
      <c r="C354" s="182">
        <v>0</v>
      </c>
      <c r="D354" s="161">
        <f>$D$177</f>
        <v>1.04</v>
      </c>
      <c r="E354" s="188"/>
      <c r="F354" s="2">
        <f>ROUND(D354*$C354,0)</f>
        <v>0</v>
      </c>
      <c r="G354" s="506">
        <v>1.04</v>
      </c>
      <c r="H354" s="188"/>
      <c r="I354" s="2">
        <f>ROUND(G354*$C354,0)</f>
        <v>0</v>
      </c>
      <c r="J354" s="161">
        <f>$G$177</f>
        <v>1.04</v>
      </c>
      <c r="K354" s="188"/>
      <c r="L354" s="2">
        <f>ROUND(J354*$C354,0)</f>
        <v>0</v>
      </c>
      <c r="M354" s="11"/>
      <c r="N354" s="11"/>
      <c r="O354" s="38"/>
      <c r="P354" s="38"/>
      <c r="Q354" s="38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J354" s="42"/>
    </row>
    <row r="355" spans="1:36" hidden="1">
      <c r="A355" s="1" t="s">
        <v>198</v>
      </c>
      <c r="B355" s="1"/>
      <c r="C355" s="182">
        <f>SUM(C352:C353)</f>
        <v>3912.0001738685801</v>
      </c>
      <c r="D355" s="161"/>
      <c r="E355" s="186"/>
      <c r="F355" s="2"/>
      <c r="G355" s="506"/>
      <c r="H355" s="186"/>
      <c r="I355" s="2"/>
      <c r="J355" s="161"/>
      <c r="K355" s="186"/>
      <c r="L355" s="2"/>
      <c r="M355" s="11"/>
      <c r="N355" s="11"/>
      <c r="O355" s="38"/>
      <c r="P355" s="38"/>
      <c r="Q355" s="38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J355" s="42"/>
    </row>
    <row r="356" spans="1:36" hidden="1">
      <c r="A356" s="1" t="s">
        <v>166</v>
      </c>
      <c r="B356" s="1"/>
      <c r="C356" s="182">
        <v>1323.2</v>
      </c>
      <c r="D356" s="161"/>
      <c r="E356" s="186"/>
      <c r="F356" s="2"/>
      <c r="G356" s="506"/>
      <c r="H356" s="186"/>
      <c r="I356" s="2"/>
      <c r="J356" s="161"/>
      <c r="K356" s="186"/>
      <c r="L356" s="2"/>
      <c r="M356" s="11"/>
      <c r="N356" s="11"/>
      <c r="O356" s="38"/>
      <c r="P356" s="38"/>
      <c r="Q356" s="38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J356" s="42"/>
    </row>
    <row r="357" spans="1:36" hidden="1">
      <c r="A357" s="1" t="s">
        <v>199</v>
      </c>
      <c r="B357" s="1"/>
      <c r="C357" s="182">
        <v>0</v>
      </c>
      <c r="D357" s="189">
        <f>$D$180</f>
        <v>3.81</v>
      </c>
      <c r="E357" s="186"/>
      <c r="F357" s="2">
        <f>ROUND(D357*C357,0)</f>
        <v>0</v>
      </c>
      <c r="G357" s="216">
        <v>3.81</v>
      </c>
      <c r="H357" s="186"/>
      <c r="I357" s="2">
        <f>ROUND(G357*$C357,0)</f>
        <v>0</v>
      </c>
      <c r="J357" s="189">
        <f>$G$180</f>
        <v>3.81</v>
      </c>
      <c r="K357" s="186"/>
      <c r="L357" s="2">
        <f>ROUND(J357*$C357,0)</f>
        <v>0</v>
      </c>
      <c r="M357" s="11"/>
      <c r="N357" s="11"/>
      <c r="O357" s="38"/>
      <c r="P357" s="38"/>
      <c r="Q357" s="38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J357" s="42"/>
    </row>
    <row r="358" spans="1:36" hidden="1">
      <c r="A358" s="1" t="s">
        <v>201</v>
      </c>
      <c r="B358" s="1"/>
      <c r="C358" s="182">
        <v>1171087.1537199491</v>
      </c>
      <c r="D358" s="162">
        <f>$D$181</f>
        <v>10.898999999999999</v>
      </c>
      <c r="E358" s="186" t="s">
        <v>178</v>
      </c>
      <c r="F358" s="2">
        <f>ROUND(D358*C358/100,0)</f>
        <v>127637</v>
      </c>
      <c r="G358" s="731">
        <v>11.222</v>
      </c>
      <c r="H358" s="186" t="s">
        <v>178</v>
      </c>
      <c r="I358" s="2">
        <f t="shared" ref="I358:I361" si="36">ROUND(G358*$C358/100,0)</f>
        <v>131419</v>
      </c>
      <c r="J358" s="162">
        <f ca="1">$J$181</f>
        <v>11.207000000000001</v>
      </c>
      <c r="K358" s="186" t="s">
        <v>178</v>
      </c>
      <c r="L358" s="2">
        <f t="shared" ref="L358:L361" ca="1" si="37">ROUND(J358*$C358/100,0)</f>
        <v>131244</v>
      </c>
      <c r="M358" s="11"/>
      <c r="N358" s="11"/>
      <c r="O358" s="38"/>
      <c r="P358" s="38"/>
      <c r="Q358" s="38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J358" s="42"/>
    </row>
    <row r="359" spans="1:36" hidden="1">
      <c r="A359" s="1" t="s">
        <v>202</v>
      </c>
      <c r="B359" s="12"/>
      <c r="C359" s="182">
        <v>55032</v>
      </c>
      <c r="D359" s="162">
        <f>$D$182</f>
        <v>7.3739999999999997</v>
      </c>
      <c r="E359" s="186" t="s">
        <v>178</v>
      </c>
      <c r="F359" s="2">
        <f>ROUND(D359*C359/100,0)</f>
        <v>4058</v>
      </c>
      <c r="G359" s="731">
        <v>7.6970000000000001</v>
      </c>
      <c r="H359" s="186" t="s">
        <v>178</v>
      </c>
      <c r="I359" s="2">
        <f t="shared" si="36"/>
        <v>4236</v>
      </c>
      <c r="J359" s="162">
        <f ca="1">$J$182</f>
        <v>7.6820000000000004</v>
      </c>
      <c r="K359" s="186" t="s">
        <v>178</v>
      </c>
      <c r="L359" s="2">
        <f t="shared" ca="1" si="37"/>
        <v>4228</v>
      </c>
      <c r="M359" s="11"/>
      <c r="N359" s="11"/>
      <c r="O359" s="38"/>
      <c r="P359" s="38"/>
      <c r="Q359" s="38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J359" s="42"/>
    </row>
    <row r="360" spans="1:36" hidden="1">
      <c r="A360" s="1" t="s">
        <v>203</v>
      </c>
      <c r="B360" s="1"/>
      <c r="C360" s="182">
        <v>0</v>
      </c>
      <c r="D360" s="162">
        <f>$D$183</f>
        <v>6.8529999999999998</v>
      </c>
      <c r="E360" s="186" t="s">
        <v>178</v>
      </c>
      <c r="F360" s="2">
        <f>ROUND(D360*C360/100,0)</f>
        <v>0</v>
      </c>
      <c r="G360" s="731">
        <v>7.1760000000000002</v>
      </c>
      <c r="H360" s="186" t="s">
        <v>178</v>
      </c>
      <c r="I360" s="2">
        <f t="shared" si="36"/>
        <v>0</v>
      </c>
      <c r="J360" s="162">
        <f ca="1">$J$183</f>
        <v>7.1609999999999996</v>
      </c>
      <c r="K360" s="186" t="s">
        <v>178</v>
      </c>
      <c r="L360" s="2">
        <f t="shared" ca="1" si="37"/>
        <v>0</v>
      </c>
      <c r="M360" s="11"/>
      <c r="N360" s="11"/>
      <c r="O360" s="38"/>
      <c r="P360" s="38"/>
      <c r="Q360" s="38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J360" s="42"/>
    </row>
    <row r="361" spans="1:36" hidden="1">
      <c r="A361" s="1" t="s">
        <v>204</v>
      </c>
      <c r="B361" s="1"/>
      <c r="C361" s="182">
        <v>0</v>
      </c>
      <c r="D361" s="189">
        <f>$D$184</f>
        <v>58</v>
      </c>
      <c r="E361" s="186" t="s">
        <v>178</v>
      </c>
      <c r="F361" s="2">
        <f>ROUND(D361*C361/100,0)</f>
        <v>0</v>
      </c>
      <c r="G361" s="733">
        <v>58</v>
      </c>
      <c r="H361" s="186" t="s">
        <v>178</v>
      </c>
      <c r="I361" s="2">
        <f t="shared" si="36"/>
        <v>0</v>
      </c>
      <c r="J361" s="193">
        <f>$G$184</f>
        <v>58</v>
      </c>
      <c r="K361" s="186" t="s">
        <v>178</v>
      </c>
      <c r="L361" s="2">
        <f t="shared" si="37"/>
        <v>0</v>
      </c>
      <c r="M361" s="11"/>
      <c r="N361" s="11"/>
      <c r="O361" s="38"/>
      <c r="P361" s="38"/>
      <c r="Q361" s="38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J361" s="42"/>
    </row>
    <row r="362" spans="1:36" hidden="1">
      <c r="A362" s="194" t="s">
        <v>205</v>
      </c>
      <c r="B362" s="1"/>
      <c r="C362" s="182"/>
      <c r="D362" s="195">
        <f>$D$185</f>
        <v>-0.01</v>
      </c>
      <c r="E362" s="186"/>
      <c r="F362" s="2"/>
      <c r="G362" s="734">
        <v>-0.01</v>
      </c>
      <c r="H362" s="186"/>
      <c r="I362" s="2"/>
      <c r="J362" s="195">
        <v>-0.01</v>
      </c>
      <c r="K362" s="186"/>
      <c r="L362" s="2"/>
      <c r="M362" s="11"/>
      <c r="N362" s="11"/>
      <c r="O362" s="38"/>
      <c r="P362" s="38"/>
      <c r="Q362" s="38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J362" s="42"/>
    </row>
    <row r="363" spans="1:36" hidden="1">
      <c r="A363" s="1" t="s">
        <v>194</v>
      </c>
      <c r="B363" s="1"/>
      <c r="C363" s="182">
        <v>0</v>
      </c>
      <c r="D363" s="197">
        <f>$D$210</f>
        <v>9.86</v>
      </c>
      <c r="E363" s="184"/>
      <c r="F363" s="2">
        <f>-ROUND(D363*$C363/100,0)</f>
        <v>0</v>
      </c>
      <c r="G363" s="216">
        <v>9.86</v>
      </c>
      <c r="H363" s="184"/>
      <c r="I363" s="2">
        <f>-ROUND(G363*$C363/100,0)</f>
        <v>0</v>
      </c>
      <c r="J363" s="197">
        <f>J352</f>
        <v>9.86</v>
      </c>
      <c r="K363" s="184"/>
      <c r="L363" s="2">
        <f>-ROUND(J363*$C363/100,0)</f>
        <v>0</v>
      </c>
      <c r="M363" s="11"/>
      <c r="N363" s="11"/>
      <c r="O363" s="38"/>
      <c r="P363" s="38"/>
      <c r="Q363" s="38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J363" s="42"/>
    </row>
    <row r="364" spans="1:36" hidden="1">
      <c r="A364" s="1" t="s">
        <v>195</v>
      </c>
      <c r="B364" s="1"/>
      <c r="C364" s="182">
        <v>0</v>
      </c>
      <c r="D364" s="197">
        <f>$D$211</f>
        <v>14.7</v>
      </c>
      <c r="E364" s="184"/>
      <c r="F364" s="2">
        <f>-ROUND(D364*$C364/100,0)</f>
        <v>0</v>
      </c>
      <c r="G364" s="216">
        <v>14.7</v>
      </c>
      <c r="H364" s="184"/>
      <c r="I364" s="2">
        <f>-ROUND(G364*$C364/100,0)</f>
        <v>0</v>
      </c>
      <c r="J364" s="197">
        <f>J353</f>
        <v>14.7</v>
      </c>
      <c r="K364" s="184"/>
      <c r="L364" s="2">
        <f>-ROUND(J364*$C364/100,0)</f>
        <v>0</v>
      </c>
      <c r="M364" s="11"/>
      <c r="N364" s="11"/>
      <c r="O364" s="38"/>
      <c r="P364" s="38"/>
      <c r="Q364" s="38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J364" s="42"/>
    </row>
    <row r="365" spans="1:36" hidden="1">
      <c r="A365" s="1" t="s">
        <v>206</v>
      </c>
      <c r="B365" s="1"/>
      <c r="C365" s="182">
        <v>0</v>
      </c>
      <c r="D365" s="197">
        <f>$D$212</f>
        <v>1.04</v>
      </c>
      <c r="E365" s="184"/>
      <c r="F365" s="2">
        <f>-ROUND(D365*$C365/100,0)</f>
        <v>0</v>
      </c>
      <c r="G365" s="216">
        <v>1.04</v>
      </c>
      <c r="H365" s="184"/>
      <c r="I365" s="2">
        <f>-ROUND(G365*$C365/100,0)</f>
        <v>0</v>
      </c>
      <c r="J365" s="197">
        <f>J354</f>
        <v>1.04</v>
      </c>
      <c r="K365" s="184"/>
      <c r="L365" s="2">
        <f>-ROUND(J365*$C365/100,0)</f>
        <v>0</v>
      </c>
      <c r="M365" s="11"/>
      <c r="N365" s="11"/>
      <c r="O365" s="38"/>
      <c r="P365" s="38"/>
      <c r="Q365" s="38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J365" s="42"/>
    </row>
    <row r="366" spans="1:36" hidden="1">
      <c r="A366" s="1" t="s">
        <v>207</v>
      </c>
      <c r="B366" s="1"/>
      <c r="C366" s="182">
        <v>0</v>
      </c>
      <c r="D366" s="197">
        <f>$D$214</f>
        <v>3.81</v>
      </c>
      <c r="E366" s="186"/>
      <c r="F366" s="2">
        <f>-ROUND(D366*$C366/100,0)</f>
        <v>0</v>
      </c>
      <c r="G366" s="216">
        <v>3.81</v>
      </c>
      <c r="H366" s="186"/>
      <c r="I366" s="2">
        <f>-ROUND(G366*$C366/100,0)</f>
        <v>0</v>
      </c>
      <c r="J366" s="197">
        <f>J357</f>
        <v>3.81</v>
      </c>
      <c r="K366" s="186"/>
      <c r="L366" s="2">
        <f>-ROUND(J366*$C366/100,0)</f>
        <v>0</v>
      </c>
      <c r="M366" s="11"/>
      <c r="N366" s="11"/>
      <c r="O366" s="38"/>
      <c r="P366" s="38"/>
      <c r="Q366" s="38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J366" s="42"/>
    </row>
    <row r="367" spans="1:36" hidden="1">
      <c r="A367" s="1" t="s">
        <v>209</v>
      </c>
      <c r="B367" s="1"/>
      <c r="C367" s="182">
        <v>0</v>
      </c>
      <c r="D367" s="198">
        <f>$D$215</f>
        <v>10.898999999999999</v>
      </c>
      <c r="E367" s="186" t="s">
        <v>178</v>
      </c>
      <c r="F367" s="2">
        <f>ROUND(D367*$C367/100*D362,0)</f>
        <v>0</v>
      </c>
      <c r="G367" s="735">
        <v>11.222</v>
      </c>
      <c r="H367" s="186" t="s">
        <v>178</v>
      </c>
      <c r="I367" s="2">
        <f>ROUND(G367*$C367/100*G362,0)</f>
        <v>0</v>
      </c>
      <c r="J367" s="198">
        <f ca="1">J358</f>
        <v>11.207000000000001</v>
      </c>
      <c r="K367" s="186" t="s">
        <v>178</v>
      </c>
      <c r="L367" s="2">
        <f ca="1">ROUND(J367*$C367/100*J362,0)</f>
        <v>0</v>
      </c>
      <c r="M367" s="11"/>
      <c r="N367" s="11"/>
      <c r="O367" s="38"/>
      <c r="P367" s="38"/>
      <c r="Q367" s="38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J367" s="42"/>
    </row>
    <row r="368" spans="1:36" hidden="1">
      <c r="A368" s="1" t="s">
        <v>202</v>
      </c>
      <c r="B368" s="1"/>
      <c r="C368" s="182">
        <v>0</v>
      </c>
      <c r="D368" s="198">
        <f>$D$216</f>
        <v>7.3739999999999997</v>
      </c>
      <c r="E368" s="186" t="s">
        <v>178</v>
      </c>
      <c r="F368" s="2">
        <f>ROUND(D368*$C368/100*D362,0)</f>
        <v>0</v>
      </c>
      <c r="G368" s="735">
        <v>7.6970000000000001</v>
      </c>
      <c r="H368" s="186" t="s">
        <v>178</v>
      </c>
      <c r="I368" s="2">
        <f>ROUND(G368*$C368/100*G362,0)</f>
        <v>0</v>
      </c>
      <c r="J368" s="198">
        <f ca="1">J359</f>
        <v>7.6820000000000004</v>
      </c>
      <c r="K368" s="186" t="s">
        <v>178</v>
      </c>
      <c r="L368" s="2">
        <f ca="1">ROUND(J368*$C368/100*J362,0)</f>
        <v>0</v>
      </c>
      <c r="M368" s="11"/>
      <c r="N368" s="11"/>
      <c r="O368" s="38"/>
      <c r="P368" s="38"/>
      <c r="Q368" s="38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J368" s="42"/>
    </row>
    <row r="369" spans="1:36" hidden="1">
      <c r="A369" s="1" t="s">
        <v>203</v>
      </c>
      <c r="B369" s="1"/>
      <c r="C369" s="182">
        <v>0</v>
      </c>
      <c r="D369" s="198">
        <f>$D$217</f>
        <v>6.8529999999999998</v>
      </c>
      <c r="E369" s="186" t="s">
        <v>178</v>
      </c>
      <c r="F369" s="2">
        <f>ROUND(D369*$C369/100*D362,0)</f>
        <v>0</v>
      </c>
      <c r="G369" s="735">
        <v>7.1760000000000002</v>
      </c>
      <c r="H369" s="186" t="s">
        <v>178</v>
      </c>
      <c r="I369" s="2">
        <f>ROUND(G369*$C369/100*G362,0)</f>
        <v>0</v>
      </c>
      <c r="J369" s="198">
        <f ca="1">J360</f>
        <v>7.1609999999999996</v>
      </c>
      <c r="K369" s="186" t="s">
        <v>178</v>
      </c>
      <c r="L369" s="2">
        <f ca="1">ROUND(J369*$C369/100*J362,0)</f>
        <v>0</v>
      </c>
      <c r="M369" s="11"/>
      <c r="N369" s="11"/>
      <c r="O369" s="38"/>
      <c r="P369" s="38"/>
      <c r="Q369" s="38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J369" s="42"/>
    </row>
    <row r="370" spans="1:36" hidden="1">
      <c r="A370" s="1" t="s">
        <v>204</v>
      </c>
      <c r="B370" s="1"/>
      <c r="C370" s="182">
        <v>0</v>
      </c>
      <c r="D370" s="199">
        <f>$D$218</f>
        <v>58</v>
      </c>
      <c r="E370" s="186" t="s">
        <v>178</v>
      </c>
      <c r="F370" s="2">
        <f>ROUND(D370*$C370/100*D362,0)</f>
        <v>0</v>
      </c>
      <c r="G370" s="736">
        <v>58</v>
      </c>
      <c r="H370" s="186" t="s">
        <v>178</v>
      </c>
      <c r="I370" s="2">
        <f>ROUND(G370*$C370/100*G362,0)</f>
        <v>0</v>
      </c>
      <c r="J370" s="199">
        <f>J361</f>
        <v>58</v>
      </c>
      <c r="K370" s="186" t="s">
        <v>178</v>
      </c>
      <c r="L370" s="2">
        <f>ROUND(J370*$C370/100*J362,0)</f>
        <v>0</v>
      </c>
      <c r="M370" s="11"/>
      <c r="N370" s="11"/>
      <c r="O370" s="38"/>
      <c r="P370" s="38"/>
      <c r="Q370" s="38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J370" s="42"/>
    </row>
    <row r="371" spans="1:36" hidden="1">
      <c r="A371" s="1" t="s">
        <v>211</v>
      </c>
      <c r="B371" s="1"/>
      <c r="C371" s="182">
        <v>0</v>
      </c>
      <c r="D371" s="200">
        <v>60</v>
      </c>
      <c r="E371" s="186"/>
      <c r="F371" s="2">
        <f>ROUND(D371*C371,0)</f>
        <v>0</v>
      </c>
      <c r="G371" s="216">
        <v>60</v>
      </c>
      <c r="H371" s="186"/>
      <c r="I371" s="2">
        <f>ROUND(G371*$C371,0)</f>
        <v>0</v>
      </c>
      <c r="J371" s="200">
        <f>$G$194</f>
        <v>60</v>
      </c>
      <c r="K371" s="186"/>
      <c r="L371" s="2">
        <f>ROUND(J371*$C371,0)</f>
        <v>0</v>
      </c>
      <c r="M371" s="11"/>
      <c r="N371" s="11"/>
      <c r="O371" s="38"/>
      <c r="P371" s="38"/>
      <c r="Q371" s="38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J371" s="42"/>
    </row>
    <row r="372" spans="1:36" hidden="1">
      <c r="A372" s="1" t="s">
        <v>212</v>
      </c>
      <c r="B372" s="1"/>
      <c r="C372" s="182">
        <v>0</v>
      </c>
      <c r="D372" s="202">
        <v>-30</v>
      </c>
      <c r="E372" s="186" t="s">
        <v>178</v>
      </c>
      <c r="F372" s="2">
        <f>ROUND(D372*C372/100,0)</f>
        <v>0</v>
      </c>
      <c r="G372" s="737">
        <v>-30</v>
      </c>
      <c r="H372" s="186" t="s">
        <v>178</v>
      </c>
      <c r="I372" s="2">
        <f>ROUND(G372*$C372/100,0)</f>
        <v>0</v>
      </c>
      <c r="J372" s="202">
        <f>$G$195</f>
        <v>-30</v>
      </c>
      <c r="K372" s="186" t="s">
        <v>178</v>
      </c>
      <c r="L372" s="2">
        <f>ROUND(J372*$C372/100,0)</f>
        <v>0</v>
      </c>
      <c r="M372" s="11"/>
      <c r="N372" s="11"/>
      <c r="O372" s="38"/>
      <c r="P372" s="38"/>
      <c r="Q372" s="38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J372" s="42"/>
    </row>
    <row r="373" spans="1:36" hidden="1">
      <c r="A373" s="1" t="s">
        <v>185</v>
      </c>
      <c r="B373" s="1"/>
      <c r="C373" s="182">
        <f>SUM(C358:C360)</f>
        <v>1226119.1537199491</v>
      </c>
      <c r="D373" s="193"/>
      <c r="E373" s="186"/>
      <c r="F373" s="2">
        <f>SUM(F352:F372)</f>
        <v>170267</v>
      </c>
      <c r="G373" s="733"/>
      <c r="H373" s="186"/>
      <c r="I373" s="2">
        <f>SUM(I352:I372)</f>
        <v>174227</v>
      </c>
      <c r="J373" s="193"/>
      <c r="K373" s="186"/>
      <c r="L373" s="2">
        <f ca="1">SUM(L352:L372)</f>
        <v>174044</v>
      </c>
      <c r="M373" s="11"/>
      <c r="N373" s="11"/>
      <c r="O373" s="38"/>
      <c r="P373" s="38"/>
      <c r="Q373" s="38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J373" s="42"/>
    </row>
    <row r="374" spans="1:36" hidden="1">
      <c r="A374" s="1" t="s">
        <v>167</v>
      </c>
      <c r="B374" s="1"/>
      <c r="C374" s="212">
        <v>11154.755411402928</v>
      </c>
      <c r="D374" s="172"/>
      <c r="E374" s="172"/>
      <c r="F374" s="204">
        <v>2236.8149479250023</v>
      </c>
      <c r="G374" s="284"/>
      <c r="H374" s="172"/>
      <c r="I374" s="204">
        <f>F374</f>
        <v>2236.8149479250023</v>
      </c>
      <c r="J374" s="172"/>
      <c r="K374" s="172"/>
      <c r="L374" s="204">
        <f>I374</f>
        <v>2236.8149479250023</v>
      </c>
      <c r="M374" s="307"/>
      <c r="N374" s="307"/>
      <c r="O374" s="150"/>
      <c r="P374" s="38"/>
      <c r="Q374" s="38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J374" s="42"/>
    </row>
    <row r="375" spans="1:36" ht="16.5" hidden="1" thickBot="1">
      <c r="A375" s="1" t="s">
        <v>186</v>
      </c>
      <c r="B375" s="1"/>
      <c r="C375" s="174">
        <f>SUM(C373:C374)</f>
        <v>1237273.9091313521</v>
      </c>
      <c r="D375" s="205"/>
      <c r="E375" s="208"/>
      <c r="F375" s="207">
        <f>F373+F374</f>
        <v>172503.81494792501</v>
      </c>
      <c r="G375" s="741"/>
      <c r="H375" s="208"/>
      <c r="I375" s="207">
        <f>I373+I374</f>
        <v>176463.81494792501</v>
      </c>
      <c r="J375" s="205"/>
      <c r="K375" s="208"/>
      <c r="L375" s="207">
        <f ca="1">L373+L374</f>
        <v>176280.81494792501</v>
      </c>
      <c r="M375" s="274"/>
      <c r="N375" s="274"/>
      <c r="O375" s="333"/>
      <c r="P375" s="38"/>
      <c r="Q375" s="38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J375" s="42"/>
    </row>
    <row r="376" spans="1:36" ht="16.5" hidden="1" thickTop="1">
      <c r="A376" s="1"/>
      <c r="B376" s="1"/>
      <c r="C376" s="12"/>
      <c r="D376" s="200"/>
      <c r="E376" s="1"/>
      <c r="F376" s="2"/>
      <c r="G376" s="216"/>
      <c r="H376" s="1"/>
      <c r="I376" s="2" t="s">
        <v>13</v>
      </c>
      <c r="J376" s="200"/>
      <c r="K376" s="1"/>
      <c r="L376" s="2" t="s">
        <v>13</v>
      </c>
      <c r="M376" s="11"/>
      <c r="N376" s="11"/>
      <c r="O376" s="38"/>
      <c r="P376" s="38"/>
      <c r="Q376" s="38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J376" s="42"/>
    </row>
    <row r="377" spans="1:36" hidden="1">
      <c r="A377" s="156" t="s">
        <v>219</v>
      </c>
      <c r="B377" s="1"/>
      <c r="C377" s="1"/>
      <c r="D377" s="2"/>
      <c r="E377" s="1"/>
      <c r="F377" s="1"/>
      <c r="G377" s="516"/>
      <c r="H377" s="1"/>
      <c r="I377" s="1"/>
      <c r="J377" s="2"/>
      <c r="K377" s="1"/>
      <c r="L377" s="1"/>
      <c r="M377" s="11"/>
      <c r="N377" s="11"/>
      <c r="O377" s="38"/>
      <c r="P377" s="38"/>
      <c r="Q377" s="38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J377" s="42"/>
    </row>
    <row r="378" spans="1:36" hidden="1">
      <c r="A378" s="1" t="s">
        <v>218</v>
      </c>
      <c r="B378" s="1"/>
      <c r="C378" s="1"/>
      <c r="D378" s="2"/>
      <c r="E378" s="1"/>
      <c r="F378" s="1"/>
      <c r="G378" s="516"/>
      <c r="H378" s="1"/>
      <c r="I378" s="1"/>
      <c r="J378" s="2"/>
      <c r="K378" s="1"/>
      <c r="L378" s="1"/>
      <c r="M378" s="11"/>
      <c r="N378" s="11"/>
      <c r="O378" s="38"/>
      <c r="P378" s="38"/>
      <c r="Q378" s="38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J378" s="42"/>
    </row>
    <row r="379" spans="1:36" hidden="1">
      <c r="A379" s="1"/>
      <c r="B379" s="1"/>
      <c r="C379" s="1"/>
      <c r="D379" s="2"/>
      <c r="E379" s="1"/>
      <c r="F379" s="1"/>
      <c r="G379" s="516"/>
      <c r="H379" s="1"/>
      <c r="I379" s="1"/>
      <c r="J379" s="2"/>
      <c r="K379" s="1"/>
      <c r="L379" s="1"/>
      <c r="M379" s="11"/>
      <c r="N379" s="11"/>
      <c r="O379" s="38"/>
      <c r="P379" s="38"/>
      <c r="Q379" s="38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J379" s="42"/>
    </row>
    <row r="380" spans="1:36" hidden="1">
      <c r="A380" s="1" t="s">
        <v>197</v>
      </c>
      <c r="B380" s="1"/>
      <c r="C380" s="182"/>
      <c r="D380" s="2"/>
      <c r="E380" s="1"/>
      <c r="F380" s="1"/>
      <c r="G380" s="516"/>
      <c r="H380" s="1"/>
      <c r="I380" s="1"/>
      <c r="J380" s="2"/>
      <c r="K380" s="1"/>
      <c r="L380" s="1"/>
      <c r="M380" s="11"/>
      <c r="N380" s="11"/>
      <c r="O380" s="38"/>
      <c r="P380" s="38"/>
      <c r="Q380" s="38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J380" s="42"/>
    </row>
    <row r="381" spans="1:36" hidden="1">
      <c r="A381" s="1" t="s">
        <v>220</v>
      </c>
      <c r="B381" s="1"/>
      <c r="C381" s="182">
        <v>516</v>
      </c>
      <c r="D381" s="161">
        <f>$D$175</f>
        <v>9.86</v>
      </c>
      <c r="E381" s="186"/>
      <c r="F381" s="2">
        <f>ROUND(D381*$C381,0)</f>
        <v>5088</v>
      </c>
      <c r="G381" s="506">
        <v>9.86</v>
      </c>
      <c r="H381" s="186"/>
      <c r="I381" s="2">
        <f>ROUND(G381*$C381,0)</f>
        <v>5088</v>
      </c>
      <c r="J381" s="161">
        <f>$G$175</f>
        <v>9.86</v>
      </c>
      <c r="K381" s="186"/>
      <c r="L381" s="2">
        <f>ROUND(J381*$C381,0)</f>
        <v>5088</v>
      </c>
      <c r="M381" s="11"/>
      <c r="N381" s="11"/>
      <c r="O381" s="38"/>
      <c r="P381" s="38"/>
      <c r="Q381" s="38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J381" s="42"/>
    </row>
    <row r="382" spans="1:36" hidden="1">
      <c r="A382" s="1" t="s">
        <v>195</v>
      </c>
      <c r="B382" s="1"/>
      <c r="C382" s="182">
        <v>0</v>
      </c>
      <c r="D382" s="161">
        <f>$D$176</f>
        <v>14.7</v>
      </c>
      <c r="E382" s="188"/>
      <c r="F382" s="2">
        <f>ROUND(D382*$C382,0)</f>
        <v>0</v>
      </c>
      <c r="G382" s="506">
        <v>14.7</v>
      </c>
      <c r="H382" s="188"/>
      <c r="I382" s="2">
        <f>ROUND(G382*$C382,0)</f>
        <v>0</v>
      </c>
      <c r="J382" s="161">
        <f>$G$176</f>
        <v>14.7</v>
      </c>
      <c r="K382" s="188"/>
      <c r="L382" s="2">
        <f>ROUND(J382*$C382,0)</f>
        <v>0</v>
      </c>
      <c r="M382" s="11"/>
      <c r="N382" s="11"/>
      <c r="O382" s="38"/>
      <c r="P382" s="38"/>
      <c r="Q382" s="38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J382" s="42"/>
    </row>
    <row r="383" spans="1:36" hidden="1">
      <c r="A383" s="1" t="s">
        <v>196</v>
      </c>
      <c r="B383" s="1"/>
      <c r="C383" s="182">
        <v>0</v>
      </c>
      <c r="D383" s="161">
        <f>$D$177</f>
        <v>1.04</v>
      </c>
      <c r="E383" s="188"/>
      <c r="F383" s="2">
        <f>ROUND(D383*$C383,0)</f>
        <v>0</v>
      </c>
      <c r="G383" s="506">
        <v>1.04</v>
      </c>
      <c r="H383" s="188"/>
      <c r="I383" s="2">
        <f>ROUND(G383*$C383,0)</f>
        <v>0</v>
      </c>
      <c r="J383" s="161">
        <f>$G$177</f>
        <v>1.04</v>
      </c>
      <c r="K383" s="188"/>
      <c r="L383" s="2">
        <f>ROUND(J383*$C383,0)</f>
        <v>0</v>
      </c>
      <c r="M383" s="11"/>
      <c r="N383" s="11"/>
      <c r="O383" s="38"/>
      <c r="P383" s="38"/>
      <c r="Q383" s="38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J383" s="42"/>
    </row>
    <row r="384" spans="1:36" hidden="1">
      <c r="A384" s="1" t="s">
        <v>198</v>
      </c>
      <c r="B384" s="1"/>
      <c r="C384" s="182">
        <f>SUM(C381:C382)</f>
        <v>516</v>
      </c>
      <c r="D384" s="161"/>
      <c r="E384" s="186"/>
      <c r="F384" s="2"/>
      <c r="G384" s="506"/>
      <c r="H384" s="186"/>
      <c r="I384" s="2"/>
      <c r="J384" s="161"/>
      <c r="K384" s="186"/>
      <c r="L384" s="2"/>
      <c r="M384" s="11"/>
      <c r="N384" s="11"/>
      <c r="O384" s="38"/>
      <c r="P384" s="38"/>
      <c r="Q384" s="38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J384" s="42"/>
    </row>
    <row r="385" spans="1:36" hidden="1">
      <c r="A385" s="1" t="s">
        <v>166</v>
      </c>
      <c r="B385" s="1"/>
      <c r="C385" s="182">
        <v>48</v>
      </c>
      <c r="D385" s="161"/>
      <c r="E385" s="186"/>
      <c r="F385" s="2"/>
      <c r="G385" s="506"/>
      <c r="H385" s="186"/>
      <c r="I385" s="2"/>
      <c r="J385" s="161"/>
      <c r="K385" s="186"/>
      <c r="L385" s="2"/>
      <c r="M385" s="11"/>
      <c r="N385" s="11"/>
      <c r="O385" s="38"/>
      <c r="P385" s="38"/>
      <c r="Q385" s="38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J385" s="42"/>
    </row>
    <row r="386" spans="1:36" hidden="1">
      <c r="A386" s="1" t="s">
        <v>199</v>
      </c>
      <c r="B386" s="1"/>
      <c r="C386" s="182">
        <v>0</v>
      </c>
      <c r="D386" s="189">
        <f>$D$180</f>
        <v>3.81</v>
      </c>
      <c r="E386" s="186"/>
      <c r="F386" s="2">
        <f>ROUND(D386*C386,0)</f>
        <v>0</v>
      </c>
      <c r="G386" s="216">
        <v>3.81</v>
      </c>
      <c r="H386" s="186"/>
      <c r="I386" s="2">
        <f>ROUND(G386*$C386,0)</f>
        <v>0</v>
      </c>
      <c r="J386" s="189">
        <f>$G$180</f>
        <v>3.81</v>
      </c>
      <c r="K386" s="186"/>
      <c r="L386" s="2">
        <f>ROUND(J386*$C386,0)</f>
        <v>0</v>
      </c>
      <c r="M386" s="11"/>
      <c r="N386" s="11"/>
      <c r="O386" s="38"/>
      <c r="P386" s="38"/>
      <c r="Q386" s="38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J386" s="42"/>
    </row>
    <row r="387" spans="1:36" hidden="1">
      <c r="A387" s="1" t="s">
        <v>201</v>
      </c>
      <c r="B387" s="1"/>
      <c r="C387" s="182">
        <v>33312</v>
      </c>
      <c r="D387" s="162">
        <f>$D$181</f>
        <v>10.898999999999999</v>
      </c>
      <c r="E387" s="186" t="s">
        <v>178</v>
      </c>
      <c r="F387" s="2">
        <f>ROUND(D387*C387/100,0)</f>
        <v>3631</v>
      </c>
      <c r="G387" s="731">
        <v>11.222</v>
      </c>
      <c r="H387" s="186" t="s">
        <v>178</v>
      </c>
      <c r="I387" s="2">
        <f t="shared" ref="I387:I390" si="38">ROUND(G387*$C387/100,0)</f>
        <v>3738</v>
      </c>
      <c r="J387" s="162">
        <f ca="1">$J$181</f>
        <v>11.207000000000001</v>
      </c>
      <c r="K387" s="186" t="s">
        <v>178</v>
      </c>
      <c r="L387" s="2">
        <f t="shared" ref="L387:L390" ca="1" si="39">ROUND(J387*$C387/100,0)</f>
        <v>3733</v>
      </c>
      <c r="M387" s="11"/>
      <c r="N387" s="11"/>
      <c r="O387" s="38"/>
      <c r="P387" s="38"/>
      <c r="Q387" s="38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J387" s="42"/>
    </row>
    <row r="388" spans="1:36" hidden="1">
      <c r="A388" s="1" t="s">
        <v>202</v>
      </c>
      <c r="B388" s="1"/>
      <c r="C388" s="182">
        <v>0</v>
      </c>
      <c r="D388" s="162">
        <f>$D$182</f>
        <v>7.3739999999999997</v>
      </c>
      <c r="E388" s="186" t="s">
        <v>178</v>
      </c>
      <c r="F388" s="2">
        <f>ROUND(D388*C388/100,0)</f>
        <v>0</v>
      </c>
      <c r="G388" s="731">
        <v>7.6970000000000001</v>
      </c>
      <c r="H388" s="186" t="s">
        <v>178</v>
      </c>
      <c r="I388" s="2">
        <f t="shared" si="38"/>
        <v>0</v>
      </c>
      <c r="J388" s="162">
        <f ca="1">$J$182</f>
        <v>7.6820000000000004</v>
      </c>
      <c r="K388" s="186" t="s">
        <v>178</v>
      </c>
      <c r="L388" s="2">
        <f t="shared" ca="1" si="39"/>
        <v>0</v>
      </c>
      <c r="M388" s="11"/>
      <c r="N388" s="11"/>
      <c r="O388" s="38"/>
      <c r="P388" s="38"/>
      <c r="Q388" s="38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J388" s="42"/>
    </row>
    <row r="389" spans="1:36" hidden="1">
      <c r="A389" s="1" t="s">
        <v>203</v>
      </c>
      <c r="B389" s="1"/>
      <c r="C389" s="182">
        <v>0</v>
      </c>
      <c r="D389" s="162">
        <f>$D$183</f>
        <v>6.8529999999999998</v>
      </c>
      <c r="E389" s="186" t="s">
        <v>178</v>
      </c>
      <c r="F389" s="2">
        <f>ROUND(D389*C389/100,0)</f>
        <v>0</v>
      </c>
      <c r="G389" s="731">
        <v>7.1760000000000002</v>
      </c>
      <c r="H389" s="186" t="s">
        <v>178</v>
      </c>
      <c r="I389" s="2">
        <f t="shared" si="38"/>
        <v>0</v>
      </c>
      <c r="J389" s="162">
        <f ca="1">$J$183</f>
        <v>7.1609999999999996</v>
      </c>
      <c r="K389" s="186" t="s">
        <v>178</v>
      </c>
      <c r="L389" s="2">
        <f t="shared" ca="1" si="39"/>
        <v>0</v>
      </c>
      <c r="M389" s="11"/>
      <c r="N389" s="11"/>
      <c r="O389" s="38"/>
      <c r="P389" s="38"/>
      <c r="Q389" s="38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J389" s="42"/>
    </row>
    <row r="390" spans="1:36" hidden="1">
      <c r="A390" s="1" t="s">
        <v>204</v>
      </c>
      <c r="B390" s="1"/>
      <c r="C390" s="182">
        <v>0</v>
      </c>
      <c r="D390" s="189">
        <f>$D$184</f>
        <v>58</v>
      </c>
      <c r="E390" s="186" t="s">
        <v>178</v>
      </c>
      <c r="F390" s="2">
        <f>ROUND(D390*C390/100,0)</f>
        <v>0</v>
      </c>
      <c r="G390" s="733">
        <v>58</v>
      </c>
      <c r="H390" s="186" t="s">
        <v>178</v>
      </c>
      <c r="I390" s="2">
        <f t="shared" si="38"/>
        <v>0</v>
      </c>
      <c r="J390" s="193">
        <f>$G$184</f>
        <v>58</v>
      </c>
      <c r="K390" s="186" t="s">
        <v>178</v>
      </c>
      <c r="L390" s="2">
        <f t="shared" si="39"/>
        <v>0</v>
      </c>
      <c r="M390" s="11"/>
      <c r="N390" s="11"/>
      <c r="O390" s="38"/>
      <c r="P390" s="38"/>
      <c r="Q390" s="38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J390" s="42"/>
    </row>
    <row r="391" spans="1:36" hidden="1">
      <c r="A391" s="194" t="s">
        <v>205</v>
      </c>
      <c r="B391" s="1"/>
      <c r="C391" s="182"/>
      <c r="D391" s="195">
        <f>$D$185</f>
        <v>-0.01</v>
      </c>
      <c r="E391" s="186"/>
      <c r="F391" s="2"/>
      <c r="G391" s="734">
        <v>-0.01</v>
      </c>
      <c r="H391" s="186"/>
      <c r="I391" s="2"/>
      <c r="J391" s="195">
        <v>-0.01</v>
      </c>
      <c r="K391" s="186"/>
      <c r="L391" s="2"/>
      <c r="M391" s="11"/>
      <c r="N391" s="11"/>
      <c r="O391" s="38"/>
      <c r="P391" s="38"/>
      <c r="Q391" s="38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J391" s="42"/>
    </row>
    <row r="392" spans="1:36" hidden="1">
      <c r="A392" s="1" t="s">
        <v>194</v>
      </c>
      <c r="B392" s="1"/>
      <c r="C392" s="182">
        <v>0</v>
      </c>
      <c r="D392" s="197">
        <f>$D$210</f>
        <v>9.86</v>
      </c>
      <c r="E392" s="184"/>
      <c r="F392" s="2">
        <f>-ROUND(D392*$C392/100,0)</f>
        <v>0</v>
      </c>
      <c r="G392" s="216">
        <v>9.86</v>
      </c>
      <c r="H392" s="184"/>
      <c r="I392" s="2">
        <f>-ROUND(G392*$C392/100,0)</f>
        <v>0</v>
      </c>
      <c r="J392" s="197">
        <f>J381</f>
        <v>9.86</v>
      </c>
      <c r="K392" s="184"/>
      <c r="L392" s="2">
        <f>-ROUND(J392*$C392/100,0)</f>
        <v>0</v>
      </c>
      <c r="M392" s="11"/>
      <c r="N392" s="11"/>
      <c r="O392" s="38"/>
      <c r="P392" s="38"/>
      <c r="Q392" s="38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J392" s="42"/>
    </row>
    <row r="393" spans="1:36" hidden="1">
      <c r="A393" s="1" t="s">
        <v>195</v>
      </c>
      <c r="B393" s="1"/>
      <c r="C393" s="182">
        <v>0</v>
      </c>
      <c r="D393" s="197">
        <f>$D$211</f>
        <v>14.7</v>
      </c>
      <c r="E393" s="184"/>
      <c r="F393" s="2">
        <f>-ROUND(D393*$C393/100,0)</f>
        <v>0</v>
      </c>
      <c r="G393" s="216">
        <v>14.7</v>
      </c>
      <c r="H393" s="184"/>
      <c r="I393" s="2">
        <f>-ROUND(G393*$C393/100,0)</f>
        <v>0</v>
      </c>
      <c r="J393" s="197">
        <f>J382</f>
        <v>14.7</v>
      </c>
      <c r="K393" s="184"/>
      <c r="L393" s="2">
        <f>-ROUND(J393*$C393/100,0)</f>
        <v>0</v>
      </c>
      <c r="M393" s="11"/>
      <c r="N393" s="11"/>
      <c r="O393" s="38"/>
      <c r="P393" s="38"/>
      <c r="Q393" s="38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J393" s="42"/>
    </row>
    <row r="394" spans="1:36" hidden="1">
      <c r="A394" s="1" t="s">
        <v>206</v>
      </c>
      <c r="B394" s="1"/>
      <c r="C394" s="182">
        <v>0</v>
      </c>
      <c r="D394" s="197">
        <f>$D$212</f>
        <v>1.04</v>
      </c>
      <c r="E394" s="184"/>
      <c r="F394" s="2">
        <f>-ROUND(D394*$C394/100,0)</f>
        <v>0</v>
      </c>
      <c r="G394" s="216">
        <v>1.04</v>
      </c>
      <c r="H394" s="184"/>
      <c r="I394" s="2">
        <f>-ROUND(G394*$C394/100,0)</f>
        <v>0</v>
      </c>
      <c r="J394" s="197">
        <f>J383</f>
        <v>1.04</v>
      </c>
      <c r="K394" s="184"/>
      <c r="L394" s="2">
        <f>-ROUND(J394*$C394/100,0)</f>
        <v>0</v>
      </c>
      <c r="M394" s="11"/>
      <c r="N394" s="11"/>
      <c r="O394" s="38"/>
      <c r="P394" s="38"/>
      <c r="Q394" s="38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J394" s="42"/>
    </row>
    <row r="395" spans="1:36" hidden="1">
      <c r="A395" s="1" t="s">
        <v>207</v>
      </c>
      <c r="B395" s="1"/>
      <c r="C395" s="182">
        <v>0</v>
      </c>
      <c r="D395" s="197">
        <f>$D$214</f>
        <v>3.81</v>
      </c>
      <c r="E395" s="186"/>
      <c r="F395" s="2">
        <f>-ROUND(D395*$C395/100,0)</f>
        <v>0</v>
      </c>
      <c r="G395" s="216">
        <v>3.81</v>
      </c>
      <c r="H395" s="186"/>
      <c r="I395" s="2">
        <f>-ROUND(G395*$C395/100,0)</f>
        <v>0</v>
      </c>
      <c r="J395" s="197">
        <f>J386</f>
        <v>3.81</v>
      </c>
      <c r="K395" s="186"/>
      <c r="L395" s="2">
        <f>-ROUND(J395*$C395/100,0)</f>
        <v>0</v>
      </c>
      <c r="M395" s="11"/>
      <c r="N395" s="11"/>
      <c r="O395" s="38"/>
      <c r="P395" s="38"/>
      <c r="Q395" s="38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J395" s="42"/>
    </row>
    <row r="396" spans="1:36" hidden="1">
      <c r="A396" s="1" t="s">
        <v>209</v>
      </c>
      <c r="B396" s="1"/>
      <c r="C396" s="182">
        <v>0</v>
      </c>
      <c r="D396" s="198">
        <f>$D$215</f>
        <v>10.898999999999999</v>
      </c>
      <c r="E396" s="186" t="s">
        <v>178</v>
      </c>
      <c r="F396" s="2">
        <f>ROUND(D396*$C396/100*D391,0)</f>
        <v>0</v>
      </c>
      <c r="G396" s="735">
        <v>11.222</v>
      </c>
      <c r="H396" s="186" t="s">
        <v>178</v>
      </c>
      <c r="I396" s="2">
        <f>ROUND(G396*$C396/100*G391,0)</f>
        <v>0</v>
      </c>
      <c r="J396" s="198">
        <f ca="1">J387</f>
        <v>11.207000000000001</v>
      </c>
      <c r="K396" s="186" t="s">
        <v>178</v>
      </c>
      <c r="L396" s="2">
        <f ca="1">ROUND(J396*$C396/100*J391,0)</f>
        <v>0</v>
      </c>
      <c r="M396" s="11"/>
      <c r="N396" s="11"/>
      <c r="O396" s="38"/>
      <c r="P396" s="38"/>
      <c r="Q396" s="38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J396" s="42"/>
    </row>
    <row r="397" spans="1:36" hidden="1">
      <c r="A397" s="1" t="s">
        <v>202</v>
      </c>
      <c r="B397" s="1"/>
      <c r="C397" s="182">
        <v>0</v>
      </c>
      <c r="D397" s="198">
        <f>$D$216</f>
        <v>7.3739999999999997</v>
      </c>
      <c r="E397" s="186" t="s">
        <v>178</v>
      </c>
      <c r="F397" s="2">
        <f>ROUND(D397*$C397/100*D391,0)</f>
        <v>0</v>
      </c>
      <c r="G397" s="735">
        <v>7.6970000000000001</v>
      </c>
      <c r="H397" s="186" t="s">
        <v>178</v>
      </c>
      <c r="I397" s="2">
        <f>ROUND(G397*$C397/100*G391,0)</f>
        <v>0</v>
      </c>
      <c r="J397" s="198">
        <f ca="1">J388</f>
        <v>7.6820000000000004</v>
      </c>
      <c r="K397" s="186" t="s">
        <v>178</v>
      </c>
      <c r="L397" s="2">
        <f ca="1">ROUND(J397*$C397/100*J391,0)</f>
        <v>0</v>
      </c>
      <c r="M397" s="11"/>
      <c r="N397" s="11"/>
      <c r="O397" s="38"/>
      <c r="P397" s="38"/>
      <c r="Q397" s="38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J397" s="42"/>
    </row>
    <row r="398" spans="1:36" hidden="1">
      <c r="A398" s="1" t="s">
        <v>203</v>
      </c>
      <c r="B398" s="1"/>
      <c r="C398" s="182">
        <v>0</v>
      </c>
      <c r="D398" s="198">
        <f>$D$217</f>
        <v>6.8529999999999998</v>
      </c>
      <c r="E398" s="186" t="s">
        <v>178</v>
      </c>
      <c r="F398" s="2">
        <f>ROUND(D398*$C398/100*D391,0)</f>
        <v>0</v>
      </c>
      <c r="G398" s="735">
        <v>7.1760000000000002</v>
      </c>
      <c r="H398" s="186" t="s">
        <v>178</v>
      </c>
      <c r="I398" s="2">
        <f>ROUND(G398*$C398/100*G391,0)</f>
        <v>0</v>
      </c>
      <c r="J398" s="198">
        <f ca="1">J389</f>
        <v>7.1609999999999996</v>
      </c>
      <c r="K398" s="186" t="s">
        <v>178</v>
      </c>
      <c r="L398" s="2">
        <f ca="1">ROUND(J398*$C398/100*J391,0)</f>
        <v>0</v>
      </c>
      <c r="M398" s="11"/>
      <c r="N398" s="11"/>
      <c r="O398" s="38"/>
      <c r="P398" s="38"/>
      <c r="Q398" s="38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J398" s="42"/>
    </row>
    <row r="399" spans="1:36" hidden="1">
      <c r="A399" s="1" t="s">
        <v>204</v>
      </c>
      <c r="B399" s="1"/>
      <c r="C399" s="182">
        <v>0</v>
      </c>
      <c r="D399" s="199">
        <f>$D$218</f>
        <v>58</v>
      </c>
      <c r="E399" s="186" t="s">
        <v>178</v>
      </c>
      <c r="F399" s="2">
        <f>ROUND(D399*$C399/100*D391,0)</f>
        <v>0</v>
      </c>
      <c r="G399" s="736">
        <v>58</v>
      </c>
      <c r="H399" s="186" t="s">
        <v>178</v>
      </c>
      <c r="I399" s="2">
        <f>ROUND(G399*$C399/100*G391,0)</f>
        <v>0</v>
      </c>
      <c r="J399" s="199">
        <f>J390</f>
        <v>58</v>
      </c>
      <c r="K399" s="186" t="s">
        <v>178</v>
      </c>
      <c r="L399" s="2">
        <f>ROUND(J399*$C399/100*J391,0)</f>
        <v>0</v>
      </c>
      <c r="M399" s="11"/>
      <c r="N399" s="11"/>
      <c r="O399" s="38"/>
      <c r="P399" s="38"/>
      <c r="Q399" s="38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J399" s="42"/>
    </row>
    <row r="400" spans="1:36" hidden="1">
      <c r="A400" s="1" t="s">
        <v>211</v>
      </c>
      <c r="B400" s="1"/>
      <c r="C400" s="182">
        <v>0</v>
      </c>
      <c r="D400" s="200">
        <v>60</v>
      </c>
      <c r="E400" s="186"/>
      <c r="F400" s="2">
        <f>ROUND(D400*C400,0)</f>
        <v>0</v>
      </c>
      <c r="G400" s="216">
        <v>60</v>
      </c>
      <c r="H400" s="186"/>
      <c r="I400" s="2">
        <f>ROUND(G400*$C400,0)</f>
        <v>0</v>
      </c>
      <c r="J400" s="200">
        <f>$G$194</f>
        <v>60</v>
      </c>
      <c r="K400" s="186"/>
      <c r="L400" s="2">
        <f>ROUND(J400*$C400,0)</f>
        <v>0</v>
      </c>
      <c r="M400" s="11"/>
      <c r="N400" s="11"/>
      <c r="O400" s="38"/>
      <c r="P400" s="38"/>
      <c r="Q400" s="38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J400" s="42"/>
    </row>
    <row r="401" spans="1:36" hidden="1">
      <c r="A401" s="1" t="s">
        <v>212</v>
      </c>
      <c r="B401" s="1"/>
      <c r="C401" s="182">
        <v>0</v>
      </c>
      <c r="D401" s="202">
        <v>-30</v>
      </c>
      <c r="E401" s="186" t="s">
        <v>178</v>
      </c>
      <c r="F401" s="2">
        <f>ROUND(D401*C401/100,0)</f>
        <v>0</v>
      </c>
      <c r="G401" s="737">
        <v>-30</v>
      </c>
      <c r="H401" s="186" t="s">
        <v>178</v>
      </c>
      <c r="I401" s="2">
        <f>ROUND(G401*$C401/100,0)</f>
        <v>0</v>
      </c>
      <c r="J401" s="202">
        <f>$G$195</f>
        <v>-30</v>
      </c>
      <c r="K401" s="186" t="s">
        <v>178</v>
      </c>
      <c r="L401" s="2">
        <f>ROUND(J401*$C401/100,0)</f>
        <v>0</v>
      </c>
      <c r="M401" s="11"/>
      <c r="N401" s="11"/>
      <c r="O401" s="38"/>
      <c r="P401" s="38"/>
      <c r="Q401" s="38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J401" s="42"/>
    </row>
    <row r="402" spans="1:36" hidden="1">
      <c r="A402" s="1" t="s">
        <v>185</v>
      </c>
      <c r="B402" s="1"/>
      <c r="C402" s="182">
        <f>SUM(C387:C389)</f>
        <v>33312</v>
      </c>
      <c r="D402" s="193"/>
      <c r="E402" s="186"/>
      <c r="F402" s="2">
        <f>SUM(F381:F401)</f>
        <v>8719</v>
      </c>
      <c r="G402" s="733"/>
      <c r="H402" s="186"/>
      <c r="I402" s="2">
        <f>SUM(I381:I401)</f>
        <v>8826</v>
      </c>
      <c r="J402" s="193"/>
      <c r="K402" s="186"/>
      <c r="L402" s="2">
        <f ca="1">SUM(L381:L401)</f>
        <v>8821</v>
      </c>
      <c r="M402" s="11"/>
      <c r="N402" s="11"/>
      <c r="O402" s="38"/>
      <c r="P402" s="38"/>
      <c r="Q402" s="38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J402" s="42"/>
    </row>
    <row r="403" spans="1:36" hidden="1">
      <c r="A403" s="1" t="s">
        <v>167</v>
      </c>
      <c r="B403" s="1"/>
      <c r="C403" s="212">
        <v>623.9135406208477</v>
      </c>
      <c r="D403" s="172"/>
      <c r="E403" s="172"/>
      <c r="F403" s="204">
        <v>53.127150935649873</v>
      </c>
      <c r="G403" s="284"/>
      <c r="H403" s="172"/>
      <c r="I403" s="204">
        <f>F403</f>
        <v>53.127150935649873</v>
      </c>
      <c r="J403" s="172"/>
      <c r="K403" s="172"/>
      <c r="L403" s="204">
        <f>I403</f>
        <v>53.127150935649873</v>
      </c>
      <c r="M403" s="307"/>
      <c r="N403" s="307"/>
      <c r="O403" s="150"/>
      <c r="P403" s="38"/>
      <c r="Q403" s="38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J403" s="42"/>
    </row>
    <row r="404" spans="1:36" ht="16.5" hidden="1" thickBot="1">
      <c r="A404" s="1" t="s">
        <v>186</v>
      </c>
      <c r="B404" s="1"/>
      <c r="C404" s="174">
        <f>SUM(C402:C403)</f>
        <v>33935.913540620844</v>
      </c>
      <c r="D404" s="205"/>
      <c r="E404" s="208"/>
      <c r="F404" s="207">
        <f>F402+F403</f>
        <v>8772.1271509356502</v>
      </c>
      <c r="G404" s="741"/>
      <c r="H404" s="208"/>
      <c r="I404" s="207">
        <f>I402+I403</f>
        <v>8879.1271509356502</v>
      </c>
      <c r="J404" s="205"/>
      <c r="K404" s="208"/>
      <c r="L404" s="207">
        <f ca="1">L402+L403</f>
        <v>8874.1271509356502</v>
      </c>
      <c r="M404" s="274"/>
      <c r="N404" s="274"/>
      <c r="O404" s="333"/>
      <c r="P404" s="38"/>
      <c r="Q404" s="38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J404" s="42"/>
    </row>
    <row r="405" spans="1:36" ht="16.5" hidden="1" thickTop="1">
      <c r="A405" s="1"/>
      <c r="B405" s="1"/>
      <c r="C405" s="12"/>
      <c r="D405" s="200" t="s">
        <v>13</v>
      </c>
      <c r="E405" s="1"/>
      <c r="F405" s="2"/>
      <c r="G405" s="216" t="s">
        <v>13</v>
      </c>
      <c r="H405" s="1"/>
      <c r="I405" s="2" t="s">
        <v>13</v>
      </c>
      <c r="J405" s="216" t="s">
        <v>13</v>
      </c>
      <c r="K405" s="1"/>
      <c r="L405" s="2" t="s">
        <v>13</v>
      </c>
      <c r="M405" s="11"/>
      <c r="N405" s="11"/>
      <c r="O405" s="38"/>
      <c r="P405" s="38"/>
      <c r="Q405" s="38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J405" s="42"/>
    </row>
    <row r="406" spans="1:36" hidden="1">
      <c r="A406" s="1"/>
      <c r="B406" s="1"/>
      <c r="C406" s="12"/>
      <c r="D406" s="200" t="s">
        <v>13</v>
      </c>
      <c r="E406" s="1"/>
      <c r="F406" s="2"/>
      <c r="G406" s="216" t="s">
        <v>13</v>
      </c>
      <c r="H406" s="1"/>
      <c r="I406" s="2" t="s">
        <v>13</v>
      </c>
      <c r="J406" s="216" t="s">
        <v>13</v>
      </c>
      <c r="K406" s="1"/>
      <c r="L406" s="2" t="s">
        <v>13</v>
      </c>
      <c r="M406" s="11"/>
      <c r="N406" s="11"/>
      <c r="O406" s="38"/>
      <c r="P406" s="38"/>
      <c r="Q406" s="38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J406" s="42"/>
    </row>
    <row r="407" spans="1:36" hidden="1">
      <c r="A407" s="156" t="s">
        <v>221</v>
      </c>
      <c r="B407" s="1"/>
      <c r="C407" s="1"/>
      <c r="D407" s="2"/>
      <c r="E407" s="1"/>
      <c r="F407" s="1"/>
      <c r="G407" s="516"/>
      <c r="H407" s="1"/>
      <c r="I407" s="1"/>
      <c r="J407" s="2"/>
      <c r="K407" s="1"/>
      <c r="L407" s="1"/>
      <c r="M407" s="11"/>
      <c r="N407" s="11"/>
      <c r="O407" s="38"/>
      <c r="P407" s="38"/>
      <c r="Q407" s="38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J407" s="42"/>
    </row>
    <row r="408" spans="1:36" hidden="1">
      <c r="A408" s="1" t="s">
        <v>214</v>
      </c>
      <c r="B408" s="1"/>
      <c r="C408" s="1"/>
      <c r="D408" s="2"/>
      <c r="E408" s="1"/>
      <c r="F408" s="1"/>
      <c r="G408" s="516"/>
      <c r="H408" s="1"/>
      <c r="I408" s="1"/>
      <c r="J408" s="2"/>
      <c r="K408" s="1"/>
      <c r="L408" s="1"/>
      <c r="M408" s="11"/>
      <c r="N408" s="11"/>
      <c r="O408" s="38"/>
      <c r="P408" s="38"/>
      <c r="Q408" s="38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</row>
    <row r="409" spans="1:36" hidden="1">
      <c r="A409" s="1" t="s">
        <v>222</v>
      </c>
      <c r="B409" s="1"/>
      <c r="C409" s="1"/>
      <c r="D409" s="2"/>
      <c r="E409" s="1"/>
      <c r="F409" s="1"/>
      <c r="G409" s="516"/>
      <c r="H409" s="1"/>
      <c r="I409" s="1"/>
      <c r="J409" s="2"/>
      <c r="K409" s="1"/>
      <c r="L409" s="1"/>
      <c r="M409" s="11"/>
      <c r="N409" s="11"/>
      <c r="O409" s="38"/>
      <c r="P409" s="38"/>
      <c r="Q409" s="38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</row>
    <row r="410" spans="1:36" hidden="1">
      <c r="A410" s="1" t="s">
        <v>197</v>
      </c>
      <c r="B410" s="1"/>
      <c r="C410" s="182"/>
      <c r="D410" s="2"/>
      <c r="E410" s="1"/>
      <c r="F410" s="1"/>
      <c r="G410" s="516"/>
      <c r="H410" s="1"/>
      <c r="I410" s="1"/>
      <c r="J410" s="2"/>
      <c r="K410" s="1"/>
      <c r="L410" s="1"/>
      <c r="M410" s="11"/>
      <c r="N410" s="11"/>
      <c r="O410" s="38"/>
      <c r="P410" s="38"/>
      <c r="Q410" s="38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</row>
    <row r="411" spans="1:36" hidden="1">
      <c r="A411" s="1" t="s">
        <v>194</v>
      </c>
      <c r="B411" s="1"/>
      <c r="C411" s="182">
        <f t="shared" ref="C411:C420" si="40">C440+C469</f>
        <v>3</v>
      </c>
      <c r="D411" s="161">
        <f>$D$171</f>
        <v>118.32</v>
      </c>
      <c r="E411" s="186"/>
      <c r="F411" s="2">
        <f>F440+F469</f>
        <v>355</v>
      </c>
      <c r="G411" s="506">
        <v>118.32</v>
      </c>
      <c r="H411" s="186"/>
      <c r="I411" s="2">
        <f>I440+I469</f>
        <v>355</v>
      </c>
      <c r="J411" s="161">
        <f>$G$171</f>
        <v>118.32</v>
      </c>
      <c r="K411" s="186"/>
      <c r="L411" s="2">
        <f>L440+L469</f>
        <v>355</v>
      </c>
      <c r="M411" s="11"/>
      <c r="N411" s="11"/>
      <c r="O411" s="38"/>
      <c r="P411" s="38"/>
      <c r="Q411" s="38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</row>
    <row r="412" spans="1:36" hidden="1">
      <c r="A412" s="1" t="s">
        <v>195</v>
      </c>
      <c r="B412" s="1"/>
      <c r="C412" s="182">
        <f t="shared" si="40"/>
        <v>74.671232876712295</v>
      </c>
      <c r="D412" s="161">
        <f>$D$172</f>
        <v>176.39999999999998</v>
      </c>
      <c r="E412" s="188"/>
      <c r="F412" s="2">
        <f>F441+F470</f>
        <v>13172</v>
      </c>
      <c r="G412" s="506">
        <v>176.39999999999998</v>
      </c>
      <c r="H412" s="188"/>
      <c r="I412" s="2">
        <f>I441+I470</f>
        <v>13172</v>
      </c>
      <c r="J412" s="161">
        <f>$G$172</f>
        <v>176.39999999999998</v>
      </c>
      <c r="K412" s="188"/>
      <c r="L412" s="2">
        <f>L441+L470</f>
        <v>13172</v>
      </c>
      <c r="M412" s="11"/>
      <c r="N412" s="11"/>
      <c r="O412" s="38"/>
      <c r="P412" s="38"/>
      <c r="Q412" s="38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</row>
    <row r="413" spans="1:36" hidden="1">
      <c r="A413" s="1" t="s">
        <v>196</v>
      </c>
      <c r="B413" s="1"/>
      <c r="C413" s="182">
        <f t="shared" si="40"/>
        <v>2454.0986301369899</v>
      </c>
      <c r="D413" s="161">
        <f>$D$173</f>
        <v>12.48</v>
      </c>
      <c r="E413" s="188"/>
      <c r="F413" s="2">
        <f>F442+F471</f>
        <v>30627</v>
      </c>
      <c r="G413" s="506">
        <v>12.48</v>
      </c>
      <c r="H413" s="188"/>
      <c r="I413" s="2">
        <f>I442+I471</f>
        <v>30627</v>
      </c>
      <c r="J413" s="161">
        <f>$G$173</f>
        <v>12.48</v>
      </c>
      <c r="K413" s="188"/>
      <c r="L413" s="2">
        <f>L442+L471</f>
        <v>30627</v>
      </c>
      <c r="M413" s="11"/>
      <c r="N413" s="11"/>
      <c r="O413" s="38"/>
      <c r="P413" s="38"/>
      <c r="Q413" s="38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</row>
    <row r="414" spans="1:36" hidden="1">
      <c r="A414" s="1" t="s">
        <v>198</v>
      </c>
      <c r="B414" s="1"/>
      <c r="C414" s="182">
        <f t="shared" si="40"/>
        <v>77.671232876712295</v>
      </c>
      <c r="D414" s="161"/>
      <c r="E414" s="186"/>
      <c r="F414" s="2"/>
      <c r="G414" s="506"/>
      <c r="H414" s="186"/>
      <c r="I414" s="2"/>
      <c r="J414" s="161"/>
      <c r="K414" s="186"/>
      <c r="L414" s="2"/>
      <c r="M414" s="11"/>
      <c r="N414" s="11"/>
      <c r="O414" s="38"/>
      <c r="P414" s="38"/>
      <c r="Q414" s="38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</row>
    <row r="415" spans="1:36" hidden="1">
      <c r="A415" s="1" t="s">
        <v>223</v>
      </c>
      <c r="B415" s="1"/>
      <c r="C415" s="182">
        <f t="shared" si="40"/>
        <v>862.95333333333394</v>
      </c>
      <c r="D415" s="161"/>
      <c r="E415" s="186"/>
      <c r="F415" s="2"/>
      <c r="G415" s="506"/>
      <c r="H415" s="186"/>
      <c r="I415" s="2"/>
      <c r="J415" s="161"/>
      <c r="K415" s="186"/>
      <c r="L415" s="2"/>
      <c r="M415" s="11"/>
      <c r="N415" s="11"/>
      <c r="O415" s="38"/>
      <c r="P415" s="38"/>
      <c r="Q415" s="38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</row>
    <row r="416" spans="1:36" hidden="1">
      <c r="A416" s="1" t="s">
        <v>199</v>
      </c>
      <c r="B416" s="1"/>
      <c r="C416" s="182">
        <f t="shared" si="40"/>
        <v>3462.2</v>
      </c>
      <c r="D416" s="189">
        <f>$D$180</f>
        <v>3.81</v>
      </c>
      <c r="E416" s="186"/>
      <c r="F416" s="2">
        <f>F445+F474</f>
        <v>13191</v>
      </c>
      <c r="G416" s="216">
        <v>3.81</v>
      </c>
      <c r="H416" s="186"/>
      <c r="I416" s="2">
        <f>I445+I474</f>
        <v>13191</v>
      </c>
      <c r="J416" s="189">
        <f>$G$180</f>
        <v>3.81</v>
      </c>
      <c r="K416" s="186"/>
      <c r="L416" s="2">
        <f>L445+L474</f>
        <v>13191</v>
      </c>
      <c r="M416" s="11"/>
      <c r="N416" s="11"/>
      <c r="O416" s="38"/>
      <c r="P416" s="38"/>
      <c r="Q416" s="38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</row>
    <row r="417" spans="1:34" hidden="1">
      <c r="A417" s="1" t="s">
        <v>201</v>
      </c>
      <c r="B417" s="1"/>
      <c r="C417" s="182">
        <f t="shared" si="40"/>
        <v>86775</v>
      </c>
      <c r="D417" s="162">
        <f>$D$181</f>
        <v>10.898999999999999</v>
      </c>
      <c r="E417" s="186" t="s">
        <v>178</v>
      </c>
      <c r="F417" s="2">
        <f>F446+F475</f>
        <v>9458</v>
      </c>
      <c r="G417" s="731">
        <v>11.222</v>
      </c>
      <c r="H417" s="186" t="s">
        <v>178</v>
      </c>
      <c r="I417" s="2">
        <f>I446+I475</f>
        <v>9737</v>
      </c>
      <c r="J417" s="162">
        <f ca="1">$J$181</f>
        <v>11.207000000000001</v>
      </c>
      <c r="K417" s="186" t="s">
        <v>178</v>
      </c>
      <c r="L417" s="2">
        <f ca="1">L446+L475</f>
        <v>9725</v>
      </c>
      <c r="M417" s="11"/>
      <c r="N417" s="11"/>
      <c r="O417" s="38"/>
      <c r="P417" s="38"/>
      <c r="Q417" s="38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</row>
    <row r="418" spans="1:34" hidden="1">
      <c r="A418" s="1" t="s">
        <v>202</v>
      </c>
      <c r="B418" s="1"/>
      <c r="C418" s="182">
        <f t="shared" si="40"/>
        <v>47493</v>
      </c>
      <c r="D418" s="162">
        <f>$D$182</f>
        <v>7.3739999999999997</v>
      </c>
      <c r="E418" s="186" t="s">
        <v>178</v>
      </c>
      <c r="F418" s="2">
        <f>F447+F476</f>
        <v>3502</v>
      </c>
      <c r="G418" s="731">
        <v>7.6970000000000001</v>
      </c>
      <c r="H418" s="186" t="s">
        <v>178</v>
      </c>
      <c r="I418" s="2">
        <f>I447+I476</f>
        <v>3655</v>
      </c>
      <c r="J418" s="162">
        <f ca="1">$J$182</f>
        <v>7.6820000000000004</v>
      </c>
      <c r="K418" s="186" t="s">
        <v>178</v>
      </c>
      <c r="L418" s="2">
        <f ca="1">L447+L476</f>
        <v>3648</v>
      </c>
      <c r="M418" s="11"/>
      <c r="N418" s="11"/>
      <c r="O418" s="38"/>
      <c r="P418" s="38"/>
      <c r="Q418" s="38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</row>
    <row r="419" spans="1:34" hidden="1">
      <c r="A419" s="1" t="s">
        <v>203</v>
      </c>
      <c r="B419" s="1"/>
      <c r="C419" s="182">
        <f t="shared" si="40"/>
        <v>0</v>
      </c>
      <c r="D419" s="162">
        <f>$D$183</f>
        <v>6.8529999999999998</v>
      </c>
      <c r="E419" s="186" t="s">
        <v>178</v>
      </c>
      <c r="F419" s="2">
        <f>F448+F477</f>
        <v>0</v>
      </c>
      <c r="G419" s="731">
        <v>7.1760000000000002</v>
      </c>
      <c r="H419" s="186" t="s">
        <v>178</v>
      </c>
      <c r="I419" s="2">
        <f>I448+I477</f>
        <v>0</v>
      </c>
      <c r="J419" s="162">
        <f ca="1">$J$183</f>
        <v>7.1609999999999996</v>
      </c>
      <c r="K419" s="186" t="s">
        <v>178</v>
      </c>
      <c r="L419" s="2">
        <f ca="1">L448+L477</f>
        <v>0</v>
      </c>
      <c r="M419" s="11"/>
      <c r="N419" s="11"/>
      <c r="O419" s="38"/>
      <c r="P419" s="38"/>
      <c r="Q419" s="38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</row>
    <row r="420" spans="1:34" hidden="1">
      <c r="A420" s="1" t="s">
        <v>204</v>
      </c>
      <c r="B420" s="1"/>
      <c r="C420" s="182">
        <f t="shared" si="40"/>
        <v>783.52388888888902</v>
      </c>
      <c r="D420" s="193">
        <f>$D$184</f>
        <v>58</v>
      </c>
      <c r="E420" s="186" t="s">
        <v>178</v>
      </c>
      <c r="F420" s="2">
        <f>F449+F478</f>
        <v>454</v>
      </c>
      <c r="G420" s="733">
        <v>58</v>
      </c>
      <c r="H420" s="186" t="s">
        <v>178</v>
      </c>
      <c r="I420" s="2">
        <f>I449+I478</f>
        <v>454</v>
      </c>
      <c r="J420" s="193">
        <f>$G$184</f>
        <v>58</v>
      </c>
      <c r="K420" s="186" t="s">
        <v>178</v>
      </c>
      <c r="L420" s="2">
        <f>L449+L478</f>
        <v>454</v>
      </c>
      <c r="M420" s="11"/>
      <c r="N420" s="11"/>
      <c r="O420" s="38"/>
      <c r="P420" s="38"/>
      <c r="Q420" s="38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</row>
    <row r="421" spans="1:34" hidden="1">
      <c r="A421" s="194" t="s">
        <v>205</v>
      </c>
      <c r="B421" s="1"/>
      <c r="C421" s="182"/>
      <c r="D421" s="195">
        <f>$D$185</f>
        <v>-0.01</v>
      </c>
      <c r="E421" s="186"/>
      <c r="F421" s="2"/>
      <c r="G421" s="734">
        <v>-0.01</v>
      </c>
      <c r="H421" s="186"/>
      <c r="I421" s="2"/>
      <c r="J421" s="195">
        <v>-0.01</v>
      </c>
      <c r="K421" s="186"/>
      <c r="L421" s="2"/>
      <c r="M421" s="11"/>
      <c r="N421" s="11"/>
      <c r="O421" s="38"/>
      <c r="P421" s="38"/>
      <c r="Q421" s="38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</row>
    <row r="422" spans="1:34" hidden="1">
      <c r="A422" s="1" t="s">
        <v>194</v>
      </c>
      <c r="B422" s="1"/>
      <c r="C422" s="182">
        <v>0</v>
      </c>
      <c r="D422" s="197">
        <f>D411</f>
        <v>118.32</v>
      </c>
      <c r="E422" s="184"/>
      <c r="F422" s="2">
        <f t="shared" ref="F422:F433" si="41">F451+F480</f>
        <v>0</v>
      </c>
      <c r="G422" s="216">
        <v>118.32</v>
      </c>
      <c r="H422" s="184"/>
      <c r="I422" s="2">
        <f t="shared" ref="I422:I432" si="42">I451+I480</f>
        <v>0</v>
      </c>
      <c r="J422" s="197">
        <f>J411</f>
        <v>118.32</v>
      </c>
      <c r="K422" s="184"/>
      <c r="L422" s="2">
        <f t="shared" ref="L422:L432" si="43">L451+L480</f>
        <v>0</v>
      </c>
      <c r="M422" s="11"/>
      <c r="N422" s="11"/>
      <c r="O422" s="38"/>
      <c r="P422" s="38"/>
      <c r="Q422" s="38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</row>
    <row r="423" spans="1:34" hidden="1">
      <c r="A423" s="1" t="s">
        <v>195</v>
      </c>
      <c r="B423" s="1"/>
      <c r="C423" s="182">
        <v>0</v>
      </c>
      <c r="D423" s="197">
        <f>D412</f>
        <v>176.39999999999998</v>
      </c>
      <c r="E423" s="184"/>
      <c r="F423" s="2">
        <f t="shared" si="41"/>
        <v>0</v>
      </c>
      <c r="G423" s="216">
        <v>176.39999999999998</v>
      </c>
      <c r="H423" s="184"/>
      <c r="I423" s="2">
        <f t="shared" si="42"/>
        <v>0</v>
      </c>
      <c r="J423" s="197">
        <f>J412</f>
        <v>176.39999999999998</v>
      </c>
      <c r="K423" s="184"/>
      <c r="L423" s="2">
        <f t="shared" si="43"/>
        <v>0</v>
      </c>
      <c r="M423" s="11"/>
      <c r="N423" s="11"/>
      <c r="O423" s="38"/>
      <c r="P423" s="17"/>
      <c r="Q423" s="38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</row>
    <row r="424" spans="1:34" hidden="1">
      <c r="A424" s="1" t="s">
        <v>206</v>
      </c>
      <c r="B424" s="1"/>
      <c r="C424" s="182">
        <v>0</v>
      </c>
      <c r="D424" s="197">
        <f>D413</f>
        <v>12.48</v>
      </c>
      <c r="E424" s="184"/>
      <c r="F424" s="2">
        <f t="shared" si="41"/>
        <v>0</v>
      </c>
      <c r="G424" s="216">
        <v>12.48</v>
      </c>
      <c r="H424" s="184"/>
      <c r="I424" s="2">
        <f t="shared" si="42"/>
        <v>0</v>
      </c>
      <c r="J424" s="197">
        <f>J413</f>
        <v>12.48</v>
      </c>
      <c r="K424" s="184"/>
      <c r="L424" s="2">
        <f t="shared" si="43"/>
        <v>0</v>
      </c>
      <c r="M424" s="11"/>
      <c r="N424" s="11"/>
      <c r="O424" s="38"/>
      <c r="P424" s="38"/>
      <c r="Q424" s="38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</row>
    <row r="425" spans="1:34" hidden="1">
      <c r="A425" s="1" t="s">
        <v>207</v>
      </c>
      <c r="B425" s="1"/>
      <c r="C425" s="182">
        <v>0</v>
      </c>
      <c r="D425" s="197">
        <f>D416</f>
        <v>3.81</v>
      </c>
      <c r="E425" s="186"/>
      <c r="F425" s="2">
        <f t="shared" si="41"/>
        <v>0</v>
      </c>
      <c r="G425" s="216">
        <v>3.81</v>
      </c>
      <c r="H425" s="186"/>
      <c r="I425" s="2">
        <f t="shared" si="42"/>
        <v>0</v>
      </c>
      <c r="J425" s="197">
        <f>J416</f>
        <v>3.81</v>
      </c>
      <c r="K425" s="186"/>
      <c r="L425" s="2">
        <f t="shared" si="43"/>
        <v>0</v>
      </c>
      <c r="M425" s="11"/>
      <c r="N425" s="11"/>
      <c r="O425" s="38"/>
      <c r="P425" s="38"/>
      <c r="Q425" s="38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</row>
    <row r="426" spans="1:34" hidden="1">
      <c r="A426" s="1" t="s">
        <v>209</v>
      </c>
      <c r="B426" s="1"/>
      <c r="C426" s="182">
        <v>0</v>
      </c>
      <c r="D426" s="198">
        <f>D417</f>
        <v>10.898999999999999</v>
      </c>
      <c r="E426" s="186" t="s">
        <v>178</v>
      </c>
      <c r="F426" s="2">
        <f t="shared" si="41"/>
        <v>0</v>
      </c>
      <c r="G426" s="735">
        <v>11.222</v>
      </c>
      <c r="H426" s="186" t="s">
        <v>178</v>
      </c>
      <c r="I426" s="2">
        <f t="shared" si="42"/>
        <v>0</v>
      </c>
      <c r="J426" s="198">
        <f ca="1">J417</f>
        <v>11.207000000000001</v>
      </c>
      <c r="K426" s="186" t="s">
        <v>178</v>
      </c>
      <c r="L426" s="2">
        <f t="shared" ca="1" si="43"/>
        <v>0</v>
      </c>
      <c r="M426" s="11"/>
      <c r="N426" s="11"/>
      <c r="O426" s="38"/>
      <c r="P426" s="38"/>
      <c r="Q426" s="38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</row>
    <row r="427" spans="1:34" hidden="1">
      <c r="A427" s="1" t="s">
        <v>202</v>
      </c>
      <c r="B427" s="1"/>
      <c r="C427" s="182">
        <v>0</v>
      </c>
      <c r="D427" s="198">
        <f>D418</f>
        <v>7.3739999999999997</v>
      </c>
      <c r="E427" s="186" t="s">
        <v>178</v>
      </c>
      <c r="F427" s="2">
        <f t="shared" si="41"/>
        <v>0</v>
      </c>
      <c r="G427" s="735">
        <v>7.6970000000000001</v>
      </c>
      <c r="H427" s="186" t="s">
        <v>178</v>
      </c>
      <c r="I427" s="2">
        <f t="shared" si="42"/>
        <v>0</v>
      </c>
      <c r="J427" s="198">
        <f ca="1">J418</f>
        <v>7.6820000000000004</v>
      </c>
      <c r="K427" s="186" t="s">
        <v>178</v>
      </c>
      <c r="L427" s="2">
        <f t="shared" ca="1" si="43"/>
        <v>0</v>
      </c>
      <c r="M427" s="11"/>
      <c r="N427" s="11"/>
      <c r="O427" s="38"/>
      <c r="P427" s="38"/>
      <c r="Q427" s="38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</row>
    <row r="428" spans="1:34" hidden="1">
      <c r="A428" s="1" t="s">
        <v>203</v>
      </c>
      <c r="B428" s="1"/>
      <c r="C428" s="182">
        <v>0</v>
      </c>
      <c r="D428" s="198">
        <f>D419</f>
        <v>6.8529999999999998</v>
      </c>
      <c r="E428" s="186" t="s">
        <v>178</v>
      </c>
      <c r="F428" s="2">
        <f t="shared" si="41"/>
        <v>0</v>
      </c>
      <c r="G428" s="735">
        <v>7.1760000000000002</v>
      </c>
      <c r="H428" s="186" t="s">
        <v>178</v>
      </c>
      <c r="I428" s="2">
        <f t="shared" si="42"/>
        <v>0</v>
      </c>
      <c r="J428" s="198">
        <f ca="1">J419</f>
        <v>7.1609999999999996</v>
      </c>
      <c r="K428" s="186" t="s">
        <v>178</v>
      </c>
      <c r="L428" s="2">
        <f t="shared" ca="1" si="43"/>
        <v>0</v>
      </c>
      <c r="M428" s="11"/>
      <c r="N428" s="11"/>
      <c r="O428" s="38"/>
      <c r="P428" s="38"/>
      <c r="Q428" s="38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</row>
    <row r="429" spans="1:34" hidden="1">
      <c r="A429" s="1" t="s">
        <v>204</v>
      </c>
      <c r="B429" s="1"/>
      <c r="C429" s="182">
        <v>0</v>
      </c>
      <c r="D429" s="199">
        <f>D420</f>
        <v>58</v>
      </c>
      <c r="E429" s="186" t="s">
        <v>178</v>
      </c>
      <c r="F429" s="2">
        <f t="shared" si="41"/>
        <v>0</v>
      </c>
      <c r="G429" s="736">
        <v>58</v>
      </c>
      <c r="H429" s="186" t="s">
        <v>178</v>
      </c>
      <c r="I429" s="2">
        <f t="shared" si="42"/>
        <v>0</v>
      </c>
      <c r="J429" s="199">
        <f>J420</f>
        <v>58</v>
      </c>
      <c r="K429" s="186" t="s">
        <v>178</v>
      </c>
      <c r="L429" s="2">
        <f t="shared" si="43"/>
        <v>0</v>
      </c>
      <c r="M429" s="11"/>
      <c r="N429" s="11"/>
      <c r="O429" s="38"/>
      <c r="P429" s="38"/>
      <c r="Q429" s="38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</row>
    <row r="430" spans="1:34" hidden="1">
      <c r="A430" s="1" t="s">
        <v>211</v>
      </c>
      <c r="B430" s="1"/>
      <c r="C430" s="182">
        <v>0</v>
      </c>
      <c r="D430" s="200">
        <v>60</v>
      </c>
      <c r="E430" s="186"/>
      <c r="F430" s="2">
        <f t="shared" si="41"/>
        <v>0</v>
      </c>
      <c r="G430" s="216">
        <v>60</v>
      </c>
      <c r="H430" s="186"/>
      <c r="I430" s="2">
        <f t="shared" si="42"/>
        <v>0</v>
      </c>
      <c r="J430" s="200">
        <f>$G$194</f>
        <v>60</v>
      </c>
      <c r="K430" s="186"/>
      <c r="L430" s="2">
        <f t="shared" si="43"/>
        <v>0</v>
      </c>
      <c r="M430" s="11"/>
      <c r="N430" s="11"/>
      <c r="O430" s="38"/>
      <c r="P430" s="38"/>
      <c r="Q430" s="38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</row>
    <row r="431" spans="1:34" hidden="1">
      <c r="A431" s="1" t="s">
        <v>212</v>
      </c>
      <c r="B431" s="1"/>
      <c r="C431" s="182">
        <v>0</v>
      </c>
      <c r="D431" s="202">
        <v>-30</v>
      </c>
      <c r="E431" s="186" t="s">
        <v>178</v>
      </c>
      <c r="F431" s="2">
        <f t="shared" si="41"/>
        <v>0</v>
      </c>
      <c r="G431" s="737">
        <v>-30</v>
      </c>
      <c r="H431" s="186" t="s">
        <v>178</v>
      </c>
      <c r="I431" s="2">
        <f t="shared" si="42"/>
        <v>0</v>
      </c>
      <c r="J431" s="202">
        <f>$G$195</f>
        <v>-30</v>
      </c>
      <c r="K431" s="186" t="s">
        <v>178</v>
      </c>
      <c r="L431" s="2">
        <f t="shared" si="43"/>
        <v>0</v>
      </c>
      <c r="M431" s="11"/>
      <c r="N431" s="11"/>
      <c r="O431" s="38"/>
      <c r="P431" s="38"/>
      <c r="Q431" s="38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</row>
    <row r="432" spans="1:34" hidden="1">
      <c r="A432" s="1" t="s">
        <v>185</v>
      </c>
      <c r="B432" s="1"/>
      <c r="C432" s="182">
        <f>C461+C490</f>
        <v>134268</v>
      </c>
      <c r="D432" s="187"/>
      <c r="E432" s="186"/>
      <c r="F432" s="2">
        <f t="shared" si="41"/>
        <v>70759</v>
      </c>
      <c r="G432" s="516"/>
      <c r="H432" s="186"/>
      <c r="I432" s="2">
        <f t="shared" si="42"/>
        <v>71191</v>
      </c>
      <c r="J432" s="2"/>
      <c r="K432" s="186"/>
      <c r="L432" s="2">
        <f t="shared" ca="1" si="43"/>
        <v>71172</v>
      </c>
      <c r="M432" s="11"/>
      <c r="N432" s="11"/>
      <c r="O432" s="38"/>
      <c r="P432" s="38"/>
      <c r="Q432" s="38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</row>
    <row r="433" spans="1:34" hidden="1">
      <c r="A433" s="1" t="s">
        <v>167</v>
      </c>
      <c r="B433" s="1"/>
      <c r="C433" s="203">
        <f>C462+C491</f>
        <v>1269.5530254389409</v>
      </c>
      <c r="D433" s="172"/>
      <c r="E433" s="172"/>
      <c r="F433" s="204">
        <f t="shared" si="41"/>
        <v>913.92011363057588</v>
      </c>
      <c r="G433" s="284"/>
      <c r="H433" s="172"/>
      <c r="I433" s="204">
        <f>F433</f>
        <v>913.92011363057588</v>
      </c>
      <c r="J433" s="172"/>
      <c r="K433" s="172"/>
      <c r="L433" s="204">
        <f>I433</f>
        <v>913.92011363057588</v>
      </c>
      <c r="M433" s="307"/>
      <c r="N433" s="307"/>
      <c r="O433" s="150"/>
      <c r="P433" s="38"/>
      <c r="Q433" s="38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</row>
    <row r="434" spans="1:34" ht="16.5" hidden="1" thickBot="1">
      <c r="A434" s="1" t="s">
        <v>186</v>
      </c>
      <c r="B434" s="1"/>
      <c r="C434" s="174">
        <f>SUM(C432:C433)</f>
        <v>135537.55302543895</v>
      </c>
      <c r="D434" s="205"/>
      <c r="E434" s="208"/>
      <c r="F434" s="207">
        <f>F432+F433</f>
        <v>71672.920113630578</v>
      </c>
      <c r="G434" s="741"/>
      <c r="H434" s="208"/>
      <c r="I434" s="207">
        <f>I432+I433</f>
        <v>72104.920113630578</v>
      </c>
      <c r="J434" s="205"/>
      <c r="K434" s="208"/>
      <c r="L434" s="207">
        <f ca="1">L432+L433</f>
        <v>72085.920113630578</v>
      </c>
      <c r="M434" s="274"/>
      <c r="N434" s="274"/>
      <c r="O434" s="333"/>
      <c r="P434" s="38"/>
      <c r="Q434" s="38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</row>
    <row r="435" spans="1:34" ht="16.5" hidden="1" thickTop="1">
      <c r="A435" s="1"/>
      <c r="B435" s="1"/>
      <c r="C435" s="12"/>
      <c r="D435" s="200" t="s">
        <v>13</v>
      </c>
      <c r="E435" s="1"/>
      <c r="F435" s="2"/>
      <c r="G435" s="216" t="s">
        <v>13</v>
      </c>
      <c r="H435" s="1"/>
      <c r="I435" s="2" t="s">
        <v>13</v>
      </c>
      <c r="J435" s="216" t="s">
        <v>13</v>
      </c>
      <c r="K435" s="1"/>
      <c r="L435" s="2" t="s">
        <v>13</v>
      </c>
      <c r="M435" s="11"/>
      <c r="N435" s="11"/>
      <c r="O435" s="38"/>
      <c r="P435" s="38"/>
      <c r="Q435" s="38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</row>
    <row r="436" spans="1:34" hidden="1">
      <c r="A436" s="156" t="s">
        <v>221</v>
      </c>
      <c r="B436" s="1"/>
      <c r="C436" s="1"/>
      <c r="D436" s="2"/>
      <c r="E436" s="1"/>
      <c r="F436" s="1"/>
      <c r="G436" s="516"/>
      <c r="H436" s="1"/>
      <c r="I436" s="1"/>
      <c r="J436" s="2"/>
      <c r="K436" s="1"/>
      <c r="L436" s="1"/>
      <c r="M436" s="11"/>
      <c r="N436" s="11"/>
      <c r="O436" s="38"/>
      <c r="P436" s="38"/>
      <c r="Q436" s="38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</row>
    <row r="437" spans="1:34" hidden="1">
      <c r="A437" s="1" t="s">
        <v>215</v>
      </c>
      <c r="B437" s="1"/>
      <c r="C437" s="1"/>
      <c r="D437" s="2"/>
      <c r="E437" s="1"/>
      <c r="F437" s="1"/>
      <c r="G437" s="516"/>
      <c r="H437" s="1"/>
      <c r="I437" s="1"/>
      <c r="J437" s="2"/>
      <c r="K437" s="1"/>
      <c r="L437" s="1"/>
      <c r="M437" s="11"/>
      <c r="N437" s="11"/>
      <c r="O437" s="38"/>
      <c r="P437" s="38"/>
      <c r="Q437" s="38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</row>
    <row r="438" spans="1:34" hidden="1">
      <c r="A438" s="1" t="s">
        <v>222</v>
      </c>
      <c r="B438" s="1"/>
      <c r="C438" s="1"/>
      <c r="D438" s="2"/>
      <c r="E438" s="1"/>
      <c r="F438" s="1"/>
      <c r="G438" s="516"/>
      <c r="H438" s="1"/>
      <c r="I438" s="1"/>
      <c r="J438" s="2"/>
      <c r="K438" s="1"/>
      <c r="L438" s="1"/>
      <c r="M438" s="11"/>
      <c r="N438" s="11"/>
      <c r="O438" s="38"/>
      <c r="P438" s="38"/>
      <c r="Q438" s="38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</row>
    <row r="439" spans="1:34" hidden="1">
      <c r="A439" s="1" t="s">
        <v>197</v>
      </c>
      <c r="B439" s="1"/>
      <c r="C439" s="182"/>
      <c r="D439" s="2"/>
      <c r="E439" s="1"/>
      <c r="F439" s="1"/>
      <c r="G439" s="516"/>
      <c r="H439" s="1"/>
      <c r="I439" s="1"/>
      <c r="J439" s="2"/>
      <c r="K439" s="1"/>
      <c r="L439" s="1"/>
      <c r="M439" s="11"/>
      <c r="N439" s="11"/>
      <c r="O439" s="38"/>
      <c r="P439" s="38"/>
      <c r="Q439" s="38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</row>
    <row r="440" spans="1:34" hidden="1">
      <c r="A440" s="1" t="s">
        <v>194</v>
      </c>
      <c r="B440" s="1"/>
      <c r="C440" s="182">
        <v>3</v>
      </c>
      <c r="D440" s="161">
        <f>$D$171</f>
        <v>118.32</v>
      </c>
      <c r="E440" s="186"/>
      <c r="F440" s="2">
        <f>ROUND(D440*$C440,0)</f>
        <v>355</v>
      </c>
      <c r="G440" s="506">
        <v>118.32</v>
      </c>
      <c r="H440" s="186"/>
      <c r="I440" s="2">
        <f>ROUND(G440*$C440,0)</f>
        <v>355</v>
      </c>
      <c r="J440" s="161">
        <f>$G$171</f>
        <v>118.32</v>
      </c>
      <c r="K440" s="186"/>
      <c r="L440" s="2">
        <f>ROUND(J440*$C440,0)</f>
        <v>355</v>
      </c>
      <c r="M440" s="11"/>
      <c r="N440" s="11"/>
      <c r="O440" s="38"/>
      <c r="P440" s="38"/>
      <c r="Q440" s="38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</row>
    <row r="441" spans="1:34" hidden="1">
      <c r="A441" s="1" t="s">
        <v>195</v>
      </c>
      <c r="B441" s="1"/>
      <c r="C441" s="182">
        <v>73.671232876712295</v>
      </c>
      <c r="D441" s="161">
        <f>$D$172</f>
        <v>176.39999999999998</v>
      </c>
      <c r="E441" s="188"/>
      <c r="F441" s="2">
        <f>ROUND(D441*$C441,0)</f>
        <v>12996</v>
      </c>
      <c r="G441" s="506">
        <v>176.39999999999998</v>
      </c>
      <c r="H441" s="188"/>
      <c r="I441" s="2">
        <f>ROUND(G441*$C441,0)</f>
        <v>12996</v>
      </c>
      <c r="J441" s="161">
        <f>$G$172</f>
        <v>176.39999999999998</v>
      </c>
      <c r="K441" s="188"/>
      <c r="L441" s="2">
        <f>ROUND(J441*$C441,0)</f>
        <v>12996</v>
      </c>
      <c r="M441" s="11"/>
      <c r="N441" s="11"/>
      <c r="O441" s="38"/>
      <c r="P441" s="38"/>
      <c r="Q441" s="38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</row>
    <row r="442" spans="1:34" hidden="1">
      <c r="A442" s="1" t="s">
        <v>196</v>
      </c>
      <c r="B442" s="1"/>
      <c r="C442" s="182">
        <v>2388.0986301369899</v>
      </c>
      <c r="D442" s="161">
        <f>$D$173</f>
        <v>12.48</v>
      </c>
      <c r="E442" s="188"/>
      <c r="F442" s="2">
        <f>ROUND(D442*$C442,0)</f>
        <v>29803</v>
      </c>
      <c r="G442" s="506">
        <v>12.48</v>
      </c>
      <c r="H442" s="188"/>
      <c r="I442" s="2">
        <f>ROUND(G442*$C442,0)</f>
        <v>29803</v>
      </c>
      <c r="J442" s="161">
        <f>$G$173</f>
        <v>12.48</v>
      </c>
      <c r="K442" s="188"/>
      <c r="L442" s="2">
        <f>ROUND(J442*$C442,0)</f>
        <v>29803</v>
      </c>
      <c r="M442" s="11"/>
      <c r="N442" s="11"/>
      <c r="O442" s="38"/>
      <c r="P442" s="38"/>
      <c r="Q442" s="38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</row>
    <row r="443" spans="1:34" hidden="1">
      <c r="A443" s="1" t="s">
        <v>198</v>
      </c>
      <c r="B443" s="1"/>
      <c r="C443" s="182">
        <v>76.671232876712295</v>
      </c>
      <c r="D443" s="161"/>
      <c r="E443" s="186"/>
      <c r="F443" s="2"/>
      <c r="G443" s="506"/>
      <c r="H443" s="186"/>
      <c r="I443" s="2"/>
      <c r="J443" s="161"/>
      <c r="K443" s="186"/>
      <c r="L443" s="2"/>
      <c r="M443" s="11"/>
      <c r="N443" s="11"/>
      <c r="O443" s="38"/>
      <c r="P443" s="38"/>
      <c r="Q443" s="38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</row>
    <row r="444" spans="1:34" hidden="1">
      <c r="A444" s="1" t="s">
        <v>223</v>
      </c>
      <c r="B444" s="1"/>
      <c r="C444" s="182">
        <v>851.87000000000069</v>
      </c>
      <c r="D444" s="161"/>
      <c r="E444" s="186"/>
      <c r="F444" s="2"/>
      <c r="G444" s="506"/>
      <c r="H444" s="186"/>
      <c r="I444" s="2"/>
      <c r="J444" s="161"/>
      <c r="K444" s="186"/>
      <c r="L444" s="2"/>
      <c r="M444" s="11"/>
      <c r="N444" s="11"/>
      <c r="O444" s="38"/>
      <c r="P444" s="38"/>
      <c r="Q444" s="38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</row>
    <row r="445" spans="1:34" hidden="1">
      <c r="A445" s="1" t="s">
        <v>199</v>
      </c>
      <c r="B445" s="1"/>
      <c r="C445" s="182">
        <v>3462.2</v>
      </c>
      <c r="D445" s="189">
        <f>$D$180</f>
        <v>3.81</v>
      </c>
      <c r="E445" s="186"/>
      <c r="F445" s="2">
        <f>ROUND(D445*C445,0)</f>
        <v>13191</v>
      </c>
      <c r="G445" s="216">
        <v>3.81</v>
      </c>
      <c r="H445" s="186"/>
      <c r="I445" s="2">
        <f>ROUND(G445*$C445,0)</f>
        <v>13191</v>
      </c>
      <c r="J445" s="189">
        <f>$G$180</f>
        <v>3.81</v>
      </c>
      <c r="K445" s="186"/>
      <c r="L445" s="2">
        <f>ROUND(J445*$C445,0)</f>
        <v>13191</v>
      </c>
      <c r="M445" s="11"/>
      <c r="N445" s="11"/>
      <c r="O445" s="38"/>
      <c r="P445" s="38"/>
      <c r="Q445" s="38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</row>
    <row r="446" spans="1:34" hidden="1">
      <c r="A446" s="1" t="s">
        <v>201</v>
      </c>
      <c r="B446" s="1"/>
      <c r="C446" s="182">
        <v>82574</v>
      </c>
      <c r="D446" s="162">
        <f>$D$181</f>
        <v>10.898999999999999</v>
      </c>
      <c r="E446" s="186" t="s">
        <v>178</v>
      </c>
      <c r="F446" s="2">
        <f>ROUND(D446*C446/100,0)</f>
        <v>9000</v>
      </c>
      <c r="G446" s="731">
        <v>11.222</v>
      </c>
      <c r="H446" s="186" t="s">
        <v>178</v>
      </c>
      <c r="I446" s="2">
        <f t="shared" ref="I446:I449" si="44">ROUND(G446*$C446/100,0)</f>
        <v>9266</v>
      </c>
      <c r="J446" s="162">
        <f ca="1">$J$181</f>
        <v>11.207000000000001</v>
      </c>
      <c r="K446" s="186" t="s">
        <v>178</v>
      </c>
      <c r="L446" s="2">
        <f t="shared" ref="L446:L449" ca="1" si="45">ROUND(J446*$C446/100,0)</f>
        <v>9254</v>
      </c>
      <c r="M446" s="11"/>
      <c r="N446" s="11"/>
      <c r="O446" s="38"/>
      <c r="P446" s="38"/>
      <c r="Q446" s="38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</row>
    <row r="447" spans="1:34" hidden="1">
      <c r="A447" s="1" t="s">
        <v>202</v>
      </c>
      <c r="B447" s="1"/>
      <c r="C447" s="182">
        <v>47297</v>
      </c>
      <c r="D447" s="162">
        <f>$D$182</f>
        <v>7.3739999999999997</v>
      </c>
      <c r="E447" s="186" t="s">
        <v>178</v>
      </c>
      <c r="F447" s="2">
        <f>ROUND(D447*C447/100,0)</f>
        <v>3488</v>
      </c>
      <c r="G447" s="731">
        <v>7.6970000000000001</v>
      </c>
      <c r="H447" s="186" t="s">
        <v>178</v>
      </c>
      <c r="I447" s="2">
        <f t="shared" si="44"/>
        <v>3640</v>
      </c>
      <c r="J447" s="162">
        <f ca="1">$J$182</f>
        <v>7.6820000000000004</v>
      </c>
      <c r="K447" s="186" t="s">
        <v>178</v>
      </c>
      <c r="L447" s="2">
        <f t="shared" ca="1" si="45"/>
        <v>3633</v>
      </c>
      <c r="M447" s="11"/>
      <c r="N447" s="11"/>
      <c r="O447" s="38"/>
      <c r="P447" s="38"/>
      <c r="Q447" s="38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</row>
    <row r="448" spans="1:34" hidden="1">
      <c r="A448" s="1" t="s">
        <v>203</v>
      </c>
      <c r="B448" s="1"/>
      <c r="C448" s="182">
        <v>0</v>
      </c>
      <c r="D448" s="162">
        <f>$D$183</f>
        <v>6.8529999999999998</v>
      </c>
      <c r="E448" s="186" t="s">
        <v>178</v>
      </c>
      <c r="F448" s="2">
        <f>ROUND(D448*C448/100,0)</f>
        <v>0</v>
      </c>
      <c r="G448" s="731">
        <v>7.1760000000000002</v>
      </c>
      <c r="H448" s="186" t="s">
        <v>178</v>
      </c>
      <c r="I448" s="2">
        <f t="shared" si="44"/>
        <v>0</v>
      </c>
      <c r="J448" s="162">
        <f ca="1">$J$183</f>
        <v>7.1609999999999996</v>
      </c>
      <c r="K448" s="186" t="s">
        <v>178</v>
      </c>
      <c r="L448" s="2">
        <f t="shared" ca="1" si="45"/>
        <v>0</v>
      </c>
      <c r="M448" s="11"/>
      <c r="N448" s="11"/>
      <c r="O448" s="38"/>
      <c r="P448" s="38"/>
      <c r="Q448" s="38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</row>
    <row r="449" spans="1:34" hidden="1">
      <c r="A449" s="1" t="s">
        <v>204</v>
      </c>
      <c r="B449" s="1"/>
      <c r="C449" s="182">
        <v>775.923888888889</v>
      </c>
      <c r="D449" s="193">
        <f>$D$184</f>
        <v>58</v>
      </c>
      <c r="E449" s="186" t="s">
        <v>178</v>
      </c>
      <c r="F449" s="2">
        <f>ROUND(D449*C449/100,0)</f>
        <v>450</v>
      </c>
      <c r="G449" s="733">
        <v>58</v>
      </c>
      <c r="H449" s="186" t="s">
        <v>178</v>
      </c>
      <c r="I449" s="2">
        <f t="shared" si="44"/>
        <v>450</v>
      </c>
      <c r="J449" s="193">
        <f>$G$184</f>
        <v>58</v>
      </c>
      <c r="K449" s="186" t="s">
        <v>178</v>
      </c>
      <c r="L449" s="2">
        <f t="shared" si="45"/>
        <v>450</v>
      </c>
      <c r="M449" s="11"/>
      <c r="N449" s="11"/>
      <c r="O449" s="38"/>
      <c r="P449" s="38"/>
      <c r="Q449" s="38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</row>
    <row r="450" spans="1:34" hidden="1">
      <c r="A450" s="194" t="s">
        <v>205</v>
      </c>
      <c r="B450" s="1"/>
      <c r="C450" s="182"/>
      <c r="D450" s="195">
        <f>$D$185</f>
        <v>-0.01</v>
      </c>
      <c r="E450" s="186"/>
      <c r="F450" s="2"/>
      <c r="G450" s="734">
        <v>-0.01</v>
      </c>
      <c r="H450" s="186"/>
      <c r="I450" s="2"/>
      <c r="J450" s="195">
        <v>-0.01</v>
      </c>
      <c r="K450" s="186"/>
      <c r="L450" s="2"/>
      <c r="M450" s="11"/>
      <c r="N450" s="11"/>
      <c r="O450" s="38"/>
      <c r="P450" s="38"/>
      <c r="Q450" s="38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</row>
    <row r="451" spans="1:34" hidden="1">
      <c r="A451" s="1" t="s">
        <v>194</v>
      </c>
      <c r="B451" s="1"/>
      <c r="C451" s="182">
        <v>0</v>
      </c>
      <c r="D451" s="197">
        <f>D440</f>
        <v>118.32</v>
      </c>
      <c r="E451" s="184"/>
      <c r="F451" s="2">
        <f>-ROUND(D451*$C451/100,0)</f>
        <v>0</v>
      </c>
      <c r="G451" s="216">
        <v>118.32</v>
      </c>
      <c r="H451" s="184"/>
      <c r="I451" s="2">
        <f>-ROUND(G451*$C451/100,0)</f>
        <v>0</v>
      </c>
      <c r="J451" s="197">
        <f>J440</f>
        <v>118.32</v>
      </c>
      <c r="K451" s="184"/>
      <c r="L451" s="2">
        <f>-ROUND(J451*$C451/100,0)</f>
        <v>0</v>
      </c>
      <c r="M451" s="11"/>
      <c r="N451" s="11"/>
      <c r="O451" s="38"/>
      <c r="P451" s="38"/>
      <c r="Q451" s="38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</row>
    <row r="452" spans="1:34" hidden="1">
      <c r="A452" s="1" t="s">
        <v>195</v>
      </c>
      <c r="B452" s="1"/>
      <c r="C452" s="182">
        <v>0</v>
      </c>
      <c r="D452" s="197">
        <f>D441</f>
        <v>176.39999999999998</v>
      </c>
      <c r="E452" s="184"/>
      <c r="F452" s="2">
        <f>-ROUND(D452*$C452/100,0)</f>
        <v>0</v>
      </c>
      <c r="G452" s="216">
        <v>176.39999999999998</v>
      </c>
      <c r="H452" s="184"/>
      <c r="I452" s="2">
        <f>-ROUND(G452*$C452/100,0)</f>
        <v>0</v>
      </c>
      <c r="J452" s="197">
        <f>J441</f>
        <v>176.39999999999998</v>
      </c>
      <c r="K452" s="184"/>
      <c r="L452" s="2">
        <f>-ROUND(J452*$C452/100,0)</f>
        <v>0</v>
      </c>
      <c r="M452" s="11"/>
      <c r="N452" s="11"/>
      <c r="O452" s="38"/>
      <c r="P452" s="38"/>
      <c r="Q452" s="38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</row>
    <row r="453" spans="1:34" hidden="1">
      <c r="A453" s="1" t="s">
        <v>206</v>
      </c>
      <c r="B453" s="1"/>
      <c r="C453" s="182">
        <v>0</v>
      </c>
      <c r="D453" s="197">
        <f>D442</f>
        <v>12.48</v>
      </c>
      <c r="E453" s="184"/>
      <c r="F453" s="2">
        <f>-ROUND(D453*$C453/100,0)</f>
        <v>0</v>
      </c>
      <c r="G453" s="216">
        <v>12.48</v>
      </c>
      <c r="H453" s="184"/>
      <c r="I453" s="2">
        <f>-ROUND(G453*$C453/100,0)</f>
        <v>0</v>
      </c>
      <c r="J453" s="197">
        <f>J442</f>
        <v>12.48</v>
      </c>
      <c r="K453" s="184"/>
      <c r="L453" s="2">
        <f>-ROUND(J453*$C453/100,0)</f>
        <v>0</v>
      </c>
      <c r="M453" s="11"/>
      <c r="N453" s="11"/>
      <c r="O453" s="38"/>
      <c r="P453" s="38"/>
      <c r="Q453" s="38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</row>
    <row r="454" spans="1:34" hidden="1">
      <c r="A454" s="1" t="s">
        <v>207</v>
      </c>
      <c r="B454" s="1"/>
      <c r="C454" s="182">
        <v>0</v>
      </c>
      <c r="D454" s="197">
        <f>D445</f>
        <v>3.81</v>
      </c>
      <c r="E454" s="186"/>
      <c r="F454" s="2">
        <f>-ROUND(D454*$C454/100,0)</f>
        <v>0</v>
      </c>
      <c r="G454" s="216">
        <v>3.81</v>
      </c>
      <c r="H454" s="186"/>
      <c r="I454" s="2">
        <f>-ROUND(G454*$C454/100,0)</f>
        <v>0</v>
      </c>
      <c r="J454" s="197">
        <f>J445</f>
        <v>3.81</v>
      </c>
      <c r="K454" s="186"/>
      <c r="L454" s="2">
        <f>-ROUND(J454*$C454/100,0)</f>
        <v>0</v>
      </c>
      <c r="M454" s="11"/>
      <c r="N454" s="11"/>
      <c r="O454" s="38"/>
      <c r="P454" s="38"/>
      <c r="Q454" s="38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</row>
    <row r="455" spans="1:34" hidden="1">
      <c r="A455" s="1" t="s">
        <v>209</v>
      </c>
      <c r="B455" s="1"/>
      <c r="C455" s="182">
        <v>0</v>
      </c>
      <c r="D455" s="198">
        <f>D446</f>
        <v>10.898999999999999</v>
      </c>
      <c r="E455" s="186" t="s">
        <v>178</v>
      </c>
      <c r="F455" s="2">
        <f>ROUND(D455*$C455/100*D450,0)</f>
        <v>0</v>
      </c>
      <c r="G455" s="735">
        <v>11.222</v>
      </c>
      <c r="H455" s="186" t="s">
        <v>178</v>
      </c>
      <c r="I455" s="2">
        <f>ROUND(G455*$C455/100*G450,0)</f>
        <v>0</v>
      </c>
      <c r="J455" s="198">
        <f ca="1">J446</f>
        <v>11.207000000000001</v>
      </c>
      <c r="K455" s="186" t="s">
        <v>178</v>
      </c>
      <c r="L455" s="2">
        <f ca="1">ROUND(J455*$C455/100*J450,0)</f>
        <v>0</v>
      </c>
      <c r="M455" s="11"/>
      <c r="N455" s="11"/>
      <c r="O455" s="38"/>
      <c r="P455" s="38"/>
      <c r="Q455" s="38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</row>
    <row r="456" spans="1:34" hidden="1">
      <c r="A456" s="1" t="s">
        <v>202</v>
      </c>
      <c r="B456" s="1"/>
      <c r="C456" s="182">
        <v>0</v>
      </c>
      <c r="D456" s="198">
        <f>D447</f>
        <v>7.3739999999999997</v>
      </c>
      <c r="E456" s="186" t="s">
        <v>178</v>
      </c>
      <c r="F456" s="2">
        <f>ROUND(D456*$C456/100*D450,0)</f>
        <v>0</v>
      </c>
      <c r="G456" s="735">
        <v>7.6970000000000001</v>
      </c>
      <c r="H456" s="186" t="s">
        <v>178</v>
      </c>
      <c r="I456" s="2">
        <f>ROUND(G456*$C456/100*G450,0)</f>
        <v>0</v>
      </c>
      <c r="J456" s="198">
        <f ca="1">J447</f>
        <v>7.6820000000000004</v>
      </c>
      <c r="K456" s="186" t="s">
        <v>178</v>
      </c>
      <c r="L456" s="2">
        <f ca="1">ROUND(J456*$C456/100*J450,0)</f>
        <v>0</v>
      </c>
      <c r="M456" s="11"/>
      <c r="N456" s="11"/>
      <c r="O456" s="38"/>
      <c r="P456" s="38"/>
      <c r="Q456" s="38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</row>
    <row r="457" spans="1:34" hidden="1">
      <c r="A457" s="1" t="s">
        <v>203</v>
      </c>
      <c r="B457" s="1"/>
      <c r="C457" s="182">
        <v>0</v>
      </c>
      <c r="D457" s="198">
        <f>D448</f>
        <v>6.8529999999999998</v>
      </c>
      <c r="E457" s="186" t="s">
        <v>178</v>
      </c>
      <c r="F457" s="2">
        <f>ROUND(D457*$C457/100*D450,0)</f>
        <v>0</v>
      </c>
      <c r="G457" s="735">
        <v>7.1760000000000002</v>
      </c>
      <c r="H457" s="186" t="s">
        <v>178</v>
      </c>
      <c r="I457" s="2">
        <f>ROUND(G457*$C457/100*G450,0)</f>
        <v>0</v>
      </c>
      <c r="J457" s="198">
        <f ca="1">J448</f>
        <v>7.1609999999999996</v>
      </c>
      <c r="K457" s="186" t="s">
        <v>178</v>
      </c>
      <c r="L457" s="2">
        <f ca="1">ROUND(J457*$C457/100*J450,0)</f>
        <v>0</v>
      </c>
      <c r="M457" s="11"/>
      <c r="N457" s="11"/>
      <c r="O457" s="38"/>
      <c r="P457" s="38"/>
      <c r="Q457" s="38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</row>
    <row r="458" spans="1:34" hidden="1">
      <c r="A458" s="1" t="s">
        <v>204</v>
      </c>
      <c r="B458" s="1"/>
      <c r="C458" s="182">
        <v>0</v>
      </c>
      <c r="D458" s="199">
        <f>D449</f>
        <v>58</v>
      </c>
      <c r="E458" s="186" t="s">
        <v>178</v>
      </c>
      <c r="F458" s="2">
        <f>ROUND(D458*$C458/100*D450,0)</f>
        <v>0</v>
      </c>
      <c r="G458" s="736">
        <v>58</v>
      </c>
      <c r="H458" s="186" t="s">
        <v>178</v>
      </c>
      <c r="I458" s="2">
        <f>ROUND(G458*$C458/100*G450,0)</f>
        <v>0</v>
      </c>
      <c r="J458" s="199">
        <f>J449</f>
        <v>58</v>
      </c>
      <c r="K458" s="186" t="s">
        <v>178</v>
      </c>
      <c r="L458" s="2">
        <f>ROUND(J458*$C458/100*J450,0)</f>
        <v>0</v>
      </c>
      <c r="M458" s="11"/>
      <c r="N458" s="11"/>
      <c r="O458" s="38"/>
      <c r="P458" s="38"/>
      <c r="Q458" s="38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</row>
    <row r="459" spans="1:34" hidden="1">
      <c r="A459" s="1" t="s">
        <v>211</v>
      </c>
      <c r="B459" s="1"/>
      <c r="C459" s="182">
        <v>0</v>
      </c>
      <c r="D459" s="200">
        <v>60</v>
      </c>
      <c r="E459" s="186"/>
      <c r="F459" s="2">
        <f>ROUND(D459*C459,0)</f>
        <v>0</v>
      </c>
      <c r="G459" s="216">
        <v>60</v>
      </c>
      <c r="H459" s="186"/>
      <c r="I459" s="2">
        <f>ROUND(G459*$C459,0)</f>
        <v>0</v>
      </c>
      <c r="J459" s="200">
        <f>$G$194</f>
        <v>60</v>
      </c>
      <c r="K459" s="186"/>
      <c r="L459" s="2">
        <f>ROUND(J459*$C459,0)</f>
        <v>0</v>
      </c>
      <c r="M459" s="11"/>
      <c r="N459" s="11"/>
      <c r="O459" s="38"/>
      <c r="P459" s="38"/>
      <c r="Q459" s="38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</row>
    <row r="460" spans="1:34" hidden="1">
      <c r="A460" s="1" t="s">
        <v>212</v>
      </c>
      <c r="B460" s="1"/>
      <c r="C460" s="182">
        <v>0</v>
      </c>
      <c r="D460" s="202">
        <v>-30</v>
      </c>
      <c r="E460" s="186" t="s">
        <v>178</v>
      </c>
      <c r="F460" s="2">
        <f>ROUND(D460*C460/100,0)</f>
        <v>0</v>
      </c>
      <c r="G460" s="737">
        <v>-30</v>
      </c>
      <c r="H460" s="186" t="s">
        <v>178</v>
      </c>
      <c r="I460" s="2">
        <f>ROUND(G460*$C460/100,0)</f>
        <v>0</v>
      </c>
      <c r="J460" s="202">
        <f>$G$195</f>
        <v>-30</v>
      </c>
      <c r="K460" s="186" t="s">
        <v>178</v>
      </c>
      <c r="L460" s="2">
        <f>ROUND(J460*$C460/100,0)</f>
        <v>0</v>
      </c>
      <c r="M460" s="11"/>
      <c r="N460" s="11"/>
      <c r="O460" s="38"/>
      <c r="P460" s="38"/>
      <c r="Q460" s="38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</row>
    <row r="461" spans="1:34" hidden="1">
      <c r="A461" s="1" t="s">
        <v>185</v>
      </c>
      <c r="B461" s="1"/>
      <c r="C461" s="182">
        <f>SUM(C446:C448)</f>
        <v>129871</v>
      </c>
      <c r="D461" s="193"/>
      <c r="E461" s="186"/>
      <c r="F461" s="2">
        <f>SUM(F440:F460)</f>
        <v>69283</v>
      </c>
      <c r="G461" s="733"/>
      <c r="H461" s="186"/>
      <c r="I461" s="2">
        <f>SUM(I440:I460)</f>
        <v>69701</v>
      </c>
      <c r="J461" s="193"/>
      <c r="K461" s="186"/>
      <c r="L461" s="2">
        <f ca="1">SUM(L440:L460)</f>
        <v>69682</v>
      </c>
      <c r="M461" s="11"/>
      <c r="N461" s="11"/>
      <c r="O461" s="38"/>
      <c r="P461" s="38"/>
      <c r="Q461" s="38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</row>
    <row r="462" spans="1:34" hidden="1">
      <c r="A462" s="1" t="s">
        <v>167</v>
      </c>
      <c r="B462" s="1"/>
      <c r="C462" s="212">
        <v>1187.1998842853066</v>
      </c>
      <c r="D462" s="172"/>
      <c r="E462" s="172"/>
      <c r="F462" s="204">
        <v>905.10456688004149</v>
      </c>
      <c r="G462" s="284"/>
      <c r="H462" s="172"/>
      <c r="I462" s="204">
        <f>F462</f>
        <v>905.10456688004149</v>
      </c>
      <c r="J462" s="172"/>
      <c r="K462" s="172"/>
      <c r="L462" s="204">
        <f>I462</f>
        <v>905.10456688004149</v>
      </c>
      <c r="M462" s="307"/>
      <c r="N462" s="307"/>
      <c r="O462" s="150"/>
      <c r="P462" s="38"/>
      <c r="Q462" s="38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</row>
    <row r="463" spans="1:34" ht="16.5" hidden="1" thickBot="1">
      <c r="A463" s="1" t="s">
        <v>186</v>
      </c>
      <c r="B463" s="1"/>
      <c r="C463" s="174">
        <f>SUM(C461:C462)</f>
        <v>131058.19988428531</v>
      </c>
      <c r="D463" s="205"/>
      <c r="E463" s="208"/>
      <c r="F463" s="207">
        <f>F461+F462</f>
        <v>70188.104566880036</v>
      </c>
      <c r="G463" s="741"/>
      <c r="H463" s="208"/>
      <c r="I463" s="207">
        <f>I461+I462</f>
        <v>70606.104566880036</v>
      </c>
      <c r="J463" s="205"/>
      <c r="K463" s="208"/>
      <c r="L463" s="207">
        <f ca="1">L461+L462</f>
        <v>70587.104566880036</v>
      </c>
      <c r="M463" s="274"/>
      <c r="N463" s="274"/>
      <c r="O463" s="333"/>
      <c r="P463" s="38"/>
      <c r="Q463" s="38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</row>
    <row r="464" spans="1:34" ht="16.5" hidden="1" thickTop="1">
      <c r="A464" s="1"/>
      <c r="B464" s="1"/>
      <c r="C464" s="12"/>
      <c r="D464" s="200" t="s">
        <v>13</v>
      </c>
      <c r="E464" s="1"/>
      <c r="F464" s="2"/>
      <c r="G464" s="216" t="s">
        <v>13</v>
      </c>
      <c r="H464" s="1"/>
      <c r="I464" s="2" t="s">
        <v>13</v>
      </c>
      <c r="J464" s="216" t="s">
        <v>13</v>
      </c>
      <c r="K464" s="1"/>
      <c r="L464" s="2" t="s">
        <v>13</v>
      </c>
      <c r="M464" s="11"/>
      <c r="N464" s="11"/>
      <c r="O464" s="38"/>
      <c r="P464" s="38"/>
      <c r="Q464" s="38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</row>
    <row r="465" spans="1:34" hidden="1">
      <c r="A465" s="156" t="s">
        <v>221</v>
      </c>
      <c r="B465" s="1"/>
      <c r="C465" s="1"/>
      <c r="D465" s="2"/>
      <c r="E465" s="1"/>
      <c r="F465" s="1"/>
      <c r="G465" s="516"/>
      <c r="H465" s="1"/>
      <c r="I465" s="1"/>
      <c r="J465" s="2"/>
      <c r="K465" s="1"/>
      <c r="L465" s="1"/>
      <c r="M465" s="11"/>
      <c r="N465" s="11"/>
      <c r="O465" s="38"/>
      <c r="P465" s="38"/>
      <c r="Q465" s="38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</row>
    <row r="466" spans="1:34" hidden="1">
      <c r="A466" s="1" t="s">
        <v>218</v>
      </c>
      <c r="B466" s="1"/>
      <c r="C466" s="1"/>
      <c r="D466" s="2"/>
      <c r="E466" s="1"/>
      <c r="F466" s="1"/>
      <c r="G466" s="516"/>
      <c r="H466" s="1"/>
      <c r="I466" s="1"/>
      <c r="J466" s="2"/>
      <c r="K466" s="1"/>
      <c r="L466" s="1"/>
      <c r="M466" s="11"/>
      <c r="N466" s="11"/>
      <c r="O466" s="38"/>
      <c r="P466" s="38"/>
      <c r="Q466" s="38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</row>
    <row r="467" spans="1:34" hidden="1">
      <c r="A467" s="1" t="s">
        <v>222</v>
      </c>
      <c r="B467" s="1"/>
      <c r="C467" s="1"/>
      <c r="D467" s="2"/>
      <c r="E467" s="1"/>
      <c r="F467" s="1"/>
      <c r="G467" s="516"/>
      <c r="H467" s="1"/>
      <c r="I467" s="1"/>
      <c r="J467" s="2"/>
      <c r="K467" s="1"/>
      <c r="L467" s="1"/>
      <c r="M467" s="11"/>
      <c r="N467" s="11"/>
      <c r="O467" s="38"/>
      <c r="P467" s="38"/>
      <c r="Q467" s="38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</row>
    <row r="468" spans="1:34" hidden="1">
      <c r="A468" s="1" t="s">
        <v>197</v>
      </c>
      <c r="B468" s="1"/>
      <c r="C468" s="182"/>
      <c r="D468" s="2"/>
      <c r="E468" s="1"/>
      <c r="F468" s="1"/>
      <c r="G468" s="516"/>
      <c r="H468" s="1"/>
      <c r="I468" s="1"/>
      <c r="J468" s="2"/>
      <c r="K468" s="1"/>
      <c r="L468" s="1"/>
      <c r="M468" s="11"/>
      <c r="N468" s="11"/>
      <c r="O468" s="38"/>
      <c r="P468" s="38"/>
      <c r="Q468" s="38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</row>
    <row r="469" spans="1:34" hidden="1">
      <c r="A469" s="1" t="s">
        <v>194</v>
      </c>
      <c r="B469" s="1"/>
      <c r="C469" s="182">
        <v>0</v>
      </c>
      <c r="D469" s="161">
        <f>D440</f>
        <v>118.32</v>
      </c>
      <c r="E469" s="186"/>
      <c r="F469" s="2">
        <f>ROUND(D469*$C469,0)</f>
        <v>0</v>
      </c>
      <c r="G469" s="506">
        <v>118.32</v>
      </c>
      <c r="H469" s="186"/>
      <c r="I469" s="2">
        <f>ROUND(G469*$C469,0)</f>
        <v>0</v>
      </c>
      <c r="J469" s="161">
        <f>$G$171</f>
        <v>118.32</v>
      </c>
      <c r="K469" s="186"/>
      <c r="L469" s="2">
        <f>ROUND(J469*$C469,0)</f>
        <v>0</v>
      </c>
      <c r="M469" s="11"/>
      <c r="N469" s="11"/>
      <c r="O469" s="38"/>
      <c r="P469" s="38"/>
      <c r="Q469" s="38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</row>
    <row r="470" spans="1:34" hidden="1">
      <c r="A470" s="1" t="s">
        <v>195</v>
      </c>
      <c r="B470" s="1"/>
      <c r="C470" s="182">
        <v>1</v>
      </c>
      <c r="D470" s="161">
        <f>D441</f>
        <v>176.39999999999998</v>
      </c>
      <c r="E470" s="188"/>
      <c r="F470" s="2">
        <f>ROUND(D470*$C470,0)</f>
        <v>176</v>
      </c>
      <c r="G470" s="506">
        <v>176.39999999999998</v>
      </c>
      <c r="H470" s="188"/>
      <c r="I470" s="2">
        <f>ROUND(G470*$C470,0)</f>
        <v>176</v>
      </c>
      <c r="J470" s="161">
        <f>$G$172</f>
        <v>176.39999999999998</v>
      </c>
      <c r="K470" s="188"/>
      <c r="L470" s="2">
        <f>ROUND(J470*$C470,0)</f>
        <v>176</v>
      </c>
      <c r="M470" s="11"/>
      <c r="N470" s="11"/>
      <c r="O470" s="38"/>
      <c r="P470" s="38"/>
      <c r="Q470" s="38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</row>
    <row r="471" spans="1:34" hidden="1">
      <c r="A471" s="1" t="s">
        <v>196</v>
      </c>
      <c r="B471" s="1"/>
      <c r="C471" s="182">
        <v>66</v>
      </c>
      <c r="D471" s="161">
        <f>D442</f>
        <v>12.48</v>
      </c>
      <c r="E471" s="188"/>
      <c r="F471" s="2">
        <f>ROUND(D471*$C471,0)</f>
        <v>824</v>
      </c>
      <c r="G471" s="506">
        <v>12.48</v>
      </c>
      <c r="H471" s="188"/>
      <c r="I471" s="2">
        <f>ROUND(G471*$C471,0)</f>
        <v>824</v>
      </c>
      <c r="J471" s="161">
        <f>$G$173</f>
        <v>12.48</v>
      </c>
      <c r="K471" s="188"/>
      <c r="L471" s="2">
        <f>ROUND(J471*$C471,0)</f>
        <v>824</v>
      </c>
      <c r="M471" s="11"/>
      <c r="N471" s="11"/>
      <c r="O471" s="38"/>
      <c r="P471" s="38"/>
      <c r="Q471" s="38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</row>
    <row r="472" spans="1:34" hidden="1">
      <c r="A472" s="1" t="s">
        <v>198</v>
      </c>
      <c r="B472" s="1"/>
      <c r="C472" s="182">
        <f>SUM(C469:C470)</f>
        <v>1</v>
      </c>
      <c r="D472" s="161"/>
      <c r="E472" s="186"/>
      <c r="F472" s="2"/>
      <c r="G472" s="506"/>
      <c r="H472" s="186"/>
      <c r="I472" s="2"/>
      <c r="J472" s="161"/>
      <c r="K472" s="186"/>
      <c r="L472" s="2"/>
      <c r="M472" s="11"/>
      <c r="N472" s="11"/>
      <c r="O472" s="38"/>
      <c r="P472" s="38"/>
      <c r="Q472" s="38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</row>
    <row r="473" spans="1:34" hidden="1">
      <c r="A473" s="1" t="s">
        <v>223</v>
      </c>
      <c r="B473" s="1"/>
      <c r="C473" s="182">
        <v>11.0833333333333</v>
      </c>
      <c r="D473" s="161"/>
      <c r="E473" s="186"/>
      <c r="F473" s="2"/>
      <c r="G473" s="506"/>
      <c r="H473" s="186"/>
      <c r="I473" s="2"/>
      <c r="J473" s="161"/>
      <c r="K473" s="186"/>
      <c r="L473" s="2"/>
      <c r="M473" s="11"/>
      <c r="N473" s="11"/>
      <c r="O473" s="38"/>
      <c r="P473" s="38"/>
      <c r="Q473" s="38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</row>
    <row r="474" spans="1:34" hidden="1">
      <c r="A474" s="1" t="s">
        <v>199</v>
      </c>
      <c r="B474" s="1"/>
      <c r="C474" s="182">
        <v>0</v>
      </c>
      <c r="D474" s="189">
        <f>D445</f>
        <v>3.81</v>
      </c>
      <c r="E474" s="186"/>
      <c r="F474" s="2">
        <f>ROUND(D474*C474,0)</f>
        <v>0</v>
      </c>
      <c r="G474" s="216">
        <v>3.81</v>
      </c>
      <c r="H474" s="186"/>
      <c r="I474" s="2">
        <f>ROUND(G474*$C474,0)</f>
        <v>0</v>
      </c>
      <c r="J474" s="189">
        <f>$G$180</f>
        <v>3.81</v>
      </c>
      <c r="K474" s="186"/>
      <c r="L474" s="2">
        <f>ROUND(J474*$C474,0)</f>
        <v>0</v>
      </c>
      <c r="M474" s="11"/>
      <c r="N474" s="11"/>
      <c r="O474" s="38"/>
      <c r="P474" s="38"/>
      <c r="Q474" s="38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</row>
    <row r="475" spans="1:34" hidden="1">
      <c r="A475" s="1" t="s">
        <v>201</v>
      </c>
      <c r="B475" s="1"/>
      <c r="C475" s="182">
        <v>4201</v>
      </c>
      <c r="D475" s="162">
        <f>D446</f>
        <v>10.898999999999999</v>
      </c>
      <c r="E475" s="186" t="s">
        <v>178</v>
      </c>
      <c r="F475" s="2">
        <f>ROUND(D475*C475/100,0)</f>
        <v>458</v>
      </c>
      <c r="G475" s="731">
        <v>11.222</v>
      </c>
      <c r="H475" s="186" t="s">
        <v>178</v>
      </c>
      <c r="I475" s="2">
        <f t="shared" ref="I475:I478" si="46">ROUND(G475*$C475/100,0)</f>
        <v>471</v>
      </c>
      <c r="J475" s="162">
        <f ca="1">$J$181</f>
        <v>11.207000000000001</v>
      </c>
      <c r="K475" s="186" t="s">
        <v>178</v>
      </c>
      <c r="L475" s="2">
        <f t="shared" ref="L475:L478" ca="1" si="47">ROUND(J475*$C475/100,0)</f>
        <v>471</v>
      </c>
      <c r="M475" s="11"/>
      <c r="N475" s="11"/>
      <c r="O475" s="38"/>
      <c r="P475" s="38"/>
      <c r="Q475" s="38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</row>
    <row r="476" spans="1:34" hidden="1">
      <c r="A476" s="1" t="s">
        <v>202</v>
      </c>
      <c r="B476" s="1"/>
      <c r="C476" s="182">
        <v>196</v>
      </c>
      <c r="D476" s="162">
        <f>D447</f>
        <v>7.3739999999999997</v>
      </c>
      <c r="E476" s="186" t="s">
        <v>178</v>
      </c>
      <c r="F476" s="2">
        <f>ROUND(D476*C476/100,0)</f>
        <v>14</v>
      </c>
      <c r="G476" s="731">
        <v>7.6970000000000001</v>
      </c>
      <c r="H476" s="186" t="s">
        <v>178</v>
      </c>
      <c r="I476" s="2">
        <f t="shared" si="46"/>
        <v>15</v>
      </c>
      <c r="J476" s="162">
        <f ca="1">$J$182</f>
        <v>7.6820000000000004</v>
      </c>
      <c r="K476" s="186" t="s">
        <v>178</v>
      </c>
      <c r="L476" s="2">
        <f t="shared" ca="1" si="47"/>
        <v>15</v>
      </c>
      <c r="M476" s="11"/>
      <c r="N476" s="11"/>
      <c r="O476" s="38"/>
      <c r="P476" s="38"/>
      <c r="Q476" s="38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</row>
    <row r="477" spans="1:34" hidden="1">
      <c r="A477" s="1" t="s">
        <v>203</v>
      </c>
      <c r="B477" s="1"/>
      <c r="C477" s="182">
        <v>0</v>
      </c>
      <c r="D477" s="162">
        <f>D448</f>
        <v>6.8529999999999998</v>
      </c>
      <c r="E477" s="186" t="s">
        <v>178</v>
      </c>
      <c r="F477" s="2">
        <f>ROUND(D477*C477/100,0)</f>
        <v>0</v>
      </c>
      <c r="G477" s="731">
        <v>7.1760000000000002</v>
      </c>
      <c r="H477" s="186" t="s">
        <v>178</v>
      </c>
      <c r="I477" s="2">
        <f t="shared" si="46"/>
        <v>0</v>
      </c>
      <c r="J477" s="162">
        <f ca="1">$J$183</f>
        <v>7.1609999999999996</v>
      </c>
      <c r="K477" s="186" t="s">
        <v>178</v>
      </c>
      <c r="L477" s="2">
        <f t="shared" ca="1" si="47"/>
        <v>0</v>
      </c>
      <c r="M477" s="11"/>
      <c r="N477" s="11"/>
      <c r="O477" s="38"/>
      <c r="P477" s="38"/>
      <c r="Q477" s="38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</row>
    <row r="478" spans="1:34" hidden="1">
      <c r="A478" s="1" t="s">
        <v>204</v>
      </c>
      <c r="B478" s="1"/>
      <c r="C478" s="182">
        <v>7.6</v>
      </c>
      <c r="D478" s="193">
        <f>D449</f>
        <v>58</v>
      </c>
      <c r="E478" s="186" t="s">
        <v>178</v>
      </c>
      <c r="F478" s="2">
        <f>ROUND(D478*C478/100,0)</f>
        <v>4</v>
      </c>
      <c r="G478" s="733">
        <v>58</v>
      </c>
      <c r="H478" s="186" t="s">
        <v>178</v>
      </c>
      <c r="I478" s="2">
        <f t="shared" si="46"/>
        <v>4</v>
      </c>
      <c r="J478" s="193">
        <f>$G$184</f>
        <v>58</v>
      </c>
      <c r="K478" s="186" t="s">
        <v>178</v>
      </c>
      <c r="L478" s="2">
        <f t="shared" si="47"/>
        <v>4</v>
      </c>
      <c r="M478" s="11"/>
      <c r="N478" s="11"/>
      <c r="O478" s="38"/>
      <c r="P478" s="38"/>
      <c r="Q478" s="38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</row>
    <row r="479" spans="1:34" hidden="1">
      <c r="A479" s="194" t="s">
        <v>205</v>
      </c>
      <c r="B479" s="1"/>
      <c r="C479" s="182"/>
      <c r="D479" s="195">
        <f>$D$185</f>
        <v>-0.01</v>
      </c>
      <c r="E479" s="186"/>
      <c r="F479" s="2"/>
      <c r="G479" s="734">
        <v>-0.01</v>
      </c>
      <c r="H479" s="186"/>
      <c r="I479" s="2"/>
      <c r="J479" s="195">
        <v>-0.01</v>
      </c>
      <c r="K479" s="186"/>
      <c r="L479" s="2"/>
      <c r="M479" s="11"/>
      <c r="N479" s="11"/>
      <c r="O479" s="38"/>
      <c r="P479" s="38"/>
      <c r="Q479" s="38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</row>
    <row r="480" spans="1:34" hidden="1">
      <c r="A480" s="1" t="s">
        <v>194</v>
      </c>
      <c r="B480" s="1"/>
      <c r="C480" s="182">
        <v>0</v>
      </c>
      <c r="D480" s="197">
        <f>D469</f>
        <v>118.32</v>
      </c>
      <c r="E480" s="184"/>
      <c r="F480" s="2">
        <f>-ROUND(D480*$C480/100,0)</f>
        <v>0</v>
      </c>
      <c r="G480" s="216">
        <v>118.32</v>
      </c>
      <c r="H480" s="184"/>
      <c r="I480" s="2">
        <f>-ROUND(G480*$C480/100,0)</f>
        <v>0</v>
      </c>
      <c r="J480" s="197">
        <f>J469</f>
        <v>118.32</v>
      </c>
      <c r="K480" s="184"/>
      <c r="L480" s="2">
        <f>-ROUND(J480*$C480/100,0)</f>
        <v>0</v>
      </c>
      <c r="M480" s="11"/>
      <c r="N480" s="11"/>
      <c r="O480" s="38"/>
      <c r="P480" s="38"/>
      <c r="Q480" s="38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</row>
    <row r="481" spans="1:34" hidden="1">
      <c r="A481" s="1" t="s">
        <v>195</v>
      </c>
      <c r="B481" s="1"/>
      <c r="C481" s="182">
        <v>0</v>
      </c>
      <c r="D481" s="197">
        <f>D470</f>
        <v>176.39999999999998</v>
      </c>
      <c r="E481" s="184"/>
      <c r="F481" s="2">
        <f>-ROUND(D481*$C481/100,0)</f>
        <v>0</v>
      </c>
      <c r="G481" s="216">
        <v>176.39999999999998</v>
      </c>
      <c r="H481" s="184"/>
      <c r="I481" s="2">
        <f>-ROUND(G481*$C481/100,0)</f>
        <v>0</v>
      </c>
      <c r="J481" s="197">
        <f>J470</f>
        <v>176.39999999999998</v>
      </c>
      <c r="K481" s="184"/>
      <c r="L481" s="2">
        <f>-ROUND(J481*$C481/100,0)</f>
        <v>0</v>
      </c>
      <c r="M481" s="11"/>
      <c r="N481" s="11"/>
      <c r="O481" s="38"/>
      <c r="P481" s="38"/>
      <c r="Q481" s="38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</row>
    <row r="482" spans="1:34" hidden="1">
      <c r="A482" s="1" t="s">
        <v>206</v>
      </c>
      <c r="B482" s="1"/>
      <c r="C482" s="182">
        <v>0</v>
      </c>
      <c r="D482" s="197">
        <f>D471</f>
        <v>12.48</v>
      </c>
      <c r="E482" s="184"/>
      <c r="F482" s="2">
        <f>-ROUND(D482*$C482/100,0)</f>
        <v>0</v>
      </c>
      <c r="G482" s="216">
        <v>12.48</v>
      </c>
      <c r="H482" s="184"/>
      <c r="I482" s="2">
        <f>-ROUND(G482*$C482/100,0)</f>
        <v>0</v>
      </c>
      <c r="J482" s="197">
        <f>J471</f>
        <v>12.48</v>
      </c>
      <c r="K482" s="184"/>
      <c r="L482" s="2">
        <f>-ROUND(J482*$C482/100,0)</f>
        <v>0</v>
      </c>
      <c r="M482" s="11"/>
      <c r="N482" s="11"/>
      <c r="O482" s="38"/>
      <c r="P482" s="38"/>
      <c r="Q482" s="38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</row>
    <row r="483" spans="1:34" hidden="1">
      <c r="A483" s="1" t="s">
        <v>207</v>
      </c>
      <c r="B483" s="1"/>
      <c r="C483" s="182">
        <v>0</v>
      </c>
      <c r="D483" s="197">
        <f>D474</f>
        <v>3.81</v>
      </c>
      <c r="E483" s="186"/>
      <c r="F483" s="2">
        <f>-ROUND(D483*$C483/100,0)</f>
        <v>0</v>
      </c>
      <c r="G483" s="216">
        <v>3.81</v>
      </c>
      <c r="H483" s="186"/>
      <c r="I483" s="2">
        <f>-ROUND(G483*$C483/100,0)</f>
        <v>0</v>
      </c>
      <c r="J483" s="197">
        <f>J474</f>
        <v>3.81</v>
      </c>
      <c r="K483" s="186"/>
      <c r="L483" s="2">
        <f>-ROUND(J483*$C483/100,0)</f>
        <v>0</v>
      </c>
      <c r="M483" s="11"/>
      <c r="N483" s="11"/>
      <c r="O483" s="38"/>
      <c r="P483" s="38"/>
      <c r="Q483" s="38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</row>
    <row r="484" spans="1:34" hidden="1">
      <c r="A484" s="1" t="s">
        <v>209</v>
      </c>
      <c r="B484" s="1"/>
      <c r="C484" s="182">
        <v>0</v>
      </c>
      <c r="D484" s="198">
        <f>D475</f>
        <v>10.898999999999999</v>
      </c>
      <c r="E484" s="186" t="s">
        <v>178</v>
      </c>
      <c r="F484" s="2">
        <f>ROUND(D484*$C484/100*D479,0)</f>
        <v>0</v>
      </c>
      <c r="G484" s="735">
        <v>11.222</v>
      </c>
      <c r="H484" s="186" t="s">
        <v>178</v>
      </c>
      <c r="I484" s="2">
        <f>ROUND(G484*$C484/100*G479,0)</f>
        <v>0</v>
      </c>
      <c r="J484" s="198">
        <f ca="1">J475</f>
        <v>11.207000000000001</v>
      </c>
      <c r="K484" s="186" t="s">
        <v>178</v>
      </c>
      <c r="L484" s="2">
        <f ca="1">ROUND(J484*$C484/100*J479,0)</f>
        <v>0</v>
      </c>
      <c r="M484" s="11"/>
      <c r="N484" s="11"/>
      <c r="O484" s="38"/>
      <c r="P484" s="38"/>
      <c r="Q484" s="38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</row>
    <row r="485" spans="1:34" hidden="1">
      <c r="A485" s="1" t="s">
        <v>202</v>
      </c>
      <c r="B485" s="1"/>
      <c r="C485" s="182">
        <v>0</v>
      </c>
      <c r="D485" s="198">
        <f>D476</f>
        <v>7.3739999999999997</v>
      </c>
      <c r="E485" s="186" t="s">
        <v>178</v>
      </c>
      <c r="F485" s="2">
        <f>ROUND(D485*$C485/100*D479,0)</f>
        <v>0</v>
      </c>
      <c r="G485" s="735">
        <v>7.6970000000000001</v>
      </c>
      <c r="H485" s="186" t="s">
        <v>178</v>
      </c>
      <c r="I485" s="2">
        <f>ROUND(G485*$C485/100*G479,0)</f>
        <v>0</v>
      </c>
      <c r="J485" s="198">
        <f ca="1">J476</f>
        <v>7.6820000000000004</v>
      </c>
      <c r="K485" s="186" t="s">
        <v>178</v>
      </c>
      <c r="L485" s="2">
        <f ca="1">ROUND(J485*$C485/100*J479,0)</f>
        <v>0</v>
      </c>
      <c r="M485" s="11"/>
      <c r="N485" s="11"/>
      <c r="O485" s="38"/>
      <c r="P485" s="38"/>
      <c r="Q485" s="38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</row>
    <row r="486" spans="1:34" hidden="1">
      <c r="A486" s="1" t="s">
        <v>203</v>
      </c>
      <c r="B486" s="1"/>
      <c r="C486" s="182">
        <v>0</v>
      </c>
      <c r="D486" s="198">
        <f>D477</f>
        <v>6.8529999999999998</v>
      </c>
      <c r="E486" s="186" t="s">
        <v>178</v>
      </c>
      <c r="F486" s="2">
        <f>ROUND(D486*$C486/100*D479,0)</f>
        <v>0</v>
      </c>
      <c r="G486" s="735">
        <v>7.1760000000000002</v>
      </c>
      <c r="H486" s="186" t="s">
        <v>178</v>
      </c>
      <c r="I486" s="2">
        <f>ROUND(G486*$C486/100*G479,0)</f>
        <v>0</v>
      </c>
      <c r="J486" s="198">
        <f ca="1">J477</f>
        <v>7.1609999999999996</v>
      </c>
      <c r="K486" s="186" t="s">
        <v>178</v>
      </c>
      <c r="L486" s="2">
        <f ca="1">ROUND(J486*$C486/100*J479,0)</f>
        <v>0</v>
      </c>
      <c r="M486" s="11"/>
      <c r="N486" s="11"/>
      <c r="O486" s="38"/>
      <c r="P486" s="38"/>
      <c r="Q486" s="38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</row>
    <row r="487" spans="1:34" hidden="1">
      <c r="A487" s="1" t="s">
        <v>204</v>
      </c>
      <c r="B487" s="1"/>
      <c r="C487" s="182">
        <v>0</v>
      </c>
      <c r="D487" s="199">
        <f>D478</f>
        <v>58</v>
      </c>
      <c r="E487" s="186" t="s">
        <v>178</v>
      </c>
      <c r="F487" s="2">
        <f>ROUND(D487*$C487/100*D479,0)</f>
        <v>0</v>
      </c>
      <c r="G487" s="736">
        <v>58</v>
      </c>
      <c r="H487" s="186" t="s">
        <v>178</v>
      </c>
      <c r="I487" s="2">
        <f>ROUND(G487*$C487/100*G479,0)</f>
        <v>0</v>
      </c>
      <c r="J487" s="199">
        <f>J478</f>
        <v>58</v>
      </c>
      <c r="K487" s="186" t="s">
        <v>178</v>
      </c>
      <c r="L487" s="2">
        <f>ROUND(J487*$C487/100*J479,0)</f>
        <v>0</v>
      </c>
      <c r="M487" s="11"/>
      <c r="N487" s="11"/>
      <c r="O487" s="38"/>
      <c r="P487" s="38"/>
      <c r="Q487" s="38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</row>
    <row r="488" spans="1:34" hidden="1">
      <c r="A488" s="1" t="s">
        <v>211</v>
      </c>
      <c r="B488" s="1"/>
      <c r="C488" s="182">
        <v>0</v>
      </c>
      <c r="D488" s="200">
        <v>60</v>
      </c>
      <c r="E488" s="186"/>
      <c r="F488" s="2">
        <f>ROUND(D488*C488,0)</f>
        <v>0</v>
      </c>
      <c r="G488" s="216">
        <v>60</v>
      </c>
      <c r="H488" s="186"/>
      <c r="I488" s="2">
        <f>ROUND(G488*$C488,0)</f>
        <v>0</v>
      </c>
      <c r="J488" s="200">
        <f>$G$194</f>
        <v>60</v>
      </c>
      <c r="K488" s="186"/>
      <c r="L488" s="2">
        <f>ROUND(J488*$C488,0)</f>
        <v>0</v>
      </c>
      <c r="M488" s="11"/>
      <c r="N488" s="11"/>
      <c r="O488" s="38"/>
      <c r="P488" s="38"/>
      <c r="Q488" s="38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</row>
    <row r="489" spans="1:34" hidden="1">
      <c r="A489" s="1" t="s">
        <v>212</v>
      </c>
      <c r="B489" s="1"/>
      <c r="C489" s="182">
        <v>0</v>
      </c>
      <c r="D489" s="202">
        <v>-30</v>
      </c>
      <c r="E489" s="186" t="s">
        <v>178</v>
      </c>
      <c r="F489" s="2">
        <f>ROUND(D489*C489/100,0)</f>
        <v>0</v>
      </c>
      <c r="G489" s="737">
        <v>-30</v>
      </c>
      <c r="H489" s="186" t="s">
        <v>178</v>
      </c>
      <c r="I489" s="2">
        <f>ROUND(G489*$C489/100,0)</f>
        <v>0</v>
      </c>
      <c r="J489" s="202">
        <f>$G$195</f>
        <v>-30</v>
      </c>
      <c r="K489" s="186" t="s">
        <v>178</v>
      </c>
      <c r="L489" s="2">
        <f>ROUND(J489*$C489/100,0)</f>
        <v>0</v>
      </c>
      <c r="M489" s="11"/>
      <c r="N489" s="11"/>
      <c r="O489" s="38"/>
      <c r="P489" s="38"/>
      <c r="Q489" s="38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</row>
    <row r="490" spans="1:34" hidden="1">
      <c r="A490" s="1" t="s">
        <v>185</v>
      </c>
      <c r="B490" s="1"/>
      <c r="C490" s="182">
        <f>SUM(C475:C477)</f>
        <v>4397</v>
      </c>
      <c r="D490" s="193"/>
      <c r="E490" s="186"/>
      <c r="F490" s="2">
        <f>SUM(F469:F489)</f>
        <v>1476</v>
      </c>
      <c r="G490" s="733"/>
      <c r="H490" s="186"/>
      <c r="I490" s="2">
        <f>SUM(I469:I489)</f>
        <v>1490</v>
      </c>
      <c r="J490" s="193"/>
      <c r="K490" s="186"/>
      <c r="L490" s="2">
        <f ca="1">SUM(L469:L489)</f>
        <v>1490</v>
      </c>
      <c r="M490" s="11"/>
      <c r="N490" s="11"/>
      <c r="O490" s="38"/>
      <c r="P490" s="38"/>
      <c r="Q490" s="38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</row>
    <row r="491" spans="1:34" hidden="1">
      <c r="A491" s="1" t="s">
        <v>167</v>
      </c>
      <c r="B491" s="1"/>
      <c r="C491" s="212">
        <v>82.35314115363434</v>
      </c>
      <c r="D491" s="172"/>
      <c r="E491" s="172"/>
      <c r="F491" s="204">
        <v>8.8155467505343523</v>
      </c>
      <c r="G491" s="284"/>
      <c r="H491" s="172"/>
      <c r="I491" s="204">
        <f>F491</f>
        <v>8.8155467505343523</v>
      </c>
      <c r="J491" s="172"/>
      <c r="K491" s="172"/>
      <c r="L491" s="204">
        <f>I491</f>
        <v>8.8155467505343523</v>
      </c>
      <c r="M491" s="307"/>
      <c r="N491" s="307"/>
      <c r="O491" s="150"/>
      <c r="P491" s="38"/>
      <c r="Q491" s="38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</row>
    <row r="492" spans="1:34" ht="16.5" hidden="1" thickBot="1">
      <c r="A492" s="1" t="s">
        <v>186</v>
      </c>
      <c r="B492" s="1"/>
      <c r="C492" s="174">
        <f>SUM(C490:C491)</f>
        <v>4479.3531411536342</v>
      </c>
      <c r="D492" s="205"/>
      <c r="E492" s="208"/>
      <c r="F492" s="207">
        <f>F490+F491</f>
        <v>1484.8155467505344</v>
      </c>
      <c r="G492" s="741"/>
      <c r="H492" s="208"/>
      <c r="I492" s="207">
        <f>I490+I491</f>
        <v>1498.8155467505344</v>
      </c>
      <c r="J492" s="205"/>
      <c r="K492" s="208"/>
      <c r="L492" s="207">
        <f ca="1">L490+L491</f>
        <v>1498.8155467505344</v>
      </c>
      <c r="M492" s="274"/>
      <c r="N492" s="274"/>
      <c r="O492" s="333"/>
      <c r="P492" s="38"/>
      <c r="Q492" s="38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</row>
    <row r="493" spans="1:34">
      <c r="A493" s="1"/>
      <c r="B493" s="1"/>
      <c r="C493" s="213"/>
      <c r="D493" s="214"/>
      <c r="E493" s="14"/>
      <c r="F493" s="185"/>
      <c r="G493" s="742"/>
      <c r="H493" s="14"/>
      <c r="I493" s="185"/>
      <c r="J493" s="214"/>
      <c r="K493" s="14"/>
      <c r="L493" s="185"/>
      <c r="M493" s="274"/>
      <c r="N493" s="274"/>
      <c r="O493" s="333"/>
      <c r="P493" s="38"/>
      <c r="Q493" s="38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</row>
    <row r="494" spans="1:34">
      <c r="A494" s="156" t="s">
        <v>555</v>
      </c>
      <c r="B494" s="1"/>
      <c r="C494" s="1"/>
      <c r="D494" s="12"/>
      <c r="E494" s="1"/>
      <c r="F494" s="170"/>
      <c r="G494" s="28"/>
      <c r="H494" s="1"/>
      <c r="I494" s="1"/>
      <c r="J494" s="12"/>
      <c r="K494" s="1"/>
      <c r="L494" s="1"/>
      <c r="M494" s="274"/>
      <c r="N494" s="274"/>
      <c r="O494" s="333"/>
      <c r="P494" s="38"/>
      <c r="Q494" s="38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</row>
    <row r="495" spans="1:34">
      <c r="A495" s="1" t="s">
        <v>556</v>
      </c>
      <c r="B495" s="1"/>
      <c r="C495" s="1"/>
      <c r="D495" s="12"/>
      <c r="E495" s="1"/>
      <c r="F495" s="1"/>
      <c r="G495" s="731" t="s">
        <v>13</v>
      </c>
      <c r="H495" s="1"/>
      <c r="I495" s="1"/>
      <c r="J495" s="505" t="s">
        <v>13</v>
      </c>
      <c r="K495" s="1"/>
      <c r="L495" s="1"/>
      <c r="M495" s="274"/>
      <c r="N495" s="274"/>
      <c r="O495" s="333"/>
      <c r="P495" s="38"/>
      <c r="Q495" s="38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</row>
    <row r="496" spans="1:34">
      <c r="A496" s="160"/>
      <c r="B496" s="1"/>
      <c r="C496" s="1"/>
      <c r="D496" s="12"/>
      <c r="E496" s="1"/>
      <c r="F496" s="1"/>
      <c r="G496" s="28"/>
      <c r="H496" s="1"/>
      <c r="I496" s="1"/>
      <c r="J496" s="12"/>
      <c r="K496" s="1"/>
      <c r="L496" s="1"/>
      <c r="M496" s="274"/>
      <c r="N496" s="274"/>
      <c r="O496" s="333"/>
      <c r="P496" s="38"/>
      <c r="Q496" s="38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</row>
    <row r="497" spans="1:34">
      <c r="A497" s="1" t="s">
        <v>174</v>
      </c>
      <c r="B497" s="1"/>
      <c r="C497" s="12">
        <v>0</v>
      </c>
      <c r="D497" s="161">
        <v>17</v>
      </c>
      <c r="E497" s="1"/>
      <c r="F497" s="2">
        <f>C497*D497</f>
        <v>0</v>
      </c>
      <c r="G497" s="506">
        <v>17</v>
      </c>
      <c r="H497" s="1"/>
      <c r="I497" s="2">
        <f>C497*G497</f>
        <v>0</v>
      </c>
      <c r="J497" s="164">
        <v>17</v>
      </c>
      <c r="K497" s="1"/>
      <c r="L497" s="2">
        <f>F497*J497</f>
        <v>0</v>
      </c>
      <c r="M497" s="274"/>
      <c r="N497" s="274"/>
      <c r="O497" s="333"/>
      <c r="P497" s="38"/>
      <c r="Q497" s="38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</row>
    <row r="498" spans="1:34">
      <c r="A498" s="1" t="s">
        <v>553</v>
      </c>
      <c r="B498" s="1"/>
      <c r="C498" s="12">
        <v>0</v>
      </c>
      <c r="D498" s="161">
        <v>2</v>
      </c>
      <c r="E498" s="1"/>
      <c r="F498" s="2">
        <f>C498*D498</f>
        <v>0</v>
      </c>
      <c r="G498" s="506">
        <v>2</v>
      </c>
      <c r="H498" s="1"/>
      <c r="I498" s="2">
        <f>C498*G498</f>
        <v>0</v>
      </c>
      <c r="J498" s="164">
        <v>2</v>
      </c>
      <c r="K498" s="1"/>
      <c r="L498" s="2">
        <f>F498*J498</f>
        <v>0</v>
      </c>
      <c r="M498" s="274"/>
      <c r="N498" s="274"/>
      <c r="O498" s="333"/>
      <c r="P498" s="38"/>
      <c r="Q498" s="38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</row>
    <row r="499" spans="1:34">
      <c r="A499" s="1" t="s">
        <v>559</v>
      </c>
      <c r="B499" s="1"/>
      <c r="C499" s="12">
        <v>0</v>
      </c>
      <c r="D499" s="162">
        <v>19.25</v>
      </c>
      <c r="E499" s="1" t="s">
        <v>178</v>
      </c>
      <c r="F499" s="2">
        <f>C499*D499/100</f>
        <v>0</v>
      </c>
      <c r="G499" s="731">
        <v>19.573245402690997</v>
      </c>
      <c r="H499" s="1" t="s">
        <v>178</v>
      </c>
      <c r="I499" s="2">
        <f>C499*G499/100</f>
        <v>0</v>
      </c>
      <c r="J499" s="162">
        <f t="shared" ref="J499:J500" ca="1" si="48">ROUND(G499+($O$544/$C$575)*100,3)</f>
        <v>19.559000000000001</v>
      </c>
      <c r="K499" s="1" t="s">
        <v>178</v>
      </c>
      <c r="L499" s="2">
        <f ca="1">F499*J499/100</f>
        <v>0</v>
      </c>
      <c r="M499" s="274"/>
      <c r="N499" s="274"/>
      <c r="O499" s="333"/>
      <c r="P499" s="38"/>
      <c r="Q499" s="38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</row>
    <row r="500" spans="1:34">
      <c r="A500" s="1" t="s">
        <v>179</v>
      </c>
      <c r="B500" s="1"/>
      <c r="C500" s="12">
        <v>0</v>
      </c>
      <c r="D500" s="162">
        <v>7.7779999999999996</v>
      </c>
      <c r="E500" s="1" t="s">
        <v>178</v>
      </c>
      <c r="F500" s="2">
        <f>C500*D500/100</f>
        <v>0</v>
      </c>
      <c r="G500" s="731">
        <v>8.1012454026909975</v>
      </c>
      <c r="H500" s="1" t="s">
        <v>178</v>
      </c>
      <c r="I500" s="2">
        <f>C500*G500/100</f>
        <v>0</v>
      </c>
      <c r="J500" s="162">
        <f t="shared" ca="1" si="48"/>
        <v>8.0869999999999997</v>
      </c>
      <c r="K500" s="1" t="s">
        <v>178</v>
      </c>
      <c r="L500" s="2">
        <f ca="1">F500*J500/100</f>
        <v>0</v>
      </c>
      <c r="M500" s="274"/>
      <c r="N500" s="274"/>
      <c r="O500" s="333"/>
      <c r="P500" s="38"/>
      <c r="Q500" s="38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</row>
    <row r="501" spans="1:34">
      <c r="A501" s="1" t="s">
        <v>558</v>
      </c>
      <c r="B501" s="1"/>
      <c r="C501" s="12">
        <v>0</v>
      </c>
      <c r="D501" s="162">
        <v>-1.8660000000000001</v>
      </c>
      <c r="E501" s="1" t="s">
        <v>178</v>
      </c>
      <c r="F501" s="2">
        <f>C501*D501/100</f>
        <v>0</v>
      </c>
      <c r="G501" s="731">
        <v>-1.8660000000000001</v>
      </c>
      <c r="H501" s="1" t="s">
        <v>178</v>
      </c>
      <c r="I501" s="2">
        <f>C501*G501/100</f>
        <v>0</v>
      </c>
      <c r="J501" s="162">
        <v>-1.8660000000000001</v>
      </c>
      <c r="K501" s="1" t="s">
        <v>178</v>
      </c>
      <c r="L501" s="2">
        <f>F501*J501/100</f>
        <v>0</v>
      </c>
      <c r="M501" s="274"/>
      <c r="N501" s="274"/>
      <c r="O501" s="333"/>
      <c r="P501" s="38"/>
      <c r="Q501" s="38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</row>
    <row r="502" spans="1:34">
      <c r="A502" s="1" t="s">
        <v>185</v>
      </c>
      <c r="B502" s="168"/>
      <c r="C502" s="12">
        <v>0</v>
      </c>
      <c r="D502" s="518"/>
      <c r="E502" s="2"/>
      <c r="F502" s="2">
        <f>SUM(F497:F500)</f>
        <v>0</v>
      </c>
      <c r="G502" s="516"/>
      <c r="H502" s="2"/>
      <c r="I502" s="2">
        <f>SUM(I497:I500)</f>
        <v>0</v>
      </c>
      <c r="J502" s="2"/>
      <c r="K502" s="2"/>
      <c r="L502" s="2">
        <f ca="1">SUM(L497:L500)</f>
        <v>0</v>
      </c>
      <c r="M502" s="274"/>
      <c r="N502" s="274"/>
      <c r="O502" s="333"/>
      <c r="P502" s="38"/>
      <c r="Q502" s="38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</row>
    <row r="503" spans="1:34">
      <c r="A503" s="1" t="s">
        <v>167</v>
      </c>
      <c r="B503" s="170"/>
      <c r="C503" s="171">
        <v>0</v>
      </c>
      <c r="D503" s="172"/>
      <c r="E503" s="172"/>
      <c r="F503" s="173">
        <v>0</v>
      </c>
      <c r="G503" s="284"/>
      <c r="H503" s="172"/>
      <c r="I503" s="173">
        <v>0</v>
      </c>
      <c r="J503" s="172"/>
      <c r="K503" s="172"/>
      <c r="L503" s="173">
        <v>0</v>
      </c>
      <c r="M503" s="274"/>
      <c r="N503" s="274"/>
      <c r="O503" s="333"/>
      <c r="P503" s="38"/>
      <c r="Q503" s="38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</row>
    <row r="504" spans="1:34" ht="16.5" thickBot="1">
      <c r="A504" s="1" t="s">
        <v>186</v>
      </c>
      <c r="B504" s="1"/>
      <c r="C504" s="174">
        <v>0</v>
      </c>
      <c r="D504" s="175"/>
      <c r="E504" s="175"/>
      <c r="F504" s="175">
        <f>F502+F503</f>
        <v>0</v>
      </c>
      <c r="G504" s="730"/>
      <c r="H504" s="175"/>
      <c r="I504" s="175">
        <f>I502+I503</f>
        <v>0</v>
      </c>
      <c r="J504" s="175"/>
      <c r="K504" s="175"/>
      <c r="L504" s="175">
        <f ca="1">L502+L503</f>
        <v>0</v>
      </c>
      <c r="M504" s="274"/>
      <c r="N504" s="274"/>
      <c r="O504" s="333"/>
      <c r="P504" s="38"/>
      <c r="Q504" s="38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</row>
    <row r="505" spans="1:34" ht="16.5" thickTop="1">
      <c r="A505" s="1"/>
      <c r="B505" s="1"/>
      <c r="C505" s="12"/>
      <c r="D505" s="200" t="s">
        <v>13</v>
      </c>
      <c r="E505" s="1"/>
      <c r="F505" s="2"/>
      <c r="G505" s="216" t="s">
        <v>13</v>
      </c>
      <c r="H505" s="1"/>
      <c r="I505" s="2" t="s">
        <v>13</v>
      </c>
      <c r="J505" s="216" t="s">
        <v>13</v>
      </c>
      <c r="K505" s="1"/>
      <c r="L505" s="2" t="s">
        <v>13</v>
      </c>
      <c r="M505" s="11"/>
      <c r="N505" s="11"/>
      <c r="O505" s="38"/>
      <c r="P505" s="38"/>
      <c r="Q505" s="38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</row>
    <row r="506" spans="1:34">
      <c r="A506" s="156" t="s">
        <v>224</v>
      </c>
      <c r="B506" s="1"/>
      <c r="C506" s="217"/>
      <c r="D506" s="2"/>
      <c r="E506" s="1"/>
      <c r="F506" s="1"/>
      <c r="G506" s="516"/>
      <c r="H506" s="1"/>
      <c r="I506" s="2" t="s">
        <v>13</v>
      </c>
      <c r="J506" s="2"/>
      <c r="K506" s="1"/>
      <c r="L506" s="2" t="s">
        <v>13</v>
      </c>
      <c r="M506" s="11"/>
      <c r="N506" s="11"/>
      <c r="O506" s="38"/>
      <c r="P506" s="38"/>
      <c r="Q506" s="38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</row>
    <row r="507" spans="1:34">
      <c r="A507" s="186" t="s">
        <v>139</v>
      </c>
      <c r="B507" s="1"/>
      <c r="C507" s="1" t="s">
        <v>13</v>
      </c>
      <c r="D507" s="2"/>
      <c r="E507" s="1"/>
      <c r="F507" s="1"/>
      <c r="G507" s="516"/>
      <c r="H507" s="1"/>
      <c r="I507" s="1"/>
      <c r="J507" s="2"/>
      <c r="K507" s="1"/>
      <c r="L507" s="1"/>
      <c r="M507" s="11"/>
      <c r="N507" s="11"/>
      <c r="O507" s="38"/>
      <c r="P507" s="38"/>
      <c r="Q507" s="38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</row>
    <row r="508" spans="1:34">
      <c r="A508" s="186"/>
      <c r="B508" s="1"/>
      <c r="C508" s="1"/>
      <c r="D508" s="2"/>
      <c r="E508" s="1"/>
      <c r="F508" s="1"/>
      <c r="G508" s="516"/>
      <c r="H508" s="1"/>
      <c r="I508" s="1"/>
      <c r="J508" s="2"/>
      <c r="K508" s="1"/>
      <c r="L508" s="1"/>
      <c r="M508" s="11"/>
      <c r="N508" s="11"/>
      <c r="O508" s="38"/>
      <c r="P508" s="38"/>
      <c r="Q508" s="38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</row>
    <row r="509" spans="1:34">
      <c r="A509" s="186" t="s">
        <v>197</v>
      </c>
      <c r="B509" s="1"/>
      <c r="C509" s="182"/>
      <c r="D509" s="2"/>
      <c r="E509" s="1"/>
      <c r="F509" s="1"/>
      <c r="G509" s="516"/>
      <c r="H509" s="1"/>
      <c r="I509" s="1"/>
      <c r="J509" s="2"/>
      <c r="K509" s="1"/>
      <c r="L509" s="1"/>
      <c r="M509" s="11"/>
      <c r="N509" s="11"/>
      <c r="O509" s="38"/>
      <c r="P509" s="38"/>
      <c r="Q509" s="38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</row>
    <row r="510" spans="1:34">
      <c r="A510" s="186" t="s">
        <v>225</v>
      </c>
      <c r="B510" s="1"/>
      <c r="C510" s="182">
        <v>0</v>
      </c>
      <c r="D510" s="218">
        <f>D547</f>
        <v>248</v>
      </c>
      <c r="E510" s="186"/>
      <c r="F510" s="184">
        <f>ROUND(D510*$C510,0)</f>
        <v>0</v>
      </c>
      <c r="G510" s="506">
        <v>248</v>
      </c>
      <c r="H510" s="186"/>
      <c r="I510" s="184">
        <f>ROUND(G510*$C510,0)</f>
        <v>0</v>
      </c>
      <c r="J510" s="218">
        <f>J547</f>
        <v>248</v>
      </c>
      <c r="K510" s="186"/>
      <c r="L510" s="184">
        <f>ROUND(J510*$C510,0)</f>
        <v>0</v>
      </c>
      <c r="M510" s="11"/>
      <c r="N510" s="11"/>
      <c r="O510" s="38"/>
      <c r="P510" s="38"/>
      <c r="Q510" s="38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</row>
    <row r="511" spans="1:34">
      <c r="A511" s="186" t="s">
        <v>226</v>
      </c>
      <c r="B511" s="1"/>
      <c r="C511" s="182">
        <v>0</v>
      </c>
      <c r="D511" s="218">
        <f>D548</f>
        <v>93</v>
      </c>
      <c r="E511" s="186"/>
      <c r="F511" s="184">
        <f>ROUND(D511*$C511,0)</f>
        <v>0</v>
      </c>
      <c r="G511" s="506">
        <v>93</v>
      </c>
      <c r="H511" s="186"/>
      <c r="I511" s="184">
        <f>ROUND(G511*$C511,0)</f>
        <v>0</v>
      </c>
      <c r="J511" s="218">
        <f>J548</f>
        <v>93</v>
      </c>
      <c r="K511" s="186"/>
      <c r="L511" s="184">
        <f>ROUND(J511*$C511,0)</f>
        <v>0</v>
      </c>
      <c r="M511" s="11"/>
      <c r="N511" s="11"/>
      <c r="O511" s="38"/>
      <c r="P511" s="38"/>
      <c r="Q511" s="38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</row>
    <row r="512" spans="1:34">
      <c r="A512" s="186" t="s">
        <v>227</v>
      </c>
      <c r="B512" s="1"/>
      <c r="C512" s="182">
        <v>0</v>
      </c>
      <c r="D512" s="218">
        <f>D549</f>
        <v>185</v>
      </c>
      <c r="E512" s="188"/>
      <c r="F512" s="184">
        <f>ROUND(D512*$C512,0)</f>
        <v>0</v>
      </c>
      <c r="G512" s="506">
        <v>185</v>
      </c>
      <c r="H512" s="188"/>
      <c r="I512" s="184">
        <f>ROUND(G512*$C512,0)</f>
        <v>0</v>
      </c>
      <c r="J512" s="218">
        <f>J549</f>
        <v>185</v>
      </c>
      <c r="K512" s="188"/>
      <c r="L512" s="184">
        <f>ROUND(J512*$C512,0)</f>
        <v>0</v>
      </c>
      <c r="M512" s="11"/>
      <c r="N512" s="11"/>
      <c r="O512" s="38"/>
      <c r="P512" s="38"/>
      <c r="Q512" s="38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</row>
    <row r="513" spans="1:34">
      <c r="A513" s="186" t="s">
        <v>198</v>
      </c>
      <c r="B513" s="1"/>
      <c r="C513" s="182">
        <f>SUM(C510:C512)</f>
        <v>0</v>
      </c>
      <c r="D513" s="218"/>
      <c r="E513" s="186"/>
      <c r="F513" s="184"/>
      <c r="G513" s="506"/>
      <c r="H513" s="186"/>
      <c r="I513" s="184"/>
      <c r="J513" s="218"/>
      <c r="K513" s="186"/>
      <c r="L513" s="184"/>
      <c r="M513" s="11"/>
      <c r="N513" s="11"/>
      <c r="O513" s="38"/>
      <c r="P513" s="38"/>
      <c r="Q513" s="38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</row>
    <row r="514" spans="1:34">
      <c r="A514" s="186" t="s">
        <v>226</v>
      </c>
      <c r="B514" s="1"/>
      <c r="C514" s="182">
        <v>0</v>
      </c>
      <c r="D514" s="218">
        <f>D551</f>
        <v>1.8</v>
      </c>
      <c r="E514" s="186" t="s">
        <v>13</v>
      </c>
      <c r="F514" s="184">
        <f>ROUND(D514*$C514,0)</f>
        <v>0</v>
      </c>
      <c r="G514" s="506">
        <v>1.8</v>
      </c>
      <c r="H514" s="186" t="s">
        <v>13</v>
      </c>
      <c r="I514" s="184">
        <f>ROUND(G514*$C514,0)</f>
        <v>0</v>
      </c>
      <c r="J514" s="218">
        <f>J551</f>
        <v>1.8</v>
      </c>
      <c r="K514" s="186" t="s">
        <v>13</v>
      </c>
      <c r="L514" s="184">
        <f>ROUND(J514*$C514,0)</f>
        <v>0</v>
      </c>
      <c r="M514" s="11"/>
      <c r="N514" s="11"/>
      <c r="O514" s="38"/>
      <c r="P514" s="38"/>
      <c r="Q514" s="38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</row>
    <row r="515" spans="1:34">
      <c r="A515" s="186" t="s">
        <v>227</v>
      </c>
      <c r="B515" s="1"/>
      <c r="C515" s="182">
        <v>0</v>
      </c>
      <c r="D515" s="218">
        <f>D552</f>
        <v>1.48</v>
      </c>
      <c r="E515" s="186" t="s">
        <v>13</v>
      </c>
      <c r="F515" s="184">
        <f>ROUND(D515*$C515,0)</f>
        <v>0</v>
      </c>
      <c r="G515" s="506">
        <v>1.48</v>
      </c>
      <c r="H515" s="186" t="s">
        <v>13</v>
      </c>
      <c r="I515" s="184">
        <f>ROUND(G515*$C515,0)</f>
        <v>0</v>
      </c>
      <c r="J515" s="218">
        <f>J552</f>
        <v>1.48</v>
      </c>
      <c r="K515" s="186" t="s">
        <v>13</v>
      </c>
      <c r="L515" s="184">
        <f>ROUND(J515*$C515,0)</f>
        <v>0</v>
      </c>
      <c r="M515" s="11"/>
      <c r="N515" s="11"/>
      <c r="O515" s="38"/>
      <c r="P515" s="38"/>
      <c r="Q515" s="38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</row>
    <row r="516" spans="1:34">
      <c r="A516" s="172" t="s">
        <v>228</v>
      </c>
      <c r="B516" s="1"/>
      <c r="C516" s="182"/>
      <c r="D516" s="218"/>
      <c r="E516" s="186"/>
      <c r="F516" s="184"/>
      <c r="G516" s="506"/>
      <c r="H516" s="186"/>
      <c r="I516" s="184"/>
      <c r="J516" s="218"/>
      <c r="K516" s="186"/>
      <c r="L516" s="184"/>
      <c r="M516" s="11"/>
      <c r="N516" s="11"/>
      <c r="O516" s="38"/>
      <c r="P516" s="38"/>
      <c r="Q516" s="38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</row>
    <row r="517" spans="1:34">
      <c r="A517" s="172" t="s">
        <v>229</v>
      </c>
      <c r="B517" s="1"/>
      <c r="C517" s="182">
        <v>0</v>
      </c>
      <c r="D517" s="218">
        <f>D554</f>
        <v>6.3</v>
      </c>
      <c r="E517" s="186"/>
      <c r="F517" s="184">
        <f>ROUND(D517*$C517,0)</f>
        <v>0</v>
      </c>
      <c r="G517" s="506">
        <v>6.3</v>
      </c>
      <c r="H517" s="186"/>
      <c r="I517" s="184">
        <f>ROUND(G517*$C517,0)</f>
        <v>0</v>
      </c>
      <c r="J517" s="218">
        <f>J554</f>
        <v>6.3</v>
      </c>
      <c r="K517" s="186"/>
      <c r="L517" s="184">
        <f>ROUND(J517*$C517,0)</f>
        <v>0</v>
      </c>
      <c r="M517" s="11"/>
      <c r="N517" s="11"/>
      <c r="O517" s="38"/>
      <c r="P517" s="38"/>
      <c r="Q517" s="38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</row>
    <row r="518" spans="1:34">
      <c r="A518" s="186" t="s">
        <v>230</v>
      </c>
      <c r="B518" s="1"/>
      <c r="C518" s="182"/>
      <c r="D518" s="219"/>
      <c r="E518" s="184"/>
      <c r="F518" s="184"/>
      <c r="G518" s="216"/>
      <c r="H518" s="184"/>
      <c r="I518" s="184"/>
      <c r="J518" s="219"/>
      <c r="K518" s="184"/>
      <c r="L518" s="184"/>
      <c r="M518" s="11"/>
      <c r="N518" s="11"/>
      <c r="O518" s="38"/>
      <c r="P518" s="38"/>
      <c r="Q518" s="38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</row>
    <row r="519" spans="1:34">
      <c r="A519" s="186" t="s">
        <v>231</v>
      </c>
      <c r="B519" s="1"/>
      <c r="C519" s="182">
        <v>0</v>
      </c>
      <c r="D519" s="198">
        <f>D557</f>
        <v>5.7480000000000002</v>
      </c>
      <c r="E519" s="184" t="s">
        <v>178</v>
      </c>
      <c r="F519" s="184">
        <f>ROUND($C519*D519/100,0)</f>
        <v>0</v>
      </c>
      <c r="G519" s="735">
        <v>6.0709999999999997</v>
      </c>
      <c r="H519" s="184" t="s">
        <v>178</v>
      </c>
      <c r="I519" s="184">
        <f>ROUND($C519*G519/100,0)</f>
        <v>0</v>
      </c>
      <c r="J519" s="198">
        <f ca="1">J557</f>
        <v>6.0570000000000004</v>
      </c>
      <c r="K519" s="184" t="s">
        <v>178</v>
      </c>
      <c r="L519" s="184">
        <f ca="1">ROUND($C519*J519/100,0)</f>
        <v>0</v>
      </c>
      <c r="M519" s="11"/>
      <c r="N519" s="11"/>
      <c r="O519" s="38"/>
      <c r="P519" s="38"/>
      <c r="Q519" s="38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</row>
    <row r="520" spans="1:34">
      <c r="A520" s="186" t="s">
        <v>203</v>
      </c>
      <c r="B520" s="1"/>
      <c r="C520" s="182">
        <v>0</v>
      </c>
      <c r="D520" s="198">
        <f>D558</f>
        <v>5.2460000000000004</v>
      </c>
      <c r="E520" s="184" t="s">
        <v>178</v>
      </c>
      <c r="F520" s="184">
        <f>ROUND($C520*D520/100,0)</f>
        <v>0</v>
      </c>
      <c r="G520" s="735">
        <v>5.569</v>
      </c>
      <c r="H520" s="184" t="s">
        <v>178</v>
      </c>
      <c r="I520" s="184">
        <f>ROUND($C520*G520/100,0)</f>
        <v>0</v>
      </c>
      <c r="J520" s="198">
        <f ca="1">J558</f>
        <v>5.5549999999999997</v>
      </c>
      <c r="K520" s="184" t="s">
        <v>178</v>
      </c>
      <c r="L520" s="184">
        <f ca="1">ROUND($C520*J520/100,0)</f>
        <v>0</v>
      </c>
      <c r="M520" s="11"/>
      <c r="N520" s="11"/>
      <c r="O520" s="38"/>
      <c r="P520" s="38"/>
      <c r="Q520" s="38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</row>
    <row r="521" spans="1:34">
      <c r="A521" s="186" t="s">
        <v>204</v>
      </c>
      <c r="B521" s="1"/>
      <c r="C521" s="182">
        <v>0</v>
      </c>
      <c r="D521" s="225">
        <f>D559</f>
        <v>58</v>
      </c>
      <c r="E521" s="184" t="s">
        <v>178</v>
      </c>
      <c r="F521" s="184">
        <f>ROUND(D521*$C521/100,0)</f>
        <v>0</v>
      </c>
      <c r="G521" s="743">
        <v>58</v>
      </c>
      <c r="H521" s="184" t="s">
        <v>178</v>
      </c>
      <c r="I521" s="184">
        <f>ROUND(G521*$C521,0)</f>
        <v>0</v>
      </c>
      <c r="J521" s="225">
        <f>J559</f>
        <v>58</v>
      </c>
      <c r="K521" s="184" t="s">
        <v>178</v>
      </c>
      <c r="L521" s="184">
        <f>ROUND(J521*$C521,0)</f>
        <v>0</v>
      </c>
      <c r="M521" s="11"/>
      <c r="N521" s="11"/>
      <c r="O521" s="38"/>
      <c r="P521" s="38"/>
      <c r="Q521" s="38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</row>
    <row r="522" spans="1:34">
      <c r="A522" s="186" t="s">
        <v>232</v>
      </c>
      <c r="B522" s="1"/>
      <c r="C522" s="182">
        <v>0</v>
      </c>
      <c r="D522" s="472">
        <v>0.06</v>
      </c>
      <c r="E522" s="184" t="s">
        <v>178</v>
      </c>
      <c r="F522" s="184">
        <f>ROUND($C522*D522/100,0)</f>
        <v>0</v>
      </c>
      <c r="G522" s="736">
        <v>0.06</v>
      </c>
      <c r="H522" s="184" t="s">
        <v>178</v>
      </c>
      <c r="I522" s="184">
        <f>ROUND($C522*G522/100,0)</f>
        <v>0</v>
      </c>
      <c r="J522" s="199">
        <v>0.06</v>
      </c>
      <c r="K522" s="184" t="s">
        <v>178</v>
      </c>
      <c r="L522" s="184">
        <f>ROUND($C522*J522/100,0)</f>
        <v>0</v>
      </c>
      <c r="M522" s="11"/>
      <c r="N522" s="11"/>
      <c r="O522" s="38"/>
      <c r="P522" s="38"/>
      <c r="Q522" s="38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</row>
    <row r="523" spans="1:34">
      <c r="A523" s="223" t="s">
        <v>205</v>
      </c>
      <c r="B523" s="1" t="s">
        <v>13</v>
      </c>
      <c r="C523" s="182"/>
      <c r="D523" s="195">
        <v>-0.01</v>
      </c>
      <c r="E523" s="224"/>
      <c r="F523" s="224"/>
      <c r="G523" s="734">
        <v>-0.01</v>
      </c>
      <c r="H523" s="224"/>
      <c r="I523" s="2"/>
      <c r="J523" s="195">
        <f>G523</f>
        <v>-0.01</v>
      </c>
      <c r="K523" s="224"/>
      <c r="L523" s="2"/>
      <c r="M523" s="11"/>
      <c r="N523" s="11"/>
      <c r="O523" s="38"/>
      <c r="P523" s="38"/>
      <c r="Q523" s="38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</row>
    <row r="524" spans="1:34">
      <c r="A524" s="186" t="s">
        <v>225</v>
      </c>
      <c r="B524" s="1"/>
      <c r="C524" s="182">
        <v>0</v>
      </c>
      <c r="D524" s="218">
        <f>D510</f>
        <v>248</v>
      </c>
      <c r="E524" s="186"/>
      <c r="F524" s="184">
        <f t="shared" ref="F524:F529" si="49">ROUND(D524*$C524*$D$523,0)</f>
        <v>0</v>
      </c>
      <c r="G524" s="506">
        <v>248</v>
      </c>
      <c r="H524" s="186"/>
      <c r="I524" s="184">
        <f t="shared" ref="I524:I529" si="50">ROUND(G524*$C524*$G$523,0)</f>
        <v>0</v>
      </c>
      <c r="J524" s="167">
        <f>J510</f>
        <v>248</v>
      </c>
      <c r="K524" s="186"/>
      <c r="L524" s="184">
        <f t="shared" ref="L524:L529" si="51">ROUND(J524*$C524*$G$523,0)</f>
        <v>0</v>
      </c>
      <c r="M524" s="11"/>
      <c r="N524" s="11"/>
      <c r="O524" s="38"/>
      <c r="P524" s="38"/>
      <c r="Q524" s="38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</row>
    <row r="525" spans="1:34">
      <c r="A525" s="186" t="s">
        <v>226</v>
      </c>
      <c r="B525" s="1"/>
      <c r="C525" s="182">
        <v>0</v>
      </c>
      <c r="D525" s="218">
        <f>D511</f>
        <v>93</v>
      </c>
      <c r="E525" s="186"/>
      <c r="F525" s="184">
        <f t="shared" si="49"/>
        <v>0</v>
      </c>
      <c r="G525" s="506">
        <v>93</v>
      </c>
      <c r="H525" s="186"/>
      <c r="I525" s="184">
        <f t="shared" si="50"/>
        <v>0</v>
      </c>
      <c r="J525" s="167">
        <f>J511</f>
        <v>93</v>
      </c>
      <c r="K525" s="186"/>
      <c r="L525" s="184">
        <f t="shared" si="51"/>
        <v>0</v>
      </c>
      <c r="M525" s="11"/>
      <c r="N525" s="11"/>
      <c r="O525" s="38"/>
      <c r="P525" s="38"/>
      <c r="Q525" s="38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</row>
    <row r="526" spans="1:34">
      <c r="A526" s="186" t="s">
        <v>227</v>
      </c>
      <c r="B526" s="1"/>
      <c r="C526" s="182">
        <v>0</v>
      </c>
      <c r="D526" s="218">
        <f>D512</f>
        <v>185</v>
      </c>
      <c r="E526" s="188"/>
      <c r="F526" s="184">
        <f t="shared" si="49"/>
        <v>0</v>
      </c>
      <c r="G526" s="506">
        <v>185</v>
      </c>
      <c r="H526" s="188"/>
      <c r="I526" s="184">
        <f t="shared" si="50"/>
        <v>0</v>
      </c>
      <c r="J526" s="167">
        <f>J512</f>
        <v>185</v>
      </c>
      <c r="K526" s="188"/>
      <c r="L526" s="184">
        <f t="shared" si="51"/>
        <v>0</v>
      </c>
      <c r="M526" s="11"/>
      <c r="N526" s="11"/>
      <c r="O526" s="38"/>
      <c r="P526" s="38"/>
      <c r="Q526" s="38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</row>
    <row r="527" spans="1:34">
      <c r="A527" s="186" t="s">
        <v>226</v>
      </c>
      <c r="B527" s="1"/>
      <c r="C527" s="182">
        <v>0</v>
      </c>
      <c r="D527" s="218">
        <f>D514</f>
        <v>1.8</v>
      </c>
      <c r="E527" s="186" t="s">
        <v>13</v>
      </c>
      <c r="F527" s="184">
        <f t="shared" si="49"/>
        <v>0</v>
      </c>
      <c r="G527" s="506">
        <v>1.8</v>
      </c>
      <c r="H527" s="186" t="s">
        <v>13</v>
      </c>
      <c r="I527" s="184">
        <f t="shared" si="50"/>
        <v>0</v>
      </c>
      <c r="J527" s="167">
        <f>J514</f>
        <v>1.8</v>
      </c>
      <c r="K527" s="186" t="s">
        <v>13</v>
      </c>
      <c r="L527" s="184">
        <f t="shared" si="51"/>
        <v>0</v>
      </c>
      <c r="M527" s="11"/>
      <c r="N527" s="11"/>
      <c r="O527" s="38"/>
      <c r="P527" s="38"/>
      <c r="Q527" s="38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</row>
    <row r="528" spans="1:34">
      <c r="A528" s="186" t="s">
        <v>227</v>
      </c>
      <c r="B528" s="1"/>
      <c r="C528" s="182">
        <v>0</v>
      </c>
      <c r="D528" s="218">
        <f>D515</f>
        <v>1.48</v>
      </c>
      <c r="E528" s="186" t="s">
        <v>13</v>
      </c>
      <c r="F528" s="184">
        <f t="shared" si="49"/>
        <v>0</v>
      </c>
      <c r="G528" s="506">
        <v>1.48</v>
      </c>
      <c r="H528" s="186" t="s">
        <v>13</v>
      </c>
      <c r="I528" s="184">
        <f t="shared" si="50"/>
        <v>0</v>
      </c>
      <c r="J528" s="167">
        <f>J515</f>
        <v>1.48</v>
      </c>
      <c r="K528" s="186" t="s">
        <v>13</v>
      </c>
      <c r="L528" s="184">
        <f t="shared" si="51"/>
        <v>0</v>
      </c>
      <c r="M528" s="11"/>
      <c r="N528" s="11"/>
      <c r="O528" s="38"/>
      <c r="P528" s="38"/>
      <c r="Q528" s="38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</row>
    <row r="529" spans="1:34">
      <c r="A529" s="172" t="s">
        <v>229</v>
      </c>
      <c r="B529" s="1"/>
      <c r="C529" s="182">
        <v>0</v>
      </c>
      <c r="D529" s="218">
        <f>D517</f>
        <v>6.3</v>
      </c>
      <c r="E529" s="186"/>
      <c r="F529" s="184">
        <f t="shared" si="49"/>
        <v>0</v>
      </c>
      <c r="G529" s="506">
        <v>6.3</v>
      </c>
      <c r="H529" s="186"/>
      <c r="I529" s="184">
        <f t="shared" si="50"/>
        <v>0</v>
      </c>
      <c r="J529" s="167">
        <f>J517</f>
        <v>6.3</v>
      </c>
      <c r="K529" s="186"/>
      <c r="L529" s="184">
        <f t="shared" si="51"/>
        <v>0</v>
      </c>
      <c r="M529" s="11"/>
      <c r="N529" s="11"/>
      <c r="O529" s="38"/>
      <c r="P529" s="38"/>
      <c r="Q529" s="38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</row>
    <row r="530" spans="1:34">
      <c r="A530" s="186" t="s">
        <v>231</v>
      </c>
      <c r="B530" s="1"/>
      <c r="C530" s="182">
        <v>0</v>
      </c>
      <c r="D530" s="198">
        <f>D519</f>
        <v>5.7480000000000002</v>
      </c>
      <c r="E530" s="184" t="s">
        <v>178</v>
      </c>
      <c r="F530" s="184">
        <f>ROUND(D530/100*$C530*D523,0)</f>
        <v>0</v>
      </c>
      <c r="G530" s="735">
        <v>6.0709999999999997</v>
      </c>
      <c r="H530" s="184" t="s">
        <v>178</v>
      </c>
      <c r="I530" s="184">
        <f>ROUND(G530/100*$C530*G523,0)</f>
        <v>0</v>
      </c>
      <c r="J530" s="198">
        <f ca="1">J519</f>
        <v>6.0570000000000004</v>
      </c>
      <c r="K530" s="184" t="s">
        <v>178</v>
      </c>
      <c r="L530" s="184">
        <f ca="1">ROUND(J530/100*$C530*J523,0)</f>
        <v>0</v>
      </c>
      <c r="M530" s="11"/>
      <c r="N530" s="11"/>
      <c r="O530" s="38"/>
      <c r="P530" s="38"/>
      <c r="Q530" s="38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</row>
    <row r="531" spans="1:34">
      <c r="A531" s="186" t="s">
        <v>203</v>
      </c>
      <c r="B531" s="1"/>
      <c r="C531" s="182">
        <v>0</v>
      </c>
      <c r="D531" s="198">
        <f>D520</f>
        <v>5.2460000000000004</v>
      </c>
      <c r="E531" s="184" t="s">
        <v>178</v>
      </c>
      <c r="F531" s="184">
        <f>ROUND(D531/100*$C531*D523,0)</f>
        <v>0</v>
      </c>
      <c r="G531" s="735">
        <v>5.569</v>
      </c>
      <c r="H531" s="184" t="s">
        <v>178</v>
      </c>
      <c r="I531" s="184">
        <f>ROUND(G531/100*$C531*G523,0)</f>
        <v>0</v>
      </c>
      <c r="J531" s="198">
        <f ca="1">J520</f>
        <v>5.5549999999999997</v>
      </c>
      <c r="K531" s="184" t="s">
        <v>178</v>
      </c>
      <c r="L531" s="184">
        <f ca="1">ROUND(J531/100*$C531*J523,0)</f>
        <v>0</v>
      </c>
      <c r="M531" s="11"/>
      <c r="N531" s="11"/>
      <c r="O531" s="38"/>
      <c r="P531" s="38"/>
      <c r="Q531" s="38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</row>
    <row r="532" spans="1:34">
      <c r="A532" s="172" t="s">
        <v>233</v>
      </c>
      <c r="B532" s="1"/>
      <c r="C532" s="182">
        <v>0</v>
      </c>
      <c r="D532" s="542">
        <f>D521</f>
        <v>58</v>
      </c>
      <c r="E532" s="184" t="s">
        <v>178</v>
      </c>
      <c r="F532" s="184">
        <f>ROUND(D532*$C532*$D$523,0)</f>
        <v>0</v>
      </c>
      <c r="G532" s="733">
        <v>58</v>
      </c>
      <c r="H532" s="184" t="s">
        <v>178</v>
      </c>
      <c r="I532" s="184">
        <f>ROUND(G532*$C532*$G$523,0)</f>
        <v>0</v>
      </c>
      <c r="J532" s="238">
        <f>J521</f>
        <v>58</v>
      </c>
      <c r="K532" s="184" t="s">
        <v>178</v>
      </c>
      <c r="L532" s="184">
        <f>ROUND(J532*$C532*$G$523,0)</f>
        <v>0</v>
      </c>
      <c r="M532" s="11"/>
      <c r="N532" s="11"/>
      <c r="O532" s="38"/>
      <c r="P532" s="38"/>
      <c r="Q532" s="38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</row>
    <row r="533" spans="1:34">
      <c r="A533" s="172" t="s">
        <v>234</v>
      </c>
      <c r="B533" s="1"/>
      <c r="C533" s="182">
        <v>0</v>
      </c>
      <c r="D533" s="543">
        <f>D522</f>
        <v>0.06</v>
      </c>
      <c r="E533" s="184" t="s">
        <v>178</v>
      </c>
      <c r="F533" s="184">
        <f>ROUND(D533/100*$C533*D523,0)</f>
        <v>0</v>
      </c>
      <c r="G533" s="744">
        <v>0.06</v>
      </c>
      <c r="H533" s="184" t="s">
        <v>178</v>
      </c>
      <c r="I533" s="184">
        <f>ROUND(G533/100*$C533*G523,0)</f>
        <v>0</v>
      </c>
      <c r="J533" s="472">
        <f>G533</f>
        <v>0.06</v>
      </c>
      <c r="K533" s="184" t="s">
        <v>178</v>
      </c>
      <c r="L533" s="184">
        <f>ROUND(J533/100*$C533*J523,0)</f>
        <v>0</v>
      </c>
      <c r="M533" s="11"/>
      <c r="N533" s="11"/>
      <c r="O533" s="38"/>
      <c r="P533" s="38"/>
      <c r="Q533" s="38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</row>
    <row r="534" spans="1:34">
      <c r="A534" s="186" t="s">
        <v>235</v>
      </c>
      <c r="B534" s="1"/>
      <c r="C534" s="182">
        <v>0</v>
      </c>
      <c r="D534" s="226">
        <v>60</v>
      </c>
      <c r="E534" s="227" t="s">
        <v>13</v>
      </c>
      <c r="F534" s="184">
        <f>ROUND(D534*$C534,0)</f>
        <v>0</v>
      </c>
      <c r="G534" s="216">
        <v>60</v>
      </c>
      <c r="H534" s="227" t="s">
        <v>13</v>
      </c>
      <c r="I534" s="184">
        <f>ROUND(G534*$C534,0)</f>
        <v>0</v>
      </c>
      <c r="J534" s="226">
        <v>60</v>
      </c>
      <c r="K534" s="227" t="s">
        <v>13</v>
      </c>
      <c r="L534" s="184">
        <f>ROUND(J534*$C534,0)</f>
        <v>0</v>
      </c>
      <c r="M534" s="11"/>
      <c r="N534" s="11"/>
      <c r="O534" s="38"/>
      <c r="P534" s="38"/>
      <c r="Q534" s="38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</row>
    <row r="535" spans="1:34">
      <c r="A535" s="186" t="s">
        <v>236</v>
      </c>
      <c r="B535" s="1"/>
      <c r="C535" s="182">
        <v>0</v>
      </c>
      <c r="D535" s="199">
        <v>-30</v>
      </c>
      <c r="E535" s="184" t="s">
        <v>178</v>
      </c>
      <c r="F535" s="184">
        <f>ROUND(D535*$C535*$D$523,0)</f>
        <v>0</v>
      </c>
      <c r="G535" s="736">
        <v>-30</v>
      </c>
      <c r="H535" s="184" t="s">
        <v>178</v>
      </c>
      <c r="I535" s="184">
        <f>ROUND(G535*$C535*$G$523,0)</f>
        <v>0</v>
      </c>
      <c r="J535" s="199">
        <v>-30</v>
      </c>
      <c r="K535" s="184" t="s">
        <v>178</v>
      </c>
      <c r="L535" s="184">
        <f>ROUND(J535*$C535*$G$523,0)</f>
        <v>0</v>
      </c>
      <c r="M535" s="11"/>
      <c r="N535" s="11"/>
      <c r="O535" s="38"/>
      <c r="P535" s="38"/>
      <c r="Q535" s="17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</row>
    <row r="536" spans="1:34">
      <c r="A536" s="172" t="s">
        <v>237</v>
      </c>
      <c r="B536" s="1"/>
      <c r="C536" s="182">
        <v>0</v>
      </c>
      <c r="D536" s="197">
        <f>D517/2</f>
        <v>3.15</v>
      </c>
      <c r="E536" s="184"/>
      <c r="F536" s="184">
        <f>ROUND(D536*$C536*$D$523,0)</f>
        <v>0</v>
      </c>
      <c r="G536" s="506">
        <v>3.15</v>
      </c>
      <c r="H536" s="184"/>
      <c r="I536" s="184">
        <f>ROUND($C536*G536,0)</f>
        <v>0</v>
      </c>
      <c r="J536" s="218">
        <f>J529/2</f>
        <v>3.15</v>
      </c>
      <c r="K536" s="184"/>
      <c r="L536" s="184">
        <f>ROUND($C536*J536,0)</f>
        <v>0</v>
      </c>
      <c r="M536" s="11"/>
      <c r="N536" s="11"/>
      <c r="O536" s="38"/>
      <c r="P536" s="38"/>
      <c r="Q536" s="38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</row>
    <row r="537" spans="1:34">
      <c r="A537" s="172" t="s">
        <v>238</v>
      </c>
      <c r="B537" s="1"/>
      <c r="C537" s="182">
        <v>0</v>
      </c>
      <c r="D537" s="197">
        <f>D517*4</f>
        <v>25.2</v>
      </c>
      <c r="E537" s="184"/>
      <c r="F537" s="184">
        <f>ROUND($C537*D537/100,0)</f>
        <v>0</v>
      </c>
      <c r="G537" s="506">
        <v>25.2</v>
      </c>
      <c r="H537" s="184"/>
      <c r="I537" s="184">
        <f>ROUND($C537*G537,0)</f>
        <v>0</v>
      </c>
      <c r="J537" s="218">
        <f>J529*4</f>
        <v>25.2</v>
      </c>
      <c r="K537" s="184"/>
      <c r="L537" s="184">
        <f>ROUND($C537*J537,0)</f>
        <v>0</v>
      </c>
      <c r="M537" s="11"/>
      <c r="N537" s="11"/>
      <c r="O537" s="38"/>
      <c r="P537" s="38"/>
      <c r="Q537" s="38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</row>
    <row r="538" spans="1:34">
      <c r="A538" s="3" t="s">
        <v>239</v>
      </c>
      <c r="B538" s="166"/>
      <c r="C538" s="182">
        <v>0</v>
      </c>
      <c r="D538" s="198">
        <f>D519*4</f>
        <v>22.992000000000001</v>
      </c>
      <c r="E538" s="184" t="s">
        <v>178</v>
      </c>
      <c r="F538" s="184">
        <f>ROUND($C538*D538/100,0)</f>
        <v>0</v>
      </c>
      <c r="G538" s="735">
        <v>22.276</v>
      </c>
      <c r="H538" s="184" t="s">
        <v>178</v>
      </c>
      <c r="I538" s="184">
        <f>ROUND($C538*G538/100,0)</f>
        <v>0</v>
      </c>
      <c r="J538" s="198">
        <f ca="1">(J520)*4</f>
        <v>22.22</v>
      </c>
      <c r="K538" s="184" t="s">
        <v>178</v>
      </c>
      <c r="L538" s="184">
        <f ca="1">ROUND($C538*J538/100,0)</f>
        <v>0</v>
      </c>
      <c r="M538" s="6" t="s">
        <v>23</v>
      </c>
      <c r="N538" s="6"/>
      <c r="O538" s="38"/>
      <c r="P538" s="38"/>
      <c r="Q538" s="38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</row>
    <row r="539" spans="1:34">
      <c r="A539" s="1" t="s">
        <v>185</v>
      </c>
      <c r="B539" s="1"/>
      <c r="C539" s="182">
        <f>SUM(C519:C520)</f>
        <v>0</v>
      </c>
      <c r="D539" s="193"/>
      <c r="E539" s="186"/>
      <c r="F539" s="2">
        <f>SUM(F510:F538)</f>
        <v>0</v>
      </c>
      <c r="G539" s="733"/>
      <c r="H539" s="186"/>
      <c r="I539" s="2">
        <f>SUM(I510:I538)</f>
        <v>0</v>
      </c>
      <c r="J539" s="193"/>
      <c r="K539" s="186"/>
      <c r="L539" s="2">
        <f ca="1">SUM(L510:L538)</f>
        <v>0</v>
      </c>
      <c r="M539" s="11"/>
      <c r="N539" s="11"/>
      <c r="O539" s="38"/>
      <c r="P539" s="38"/>
      <c r="Q539" s="38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</row>
    <row r="540" spans="1:34">
      <c r="A540" s="1" t="s">
        <v>167</v>
      </c>
      <c r="B540" s="1"/>
      <c r="C540" s="212">
        <v>0</v>
      </c>
      <c r="D540" s="172"/>
      <c r="E540" s="172"/>
      <c r="F540" s="173">
        <v>0</v>
      </c>
      <c r="G540" s="284"/>
      <c r="H540" s="172"/>
      <c r="I540" s="173">
        <v>0</v>
      </c>
      <c r="J540" s="172"/>
      <c r="K540" s="172"/>
      <c r="L540" s="173">
        <v>0</v>
      </c>
      <c r="M540" s="307"/>
      <c r="N540" s="307"/>
      <c r="O540" s="150"/>
      <c r="P540" s="38"/>
      <c r="Q540" s="38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</row>
    <row r="541" spans="1:34" ht="16.5" thickBot="1">
      <c r="A541" s="1" t="s">
        <v>186</v>
      </c>
      <c r="B541" s="1"/>
      <c r="C541" s="229">
        <f>SUM(C539:C540)</f>
        <v>0</v>
      </c>
      <c r="D541" s="205"/>
      <c r="E541" s="208"/>
      <c r="F541" s="207">
        <f>SUM(F539:F540)</f>
        <v>0</v>
      </c>
      <c r="G541" s="741"/>
      <c r="H541" s="208"/>
      <c r="I541" s="207">
        <f>SUM(I539:I540)</f>
        <v>0</v>
      </c>
      <c r="J541" s="205"/>
      <c r="K541" s="208"/>
      <c r="L541" s="207">
        <f ca="1">SUM(L539:L540)</f>
        <v>0</v>
      </c>
      <c r="M541" s="274"/>
      <c r="N541" s="274"/>
      <c r="O541" s="333"/>
      <c r="P541" s="38"/>
      <c r="Q541" s="38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</row>
    <row r="542" spans="1:34" ht="16.5" thickTop="1">
      <c r="A542" s="1"/>
      <c r="B542" s="230"/>
      <c r="C542" s="12"/>
      <c r="D542" s="200"/>
      <c r="E542" s="1"/>
      <c r="F542" s="2"/>
      <c r="G542" s="216"/>
      <c r="H542" s="1"/>
      <c r="I542" s="2"/>
      <c r="J542" s="200"/>
      <c r="K542" s="1"/>
      <c r="L542" s="2"/>
      <c r="M542" s="11"/>
      <c r="N542" s="11"/>
      <c r="O542" s="38"/>
      <c r="P542" s="38"/>
      <c r="Q542" s="38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</row>
    <row r="543" spans="1:34">
      <c r="A543" s="156" t="s">
        <v>240</v>
      </c>
      <c r="B543" s="1"/>
      <c r="C543" s="1"/>
      <c r="D543" s="2"/>
      <c r="E543" s="1"/>
      <c r="F543" s="1"/>
      <c r="G543" s="516"/>
      <c r="H543" s="1"/>
      <c r="I543" s="1"/>
      <c r="J543" s="2"/>
      <c r="K543" s="1"/>
      <c r="L543" s="1"/>
      <c r="M543" s="11"/>
      <c r="N543" s="11"/>
      <c r="O543" s="853" t="s">
        <v>1456</v>
      </c>
      <c r="P543" s="38"/>
      <c r="Q543" s="38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</row>
    <row r="544" spans="1:34">
      <c r="A544" s="172" t="s">
        <v>241</v>
      </c>
      <c r="B544" s="1"/>
      <c r="C544" s="1"/>
      <c r="D544" s="2"/>
      <c r="E544" s="1"/>
      <c r="F544" s="1"/>
      <c r="G544" s="516"/>
      <c r="H544" s="1"/>
      <c r="I544" s="1"/>
      <c r="J544" s="2"/>
      <c r="K544" s="1"/>
      <c r="L544" s="1"/>
      <c r="M544" s="11"/>
      <c r="N544" s="11"/>
      <c r="O544" s="852">
        <f ca="1">'Exhibit No.__(RMM-2)pg1'!O24*1000</f>
        <v>-135177.6408206276</v>
      </c>
      <c r="P544" s="38"/>
      <c r="Q544" s="38"/>
      <c r="R544" s="38"/>
      <c r="S544" s="18"/>
      <c r="T544" s="697"/>
      <c r="U544" s="698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</row>
    <row r="545" spans="1:34">
      <c r="A545" s="186"/>
      <c r="B545" s="1"/>
      <c r="C545" s="1"/>
      <c r="D545" s="2"/>
      <c r="E545" s="1"/>
      <c r="F545" s="1"/>
      <c r="G545" s="516"/>
      <c r="H545" s="1"/>
      <c r="I545" s="1"/>
      <c r="J545" s="2"/>
      <c r="K545" s="1"/>
      <c r="L545" s="1"/>
      <c r="M545" s="11"/>
      <c r="N545" s="11"/>
      <c r="O545" s="38"/>
      <c r="P545" s="38"/>
      <c r="Q545" s="38"/>
      <c r="R545" s="661"/>
      <c r="S545" s="661"/>
      <c r="T545" s="661"/>
      <c r="U545" s="66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</row>
    <row r="546" spans="1:34">
      <c r="A546" s="186" t="s">
        <v>197</v>
      </c>
      <c r="B546" s="1"/>
      <c r="C546" s="182"/>
      <c r="D546" s="2"/>
      <c r="E546" s="1"/>
      <c r="F546" s="1"/>
      <c r="G546" s="516"/>
      <c r="H546" s="1"/>
      <c r="I546" s="1"/>
      <c r="J546" s="2"/>
      <c r="K546" s="1"/>
      <c r="L546" s="1"/>
      <c r="M546" s="11"/>
      <c r="N546" s="11"/>
      <c r="O546" s="38"/>
      <c r="P546" s="18"/>
      <c r="Q546" s="18"/>
      <c r="R546" s="660"/>
      <c r="S546" s="660"/>
      <c r="T546" s="663"/>
      <c r="U546" s="662"/>
      <c r="V546" s="11"/>
      <c r="W546" s="11"/>
      <c r="X546" s="11"/>
      <c r="Z546" s="11"/>
      <c r="AA546" s="11"/>
      <c r="AB546" s="11"/>
      <c r="AC546" s="11"/>
      <c r="AD546" s="11"/>
      <c r="AE546" s="11"/>
      <c r="AF546" s="11"/>
      <c r="AG546" s="11"/>
      <c r="AH546" s="11"/>
    </row>
    <row r="547" spans="1:34">
      <c r="A547" s="186" t="s">
        <v>225</v>
      </c>
      <c r="B547" s="1"/>
      <c r="C547" s="182">
        <f>C585+C619</f>
        <v>197.73333333333301</v>
      </c>
      <c r="D547" s="161">
        <v>248</v>
      </c>
      <c r="E547" s="186"/>
      <c r="F547" s="184">
        <f>F585+F619</f>
        <v>49038</v>
      </c>
      <c r="G547" s="506">
        <v>248</v>
      </c>
      <c r="H547" s="186"/>
      <c r="I547" s="184">
        <f>I585+I619</f>
        <v>49038</v>
      </c>
      <c r="J547" s="164">
        <f t="shared" ref="J547:J549" si="52">G547</f>
        <v>248</v>
      </c>
      <c r="K547" s="186"/>
      <c r="L547" s="184">
        <f>L585+L619</f>
        <v>49038</v>
      </c>
      <c r="M547" s="11"/>
      <c r="N547" s="11"/>
      <c r="O547" s="38"/>
      <c r="P547" s="512"/>
      <c r="Q547" s="512"/>
      <c r="R547" s="11"/>
      <c r="S547" s="11"/>
      <c r="T547" s="11"/>
      <c r="U547" s="11"/>
      <c r="V547" s="11"/>
      <c r="Y547" s="22"/>
      <c r="Z547" s="22"/>
      <c r="AC547" s="11"/>
      <c r="AD547" s="11"/>
      <c r="AE547" s="11"/>
      <c r="AF547" s="11"/>
      <c r="AG547" s="11"/>
      <c r="AH547" s="11"/>
    </row>
    <row r="548" spans="1:34">
      <c r="A548" s="186" t="s">
        <v>226</v>
      </c>
      <c r="B548" s="1"/>
      <c r="C548" s="182">
        <f>C586+C620</f>
        <v>8799.3000000000029</v>
      </c>
      <c r="D548" s="161">
        <v>93</v>
      </c>
      <c r="E548" s="186"/>
      <c r="F548" s="184">
        <f>F586+F620</f>
        <v>818335</v>
      </c>
      <c r="G548" s="506">
        <v>93</v>
      </c>
      <c r="H548" s="186"/>
      <c r="I548" s="184">
        <f>I586+I620</f>
        <v>818335</v>
      </c>
      <c r="J548" s="164">
        <f t="shared" si="52"/>
        <v>93</v>
      </c>
      <c r="K548" s="186"/>
      <c r="L548" s="184">
        <f>L586+L620</f>
        <v>818335</v>
      </c>
      <c r="M548" s="292"/>
      <c r="N548" s="292"/>
      <c r="O548" s="292"/>
      <c r="P548" s="512"/>
      <c r="Q548" s="512"/>
      <c r="R548" s="11"/>
      <c r="S548" s="279"/>
      <c r="T548" s="660"/>
      <c r="U548" s="279"/>
      <c r="V548" s="660"/>
      <c r="W548" s="42"/>
      <c r="X548" s="42"/>
      <c r="Y548" s="484"/>
      <c r="Z548" s="484"/>
      <c r="AB548" s="101"/>
      <c r="AC548" s="11"/>
      <c r="AD548" s="11"/>
      <c r="AE548" s="11"/>
      <c r="AF548" s="11"/>
      <c r="AG548" s="11"/>
      <c r="AH548" s="11"/>
    </row>
    <row r="549" spans="1:34">
      <c r="A549" s="186" t="s">
        <v>227</v>
      </c>
      <c r="B549" s="1"/>
      <c r="C549" s="182">
        <f>C587+C621</f>
        <v>3916.333333333333</v>
      </c>
      <c r="D549" s="161">
        <v>185</v>
      </c>
      <c r="E549" s="188"/>
      <c r="F549" s="184">
        <f>F587+F621</f>
        <v>724522</v>
      </c>
      <c r="G549" s="506">
        <v>185</v>
      </c>
      <c r="H549" s="188"/>
      <c r="I549" s="184">
        <f>I587+I621</f>
        <v>724522</v>
      </c>
      <c r="J549" s="164">
        <f t="shared" si="52"/>
        <v>185</v>
      </c>
      <c r="K549" s="188"/>
      <c r="L549" s="184">
        <f>L587+L621</f>
        <v>724522</v>
      </c>
      <c r="M549" s="292"/>
      <c r="N549" s="292"/>
      <c r="O549" s="38"/>
      <c r="P549" s="512"/>
      <c r="Q549" s="512"/>
      <c r="R549" s="11"/>
      <c r="S549" s="279"/>
      <c r="T549" s="660"/>
      <c r="U549" s="279"/>
      <c r="V549" s="660"/>
      <c r="W549" s="42"/>
      <c r="X549" s="42"/>
      <c r="Y549" s="484"/>
      <c r="Z549" s="484"/>
      <c r="AB549" s="101"/>
      <c r="AC549" s="11"/>
      <c r="AD549" s="11"/>
      <c r="AE549" s="11"/>
      <c r="AF549" s="11"/>
      <c r="AG549" s="11"/>
      <c r="AH549" s="11"/>
    </row>
    <row r="550" spans="1:34">
      <c r="A550" s="186" t="s">
        <v>198</v>
      </c>
      <c r="B550" s="1"/>
      <c r="C550" s="182">
        <f>SUM(C547:C549)</f>
        <v>12913.366666666669</v>
      </c>
      <c r="D550" s="161"/>
      <c r="E550" s="186"/>
      <c r="F550" s="184"/>
      <c r="G550" s="506"/>
      <c r="H550" s="186"/>
      <c r="I550" s="184"/>
      <c r="J550" s="164"/>
      <c r="K550" s="186"/>
      <c r="L550" s="184"/>
      <c r="M550" s="279"/>
      <c r="N550" s="185"/>
      <c r="O550" s="38"/>
      <c r="P550" s="512"/>
      <c r="Q550" s="38"/>
      <c r="R550" s="11"/>
      <c r="S550" s="279"/>
      <c r="T550" s="660"/>
      <c r="U550" s="279"/>
      <c r="V550" s="660"/>
      <c r="W550" s="42"/>
      <c r="X550" s="42"/>
      <c r="Y550" s="484"/>
      <c r="Z550" s="484"/>
      <c r="AB550" s="101"/>
      <c r="AC550" s="11"/>
      <c r="AD550" s="11"/>
      <c r="AE550" s="11"/>
      <c r="AF550" s="11"/>
      <c r="AG550" s="11"/>
      <c r="AH550" s="11"/>
    </row>
    <row r="551" spans="1:34">
      <c r="A551" s="186" t="s">
        <v>226</v>
      </c>
      <c r="B551" s="1"/>
      <c r="C551" s="182">
        <f>C589+C623</f>
        <v>1525091.6666666705</v>
      </c>
      <c r="D551" s="161">
        <v>1.8</v>
      </c>
      <c r="E551" s="186" t="s">
        <v>13</v>
      </c>
      <c r="F551" s="184">
        <f>F589+F623</f>
        <v>2745165</v>
      </c>
      <c r="G551" s="506">
        <v>1.8</v>
      </c>
      <c r="H551" s="186" t="s">
        <v>13</v>
      </c>
      <c r="I551" s="184">
        <f>I589+I623</f>
        <v>2745165</v>
      </c>
      <c r="J551" s="164">
        <f t="shared" ref="J551:J552" si="53">G551</f>
        <v>1.8</v>
      </c>
      <c r="K551" s="186" t="s">
        <v>13</v>
      </c>
      <c r="L551" s="184">
        <f>L589+L623</f>
        <v>2745165</v>
      </c>
      <c r="M551" s="11"/>
      <c r="N551" s="20"/>
      <c r="O551" s="17"/>
      <c r="P551" s="512"/>
      <c r="Q551" s="512"/>
      <c r="R551" s="11"/>
      <c r="S551" s="279"/>
      <c r="T551" s="658"/>
      <c r="U551" s="279"/>
      <c r="V551" s="658"/>
      <c r="W551" s="42"/>
      <c r="X551" s="42"/>
      <c r="Y551" s="485"/>
      <c r="Z551" s="485"/>
      <c r="AB551" s="11"/>
      <c r="AC551" s="11"/>
      <c r="AD551" s="11"/>
      <c r="AE551" s="11"/>
      <c r="AF551" s="11"/>
      <c r="AG551" s="11"/>
      <c r="AH551" s="11"/>
    </row>
    <row r="552" spans="1:34">
      <c r="A552" s="186" t="s">
        <v>227</v>
      </c>
      <c r="B552" s="1"/>
      <c r="C552" s="182">
        <f>C590+C624</f>
        <v>1976417.4</v>
      </c>
      <c r="D552" s="161">
        <v>1.48</v>
      </c>
      <c r="E552" s="186" t="s">
        <v>13</v>
      </c>
      <c r="F552" s="184">
        <f>F590+F624</f>
        <v>2925098</v>
      </c>
      <c r="G552" s="506">
        <v>1.48</v>
      </c>
      <c r="H552" s="186" t="s">
        <v>13</v>
      </c>
      <c r="I552" s="184">
        <f>I590+I624</f>
        <v>2925098</v>
      </c>
      <c r="J552" s="164">
        <f t="shared" si="53"/>
        <v>1.48</v>
      </c>
      <c r="K552" s="186" t="s">
        <v>13</v>
      </c>
      <c r="L552" s="184">
        <f>L590+L624</f>
        <v>2925098</v>
      </c>
      <c r="M552" s="279"/>
      <c r="N552" s="20"/>
      <c r="O552" s="38"/>
      <c r="P552" s="512"/>
      <c r="Q552" s="512"/>
      <c r="R552" s="11"/>
      <c r="S552" s="279"/>
      <c r="T552" s="279"/>
      <c r="U552" s="11"/>
      <c r="V552" s="11"/>
      <c r="AB552" s="11"/>
      <c r="AC552" s="11"/>
      <c r="AD552" s="11"/>
      <c r="AE552" s="11"/>
      <c r="AF552" s="11"/>
      <c r="AG552" s="11"/>
      <c r="AH552" s="11"/>
    </row>
    <row r="553" spans="1:34">
      <c r="A553" s="172" t="s">
        <v>228</v>
      </c>
      <c r="B553" s="1"/>
      <c r="C553" s="182"/>
      <c r="D553" s="218"/>
      <c r="E553" s="186"/>
      <c r="F553" s="184"/>
      <c r="G553" s="506"/>
      <c r="H553" s="186"/>
      <c r="I553" s="184"/>
      <c r="J553" s="167"/>
      <c r="K553" s="186"/>
      <c r="L553" s="184"/>
      <c r="M553" s="11"/>
      <c r="N553" s="185"/>
      <c r="O553" s="38"/>
      <c r="P553" s="38"/>
      <c r="Q553" s="38"/>
      <c r="R553" s="38"/>
      <c r="S553" s="11"/>
      <c r="T553" s="11"/>
      <c r="U553" s="11"/>
      <c r="V553" s="11"/>
      <c r="AB553" s="11"/>
      <c r="AC553" s="11"/>
      <c r="AD553" s="11"/>
      <c r="AE553" s="11"/>
      <c r="AF553" s="11"/>
      <c r="AG553" s="11"/>
      <c r="AH553" s="11"/>
    </row>
    <row r="554" spans="1:34">
      <c r="A554" s="172" t="s">
        <v>229</v>
      </c>
      <c r="B554" s="1"/>
      <c r="C554" s="182">
        <f>C592+C626</f>
        <v>2609943.7999999998</v>
      </c>
      <c r="D554" s="161">
        <v>6.3</v>
      </c>
      <c r="E554" s="186"/>
      <c r="F554" s="184">
        <f>F592+F626</f>
        <v>16442646</v>
      </c>
      <c r="G554" s="506">
        <v>6.3</v>
      </c>
      <c r="H554" s="186"/>
      <c r="I554" s="184">
        <f>I592+I626</f>
        <v>16442646</v>
      </c>
      <c r="J554" s="164">
        <f>G554</f>
        <v>6.3</v>
      </c>
      <c r="K554" s="186"/>
      <c r="L554" s="184">
        <f>L592+L626</f>
        <v>16442646</v>
      </c>
      <c r="M554" s="279"/>
      <c r="N554" s="20"/>
      <c r="O554" s="38"/>
      <c r="P554" s="512"/>
      <c r="Q554" s="512"/>
      <c r="R554" s="38"/>
      <c r="S554" s="11"/>
      <c r="T554" s="11"/>
      <c r="U554" s="11"/>
      <c r="V554" s="11"/>
      <c r="AB554" s="11"/>
      <c r="AC554" s="11"/>
      <c r="AD554" s="11"/>
      <c r="AE554" s="11"/>
      <c r="AF554" s="11"/>
      <c r="AG554" s="11"/>
      <c r="AH554" s="11"/>
    </row>
    <row r="555" spans="1:34">
      <c r="A555" s="172" t="s">
        <v>245</v>
      </c>
      <c r="B555" s="1"/>
      <c r="C555" s="182">
        <f>C593+C627</f>
        <v>4788.8500000000004</v>
      </c>
      <c r="D555" s="232">
        <v>6.3</v>
      </c>
      <c r="E555" s="186"/>
      <c r="F555" s="184">
        <f>F593+F627</f>
        <v>30170</v>
      </c>
      <c r="G555" s="506">
        <v>6.3</v>
      </c>
      <c r="H555" s="186"/>
      <c r="I555" s="184">
        <f>I593+I627</f>
        <v>30170</v>
      </c>
      <c r="J555" s="506">
        <f>J554</f>
        <v>6.3</v>
      </c>
      <c r="K555" s="186"/>
      <c r="L555" s="184">
        <f>L593+L627</f>
        <v>30170</v>
      </c>
      <c r="M555" s="321"/>
      <c r="N555" s="20"/>
      <c r="O555" s="17"/>
      <c r="P555" s="512"/>
      <c r="Q555" s="512"/>
      <c r="R555" s="38"/>
      <c r="S555" s="11"/>
      <c r="T555" s="11"/>
      <c r="U555" s="11"/>
      <c r="V555" s="11"/>
      <c r="AB555" s="11"/>
      <c r="AC555" s="11"/>
      <c r="AD555" s="11"/>
      <c r="AE555" s="11"/>
      <c r="AF555" s="11"/>
      <c r="AG555" s="11"/>
      <c r="AH555" s="11"/>
    </row>
    <row r="556" spans="1:34">
      <c r="A556" s="186" t="s">
        <v>230</v>
      </c>
      <c r="B556" s="1"/>
      <c r="C556" s="182"/>
      <c r="D556" s="161"/>
      <c r="E556" s="186"/>
      <c r="F556" s="184"/>
      <c r="G556" s="506"/>
      <c r="H556" s="186"/>
      <c r="I556" s="184"/>
      <c r="J556" s="164"/>
      <c r="K556" s="186"/>
      <c r="L556" s="184"/>
      <c r="M556" s="11"/>
      <c r="N556" s="185"/>
      <c r="O556" s="38"/>
      <c r="P556" s="38"/>
      <c r="Q556" s="38"/>
      <c r="R556" s="17"/>
      <c r="S556" s="708"/>
      <c r="T556" s="11"/>
      <c r="U556" s="11"/>
      <c r="V556" s="11"/>
      <c r="AB556" s="11"/>
      <c r="AC556" s="11"/>
      <c r="AD556" s="11"/>
      <c r="AE556" s="11"/>
      <c r="AF556" s="11"/>
      <c r="AG556" s="11"/>
      <c r="AH556" s="11"/>
    </row>
    <row r="557" spans="1:34">
      <c r="A557" s="186" t="s">
        <v>231</v>
      </c>
      <c r="B557" s="182"/>
      <c r="C557" s="182">
        <f>C595+C629</f>
        <v>409227417.07850456</v>
      </c>
      <c r="D557" s="190">
        <v>5.7480000000000002</v>
      </c>
      <c r="E557" s="186" t="s">
        <v>178</v>
      </c>
      <c r="F557" s="184">
        <f>F595+F629</f>
        <v>23522392</v>
      </c>
      <c r="G557" s="731">
        <v>6.0709999999999997</v>
      </c>
      <c r="H557" s="186" t="s">
        <v>178</v>
      </c>
      <c r="I557" s="184">
        <f>I595+I629</f>
        <v>24844197</v>
      </c>
      <c r="J557" s="162">
        <f ca="1">ROUND(G557+($O$544/$C$575)*100,3)</f>
        <v>6.0570000000000004</v>
      </c>
      <c r="K557" s="186" t="s">
        <v>178</v>
      </c>
      <c r="L557" s="184">
        <f ca="1">L595+L629</f>
        <v>24786905</v>
      </c>
      <c r="M557" s="11"/>
      <c r="N557" s="20"/>
      <c r="O557" s="38"/>
      <c r="P557" s="512"/>
      <c r="Q557" s="512"/>
      <c r="R557" s="38"/>
      <c r="S557" s="11"/>
      <c r="T557" s="11"/>
      <c r="U557" s="11"/>
      <c r="V557" s="11"/>
      <c r="AB557" s="11"/>
      <c r="AC557" s="11"/>
      <c r="AD557" s="11"/>
      <c r="AE557" s="11"/>
      <c r="AF557" s="11"/>
      <c r="AG557" s="11"/>
      <c r="AH557" s="11"/>
    </row>
    <row r="558" spans="1:34">
      <c r="A558" s="186" t="s">
        <v>203</v>
      </c>
      <c r="B558" s="182"/>
      <c r="C558" s="182">
        <f>C596+C630</f>
        <v>531898152.96856904</v>
      </c>
      <c r="D558" s="190">
        <v>5.2460000000000004</v>
      </c>
      <c r="E558" s="186" t="s">
        <v>178</v>
      </c>
      <c r="F558" s="184">
        <f>F596+F630</f>
        <v>27903377</v>
      </c>
      <c r="G558" s="731">
        <v>5.569</v>
      </c>
      <c r="H558" s="186" t="s">
        <v>178</v>
      </c>
      <c r="I558" s="184">
        <f>I596+I630</f>
        <v>29621408</v>
      </c>
      <c r="J558" s="162">
        <f ca="1">ROUND(G558+($O$544/$C$575)*100,3)</f>
        <v>5.5549999999999997</v>
      </c>
      <c r="K558" s="186" t="s">
        <v>178</v>
      </c>
      <c r="L558" s="184">
        <f ca="1">L596+L630</f>
        <v>29546942</v>
      </c>
      <c r="M558" s="279"/>
      <c r="N558" s="20"/>
      <c r="O558" s="38"/>
      <c r="P558" s="512"/>
      <c r="Q558" s="512"/>
      <c r="R558" s="17"/>
      <c r="S558" s="11"/>
      <c r="T558" s="11"/>
      <c r="U558" s="11"/>
      <c r="V558" s="11"/>
      <c r="AC558" s="11"/>
      <c r="AD558" s="11"/>
      <c r="AE558" s="11"/>
      <c r="AF558" s="11"/>
      <c r="AG558" s="11"/>
      <c r="AH558" s="11"/>
    </row>
    <row r="559" spans="1:34">
      <c r="A559" s="186" t="s">
        <v>204</v>
      </c>
      <c r="B559" s="1"/>
      <c r="C559" s="182">
        <f>C597+C631</f>
        <v>440923.56666666706</v>
      </c>
      <c r="D559" s="472">
        <v>58</v>
      </c>
      <c r="E559" s="186" t="s">
        <v>178</v>
      </c>
      <c r="F559" s="184">
        <f>F597+F631</f>
        <v>255735</v>
      </c>
      <c r="G559" s="744">
        <v>58</v>
      </c>
      <c r="H559" s="186" t="s">
        <v>178</v>
      </c>
      <c r="I559" s="184">
        <f>I597+I631</f>
        <v>255735</v>
      </c>
      <c r="J559" s="472">
        <f t="shared" ref="J559:J560" si="54">G559</f>
        <v>58</v>
      </c>
      <c r="K559" s="186" t="s">
        <v>178</v>
      </c>
      <c r="L559" s="184">
        <f>L597+L631</f>
        <v>255735</v>
      </c>
      <c r="M559" s="279"/>
      <c r="N559" s="20"/>
      <c r="O559" s="38"/>
      <c r="P559" s="512"/>
      <c r="Q559" s="512"/>
      <c r="R559" s="38"/>
      <c r="S559" s="11"/>
      <c r="T559" s="11"/>
      <c r="U559" s="11"/>
      <c r="V559" s="11"/>
      <c r="AC559" s="11"/>
      <c r="AD559" s="11"/>
      <c r="AE559" s="11"/>
      <c r="AF559" s="11"/>
      <c r="AG559" s="11"/>
      <c r="AH559" s="11"/>
    </row>
    <row r="560" spans="1:34">
      <c r="A560" s="223" t="s">
        <v>205</v>
      </c>
      <c r="B560" s="1"/>
      <c r="C560" s="182"/>
      <c r="D560" s="195">
        <v>-0.01</v>
      </c>
      <c r="E560" s="1"/>
      <c r="F560" s="184"/>
      <c r="G560" s="734">
        <v>-0.01</v>
      </c>
      <c r="H560" s="1"/>
      <c r="I560" s="184"/>
      <c r="J560" s="507">
        <f t="shared" si="54"/>
        <v>-0.01</v>
      </c>
      <c r="K560" s="1"/>
      <c r="L560" s="184"/>
      <c r="M560" s="11"/>
      <c r="N560" s="185"/>
      <c r="O560" s="38"/>
      <c r="P560" s="38"/>
      <c r="Q560" s="38"/>
      <c r="R560" s="11"/>
      <c r="S560" s="11"/>
      <c r="T560" s="11"/>
      <c r="U560" s="11"/>
      <c r="V560" s="11"/>
      <c r="AC560" s="11"/>
      <c r="AD560" s="11"/>
      <c r="AE560" s="11"/>
      <c r="AF560" s="11"/>
      <c r="AG560" s="11"/>
      <c r="AH560" s="11"/>
    </row>
    <row r="561" spans="1:36">
      <c r="A561" s="186" t="s">
        <v>225</v>
      </c>
      <c r="B561" s="1"/>
      <c r="C561" s="182">
        <f t="shared" ref="C561:C570" si="55">C601+C635</f>
        <v>60</v>
      </c>
      <c r="D561" s="167">
        <f>D547</f>
        <v>248</v>
      </c>
      <c r="E561" s="156"/>
      <c r="F561" s="184">
        <f t="shared" ref="F561:F572" si="56">F599+F633</f>
        <v>0</v>
      </c>
      <c r="G561" s="506">
        <v>248</v>
      </c>
      <c r="H561" s="156"/>
      <c r="I561" s="184">
        <f t="shared" ref="I561:I572" si="57">I599+I633</f>
        <v>0</v>
      </c>
      <c r="J561" s="167">
        <f>J547</f>
        <v>248</v>
      </c>
      <c r="K561" s="156"/>
      <c r="L561" s="184">
        <f t="shared" ref="L561:L572" si="58">L599+L633</f>
        <v>0</v>
      </c>
      <c r="M561" s="11"/>
      <c r="N561" s="20"/>
      <c r="O561" s="17"/>
      <c r="P561" s="38"/>
      <c r="Q561" s="38"/>
      <c r="R561" s="11"/>
      <c r="S561" s="11"/>
      <c r="T561" s="11"/>
      <c r="U561" s="11"/>
      <c r="V561" s="11"/>
      <c r="AC561" s="11"/>
      <c r="AD561" s="11"/>
      <c r="AE561" s="11"/>
      <c r="AF561" s="11"/>
      <c r="AG561" s="11"/>
      <c r="AH561" s="11"/>
    </row>
    <row r="562" spans="1:36">
      <c r="A562" s="186" t="s">
        <v>226</v>
      </c>
      <c r="B562" s="1"/>
      <c r="C562" s="182">
        <f t="shared" si="55"/>
        <v>5896</v>
      </c>
      <c r="D562" s="167">
        <f>D548</f>
        <v>93</v>
      </c>
      <c r="E562" s="156"/>
      <c r="F562" s="184">
        <f t="shared" si="56"/>
        <v>-47</v>
      </c>
      <c r="G562" s="506">
        <v>93</v>
      </c>
      <c r="H562" s="156"/>
      <c r="I562" s="184">
        <f t="shared" si="57"/>
        <v>-47</v>
      </c>
      <c r="J562" s="167">
        <f>J548</f>
        <v>93</v>
      </c>
      <c r="K562" s="156"/>
      <c r="L562" s="184">
        <f t="shared" si="58"/>
        <v>-47</v>
      </c>
      <c r="M562" s="11"/>
      <c r="N562" s="20"/>
      <c r="O562" s="478"/>
      <c r="P562" s="38"/>
      <c r="Q562" s="38"/>
      <c r="R562" s="11"/>
      <c r="S562" s="11"/>
      <c r="T562" s="11"/>
      <c r="U562" s="11"/>
      <c r="V562" s="11"/>
      <c r="AB562" s="11"/>
      <c r="AC562" s="11"/>
      <c r="AD562" s="11"/>
      <c r="AE562" s="11"/>
      <c r="AF562" s="11"/>
      <c r="AG562" s="11"/>
      <c r="AH562" s="11"/>
    </row>
    <row r="563" spans="1:36">
      <c r="A563" s="186" t="s">
        <v>227</v>
      </c>
      <c r="B563" s="1"/>
      <c r="C563" s="182">
        <f t="shared" si="55"/>
        <v>39349</v>
      </c>
      <c r="D563" s="167">
        <f>D549</f>
        <v>185</v>
      </c>
      <c r="E563" s="236"/>
      <c r="F563" s="184">
        <f t="shared" si="56"/>
        <v>-111</v>
      </c>
      <c r="G563" s="506">
        <v>185</v>
      </c>
      <c r="H563" s="236"/>
      <c r="I563" s="184">
        <f t="shared" si="57"/>
        <v>-111</v>
      </c>
      <c r="J563" s="167">
        <f>J549</f>
        <v>185</v>
      </c>
      <c r="K563" s="236"/>
      <c r="L563" s="184">
        <f t="shared" si="58"/>
        <v>-111</v>
      </c>
      <c r="M563" s="11"/>
      <c r="N563" s="20"/>
      <c r="O563" s="655"/>
      <c r="P563" s="38"/>
      <c r="Q563" s="38"/>
      <c r="R563" s="11"/>
      <c r="S563" s="11"/>
      <c r="T563" s="11"/>
      <c r="U563" s="11"/>
      <c r="V563" s="11"/>
      <c r="AB563" s="11"/>
      <c r="AC563" s="11"/>
      <c r="AD563" s="11"/>
      <c r="AE563" s="11"/>
      <c r="AF563" s="11"/>
      <c r="AG563" s="11"/>
      <c r="AH563" s="11"/>
    </row>
    <row r="564" spans="1:36">
      <c r="A564" s="186" t="s">
        <v>226</v>
      </c>
      <c r="B564" s="1"/>
      <c r="C564" s="182">
        <f t="shared" si="55"/>
        <v>27373</v>
      </c>
      <c r="D564" s="167">
        <f>D551</f>
        <v>1.8</v>
      </c>
      <c r="E564" s="156"/>
      <c r="F564" s="184">
        <f t="shared" si="56"/>
        <v>-106</v>
      </c>
      <c r="G564" s="506">
        <v>1.8</v>
      </c>
      <c r="H564" s="156"/>
      <c r="I564" s="184">
        <f t="shared" si="57"/>
        <v>-106</v>
      </c>
      <c r="J564" s="167">
        <f>J551</f>
        <v>1.8</v>
      </c>
      <c r="K564" s="156"/>
      <c r="L564" s="184">
        <f t="shared" si="58"/>
        <v>-106</v>
      </c>
      <c r="N564" s="2"/>
      <c r="AB564" s="11"/>
      <c r="AC564" s="11"/>
      <c r="AD564" s="11"/>
      <c r="AE564" s="11"/>
      <c r="AF564" s="11"/>
      <c r="AG564" s="11"/>
      <c r="AH564" s="11"/>
    </row>
    <row r="565" spans="1:36">
      <c r="A565" s="186" t="s">
        <v>227</v>
      </c>
      <c r="B565" s="1"/>
      <c r="C565" s="182">
        <f t="shared" si="55"/>
        <v>736.66666666666697</v>
      </c>
      <c r="D565" s="167">
        <f>D552</f>
        <v>1.48</v>
      </c>
      <c r="E565" s="156"/>
      <c r="F565" s="184">
        <f t="shared" si="56"/>
        <v>-582</v>
      </c>
      <c r="G565" s="506">
        <v>1.48</v>
      </c>
      <c r="H565" s="156"/>
      <c r="I565" s="184">
        <f t="shared" si="57"/>
        <v>-582</v>
      </c>
      <c r="J565" s="167">
        <f>J552</f>
        <v>1.48</v>
      </c>
      <c r="K565" s="156"/>
      <c r="L565" s="184">
        <f t="shared" si="58"/>
        <v>-582</v>
      </c>
      <c r="N565" s="2"/>
      <c r="O565" s="46" t="s">
        <v>13</v>
      </c>
      <c r="AB565" s="11"/>
      <c r="AC565" s="11"/>
      <c r="AD565" s="11"/>
      <c r="AE565" s="11"/>
      <c r="AF565" s="11"/>
      <c r="AG565" s="11"/>
      <c r="AH565" s="11"/>
    </row>
    <row r="566" spans="1:36">
      <c r="A566" s="172" t="s">
        <v>229</v>
      </c>
      <c r="B566" s="1"/>
      <c r="C566" s="182">
        <f t="shared" si="55"/>
        <v>3473060</v>
      </c>
      <c r="D566" s="167">
        <f>D554</f>
        <v>6.3</v>
      </c>
      <c r="E566" s="156"/>
      <c r="F566" s="184">
        <f t="shared" si="56"/>
        <v>-1724</v>
      </c>
      <c r="G566" s="506">
        <v>6.3</v>
      </c>
      <c r="H566" s="156"/>
      <c r="I566" s="184">
        <f t="shared" si="57"/>
        <v>-1724</v>
      </c>
      <c r="J566" s="167">
        <f>J554</f>
        <v>6.3</v>
      </c>
      <c r="K566" s="156"/>
      <c r="L566" s="184">
        <f t="shared" si="58"/>
        <v>-1724</v>
      </c>
      <c r="M566" s="11"/>
      <c r="N566" s="20"/>
      <c r="O566" s="38"/>
      <c r="P566" s="38"/>
      <c r="Q566" s="38"/>
      <c r="R566" s="11"/>
      <c r="S566" s="11"/>
      <c r="T566" s="11"/>
      <c r="U566" s="11"/>
      <c r="V566" s="11"/>
      <c r="AB566" s="11"/>
      <c r="AC566" s="11"/>
      <c r="AD566" s="11"/>
      <c r="AE566" s="11"/>
      <c r="AF566" s="11"/>
      <c r="AG566" s="11"/>
      <c r="AH566" s="11"/>
    </row>
    <row r="567" spans="1:36">
      <c r="A567" s="172" t="s">
        <v>245</v>
      </c>
      <c r="B567" s="1"/>
      <c r="C567" s="182">
        <f t="shared" si="55"/>
        <v>6930058</v>
      </c>
      <c r="D567" s="167">
        <f>D566</f>
        <v>6.3</v>
      </c>
      <c r="E567" s="156"/>
      <c r="F567" s="184">
        <f t="shared" si="56"/>
        <v>-46</v>
      </c>
      <c r="G567" s="506">
        <v>6.3</v>
      </c>
      <c r="H567" s="156"/>
      <c r="I567" s="184">
        <f t="shared" si="57"/>
        <v>-46</v>
      </c>
      <c r="J567" s="167">
        <f>J555</f>
        <v>6.3</v>
      </c>
      <c r="K567" s="156"/>
      <c r="L567" s="184">
        <f t="shared" si="58"/>
        <v>-46</v>
      </c>
      <c r="M567" s="11"/>
      <c r="N567" s="20"/>
      <c r="O567" s="38"/>
      <c r="P567" s="17"/>
      <c r="Q567" s="38"/>
      <c r="R567" s="11"/>
      <c r="S567" s="11"/>
      <c r="T567" s="11"/>
      <c r="U567" s="11"/>
      <c r="V567" s="11"/>
      <c r="AB567" s="11"/>
      <c r="AC567" s="11"/>
      <c r="AD567" s="11"/>
      <c r="AE567" s="11"/>
      <c r="AF567" s="11"/>
      <c r="AG567" s="11"/>
      <c r="AH567" s="11"/>
    </row>
    <row r="568" spans="1:36">
      <c r="A568" s="186" t="s">
        <v>231</v>
      </c>
      <c r="B568" s="1"/>
      <c r="C568" s="182">
        <f t="shared" si="55"/>
        <v>6802</v>
      </c>
      <c r="D568" s="237">
        <f>D557</f>
        <v>5.7480000000000002</v>
      </c>
      <c r="E568" s="186" t="s">
        <v>178</v>
      </c>
      <c r="F568" s="184">
        <f t="shared" si="56"/>
        <v>-1996</v>
      </c>
      <c r="G568" s="731">
        <v>6.0709999999999997</v>
      </c>
      <c r="H568" s="186" t="s">
        <v>178</v>
      </c>
      <c r="I568" s="184">
        <f t="shared" si="57"/>
        <v>-2108</v>
      </c>
      <c r="J568" s="237">
        <f ca="1">J557</f>
        <v>6.0570000000000004</v>
      </c>
      <c r="K568" s="186" t="s">
        <v>178</v>
      </c>
      <c r="L568" s="184">
        <f t="shared" ca="1" si="58"/>
        <v>-2104</v>
      </c>
      <c r="M568" s="11"/>
      <c r="N568" s="20"/>
      <c r="O568" s="38"/>
      <c r="P568" s="38"/>
      <c r="Q568" s="38"/>
      <c r="R568" s="11"/>
      <c r="S568" s="11"/>
      <c r="T568" s="11"/>
      <c r="U568" s="11"/>
      <c r="V568" s="11"/>
      <c r="AB568" s="11"/>
      <c r="AC568" s="11"/>
      <c r="AD568" s="11"/>
      <c r="AE568" s="11"/>
      <c r="AF568" s="11"/>
      <c r="AG568" s="11"/>
      <c r="AH568" s="11"/>
    </row>
    <row r="569" spans="1:36">
      <c r="A569" s="186" t="s">
        <v>203</v>
      </c>
      <c r="B569" s="1"/>
      <c r="C569" s="182">
        <f t="shared" si="55"/>
        <v>104</v>
      </c>
      <c r="D569" s="237">
        <f>D558</f>
        <v>5.2460000000000004</v>
      </c>
      <c r="E569" s="186" t="s">
        <v>178</v>
      </c>
      <c r="F569" s="184">
        <f t="shared" si="56"/>
        <v>-3636</v>
      </c>
      <c r="G569" s="731">
        <v>5.569</v>
      </c>
      <c r="H569" s="186" t="s">
        <v>178</v>
      </c>
      <c r="I569" s="184">
        <f t="shared" si="57"/>
        <v>-3859</v>
      </c>
      <c r="J569" s="237">
        <f ca="1">J558</f>
        <v>5.5549999999999997</v>
      </c>
      <c r="K569" s="186" t="s">
        <v>178</v>
      </c>
      <c r="L569" s="184">
        <f t="shared" ca="1" si="58"/>
        <v>-3850</v>
      </c>
      <c r="M569" s="11"/>
      <c r="N569" s="20"/>
      <c r="O569" s="38"/>
      <c r="P569" s="38"/>
      <c r="Q569" s="38"/>
      <c r="R569" s="11"/>
      <c r="S569" s="11"/>
      <c r="T569" s="11"/>
      <c r="U569" s="11"/>
      <c r="V569" s="11"/>
      <c r="AB569" s="11"/>
      <c r="AC569" s="11"/>
      <c r="AD569" s="11"/>
      <c r="AE569" s="11"/>
      <c r="AF569" s="11"/>
      <c r="AG569" s="11"/>
      <c r="AH569" s="11"/>
    </row>
    <row r="570" spans="1:36">
      <c r="A570" s="186" t="s">
        <v>204</v>
      </c>
      <c r="B570" s="1"/>
      <c r="C570" s="182">
        <f t="shared" si="55"/>
        <v>46478</v>
      </c>
      <c r="D570" s="238">
        <f>D559</f>
        <v>58</v>
      </c>
      <c r="E570" s="186" t="s">
        <v>178</v>
      </c>
      <c r="F570" s="184">
        <f t="shared" si="56"/>
        <v>-39</v>
      </c>
      <c r="G570" s="733">
        <v>58</v>
      </c>
      <c r="H570" s="186" t="s">
        <v>178</v>
      </c>
      <c r="I570" s="184">
        <f t="shared" si="57"/>
        <v>-39</v>
      </c>
      <c r="J570" s="238">
        <f>J559</f>
        <v>58</v>
      </c>
      <c r="K570" s="186" t="s">
        <v>178</v>
      </c>
      <c r="L570" s="184">
        <f t="shared" si="58"/>
        <v>-39</v>
      </c>
      <c r="M570" s="11"/>
      <c r="N570" s="20"/>
      <c r="O570" s="38"/>
      <c r="P570" s="38"/>
      <c r="Q570" s="38"/>
      <c r="R570" s="11"/>
      <c r="S570" s="11"/>
      <c r="T570" s="11"/>
      <c r="U570" s="11"/>
      <c r="V570" s="11"/>
      <c r="AB570" s="11"/>
      <c r="AC570" s="11"/>
      <c r="AD570" s="11"/>
      <c r="AE570" s="11"/>
      <c r="AF570" s="11"/>
      <c r="AG570" s="11"/>
      <c r="AH570" s="11"/>
    </row>
    <row r="571" spans="1:36">
      <c r="A571" s="186" t="s">
        <v>247</v>
      </c>
      <c r="B571" s="1"/>
      <c r="C571" s="182">
        <f>C609+C643</f>
        <v>104</v>
      </c>
      <c r="D571" s="161">
        <v>60</v>
      </c>
      <c r="E571" s="1"/>
      <c r="F571" s="184">
        <f t="shared" si="56"/>
        <v>6240</v>
      </c>
      <c r="G571" s="506">
        <v>60</v>
      </c>
      <c r="H571" s="1"/>
      <c r="I571" s="184">
        <f t="shared" si="57"/>
        <v>6240</v>
      </c>
      <c r="J571" s="161">
        <f t="shared" ref="J571:J572" si="59">G571</f>
        <v>60</v>
      </c>
      <c r="K571" s="1"/>
      <c r="L571" s="184">
        <f t="shared" si="58"/>
        <v>6240</v>
      </c>
      <c r="M571" s="279"/>
      <c r="N571" s="20"/>
      <c r="O571" s="38"/>
      <c r="P571" s="512"/>
      <c r="Q571" s="38"/>
      <c r="R571" s="11"/>
      <c r="S571" s="11"/>
      <c r="T571" s="11"/>
      <c r="U571" s="11"/>
      <c r="V571" s="11"/>
      <c r="AB571" s="11"/>
      <c r="AC571" s="11"/>
      <c r="AD571" s="11"/>
      <c r="AE571" s="11"/>
      <c r="AF571" s="11"/>
      <c r="AG571" s="11"/>
      <c r="AH571" s="11"/>
    </row>
    <row r="572" spans="1:36">
      <c r="A572" s="186" t="s">
        <v>248</v>
      </c>
      <c r="B572" s="1"/>
      <c r="C572" s="182">
        <f>C610+C644</f>
        <v>46478</v>
      </c>
      <c r="D572" s="202">
        <v>-30</v>
      </c>
      <c r="E572" s="184" t="s">
        <v>178</v>
      </c>
      <c r="F572" s="184">
        <f t="shared" si="56"/>
        <v>-13943</v>
      </c>
      <c r="G572" s="737">
        <v>-30</v>
      </c>
      <c r="H572" s="184" t="s">
        <v>178</v>
      </c>
      <c r="I572" s="184">
        <f t="shared" si="57"/>
        <v>-13943</v>
      </c>
      <c r="J572" s="202">
        <f t="shared" si="59"/>
        <v>-30</v>
      </c>
      <c r="K572" s="184" t="s">
        <v>178</v>
      </c>
      <c r="L572" s="184">
        <f t="shared" si="58"/>
        <v>-13943</v>
      </c>
      <c r="M572" s="279"/>
      <c r="N572" s="20"/>
      <c r="O572" s="20"/>
      <c r="P572" s="512"/>
      <c r="Q572" s="38"/>
      <c r="R572" s="11"/>
      <c r="S572" s="11"/>
      <c r="T572" s="11"/>
      <c r="U572" s="11"/>
      <c r="V572" s="11"/>
      <c r="AB572" s="11"/>
      <c r="AC572" s="11"/>
      <c r="AD572" s="11"/>
      <c r="AE572" s="11"/>
      <c r="AF572" s="11"/>
      <c r="AG572" s="11"/>
      <c r="AH572" s="11"/>
    </row>
    <row r="573" spans="1:36" s="545" customFormat="1" hidden="1">
      <c r="A573" s="524" t="s">
        <v>481</v>
      </c>
      <c r="C573" s="182">
        <f>C611+C645</f>
        <v>941125570.0470736</v>
      </c>
      <c r="D573" s="132">
        <v>0</v>
      </c>
      <c r="E573" s="546"/>
      <c r="F573" s="548"/>
      <c r="G573" s="738" t="e">
        <v>#REF!</v>
      </c>
      <c r="H573" s="529" t="s">
        <v>178</v>
      </c>
      <c r="I573" s="184" t="e">
        <f>#REF!+#REF!</f>
        <v>#REF!</v>
      </c>
      <c r="J573" s="553" t="e">
        <f>#REF!</f>
        <v>#REF!</v>
      </c>
      <c r="K573" s="529" t="s">
        <v>178</v>
      </c>
      <c r="L573" s="184" t="e">
        <f>#REF!+#REF!</f>
        <v>#REF!</v>
      </c>
      <c r="M573" s="546"/>
      <c r="N573" s="546"/>
      <c r="O573" s="315"/>
      <c r="P573" s="546"/>
      <c r="Q573" s="546"/>
      <c r="R573" s="700"/>
      <c r="S573" s="700"/>
      <c r="T573" s="546"/>
      <c r="U573" s="546"/>
      <c r="V573" s="546"/>
      <c r="X573" s="546"/>
      <c r="Y573" s="546"/>
      <c r="Z573" s="546"/>
      <c r="AA573" s="546"/>
      <c r="AB573" s="546"/>
      <c r="AC573" s="546"/>
      <c r="AD573" s="546"/>
      <c r="AE573" s="546"/>
      <c r="AF573" s="546"/>
      <c r="AG573" s="546"/>
      <c r="AH573" s="546"/>
      <c r="AJ573" s="549"/>
    </row>
    <row r="574" spans="1:36" s="545" customFormat="1" hidden="1">
      <c r="A574" s="524" t="s">
        <v>482</v>
      </c>
      <c r="C574" s="182">
        <f>C612+C646</f>
        <v>9615691.1370288637</v>
      </c>
      <c r="D574" s="132">
        <v>0</v>
      </c>
      <c r="E574" s="546"/>
      <c r="F574" s="548"/>
      <c r="G574" s="738" t="e">
        <v>#REF!</v>
      </c>
      <c r="H574" s="529" t="s">
        <v>178</v>
      </c>
      <c r="I574" s="184" t="e">
        <f>#REF!+#REF!</f>
        <v>#REF!</v>
      </c>
      <c r="J574" s="553" t="e">
        <f>#REF!</f>
        <v>#REF!</v>
      </c>
      <c r="K574" s="529" t="s">
        <v>178</v>
      </c>
      <c r="L574" s="184" t="e">
        <f>#REF!+#REF!</f>
        <v>#REF!</v>
      </c>
      <c r="M574" s="546"/>
      <c r="N574" s="546"/>
      <c r="O574" s="315"/>
      <c r="P574" s="546"/>
      <c r="Q574" s="546"/>
      <c r="R574" s="700"/>
      <c r="S574" s="700"/>
      <c r="T574" s="546"/>
      <c r="U574" s="546"/>
      <c r="V574" s="546"/>
      <c r="X574" s="546"/>
      <c r="Y574" s="546"/>
      <c r="Z574" s="546"/>
      <c r="AA574" s="546"/>
      <c r="AB574" s="546"/>
      <c r="AC574" s="546"/>
      <c r="AD574" s="546"/>
      <c r="AE574" s="546"/>
      <c r="AF574" s="546"/>
      <c r="AG574" s="546"/>
      <c r="AH574" s="546"/>
      <c r="AJ574" s="549"/>
    </row>
    <row r="575" spans="1:36">
      <c r="A575" s="1" t="s">
        <v>185</v>
      </c>
      <c r="B575" s="29"/>
      <c r="C575" s="182">
        <f>C611+C645</f>
        <v>941125570.0470736</v>
      </c>
      <c r="D575" s="187"/>
      <c r="E575" s="1"/>
      <c r="F575" s="2">
        <f>F611+F645</f>
        <v>75400488</v>
      </c>
      <c r="G575" s="516"/>
      <c r="H575" s="1"/>
      <c r="I575" s="2">
        <f>I611+I645</f>
        <v>78439989</v>
      </c>
      <c r="J575" s="2"/>
      <c r="K575" s="1"/>
      <c r="L575" s="2">
        <f ca="1">L611+L645</f>
        <v>78308244</v>
      </c>
      <c r="M575" s="185"/>
      <c r="N575" s="185"/>
      <c r="O575" s="185"/>
      <c r="P575" s="512"/>
      <c r="Q575" s="709"/>
      <c r="R575" s="11"/>
      <c r="S575" s="11"/>
      <c r="T575" s="11"/>
      <c r="U575" s="11"/>
      <c r="V575" s="11"/>
      <c r="AB575" s="11"/>
      <c r="AC575" s="11"/>
      <c r="AD575" s="11"/>
      <c r="AE575" s="11"/>
      <c r="AF575" s="11"/>
      <c r="AG575" s="11"/>
      <c r="AH575" s="11"/>
    </row>
    <row r="576" spans="1:36">
      <c r="A576" s="1" t="s">
        <v>167</v>
      </c>
      <c r="B576" s="15"/>
      <c r="C576" s="203">
        <f>C612+C646</f>
        <v>9615691.1370288637</v>
      </c>
      <c r="D576" s="172"/>
      <c r="E576" s="172"/>
      <c r="F576" s="173">
        <f>F612+F646</f>
        <v>924430.43214507168</v>
      </c>
      <c r="G576" s="284"/>
      <c r="H576" s="172"/>
      <c r="I576" s="173">
        <f>F576</f>
        <v>924430.43214507168</v>
      </c>
      <c r="J576" s="172"/>
      <c r="K576" s="172"/>
      <c r="L576" s="173">
        <f>I576</f>
        <v>924430.43214507168</v>
      </c>
      <c r="M576" s="307"/>
      <c r="N576" s="307"/>
      <c r="O576" s="150"/>
      <c r="P576" s="38"/>
      <c r="Q576" s="38"/>
      <c r="R576" s="11"/>
      <c r="S576" s="11"/>
      <c r="T576" s="11"/>
      <c r="U576" s="11"/>
      <c r="V576" s="11"/>
      <c r="AB576" s="11"/>
      <c r="AC576" s="11"/>
      <c r="AD576" s="11"/>
      <c r="AE576" s="11"/>
      <c r="AF576" s="11"/>
      <c r="AG576" s="11"/>
      <c r="AH576" s="11"/>
    </row>
    <row r="577" spans="1:34" ht="16.5" thickBot="1">
      <c r="A577" s="1" t="s">
        <v>186</v>
      </c>
      <c r="B577" s="1"/>
      <c r="C577" s="229">
        <f>SUM(C575)+C576</f>
        <v>950741261.18410242</v>
      </c>
      <c r="D577" s="205"/>
      <c r="E577" s="208"/>
      <c r="F577" s="207">
        <f>F575+F576</f>
        <v>76324918.432145074</v>
      </c>
      <c r="G577" s="741"/>
      <c r="H577" s="208"/>
      <c r="I577" s="207">
        <f>I575+I576</f>
        <v>79364419.432145074</v>
      </c>
      <c r="J577" s="205"/>
      <c r="K577" s="208"/>
      <c r="L577" s="207">
        <f ca="1">L575+L576</f>
        <v>79232674.432145074</v>
      </c>
      <c r="M577" s="11"/>
      <c r="N577" s="279"/>
      <c r="O577" s="133"/>
      <c r="P577" s="500"/>
      <c r="Q577" s="500"/>
      <c r="R577" s="512"/>
      <c r="S577" s="11"/>
      <c r="T577" s="11"/>
      <c r="U577" s="11"/>
      <c r="V577" s="11"/>
      <c r="AB577" s="11"/>
      <c r="AC577" s="11"/>
      <c r="AD577" s="11"/>
      <c r="AE577" s="11"/>
      <c r="AF577" s="11"/>
      <c r="AG577" s="11"/>
      <c r="AH577" s="11"/>
    </row>
    <row r="578" spans="1:34" ht="16.5" thickTop="1">
      <c r="A578" s="1"/>
      <c r="B578" s="1"/>
      <c r="C578" s="16"/>
      <c r="D578" s="214"/>
      <c r="E578" s="14"/>
      <c r="F578" s="185"/>
      <c r="G578" s="742"/>
      <c r="H578" s="14"/>
      <c r="I578" s="185" t="s">
        <v>13</v>
      </c>
      <c r="J578" s="214"/>
      <c r="K578" s="14"/>
      <c r="L578" s="185" t="s">
        <v>13</v>
      </c>
      <c r="M578" s="11"/>
      <c r="N578" s="11"/>
      <c r="O578" s="279"/>
      <c r="P578" s="6"/>
      <c r="Q578" s="500"/>
      <c r="R578" s="512"/>
      <c r="S578" s="11"/>
      <c r="T578" s="11"/>
      <c r="U578" s="11"/>
      <c r="V578" s="11"/>
      <c r="AB578" s="11"/>
      <c r="AC578" s="11"/>
      <c r="AD578" s="11"/>
      <c r="AE578" s="11"/>
      <c r="AF578" s="11"/>
      <c r="AG578" s="11"/>
      <c r="AH578" s="11"/>
    </row>
    <row r="579" spans="1:34" hidden="1">
      <c r="A579" s="1"/>
      <c r="B579" s="1"/>
      <c r="C579" s="16"/>
      <c r="D579" s="214"/>
      <c r="E579" s="14"/>
      <c r="F579" s="185"/>
      <c r="G579" s="742"/>
      <c r="H579" s="14"/>
      <c r="I579" s="185"/>
      <c r="J579" s="214"/>
      <c r="K579" s="14"/>
      <c r="L579" s="185"/>
      <c r="M579" s="11"/>
      <c r="N579" s="11"/>
      <c r="O579" s="38"/>
      <c r="P579" s="38"/>
      <c r="Q579" s="500"/>
      <c r="R579" s="512"/>
      <c r="S579" s="11"/>
      <c r="T579" s="11"/>
      <c r="U579" s="11"/>
      <c r="V579" s="11"/>
      <c r="AB579" s="11"/>
      <c r="AC579" s="11"/>
      <c r="AD579" s="11"/>
      <c r="AE579" s="11"/>
      <c r="AF579" s="11"/>
      <c r="AG579" s="11"/>
      <c r="AH579" s="11"/>
    </row>
    <row r="580" spans="1:34" hidden="1">
      <c r="A580" s="1"/>
      <c r="B580" s="1"/>
      <c r="C580" s="12"/>
      <c r="D580" s="200" t="s">
        <v>13</v>
      </c>
      <c r="E580" s="1"/>
      <c r="F580" s="2" t="s">
        <v>13</v>
      </c>
      <c r="G580" s="216" t="s">
        <v>13</v>
      </c>
      <c r="H580" s="1"/>
      <c r="I580" s="2" t="s">
        <v>13</v>
      </c>
      <c r="J580" s="216" t="s">
        <v>13</v>
      </c>
      <c r="K580" s="1"/>
      <c r="L580" s="2" t="s">
        <v>13</v>
      </c>
      <c r="M580" s="11"/>
      <c r="N580" s="11"/>
      <c r="O580" s="38"/>
      <c r="P580" s="38"/>
      <c r="Q580" s="554"/>
      <c r="R580" s="11"/>
      <c r="S580" s="11"/>
      <c r="T580" s="11"/>
      <c r="U580" s="11"/>
      <c r="V580" s="11"/>
      <c r="AB580" s="11"/>
      <c r="AC580" s="11"/>
      <c r="AD580" s="11"/>
      <c r="AE580" s="11"/>
      <c r="AF580" s="11"/>
      <c r="AG580" s="11"/>
      <c r="AH580" s="11"/>
    </row>
    <row r="581" spans="1:34" hidden="1">
      <c r="A581" s="156" t="s">
        <v>240</v>
      </c>
      <c r="B581" s="1"/>
      <c r="C581" s="1"/>
      <c r="D581" s="2"/>
      <c r="E581" s="1"/>
      <c r="F581" s="1"/>
      <c r="G581" s="516"/>
      <c r="H581" s="1"/>
      <c r="I581" s="1"/>
      <c r="J581" s="2"/>
      <c r="K581" s="1"/>
      <c r="L581" s="1"/>
      <c r="M581" s="11"/>
      <c r="N581" s="11"/>
      <c r="O581" s="38"/>
      <c r="P581" s="38"/>
      <c r="Q581" s="38"/>
      <c r="R581" s="11"/>
      <c r="S581" s="11"/>
      <c r="T581" s="11"/>
      <c r="U581" s="11"/>
      <c r="V581" s="11"/>
      <c r="AB581" s="11"/>
      <c r="AC581" s="11"/>
      <c r="AD581" s="11"/>
      <c r="AE581" s="11"/>
      <c r="AF581" s="11"/>
      <c r="AG581" s="11"/>
      <c r="AH581" s="11"/>
    </row>
    <row r="582" spans="1:34" hidden="1">
      <c r="A582" s="172" t="s">
        <v>249</v>
      </c>
      <c r="B582" s="1"/>
      <c r="C582" s="1"/>
      <c r="D582" s="2"/>
      <c r="E582" s="1"/>
      <c r="F582" s="1"/>
      <c r="G582" s="516"/>
      <c r="H582" s="1"/>
      <c r="I582" s="1"/>
      <c r="J582" s="2"/>
      <c r="K582" s="1"/>
      <c r="L582" s="1"/>
      <c r="M582" s="11"/>
      <c r="N582" s="11"/>
      <c r="O582" s="511"/>
      <c r="P582" s="38"/>
      <c r="Q582" s="38"/>
      <c r="R582" s="11"/>
      <c r="S582" s="11"/>
      <c r="T582" s="11"/>
      <c r="U582" s="11"/>
      <c r="V582" s="11"/>
      <c r="AB582" s="11"/>
      <c r="AC582" s="11"/>
      <c r="AD582" s="11"/>
      <c r="AE582" s="11"/>
      <c r="AF582" s="11"/>
      <c r="AG582" s="11"/>
      <c r="AH582" s="11"/>
    </row>
    <row r="583" spans="1:34" hidden="1">
      <c r="A583" s="186"/>
      <c r="B583" s="1"/>
      <c r="C583" s="1"/>
      <c r="D583" s="2"/>
      <c r="E583" s="1"/>
      <c r="F583" s="1"/>
      <c r="G583" s="516"/>
      <c r="H583" s="1"/>
      <c r="I583" s="1"/>
      <c r="J583" s="2"/>
      <c r="K583" s="1"/>
      <c r="L583" s="1"/>
      <c r="M583" s="11"/>
      <c r="N583" s="11"/>
      <c r="O583" s="38"/>
      <c r="P583" s="38"/>
      <c r="Q583" s="38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</row>
    <row r="584" spans="1:34" hidden="1">
      <c r="A584" s="186" t="s">
        <v>197</v>
      </c>
      <c r="B584" s="1"/>
      <c r="C584" s="182"/>
      <c r="D584" s="2"/>
      <c r="E584" s="1"/>
      <c r="F584" s="1"/>
      <c r="G584" s="516"/>
      <c r="H584" s="1"/>
      <c r="I584" s="1"/>
      <c r="J584" s="2"/>
      <c r="K584" s="1"/>
      <c r="L584" s="1"/>
      <c r="M584" s="11"/>
      <c r="N584" s="11"/>
      <c r="O584" s="38"/>
      <c r="P584" s="38"/>
      <c r="Q584" s="38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</row>
    <row r="585" spans="1:34" hidden="1">
      <c r="A585" s="186" t="s">
        <v>225</v>
      </c>
      <c r="B585" s="1"/>
      <c r="C585" s="182">
        <v>184.333333333333</v>
      </c>
      <c r="D585" s="161">
        <f>D547</f>
        <v>248</v>
      </c>
      <c r="E585" s="186"/>
      <c r="F585" s="184">
        <f>ROUND(D585*C585,0)</f>
        <v>45715</v>
      </c>
      <c r="G585" s="506">
        <v>248</v>
      </c>
      <c r="H585" s="186"/>
      <c r="I585" s="184">
        <f>ROUND(G585*$C585,0)</f>
        <v>45715</v>
      </c>
      <c r="J585" s="161">
        <f>$G$547</f>
        <v>248</v>
      </c>
      <c r="K585" s="186"/>
      <c r="L585" s="184">
        <f>ROUND(J585*$C585,0)</f>
        <v>45715</v>
      </c>
      <c r="M585" s="11"/>
      <c r="N585" s="11"/>
      <c r="O585" s="38"/>
      <c r="P585" s="38"/>
      <c r="Q585" s="38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</row>
    <row r="586" spans="1:34" hidden="1">
      <c r="A586" s="186" t="s">
        <v>226</v>
      </c>
      <c r="B586" s="1"/>
      <c r="C586" s="182">
        <v>8100.2333333333363</v>
      </c>
      <c r="D586" s="161">
        <f>D548</f>
        <v>93</v>
      </c>
      <c r="E586" s="186"/>
      <c r="F586" s="184">
        <f>ROUND(D586*C586,0)</f>
        <v>753322</v>
      </c>
      <c r="G586" s="506">
        <v>93</v>
      </c>
      <c r="H586" s="186"/>
      <c r="I586" s="184">
        <f>ROUND(G586*$C586,0)</f>
        <v>753322</v>
      </c>
      <c r="J586" s="161">
        <f>$G$548</f>
        <v>93</v>
      </c>
      <c r="K586" s="186"/>
      <c r="L586" s="184">
        <f>ROUND(J586*$C586,0)</f>
        <v>753322</v>
      </c>
      <c r="M586" s="11"/>
      <c r="N586" s="11"/>
      <c r="O586" s="38"/>
      <c r="P586" s="38"/>
      <c r="Q586" s="38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</row>
    <row r="587" spans="1:34" hidden="1">
      <c r="A587" s="186" t="s">
        <v>227</v>
      </c>
      <c r="B587" s="1"/>
      <c r="C587" s="182">
        <v>3401.3</v>
      </c>
      <c r="D587" s="161">
        <f>D549</f>
        <v>185</v>
      </c>
      <c r="E587" s="188"/>
      <c r="F587" s="184">
        <f>ROUND(D587*C587,0)</f>
        <v>629241</v>
      </c>
      <c r="G587" s="506">
        <v>185</v>
      </c>
      <c r="H587" s="188"/>
      <c r="I587" s="184">
        <f>ROUND(G587*$C587,0)</f>
        <v>629241</v>
      </c>
      <c r="J587" s="161">
        <f>$G$549</f>
        <v>185</v>
      </c>
      <c r="K587" s="188"/>
      <c r="L587" s="184">
        <f>ROUND(J587*$C587,0)</f>
        <v>629241</v>
      </c>
      <c r="M587" s="11"/>
      <c r="N587" s="11"/>
      <c r="O587" s="38"/>
      <c r="P587" s="38"/>
      <c r="Q587" s="38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</row>
    <row r="588" spans="1:34" hidden="1">
      <c r="A588" s="186" t="s">
        <v>198</v>
      </c>
      <c r="B588" s="1"/>
      <c r="C588" s="182">
        <f>SUM(C585:C587)</f>
        <v>11685.866666666669</v>
      </c>
      <c r="D588" s="161"/>
      <c r="E588" s="186"/>
      <c r="F588" s="184"/>
      <c r="G588" s="506"/>
      <c r="H588" s="186"/>
      <c r="I588" s="184"/>
      <c r="J588" s="161"/>
      <c r="K588" s="186"/>
      <c r="L588" s="184"/>
      <c r="M588" s="11"/>
      <c r="N588" s="11"/>
      <c r="O588" s="38"/>
      <c r="P588" s="38"/>
      <c r="Q588" s="38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</row>
    <row r="589" spans="1:34" hidden="1">
      <c r="A589" s="186" t="s">
        <v>226</v>
      </c>
      <c r="B589" s="1"/>
      <c r="C589" s="182">
        <v>1404169.4000000034</v>
      </c>
      <c r="D589" s="161">
        <f>D551</f>
        <v>1.8</v>
      </c>
      <c r="E589" s="186" t="s">
        <v>13</v>
      </c>
      <c r="F589" s="184">
        <f>ROUND(D589*C589,0)</f>
        <v>2527505</v>
      </c>
      <c r="G589" s="506">
        <v>1.8</v>
      </c>
      <c r="H589" s="186" t="s">
        <v>13</v>
      </c>
      <c r="I589" s="184">
        <f>ROUND(G589*$C589,0)</f>
        <v>2527505</v>
      </c>
      <c r="J589" s="161">
        <f>$G$551</f>
        <v>1.8</v>
      </c>
      <c r="K589" s="186" t="s">
        <v>13</v>
      </c>
      <c r="L589" s="184">
        <f>ROUND(J589*$C589,0)</f>
        <v>2527505</v>
      </c>
      <c r="M589" s="11"/>
      <c r="N589" s="11"/>
      <c r="O589" s="38"/>
      <c r="P589" s="38"/>
      <c r="Q589" s="38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</row>
    <row r="590" spans="1:34" hidden="1">
      <c r="A590" s="186" t="s">
        <v>227</v>
      </c>
      <c r="B590" s="1"/>
      <c r="C590" s="182">
        <v>1674028.8</v>
      </c>
      <c r="D590" s="161">
        <f>D552</f>
        <v>1.48</v>
      </c>
      <c r="E590" s="186" t="s">
        <v>13</v>
      </c>
      <c r="F590" s="184">
        <f>ROUND(D590*C590,0)</f>
        <v>2477563</v>
      </c>
      <c r="G590" s="506">
        <v>1.48</v>
      </c>
      <c r="H590" s="186" t="s">
        <v>13</v>
      </c>
      <c r="I590" s="184">
        <f>ROUND(G590*$C590,0)</f>
        <v>2477563</v>
      </c>
      <c r="J590" s="161">
        <f>$G$552</f>
        <v>1.48</v>
      </c>
      <c r="K590" s="186" t="s">
        <v>13</v>
      </c>
      <c r="L590" s="184">
        <f>ROUND(J590*$C590,0)</f>
        <v>2477563</v>
      </c>
      <c r="M590" s="11"/>
      <c r="N590" s="11"/>
      <c r="O590" s="38"/>
      <c r="P590" s="38"/>
      <c r="Q590" s="38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</row>
    <row r="591" spans="1:34" hidden="1">
      <c r="A591" s="172" t="s">
        <v>228</v>
      </c>
      <c r="B591" s="1"/>
      <c r="C591" s="182"/>
      <c r="D591" s="218"/>
      <c r="E591" s="186"/>
      <c r="F591" s="184"/>
      <c r="G591" s="506"/>
      <c r="H591" s="186"/>
      <c r="I591" s="184"/>
      <c r="J591" s="218"/>
      <c r="K591" s="186"/>
      <c r="L591" s="184"/>
      <c r="M591" s="11"/>
      <c r="N591" s="11"/>
      <c r="O591" s="38"/>
      <c r="P591" s="38"/>
      <c r="Q591" s="38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</row>
    <row r="592" spans="1:34" hidden="1">
      <c r="A592" s="172" t="s">
        <v>229</v>
      </c>
      <c r="B592" s="1"/>
      <c r="C592" s="182">
        <v>2282225.4500000002</v>
      </c>
      <c r="D592" s="161">
        <f>D554</f>
        <v>6.3</v>
      </c>
      <c r="E592" s="186"/>
      <c r="F592" s="184">
        <f>ROUND(D592*C592,0)</f>
        <v>14378020</v>
      </c>
      <c r="G592" s="506">
        <v>6.3</v>
      </c>
      <c r="H592" s="186"/>
      <c r="I592" s="184">
        <f>ROUND(G592*$C592,0)</f>
        <v>14378020</v>
      </c>
      <c r="J592" s="161">
        <f>$G$554</f>
        <v>6.3</v>
      </c>
      <c r="K592" s="186"/>
      <c r="L592" s="184">
        <f>ROUND(J592*$C592,0)</f>
        <v>14378020</v>
      </c>
      <c r="M592" s="11"/>
      <c r="N592" s="11"/>
      <c r="O592" s="38"/>
      <c r="P592" s="38"/>
      <c r="Q592" s="38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</row>
    <row r="593" spans="1:34" hidden="1">
      <c r="A593" s="172" t="s">
        <v>245</v>
      </c>
      <c r="B593" s="1"/>
      <c r="C593" s="182">
        <v>4282.1833333333334</v>
      </c>
      <c r="D593" s="232">
        <f>D592</f>
        <v>6.3</v>
      </c>
      <c r="E593" s="186"/>
      <c r="F593" s="184">
        <f>ROUND(D593*C593,0)</f>
        <v>26978</v>
      </c>
      <c r="G593" s="506">
        <v>6.3</v>
      </c>
      <c r="H593" s="186"/>
      <c r="I593" s="184">
        <f>ROUND(G593*$C593,0)</f>
        <v>26978</v>
      </c>
      <c r="J593" s="232">
        <f>J592</f>
        <v>6.3</v>
      </c>
      <c r="K593" s="186"/>
      <c r="L593" s="184">
        <f>ROUND(J593*$C593,0)</f>
        <v>26978</v>
      </c>
      <c r="M593" s="11"/>
      <c r="N593" s="11"/>
      <c r="O593" s="38"/>
      <c r="P593" s="38"/>
      <c r="Q593" s="38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</row>
    <row r="594" spans="1:34" hidden="1">
      <c r="A594" s="186" t="s">
        <v>230</v>
      </c>
      <c r="B594" s="1"/>
      <c r="C594" s="182"/>
      <c r="D594" s="161"/>
      <c r="E594" s="186"/>
      <c r="F594" s="184"/>
      <c r="G594" s="506"/>
      <c r="H594" s="186"/>
      <c r="I594" s="184"/>
      <c r="J594" s="161"/>
      <c r="K594" s="186"/>
      <c r="L594" s="184"/>
      <c r="M594" s="11"/>
      <c r="N594" s="11"/>
      <c r="O594" s="38"/>
      <c r="P594" s="38"/>
      <c r="Q594" s="38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</row>
    <row r="595" spans="1:34" hidden="1">
      <c r="A595" s="186" t="s">
        <v>231</v>
      </c>
      <c r="B595" s="182"/>
      <c r="C595" s="182">
        <v>371191579.74517125</v>
      </c>
      <c r="D595" s="191">
        <f>D557</f>
        <v>5.7480000000000002</v>
      </c>
      <c r="E595" s="186" t="s">
        <v>178</v>
      </c>
      <c r="F595" s="184">
        <f>ROUND(D595*C595/100,0)</f>
        <v>21336092</v>
      </c>
      <c r="G595" s="745">
        <v>6.0709999999999997</v>
      </c>
      <c r="H595" s="186" t="s">
        <v>178</v>
      </c>
      <c r="I595" s="184">
        <f>ROUND(G595*$C595/100,0)</f>
        <v>22535041</v>
      </c>
      <c r="J595" s="190">
        <f ca="1">$J$557</f>
        <v>6.0570000000000004</v>
      </c>
      <c r="K595" s="186" t="s">
        <v>178</v>
      </c>
      <c r="L595" s="184">
        <f ca="1">ROUND(J595*$C595/100,0)</f>
        <v>22483074</v>
      </c>
      <c r="M595" s="11"/>
      <c r="N595" s="11"/>
      <c r="O595" s="38"/>
      <c r="P595" s="38"/>
      <c r="Q595" s="38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</row>
    <row r="596" spans="1:34" hidden="1">
      <c r="A596" s="186" t="s">
        <v>203</v>
      </c>
      <c r="B596" s="182"/>
      <c r="C596" s="182">
        <v>467777200.30190235</v>
      </c>
      <c r="D596" s="191">
        <f>D558</f>
        <v>5.2460000000000004</v>
      </c>
      <c r="E596" s="186" t="s">
        <v>178</v>
      </c>
      <c r="F596" s="184">
        <f>ROUND(D596*C596/100,0)</f>
        <v>24539592</v>
      </c>
      <c r="G596" s="745">
        <v>5.569</v>
      </c>
      <c r="H596" s="186" t="s">
        <v>178</v>
      </c>
      <c r="I596" s="184">
        <f>ROUND(G596*$C596/100,0)</f>
        <v>26050512</v>
      </c>
      <c r="J596" s="190">
        <f ca="1">$J$558</f>
        <v>5.5549999999999997</v>
      </c>
      <c r="K596" s="186" t="s">
        <v>178</v>
      </c>
      <c r="L596" s="184">
        <f ca="1">ROUND(J596*$C596/100,0)</f>
        <v>25985023</v>
      </c>
      <c r="M596" s="11"/>
      <c r="N596" s="11"/>
      <c r="O596" s="38"/>
      <c r="P596" s="38"/>
      <c r="Q596" s="38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</row>
    <row r="597" spans="1:34" hidden="1">
      <c r="A597" s="186" t="s">
        <v>204</v>
      </c>
      <c r="B597" s="1"/>
      <c r="C597" s="182">
        <v>351183.40000000037</v>
      </c>
      <c r="D597" s="520">
        <f>D559</f>
        <v>58</v>
      </c>
      <c r="E597" s="186" t="s">
        <v>178</v>
      </c>
      <c r="F597" s="184">
        <f>ROUND(D597*C597/100,0)</f>
        <v>203686</v>
      </c>
      <c r="G597" s="746">
        <v>58</v>
      </c>
      <c r="H597" s="186" t="s">
        <v>178</v>
      </c>
      <c r="I597" s="184">
        <f>ROUND(G597*$C597/100,0)</f>
        <v>203686</v>
      </c>
      <c r="J597" s="338">
        <f>$G$559</f>
        <v>58</v>
      </c>
      <c r="K597" s="186" t="s">
        <v>178</v>
      </c>
      <c r="L597" s="184">
        <f>ROUND(J597*$C597/100,0)</f>
        <v>203686</v>
      </c>
      <c r="M597" s="11"/>
      <c r="N597" s="11"/>
      <c r="O597" s="38"/>
      <c r="P597" s="38"/>
      <c r="Q597" s="38"/>
      <c r="R597" s="6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</row>
    <row r="598" spans="1:34" hidden="1">
      <c r="A598" s="223" t="s">
        <v>205</v>
      </c>
      <c r="B598" s="1"/>
      <c r="C598" s="182"/>
      <c r="D598" s="195">
        <v>-0.01</v>
      </c>
      <c r="E598" s="1"/>
      <c r="F598" s="184"/>
      <c r="G598" s="734">
        <v>-0.01</v>
      </c>
      <c r="H598" s="1"/>
      <c r="I598" s="184"/>
      <c r="J598" s="195">
        <v>-0.01</v>
      </c>
      <c r="K598" s="1"/>
      <c r="L598" s="184"/>
      <c r="M598" s="11"/>
      <c r="N598" s="11"/>
      <c r="O598" s="38"/>
      <c r="P598" s="279"/>
      <c r="Q598" s="38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</row>
    <row r="599" spans="1:34" hidden="1">
      <c r="A599" s="186" t="s">
        <v>225</v>
      </c>
      <c r="B599" s="12"/>
      <c r="C599" s="182">
        <v>0</v>
      </c>
      <c r="D599" s="167">
        <f>D585</f>
        <v>248</v>
      </c>
      <c r="E599" s="156"/>
      <c r="F599" s="184">
        <f t="shared" ref="F599:F605" si="60">ROUND(D599*C599*$D$598,0)</f>
        <v>0</v>
      </c>
      <c r="G599" s="506">
        <v>248</v>
      </c>
      <c r="H599" s="156"/>
      <c r="I599" s="184">
        <f>ROUND(G599*$C599*G598,0)</f>
        <v>0</v>
      </c>
      <c r="J599" s="167">
        <f>J585</f>
        <v>248</v>
      </c>
      <c r="K599" s="156"/>
      <c r="L599" s="184">
        <f>ROUND(J599*$C599*J598,0)</f>
        <v>0</v>
      </c>
      <c r="M599" s="11"/>
      <c r="N599" s="11"/>
      <c r="O599" s="38"/>
      <c r="P599" s="279"/>
      <c r="Q599" s="38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</row>
    <row r="600" spans="1:34" hidden="1">
      <c r="A600" s="186" t="s">
        <v>226</v>
      </c>
      <c r="B600" s="1"/>
      <c r="C600" s="182">
        <v>44</v>
      </c>
      <c r="D600" s="167">
        <f>D586</f>
        <v>93</v>
      </c>
      <c r="E600" s="156"/>
      <c r="F600" s="184">
        <f t="shared" si="60"/>
        <v>-41</v>
      </c>
      <c r="G600" s="506">
        <v>93</v>
      </c>
      <c r="H600" s="156"/>
      <c r="I600" s="184">
        <f>ROUND(G600*$C600*G598,0)</f>
        <v>-41</v>
      </c>
      <c r="J600" s="167">
        <f>J586</f>
        <v>93</v>
      </c>
      <c r="K600" s="156"/>
      <c r="L600" s="184">
        <f>ROUND(J600*$C600*J598,0)</f>
        <v>-41</v>
      </c>
      <c r="M600" s="11"/>
      <c r="N600" s="11"/>
      <c r="O600" s="38"/>
      <c r="P600" s="279"/>
      <c r="Q600" s="38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</row>
    <row r="601" spans="1:34" hidden="1">
      <c r="A601" s="186" t="s">
        <v>227</v>
      </c>
      <c r="B601" s="1"/>
      <c r="C601" s="182">
        <v>60</v>
      </c>
      <c r="D601" s="167">
        <f>D587</f>
        <v>185</v>
      </c>
      <c r="E601" s="236"/>
      <c r="F601" s="184">
        <f t="shared" si="60"/>
        <v>-111</v>
      </c>
      <c r="G601" s="506">
        <v>185</v>
      </c>
      <c r="H601" s="236"/>
      <c r="I601" s="184">
        <f>ROUND(G601*$C601*G598,0)</f>
        <v>-111</v>
      </c>
      <c r="J601" s="167">
        <f>J587</f>
        <v>185</v>
      </c>
      <c r="K601" s="236"/>
      <c r="L601" s="184">
        <f>ROUND(J601*$C601*J598,0)</f>
        <v>-111</v>
      </c>
      <c r="M601" s="11"/>
      <c r="N601" s="11"/>
      <c r="O601" s="38"/>
      <c r="P601" s="279"/>
      <c r="Q601" s="38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</row>
    <row r="602" spans="1:34" hidden="1">
      <c r="A602" s="186" t="s">
        <v>226</v>
      </c>
      <c r="B602" s="1"/>
      <c r="C602" s="182">
        <v>5896</v>
      </c>
      <c r="D602" s="167">
        <f>D589</f>
        <v>1.8</v>
      </c>
      <c r="E602" s="156"/>
      <c r="F602" s="184">
        <f t="shared" si="60"/>
        <v>-106</v>
      </c>
      <c r="G602" s="506">
        <v>1.8</v>
      </c>
      <c r="H602" s="156"/>
      <c r="I602" s="184">
        <f>ROUND(G602*$C602*G598,0)</f>
        <v>-106</v>
      </c>
      <c r="J602" s="167">
        <f>J589</f>
        <v>1.8</v>
      </c>
      <c r="K602" s="156"/>
      <c r="L602" s="184">
        <f>ROUND(J602*$C602*J598,0)</f>
        <v>-106</v>
      </c>
      <c r="M602" s="11"/>
      <c r="N602" s="11"/>
      <c r="O602" s="38"/>
      <c r="P602" s="279"/>
      <c r="Q602" s="38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</row>
    <row r="603" spans="1:34" hidden="1">
      <c r="A603" s="186" t="s">
        <v>227</v>
      </c>
      <c r="B603" s="1"/>
      <c r="C603" s="182">
        <v>39349</v>
      </c>
      <c r="D603" s="167">
        <f>D590</f>
        <v>1.48</v>
      </c>
      <c r="E603" s="156"/>
      <c r="F603" s="184">
        <f t="shared" si="60"/>
        <v>-582</v>
      </c>
      <c r="G603" s="506">
        <v>1.48</v>
      </c>
      <c r="H603" s="156"/>
      <c r="I603" s="184">
        <f>ROUND(G603*$C603*G598,0)</f>
        <v>-582</v>
      </c>
      <c r="J603" s="167">
        <f>J590</f>
        <v>1.48</v>
      </c>
      <c r="K603" s="156"/>
      <c r="L603" s="184">
        <f>ROUND(J603*$C603*J598,0)</f>
        <v>-582</v>
      </c>
      <c r="M603" s="11"/>
      <c r="N603" s="11"/>
      <c r="O603" s="38"/>
      <c r="P603" s="279"/>
      <c r="Q603" s="38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</row>
    <row r="604" spans="1:34" hidden="1">
      <c r="A604" s="172" t="s">
        <v>229</v>
      </c>
      <c r="B604" s="1"/>
      <c r="C604" s="182">
        <v>27373</v>
      </c>
      <c r="D604" s="167">
        <f>D592</f>
        <v>6.3</v>
      </c>
      <c r="E604" s="156"/>
      <c r="F604" s="184">
        <f t="shared" si="60"/>
        <v>-1724</v>
      </c>
      <c r="G604" s="506">
        <v>6.3</v>
      </c>
      <c r="H604" s="156"/>
      <c r="I604" s="184">
        <f>ROUND(G604*$C604*G598,0)</f>
        <v>-1724</v>
      </c>
      <c r="J604" s="167">
        <f>J592</f>
        <v>6.3</v>
      </c>
      <c r="K604" s="156"/>
      <c r="L604" s="184">
        <f>ROUND(J604*$C604*J598,0)</f>
        <v>-1724</v>
      </c>
      <c r="M604" s="11"/>
      <c r="N604" s="11"/>
      <c r="O604" s="38"/>
      <c r="P604" s="279"/>
      <c r="Q604" s="38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</row>
    <row r="605" spans="1:34" hidden="1">
      <c r="A605" s="172" t="s">
        <v>245</v>
      </c>
      <c r="B605" s="1"/>
      <c r="C605" s="182">
        <v>400</v>
      </c>
      <c r="D605" s="167">
        <f>D604</f>
        <v>6.3</v>
      </c>
      <c r="E605" s="156"/>
      <c r="F605" s="184">
        <f t="shared" si="60"/>
        <v>-25</v>
      </c>
      <c r="G605" s="506">
        <v>6.3</v>
      </c>
      <c r="H605" s="156"/>
      <c r="I605" s="184">
        <f>ROUND(G605*$C605*G598,0)</f>
        <v>-25</v>
      </c>
      <c r="J605" s="167">
        <f>J593</f>
        <v>6.3</v>
      </c>
      <c r="K605" s="156"/>
      <c r="L605" s="184">
        <f>ROUND(J605*$C605*J598,0)</f>
        <v>-25</v>
      </c>
      <c r="M605" s="11"/>
      <c r="N605" s="11"/>
      <c r="O605" s="38"/>
      <c r="P605" s="279"/>
      <c r="Q605" s="38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</row>
    <row r="606" spans="1:34" hidden="1">
      <c r="A606" s="186" t="s">
        <v>231</v>
      </c>
      <c r="B606" s="1"/>
      <c r="C606" s="182">
        <v>3473060</v>
      </c>
      <c r="D606" s="237">
        <f>D595</f>
        <v>5.7480000000000002</v>
      </c>
      <c r="E606" s="186" t="s">
        <v>178</v>
      </c>
      <c r="F606" s="184">
        <f>ROUND(D606*C606/100*$D$598,0)</f>
        <v>-1996</v>
      </c>
      <c r="G606" s="731">
        <v>6.0709999999999997</v>
      </c>
      <c r="H606" s="186" t="s">
        <v>178</v>
      </c>
      <c r="I606" s="184">
        <f>ROUND(G606*$C606/100*G598,0)</f>
        <v>-2108</v>
      </c>
      <c r="J606" s="237">
        <f ca="1">J595</f>
        <v>6.0570000000000004</v>
      </c>
      <c r="K606" s="186" t="s">
        <v>178</v>
      </c>
      <c r="L606" s="184">
        <f ca="1">ROUND(J606*$C606/100*J598,0)</f>
        <v>-2104</v>
      </c>
      <c r="M606" s="11"/>
      <c r="N606" s="11"/>
      <c r="O606" s="38"/>
      <c r="P606" s="279"/>
      <c r="Q606" s="38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</row>
    <row r="607" spans="1:34" hidden="1">
      <c r="A607" s="186" t="s">
        <v>203</v>
      </c>
      <c r="B607" s="1"/>
      <c r="C607" s="182">
        <v>6930058</v>
      </c>
      <c r="D607" s="237">
        <f>D596</f>
        <v>5.2460000000000004</v>
      </c>
      <c r="E607" s="186" t="s">
        <v>178</v>
      </c>
      <c r="F607" s="184">
        <f>ROUND(D607*C607/100*$D$598,0)</f>
        <v>-3636</v>
      </c>
      <c r="G607" s="731">
        <v>5.569</v>
      </c>
      <c r="H607" s="186" t="s">
        <v>178</v>
      </c>
      <c r="I607" s="184">
        <f>ROUND(G607*$C607/100*G598,0)</f>
        <v>-3859</v>
      </c>
      <c r="J607" s="237">
        <f ca="1">J596</f>
        <v>5.5549999999999997</v>
      </c>
      <c r="K607" s="186" t="s">
        <v>178</v>
      </c>
      <c r="L607" s="184">
        <f ca="1">ROUND(J607*$C607/100*J598,0)</f>
        <v>-3850</v>
      </c>
      <c r="M607" s="11"/>
      <c r="N607" s="11"/>
      <c r="O607" s="38"/>
      <c r="P607" s="279"/>
      <c r="Q607" s="38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</row>
    <row r="608" spans="1:34" hidden="1">
      <c r="A608" s="186" t="s">
        <v>204</v>
      </c>
      <c r="B608" s="1"/>
      <c r="C608" s="182">
        <v>6802</v>
      </c>
      <c r="D608" s="238">
        <f>D597</f>
        <v>58</v>
      </c>
      <c r="E608" s="186" t="s">
        <v>178</v>
      </c>
      <c r="F608" s="184">
        <f>ROUND(D608*C608/100*$D$598,0)</f>
        <v>-39</v>
      </c>
      <c r="G608" s="733">
        <v>58</v>
      </c>
      <c r="H608" s="186" t="s">
        <v>178</v>
      </c>
      <c r="I608" s="184">
        <f>ROUND(G608*$C608/100*G598,0)</f>
        <v>-39</v>
      </c>
      <c r="J608" s="238">
        <f>J597</f>
        <v>58</v>
      </c>
      <c r="K608" s="186" t="s">
        <v>178</v>
      </c>
      <c r="L608" s="184">
        <f>ROUND(J608*$C608/100*J598,0)</f>
        <v>-39</v>
      </c>
      <c r="M608" s="11"/>
      <c r="N608" s="11"/>
      <c r="O608" s="38"/>
      <c r="P608" s="279"/>
      <c r="Q608" s="38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</row>
    <row r="609" spans="1:34" hidden="1">
      <c r="A609" s="186" t="s">
        <v>247</v>
      </c>
      <c r="B609" s="1"/>
      <c r="C609" s="182">
        <v>104</v>
      </c>
      <c r="D609" s="161">
        <v>60</v>
      </c>
      <c r="E609" s="1"/>
      <c r="F609" s="184">
        <f>ROUND(D609*C609,0)</f>
        <v>6240</v>
      </c>
      <c r="G609" s="506">
        <v>60</v>
      </c>
      <c r="H609" s="1"/>
      <c r="I609" s="184">
        <f>ROUND(G609*$C609,0)</f>
        <v>6240</v>
      </c>
      <c r="J609" s="161">
        <f>$G$571</f>
        <v>60</v>
      </c>
      <c r="K609" s="1"/>
      <c r="L609" s="184">
        <f>ROUND(J609*$C609,0)</f>
        <v>6240</v>
      </c>
      <c r="M609" s="11"/>
      <c r="N609" s="11"/>
      <c r="O609" s="38"/>
      <c r="P609" s="11"/>
      <c r="Q609" s="336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</row>
    <row r="610" spans="1:34" hidden="1">
      <c r="A610" s="186" t="s">
        <v>248</v>
      </c>
      <c r="B610" s="168"/>
      <c r="C610" s="182">
        <v>46478</v>
      </c>
      <c r="D610" s="202">
        <v>-30</v>
      </c>
      <c r="E610" s="184" t="s">
        <v>178</v>
      </c>
      <c r="F610" s="184">
        <f>-ROUND(D610*C610*$D$598,0)</f>
        <v>-13943</v>
      </c>
      <c r="G610" s="737">
        <v>-30</v>
      </c>
      <c r="H610" s="184" t="s">
        <v>178</v>
      </c>
      <c r="I610" s="184">
        <f>ROUND(G610*$C610/100,0)</f>
        <v>-13943</v>
      </c>
      <c r="J610" s="202">
        <f>$G$572</f>
        <v>-30</v>
      </c>
      <c r="K610" s="184" t="s">
        <v>178</v>
      </c>
      <c r="L610" s="184">
        <f>ROUND(J610*$C610/100,0)</f>
        <v>-13943</v>
      </c>
      <c r="M610" s="11"/>
      <c r="N610" s="11"/>
      <c r="O610" s="38"/>
      <c r="P610" s="11"/>
      <c r="Q610" s="336"/>
      <c r="R610" s="6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</row>
    <row r="611" spans="1:34" hidden="1">
      <c r="A611" s="1" t="s">
        <v>185</v>
      </c>
      <c r="B611" s="170"/>
      <c r="C611" s="182">
        <f>SUM(C595:C596)</f>
        <v>838968780.0470736</v>
      </c>
      <c r="D611" s="193"/>
      <c r="E611" s="1"/>
      <c r="F611" s="2">
        <f>SUM(F585:F610)</f>
        <v>66901751</v>
      </c>
      <c r="G611" s="733"/>
      <c r="H611" s="1"/>
      <c r="I611" s="2">
        <f>SUM(I585:I610)</f>
        <v>69611285</v>
      </c>
      <c r="J611" s="193"/>
      <c r="K611" s="1"/>
      <c r="L611" s="2">
        <f ca="1">SUM(L585:L610)</f>
        <v>69493842</v>
      </c>
      <c r="M611" s="11"/>
      <c r="N611" s="11"/>
      <c r="O611" s="38"/>
      <c r="P611" s="279"/>
      <c r="Q611" s="38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</row>
    <row r="612" spans="1:34" hidden="1">
      <c r="A612" s="1" t="s">
        <v>167</v>
      </c>
      <c r="B612" s="1"/>
      <c r="C612" s="212">
        <v>7716768.3597677127</v>
      </c>
      <c r="D612" s="172"/>
      <c r="E612" s="172"/>
      <c r="F612" s="173">
        <v>874030.57612896967</v>
      </c>
      <c r="G612" s="284"/>
      <c r="H612" s="172"/>
      <c r="I612" s="173">
        <f>F612</f>
        <v>874030.57612896967</v>
      </c>
      <c r="J612" s="172"/>
      <c r="K612" s="172"/>
      <c r="L612" s="173">
        <f>I612</f>
        <v>874030.57612896967</v>
      </c>
      <c r="M612" s="307"/>
      <c r="N612" s="307"/>
      <c r="O612" s="150"/>
      <c r="P612" s="279"/>
      <c r="Q612" s="38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</row>
    <row r="613" spans="1:34" ht="16.5" hidden="1" thickBot="1">
      <c r="A613" s="1" t="s">
        <v>186</v>
      </c>
      <c r="B613" s="1"/>
      <c r="C613" s="229">
        <f>SUM(C611)+C612</f>
        <v>846685548.40684128</v>
      </c>
      <c r="D613" s="205"/>
      <c r="E613" s="208"/>
      <c r="F613" s="207">
        <f>F611+F612</f>
        <v>67775781.576128975</v>
      </c>
      <c r="G613" s="741"/>
      <c r="H613" s="208"/>
      <c r="I613" s="207">
        <f>I611+I612</f>
        <v>70485315.576128975</v>
      </c>
      <c r="J613" s="205"/>
      <c r="K613" s="208"/>
      <c r="L613" s="207">
        <f ca="1">L611+L612</f>
        <v>70367872.576128975</v>
      </c>
      <c r="M613" s="274"/>
      <c r="N613" s="274"/>
      <c r="O613" s="333"/>
      <c r="P613" s="279"/>
      <c r="Q613" s="38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</row>
    <row r="614" spans="1:34" ht="16.5" hidden="1" thickTop="1">
      <c r="A614" s="1"/>
      <c r="B614" s="1"/>
      <c r="C614" s="12"/>
      <c r="D614" s="200" t="s">
        <v>13</v>
      </c>
      <c r="E614" s="1"/>
      <c r="F614" s="2"/>
      <c r="G614" s="216" t="s">
        <v>13</v>
      </c>
      <c r="H614" s="1"/>
      <c r="I614" s="2" t="s">
        <v>13</v>
      </c>
      <c r="J614" s="216" t="s">
        <v>13</v>
      </c>
      <c r="K614" s="1"/>
      <c r="L614" s="2" t="s">
        <v>13</v>
      </c>
      <c r="M614" s="11"/>
      <c r="N614" s="11"/>
      <c r="O614" s="38"/>
      <c r="P614" s="279"/>
      <c r="Q614" s="38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</row>
    <row r="615" spans="1:34" hidden="1">
      <c r="A615" s="156" t="s">
        <v>240</v>
      </c>
      <c r="B615" s="1"/>
      <c r="C615" s="1"/>
      <c r="D615" s="2"/>
      <c r="E615" s="1"/>
      <c r="F615" s="1"/>
      <c r="G615" s="516"/>
      <c r="H615" s="1"/>
      <c r="I615" s="1"/>
      <c r="J615" s="2"/>
      <c r="K615" s="1"/>
      <c r="L615" s="1"/>
      <c r="M615" s="11"/>
      <c r="N615" s="11"/>
      <c r="O615" s="38"/>
      <c r="P615" s="279"/>
      <c r="Q615" s="38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</row>
    <row r="616" spans="1:34" hidden="1">
      <c r="A616" s="172" t="s">
        <v>250</v>
      </c>
      <c r="B616" s="1"/>
      <c r="C616" s="1"/>
      <c r="D616" s="2"/>
      <c r="E616" s="1"/>
      <c r="F616" s="1"/>
      <c r="G616" s="516"/>
      <c r="H616" s="1"/>
      <c r="I616" s="1"/>
      <c r="J616" s="2"/>
      <c r="K616" s="1"/>
      <c r="L616" s="1"/>
      <c r="M616" s="11"/>
      <c r="N616" s="11"/>
      <c r="O616" s="38"/>
      <c r="P616" s="279"/>
      <c r="Q616" s="38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</row>
    <row r="617" spans="1:34" hidden="1">
      <c r="A617" s="186"/>
      <c r="B617" s="1"/>
      <c r="C617" s="1"/>
      <c r="D617" s="2"/>
      <c r="E617" s="1"/>
      <c r="F617" s="1"/>
      <c r="G617" s="516"/>
      <c r="H617" s="1"/>
      <c r="I617" s="1"/>
      <c r="J617" s="2"/>
      <c r="K617" s="1"/>
      <c r="L617" s="1"/>
      <c r="M617" s="11"/>
      <c r="N617" s="11"/>
      <c r="O617" s="38"/>
      <c r="P617" s="279"/>
      <c r="Q617" s="38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</row>
    <row r="618" spans="1:34" hidden="1">
      <c r="A618" s="186" t="s">
        <v>197</v>
      </c>
      <c r="B618" s="12"/>
      <c r="C618" s="182"/>
      <c r="D618" s="2"/>
      <c r="E618" s="1"/>
      <c r="F618" s="1"/>
      <c r="G618" s="516"/>
      <c r="H618" s="1"/>
      <c r="I618" s="1"/>
      <c r="J618" s="2"/>
      <c r="K618" s="1"/>
      <c r="L618" s="1"/>
      <c r="M618" s="11"/>
      <c r="N618" s="11"/>
      <c r="O618" s="38"/>
      <c r="P618" s="279"/>
      <c r="Q618" s="38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</row>
    <row r="619" spans="1:34" hidden="1">
      <c r="A619" s="186" t="s">
        <v>225</v>
      </c>
      <c r="B619" s="1"/>
      <c r="C619" s="182">
        <v>13.399999999999999</v>
      </c>
      <c r="D619" s="161">
        <f>D547</f>
        <v>248</v>
      </c>
      <c r="E619" s="186"/>
      <c r="F619" s="184">
        <f>ROUND(D619*C619,0)</f>
        <v>3323</v>
      </c>
      <c r="G619" s="506">
        <v>248</v>
      </c>
      <c r="H619" s="186"/>
      <c r="I619" s="184">
        <f>ROUND(G619*$C619,0)</f>
        <v>3323</v>
      </c>
      <c r="J619" s="161">
        <f>$G$547</f>
        <v>248</v>
      </c>
      <c r="K619" s="186"/>
      <c r="L619" s="184">
        <f>ROUND(J619*$C619,0)</f>
        <v>3323</v>
      </c>
      <c r="M619" s="11"/>
      <c r="N619" s="11"/>
      <c r="O619" s="38"/>
      <c r="P619" s="279"/>
      <c r="Q619" s="38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</row>
    <row r="620" spans="1:34" hidden="1">
      <c r="A620" s="186" t="s">
        <v>226</v>
      </c>
      <c r="B620" s="1"/>
      <c r="C620" s="182">
        <v>699.06666666666695</v>
      </c>
      <c r="D620" s="161">
        <f>D548</f>
        <v>93</v>
      </c>
      <c r="E620" s="186"/>
      <c r="F620" s="184">
        <f>ROUND(D620*C620,0)</f>
        <v>65013</v>
      </c>
      <c r="G620" s="506">
        <v>93</v>
      </c>
      <c r="H620" s="186"/>
      <c r="I620" s="184">
        <f>ROUND(G620*$C620,0)</f>
        <v>65013</v>
      </c>
      <c r="J620" s="161">
        <f>$G$548</f>
        <v>93</v>
      </c>
      <c r="K620" s="186"/>
      <c r="L620" s="184">
        <f>ROUND(J620*$C620,0)</f>
        <v>65013</v>
      </c>
      <c r="M620" s="11"/>
      <c r="N620" s="11"/>
      <c r="O620" s="38"/>
      <c r="P620" s="279"/>
      <c r="Q620" s="38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</row>
    <row r="621" spans="1:34" hidden="1">
      <c r="A621" s="186" t="s">
        <v>227</v>
      </c>
      <c r="B621" s="1"/>
      <c r="C621" s="182">
        <v>515.03333333333296</v>
      </c>
      <c r="D621" s="161">
        <f>D549</f>
        <v>185</v>
      </c>
      <c r="E621" s="188"/>
      <c r="F621" s="184">
        <f>ROUND(D621*C621,0)</f>
        <v>95281</v>
      </c>
      <c r="G621" s="506">
        <v>185</v>
      </c>
      <c r="H621" s="188"/>
      <c r="I621" s="184">
        <f>ROUND(G621*$C621,0)</f>
        <v>95281</v>
      </c>
      <c r="J621" s="161">
        <f>$G$549</f>
        <v>185</v>
      </c>
      <c r="K621" s="188"/>
      <c r="L621" s="184">
        <f>ROUND(J621*$C621,0)</f>
        <v>95281</v>
      </c>
      <c r="M621" s="11"/>
      <c r="N621" s="11"/>
      <c r="O621" s="38"/>
      <c r="P621" s="279"/>
      <c r="Q621" s="38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</row>
    <row r="622" spans="1:34" hidden="1">
      <c r="A622" s="186" t="s">
        <v>198</v>
      </c>
      <c r="B622" s="1"/>
      <c r="C622" s="182">
        <f>SUM(C619:C621)</f>
        <v>1227.5</v>
      </c>
      <c r="D622" s="161"/>
      <c r="E622" s="186"/>
      <c r="F622" s="184"/>
      <c r="G622" s="506"/>
      <c r="H622" s="186"/>
      <c r="I622" s="184"/>
      <c r="J622" s="161"/>
      <c r="K622" s="186"/>
      <c r="L622" s="184"/>
      <c r="M622" s="11"/>
      <c r="N622" s="11"/>
      <c r="O622" s="38"/>
      <c r="P622" s="11"/>
      <c r="Q622" s="336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</row>
    <row r="623" spans="1:34" hidden="1">
      <c r="A623" s="186" t="s">
        <v>226</v>
      </c>
      <c r="B623" s="1"/>
      <c r="C623" s="182">
        <v>120922.266666667</v>
      </c>
      <c r="D623" s="161">
        <f>D551</f>
        <v>1.8</v>
      </c>
      <c r="E623" s="186" t="s">
        <v>13</v>
      </c>
      <c r="F623" s="184">
        <f>ROUND(D623*C623,0)</f>
        <v>217660</v>
      </c>
      <c r="G623" s="506">
        <v>1.8</v>
      </c>
      <c r="H623" s="186" t="s">
        <v>13</v>
      </c>
      <c r="I623" s="184">
        <f>ROUND(G623*$C623,0)</f>
        <v>217660</v>
      </c>
      <c r="J623" s="161">
        <f>$G$551</f>
        <v>1.8</v>
      </c>
      <c r="K623" s="186" t="s">
        <v>13</v>
      </c>
      <c r="L623" s="184">
        <f>ROUND(J623*$C623,0)</f>
        <v>217660</v>
      </c>
      <c r="M623" s="11"/>
      <c r="N623" s="11"/>
      <c r="O623" s="38"/>
      <c r="P623" s="11"/>
      <c r="Q623" s="336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</row>
    <row r="624" spans="1:34" hidden="1">
      <c r="A624" s="186" t="s">
        <v>227</v>
      </c>
      <c r="B624" s="1"/>
      <c r="C624" s="182">
        <v>302388.59999999998</v>
      </c>
      <c r="D624" s="161">
        <f>D552</f>
        <v>1.48</v>
      </c>
      <c r="E624" s="186" t="s">
        <v>13</v>
      </c>
      <c r="F624" s="184">
        <f>ROUND(D624*C624,0)</f>
        <v>447535</v>
      </c>
      <c r="G624" s="506">
        <v>1.48</v>
      </c>
      <c r="H624" s="186" t="s">
        <v>13</v>
      </c>
      <c r="I624" s="184">
        <f>ROUND(G624*$C624,0)</f>
        <v>447535</v>
      </c>
      <c r="J624" s="161">
        <f>$G$552</f>
        <v>1.48</v>
      </c>
      <c r="K624" s="186" t="s">
        <v>13</v>
      </c>
      <c r="L624" s="184">
        <f>ROUND(J624*$C624,0)</f>
        <v>447535</v>
      </c>
      <c r="M624" s="11"/>
      <c r="N624" s="11"/>
      <c r="O624" s="38"/>
      <c r="P624" s="279"/>
      <c r="Q624" s="38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</row>
    <row r="625" spans="1:34" hidden="1">
      <c r="A625" s="172" t="s">
        <v>228</v>
      </c>
      <c r="B625" s="1"/>
      <c r="C625" s="182"/>
      <c r="D625" s="218"/>
      <c r="E625" s="186"/>
      <c r="F625" s="184"/>
      <c r="G625" s="506"/>
      <c r="H625" s="186"/>
      <c r="I625" s="184"/>
      <c r="J625" s="218"/>
      <c r="K625" s="186"/>
      <c r="L625" s="184"/>
      <c r="M625" s="11"/>
      <c r="N625" s="11"/>
      <c r="O625" s="38"/>
      <c r="P625" s="38"/>
      <c r="Q625" s="38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</row>
    <row r="626" spans="1:34" hidden="1">
      <c r="A626" s="172" t="s">
        <v>229</v>
      </c>
      <c r="B626" s="1"/>
      <c r="C626" s="182">
        <v>327718.34999999969</v>
      </c>
      <c r="D626" s="161">
        <f>D554</f>
        <v>6.3</v>
      </c>
      <c r="E626" s="186"/>
      <c r="F626" s="184">
        <f>ROUND(D626*C626,0)</f>
        <v>2064626</v>
      </c>
      <c r="G626" s="506">
        <v>6.3</v>
      </c>
      <c r="H626" s="186"/>
      <c r="I626" s="184">
        <f>ROUND(G626*$C626,0)</f>
        <v>2064626</v>
      </c>
      <c r="J626" s="161">
        <f>$G$554</f>
        <v>6.3</v>
      </c>
      <c r="K626" s="186"/>
      <c r="L626" s="184">
        <f>ROUND(J626*$C626,0)</f>
        <v>2064626</v>
      </c>
      <c r="M626" s="11"/>
      <c r="N626" s="11"/>
      <c r="O626" s="38"/>
      <c r="P626" s="38"/>
      <c r="Q626" s="38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</row>
    <row r="627" spans="1:34" hidden="1">
      <c r="A627" s="172" t="s">
        <v>245</v>
      </c>
      <c r="B627" s="1"/>
      <c r="C627" s="182">
        <v>506.66666666666703</v>
      </c>
      <c r="D627" s="232">
        <f>D626</f>
        <v>6.3</v>
      </c>
      <c r="E627" s="186"/>
      <c r="F627" s="184">
        <f>ROUND(D627*C627,0)</f>
        <v>3192</v>
      </c>
      <c r="G627" s="506">
        <v>6.3</v>
      </c>
      <c r="H627" s="186"/>
      <c r="I627" s="184">
        <f>ROUND(G627*$C627,0)</f>
        <v>3192</v>
      </c>
      <c r="J627" s="232">
        <f>J626</f>
        <v>6.3</v>
      </c>
      <c r="K627" s="186"/>
      <c r="L627" s="184">
        <f>ROUND(J627*$C627,0)</f>
        <v>3192</v>
      </c>
      <c r="M627" s="11"/>
      <c r="N627" s="11"/>
      <c r="O627" s="38"/>
      <c r="P627" s="38"/>
      <c r="Q627" s="38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</row>
    <row r="628" spans="1:34" hidden="1">
      <c r="A628" s="186" t="s">
        <v>230</v>
      </c>
      <c r="B628" s="1"/>
      <c r="C628" s="182"/>
      <c r="D628" s="161"/>
      <c r="E628" s="186"/>
      <c r="F628" s="184"/>
      <c r="G628" s="506"/>
      <c r="H628" s="186"/>
      <c r="I628" s="184"/>
      <c r="J628" s="161"/>
      <c r="K628" s="186"/>
      <c r="L628" s="184"/>
      <c r="M628" s="11"/>
      <c r="N628" s="11"/>
      <c r="O628" s="38"/>
      <c r="P628" s="38"/>
      <c r="Q628" s="38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</row>
    <row r="629" spans="1:34" hidden="1">
      <c r="A629" s="186" t="s">
        <v>231</v>
      </c>
      <c r="B629" s="1"/>
      <c r="C629" s="182">
        <v>38035837.333333299</v>
      </c>
      <c r="D629" s="191">
        <f>D557</f>
        <v>5.7480000000000002</v>
      </c>
      <c r="E629" s="186" t="s">
        <v>178</v>
      </c>
      <c r="F629" s="184">
        <f>ROUND(D629*C629/100,0)</f>
        <v>2186300</v>
      </c>
      <c r="G629" s="745">
        <v>6.0709999999999997</v>
      </c>
      <c r="H629" s="186" t="s">
        <v>178</v>
      </c>
      <c r="I629" s="184">
        <f>ROUND(G629*$C629/100,0)</f>
        <v>2309156</v>
      </c>
      <c r="J629" s="190">
        <f ca="1">$J$557</f>
        <v>6.0570000000000004</v>
      </c>
      <c r="K629" s="186" t="s">
        <v>178</v>
      </c>
      <c r="L629" s="184">
        <f ca="1">ROUND(J629*$C629/100,0)</f>
        <v>2303831</v>
      </c>
      <c r="M629" s="11"/>
      <c r="N629" s="11"/>
      <c r="O629" s="38"/>
      <c r="P629" s="38"/>
      <c r="Q629" s="38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</row>
    <row r="630" spans="1:34" hidden="1">
      <c r="A630" s="186" t="s">
        <v>203</v>
      </c>
      <c r="B630" s="1"/>
      <c r="C630" s="182">
        <v>64120952.666666701</v>
      </c>
      <c r="D630" s="191">
        <f>D558</f>
        <v>5.2460000000000004</v>
      </c>
      <c r="E630" s="186" t="s">
        <v>178</v>
      </c>
      <c r="F630" s="184">
        <f>ROUND(D630*C630/100,0)</f>
        <v>3363785</v>
      </c>
      <c r="G630" s="745">
        <v>5.569</v>
      </c>
      <c r="H630" s="186" t="s">
        <v>178</v>
      </c>
      <c r="I630" s="184">
        <f>ROUND(G630*$C630/100,0)</f>
        <v>3570896</v>
      </c>
      <c r="J630" s="190">
        <f ca="1">$J$558</f>
        <v>5.5549999999999997</v>
      </c>
      <c r="K630" s="186" t="s">
        <v>178</v>
      </c>
      <c r="L630" s="184">
        <f ca="1">ROUND(J630*$C630/100,0)</f>
        <v>3561919</v>
      </c>
      <c r="M630" s="11"/>
      <c r="N630" s="11"/>
      <c r="O630" s="38"/>
      <c r="P630" s="38"/>
      <c r="Q630" s="38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</row>
    <row r="631" spans="1:34" hidden="1">
      <c r="A631" s="186" t="s">
        <v>204</v>
      </c>
      <c r="B631" s="1"/>
      <c r="C631" s="182">
        <v>89740.166666666701</v>
      </c>
      <c r="D631" s="520">
        <f>D559</f>
        <v>58</v>
      </c>
      <c r="E631" s="186" t="s">
        <v>178</v>
      </c>
      <c r="F631" s="184">
        <f>ROUND(D631*C631/100,0)</f>
        <v>52049</v>
      </c>
      <c r="G631" s="746">
        <v>58</v>
      </c>
      <c r="H631" s="186" t="s">
        <v>178</v>
      </c>
      <c r="I631" s="184">
        <f>ROUND(G631*$C631/100,0)</f>
        <v>52049</v>
      </c>
      <c r="J631" s="338">
        <f>$G$559</f>
        <v>58</v>
      </c>
      <c r="K631" s="186" t="s">
        <v>178</v>
      </c>
      <c r="L631" s="184">
        <f>ROUND(J631*$C631/100,0)</f>
        <v>52049</v>
      </c>
      <c r="M631" s="11"/>
      <c r="N631" s="11"/>
      <c r="O631" s="38"/>
      <c r="P631" s="38"/>
      <c r="Q631" s="38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</row>
    <row r="632" spans="1:34" hidden="1">
      <c r="A632" s="223" t="s">
        <v>205</v>
      </c>
      <c r="B632" s="1"/>
      <c r="C632" s="182"/>
      <c r="D632" s="195">
        <v>-0.01</v>
      </c>
      <c r="E632" s="1"/>
      <c r="F632" s="184"/>
      <c r="G632" s="734">
        <v>-0.01</v>
      </c>
      <c r="H632" s="1"/>
      <c r="I632" s="184"/>
      <c r="J632" s="195">
        <v>-0.01</v>
      </c>
      <c r="K632" s="1"/>
      <c r="L632" s="184"/>
      <c r="M632" s="11"/>
      <c r="N632" s="11"/>
      <c r="O632" s="38"/>
      <c r="P632" s="38"/>
      <c r="Q632" s="38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</row>
    <row r="633" spans="1:34" hidden="1">
      <c r="A633" s="186" t="s">
        <v>225</v>
      </c>
      <c r="B633" s="1"/>
      <c r="C633" s="182">
        <v>0</v>
      </c>
      <c r="D633" s="167">
        <f>D619</f>
        <v>248</v>
      </c>
      <c r="E633" s="156"/>
      <c r="F633" s="184">
        <f t="shared" ref="F633:F639" si="61">ROUND(D633*C633*$D$598,0)</f>
        <v>0</v>
      </c>
      <c r="G633" s="506">
        <v>248</v>
      </c>
      <c r="H633" s="156"/>
      <c r="I633" s="184">
        <f>ROUND(G633*$C633*G632,0)</f>
        <v>0</v>
      </c>
      <c r="J633" s="167">
        <f>J619</f>
        <v>248</v>
      </c>
      <c r="K633" s="156"/>
      <c r="L633" s="184">
        <f>ROUND(J633*$C633*J632,0)</f>
        <v>0</v>
      </c>
      <c r="M633" s="11"/>
      <c r="N633" s="11"/>
      <c r="O633" s="38"/>
      <c r="P633" s="38"/>
      <c r="Q633" s="38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</row>
    <row r="634" spans="1:34" hidden="1">
      <c r="A634" s="186" t="s">
        <v>226</v>
      </c>
      <c r="B634" s="1"/>
      <c r="C634" s="182">
        <v>6.7333333333333298</v>
      </c>
      <c r="D634" s="167">
        <f>D620</f>
        <v>93</v>
      </c>
      <c r="E634" s="156"/>
      <c r="F634" s="184">
        <f t="shared" si="61"/>
        <v>-6</v>
      </c>
      <c r="G634" s="506">
        <v>93</v>
      </c>
      <c r="H634" s="156"/>
      <c r="I634" s="184">
        <f>ROUND(G634*$C634*G632,0)</f>
        <v>-6</v>
      </c>
      <c r="J634" s="167">
        <f>J620</f>
        <v>93</v>
      </c>
      <c r="K634" s="156"/>
      <c r="L634" s="184">
        <f>ROUND(J634*$C634*J632,0)</f>
        <v>-6</v>
      </c>
      <c r="M634" s="11"/>
      <c r="N634" s="11"/>
      <c r="O634" s="38"/>
      <c r="P634" s="38"/>
      <c r="Q634" s="38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</row>
    <row r="635" spans="1:34" hidden="1">
      <c r="A635" s="186" t="s">
        <v>227</v>
      </c>
      <c r="B635" s="1"/>
      <c r="C635" s="182">
        <v>0</v>
      </c>
      <c r="D635" s="167">
        <f>D621</f>
        <v>185</v>
      </c>
      <c r="E635" s="236"/>
      <c r="F635" s="184">
        <f t="shared" si="61"/>
        <v>0</v>
      </c>
      <c r="G635" s="506">
        <v>185</v>
      </c>
      <c r="H635" s="236"/>
      <c r="I635" s="184">
        <f>ROUND(G635*$C635*G632,0)</f>
        <v>0</v>
      </c>
      <c r="J635" s="167">
        <f>J621</f>
        <v>185</v>
      </c>
      <c r="K635" s="236"/>
      <c r="L635" s="184">
        <f>ROUND(J635*$C635*J632,0)</f>
        <v>0</v>
      </c>
      <c r="M635" s="11"/>
      <c r="N635" s="11"/>
      <c r="O635" s="38"/>
      <c r="P635" s="38"/>
      <c r="Q635" s="38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</row>
    <row r="636" spans="1:34" hidden="1">
      <c r="A636" s="186" t="s">
        <v>226</v>
      </c>
      <c r="B636" s="1"/>
      <c r="C636" s="182">
        <v>0</v>
      </c>
      <c r="D636" s="167">
        <f>D623</f>
        <v>1.8</v>
      </c>
      <c r="E636" s="156"/>
      <c r="F636" s="184">
        <f t="shared" si="61"/>
        <v>0</v>
      </c>
      <c r="G636" s="506">
        <v>1.8</v>
      </c>
      <c r="H636" s="156"/>
      <c r="I636" s="184">
        <f>ROUND(G636*$C636*G632,0)</f>
        <v>0</v>
      </c>
      <c r="J636" s="167">
        <f>J623</f>
        <v>1.8</v>
      </c>
      <c r="K636" s="156"/>
      <c r="L636" s="184">
        <f>ROUND(J636*$C636*J632,0)</f>
        <v>0</v>
      </c>
      <c r="M636" s="11"/>
      <c r="N636" s="11"/>
      <c r="O636" s="38"/>
      <c r="P636" s="38"/>
      <c r="Q636" s="38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</row>
    <row r="637" spans="1:34" hidden="1">
      <c r="A637" s="186" t="s">
        <v>227</v>
      </c>
      <c r="B637" s="1"/>
      <c r="C637" s="182">
        <v>0</v>
      </c>
      <c r="D637" s="167">
        <f>D624</f>
        <v>1.48</v>
      </c>
      <c r="E637" s="156"/>
      <c r="F637" s="184">
        <f t="shared" si="61"/>
        <v>0</v>
      </c>
      <c r="G637" s="506">
        <v>1.48</v>
      </c>
      <c r="H637" s="156"/>
      <c r="I637" s="184">
        <f>ROUND(G637*$C637*G632,0)</f>
        <v>0</v>
      </c>
      <c r="J637" s="167">
        <f>J624</f>
        <v>1.48</v>
      </c>
      <c r="K637" s="156"/>
      <c r="L637" s="184">
        <f>ROUND(J637*$C637*J632,0)</f>
        <v>0</v>
      </c>
      <c r="M637" s="11"/>
      <c r="N637" s="11"/>
      <c r="O637" s="38"/>
      <c r="P637" s="38"/>
      <c r="Q637" s="38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</row>
    <row r="638" spans="1:34" hidden="1">
      <c r="A638" s="172" t="s">
        <v>229</v>
      </c>
      <c r="B638" s="1"/>
      <c r="C638" s="182">
        <v>0</v>
      </c>
      <c r="D638" s="167">
        <f>D626</f>
        <v>6.3</v>
      </c>
      <c r="E638" s="156"/>
      <c r="F638" s="184">
        <f t="shared" si="61"/>
        <v>0</v>
      </c>
      <c r="G638" s="506">
        <v>6.3</v>
      </c>
      <c r="H638" s="156"/>
      <c r="I638" s="184">
        <f>ROUND(G638*$C638*G632,0)</f>
        <v>0</v>
      </c>
      <c r="J638" s="167">
        <f>J626</f>
        <v>6.3</v>
      </c>
      <c r="K638" s="156"/>
      <c r="L638" s="184">
        <f>ROUND(J638*$C638*J632,0)</f>
        <v>0</v>
      </c>
      <c r="M638" s="11"/>
      <c r="N638" s="11"/>
      <c r="O638" s="38"/>
      <c r="P638" s="38"/>
      <c r="Q638" s="38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</row>
    <row r="639" spans="1:34" hidden="1">
      <c r="A639" s="172" t="s">
        <v>245</v>
      </c>
      <c r="B639" s="1"/>
      <c r="C639" s="182">
        <v>336.66666666666703</v>
      </c>
      <c r="D639" s="167">
        <f>D638</f>
        <v>6.3</v>
      </c>
      <c r="E639" s="156"/>
      <c r="F639" s="184">
        <f t="shared" si="61"/>
        <v>-21</v>
      </c>
      <c r="G639" s="506">
        <v>6.3</v>
      </c>
      <c r="H639" s="156"/>
      <c r="I639" s="184">
        <f>ROUND(G639*$C639*G632,0)</f>
        <v>-21</v>
      </c>
      <c r="J639" s="167">
        <f>J627</f>
        <v>6.3</v>
      </c>
      <c r="K639" s="156"/>
      <c r="L639" s="184">
        <f>ROUND(J639*$C639*J632,0)</f>
        <v>-21</v>
      </c>
      <c r="M639" s="11"/>
      <c r="N639" s="11"/>
      <c r="O639" s="38"/>
      <c r="P639" s="38"/>
      <c r="Q639" s="38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</row>
    <row r="640" spans="1:34" hidden="1">
      <c r="A640" s="186" t="s">
        <v>231</v>
      </c>
      <c r="B640" s="1"/>
      <c r="C640" s="182">
        <v>0</v>
      </c>
      <c r="D640" s="237">
        <f>D629</f>
        <v>5.7480000000000002</v>
      </c>
      <c r="E640" s="186" t="s">
        <v>178</v>
      </c>
      <c r="F640" s="184">
        <f>ROUND(D640*C640/100*$D$598,0)</f>
        <v>0</v>
      </c>
      <c r="G640" s="731">
        <v>6.0709999999999997</v>
      </c>
      <c r="H640" s="186" t="s">
        <v>178</v>
      </c>
      <c r="I640" s="184">
        <f>ROUND(G640*$C640/100*G632,0)</f>
        <v>0</v>
      </c>
      <c r="J640" s="237">
        <f ca="1">J629</f>
        <v>6.0570000000000004</v>
      </c>
      <c r="K640" s="186" t="s">
        <v>178</v>
      </c>
      <c r="L640" s="184">
        <f ca="1">ROUND(J640*$C640/100*J632,0)</f>
        <v>0</v>
      </c>
      <c r="M640" s="11"/>
      <c r="N640" s="11"/>
      <c r="O640" s="38"/>
      <c r="P640" s="38"/>
      <c r="Q640" s="38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</row>
    <row r="641" spans="1:34" hidden="1">
      <c r="A641" s="186" t="s">
        <v>203</v>
      </c>
      <c r="B641" s="1"/>
      <c r="C641" s="182">
        <v>0</v>
      </c>
      <c r="D641" s="237">
        <f>D630</f>
        <v>5.2460000000000004</v>
      </c>
      <c r="E641" s="186" t="s">
        <v>178</v>
      </c>
      <c r="F641" s="184">
        <f>ROUND(D641*C641/100*$D$598,0)</f>
        <v>0</v>
      </c>
      <c r="G641" s="731">
        <v>5.569</v>
      </c>
      <c r="H641" s="186" t="s">
        <v>178</v>
      </c>
      <c r="I641" s="184">
        <f>ROUND(G641*$C641/100*G632,0)</f>
        <v>0</v>
      </c>
      <c r="J641" s="237">
        <f ca="1">J630</f>
        <v>5.5549999999999997</v>
      </c>
      <c r="K641" s="186" t="s">
        <v>178</v>
      </c>
      <c r="L641" s="184">
        <f ca="1">ROUND(J641*$C641/100*J632,0)</f>
        <v>0</v>
      </c>
      <c r="M641" s="11"/>
      <c r="N641" s="11"/>
      <c r="O641" s="38"/>
      <c r="P641" s="38"/>
      <c r="Q641" s="38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</row>
    <row r="642" spans="1:34" hidden="1">
      <c r="A642" s="186" t="s">
        <v>204</v>
      </c>
      <c r="B642" s="1"/>
      <c r="C642" s="182">
        <v>0</v>
      </c>
      <c r="D642" s="238">
        <f>D631</f>
        <v>58</v>
      </c>
      <c r="E642" s="186" t="s">
        <v>178</v>
      </c>
      <c r="F642" s="184">
        <f>ROUND(D642*C642/100*$D$598,0)</f>
        <v>0</v>
      </c>
      <c r="G642" s="733">
        <v>58</v>
      </c>
      <c r="H642" s="186" t="s">
        <v>178</v>
      </c>
      <c r="I642" s="184">
        <f>ROUND(G642*$C642/100*G632,0)</f>
        <v>0</v>
      </c>
      <c r="J642" s="238">
        <f>J631</f>
        <v>58</v>
      </c>
      <c r="K642" s="186" t="s">
        <v>178</v>
      </c>
      <c r="L642" s="184">
        <f>ROUND(J642*$C642/100*J632,0)</f>
        <v>0</v>
      </c>
      <c r="M642" s="11"/>
      <c r="N642" s="11"/>
      <c r="O642" s="38"/>
      <c r="P642" s="38"/>
      <c r="Q642" s="38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</row>
    <row r="643" spans="1:34" hidden="1">
      <c r="A643" s="186" t="s">
        <v>247</v>
      </c>
      <c r="B643" s="1"/>
      <c r="C643" s="182">
        <v>0</v>
      </c>
      <c r="D643" s="161">
        <v>60</v>
      </c>
      <c r="E643" s="1"/>
      <c r="F643" s="184">
        <f>ROUND(D643*C643,0)</f>
        <v>0</v>
      </c>
      <c r="G643" s="506">
        <v>60</v>
      </c>
      <c r="H643" s="1"/>
      <c r="I643" s="184">
        <f>ROUND(G643*$C643,0)</f>
        <v>0</v>
      </c>
      <c r="J643" s="161">
        <f>$G$571</f>
        <v>60</v>
      </c>
      <c r="K643" s="1"/>
      <c r="L643" s="184">
        <f>ROUND(J643*$C643,0)</f>
        <v>0</v>
      </c>
      <c r="M643" s="11"/>
      <c r="N643" s="11"/>
      <c r="O643" s="38"/>
      <c r="P643" s="38"/>
      <c r="Q643" s="38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</row>
    <row r="644" spans="1:34" hidden="1">
      <c r="A644" s="186" t="s">
        <v>248</v>
      </c>
      <c r="B644" s="1"/>
      <c r="C644" s="182">
        <v>0</v>
      </c>
      <c r="D644" s="202">
        <v>-30</v>
      </c>
      <c r="E644" s="184" t="s">
        <v>178</v>
      </c>
      <c r="F644" s="184">
        <f>-ROUND(D644*C644*$D$598,0)</f>
        <v>0</v>
      </c>
      <c r="G644" s="737">
        <v>-30</v>
      </c>
      <c r="H644" s="184" t="s">
        <v>178</v>
      </c>
      <c r="I644" s="184">
        <f>ROUND(G644*$C644/100,0)</f>
        <v>0</v>
      </c>
      <c r="J644" s="202">
        <f>$G$572</f>
        <v>-30</v>
      </c>
      <c r="K644" s="184" t="s">
        <v>178</v>
      </c>
      <c r="L644" s="184">
        <f>ROUND(J644*$C644/100,0)</f>
        <v>0</v>
      </c>
      <c r="M644" s="11"/>
      <c r="N644" s="11"/>
      <c r="O644" s="38"/>
      <c r="P644" s="38"/>
      <c r="Q644" s="38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</row>
    <row r="645" spans="1:34" hidden="1">
      <c r="A645" s="1" t="s">
        <v>185</v>
      </c>
      <c r="B645" s="1"/>
      <c r="C645" s="182">
        <f>SUM(C629:C630)</f>
        <v>102156790</v>
      </c>
      <c r="D645" s="193"/>
      <c r="E645" s="1"/>
      <c r="F645" s="2">
        <f>SUM(F619:F644)</f>
        <v>8498737</v>
      </c>
      <c r="G645" s="733"/>
      <c r="H645" s="1"/>
      <c r="I645" s="2">
        <f>SUM(I619:I644)</f>
        <v>8828704</v>
      </c>
      <c r="J645" s="193"/>
      <c r="K645" s="1"/>
      <c r="L645" s="2">
        <f ca="1">SUM(L619:L644)</f>
        <v>8814402</v>
      </c>
      <c r="M645" s="11"/>
      <c r="N645" s="11"/>
      <c r="O645" s="38"/>
      <c r="P645" s="38"/>
      <c r="Q645" s="38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</row>
    <row r="646" spans="1:34" hidden="1">
      <c r="A646" s="1" t="s">
        <v>167</v>
      </c>
      <c r="B646" s="1"/>
      <c r="C646" s="212">
        <v>1898922.7772611515</v>
      </c>
      <c r="D646" s="172"/>
      <c r="E646" s="172"/>
      <c r="F646" s="173">
        <v>50399.856016102043</v>
      </c>
      <c r="G646" s="284"/>
      <c r="H646" s="172"/>
      <c r="I646" s="173">
        <f>F646</f>
        <v>50399.856016102043</v>
      </c>
      <c r="J646" s="172"/>
      <c r="K646" s="172"/>
      <c r="L646" s="173">
        <f>I646</f>
        <v>50399.856016102043</v>
      </c>
      <c r="M646" s="307"/>
      <c r="N646" s="307"/>
      <c r="O646" s="150"/>
      <c r="P646" s="38"/>
      <c r="Q646" s="38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</row>
    <row r="647" spans="1:34" ht="16.5" hidden="1" thickBot="1">
      <c r="A647" s="1" t="s">
        <v>186</v>
      </c>
      <c r="B647" s="1"/>
      <c r="C647" s="229">
        <f>SUM(C645)+C646</f>
        <v>104055712.77726115</v>
      </c>
      <c r="D647" s="205"/>
      <c r="E647" s="208"/>
      <c r="F647" s="207">
        <f>F645+F646</f>
        <v>8549136.8560161013</v>
      </c>
      <c r="G647" s="741"/>
      <c r="H647" s="208"/>
      <c r="I647" s="207">
        <f>I645+I646</f>
        <v>8879103.8560161013</v>
      </c>
      <c r="J647" s="205"/>
      <c r="K647" s="208"/>
      <c r="L647" s="207">
        <f ca="1">L645+L646</f>
        <v>8864801.8560161013</v>
      </c>
      <c r="M647" s="274"/>
      <c r="N647" s="274"/>
      <c r="O647" s="333"/>
      <c r="P647" s="38"/>
      <c r="Q647" s="38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</row>
    <row r="648" spans="1:34">
      <c r="A648" s="166"/>
      <c r="B648" s="241"/>
      <c r="C648" s="166"/>
      <c r="D648" s="1"/>
      <c r="E648" s="166"/>
      <c r="F648" s="242"/>
      <c r="G648" s="4"/>
      <c r="H648" s="166"/>
      <c r="I648" s="166"/>
      <c r="J648" s="166"/>
      <c r="K648" s="166"/>
      <c r="L648" s="166"/>
      <c r="M648" s="11"/>
      <c r="N648" s="11"/>
      <c r="O648" s="38"/>
      <c r="P648" s="38"/>
      <c r="Q648" s="38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</row>
    <row r="649" spans="1:34">
      <c r="A649" s="156" t="s">
        <v>251</v>
      </c>
      <c r="B649" s="1"/>
      <c r="C649" s="12"/>
      <c r="D649" s="200"/>
      <c r="E649" s="1"/>
      <c r="F649" s="2"/>
      <c r="G649" s="216"/>
      <c r="H649" s="1"/>
      <c r="I649" s="2"/>
      <c r="J649" s="200"/>
      <c r="K649" s="1"/>
      <c r="L649" s="2"/>
      <c r="M649" s="11"/>
      <c r="N649" s="11"/>
      <c r="O649" s="853" t="s">
        <v>1457</v>
      </c>
      <c r="P649" s="38"/>
      <c r="Q649" s="38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</row>
    <row r="650" spans="1:34">
      <c r="A650" s="172" t="s">
        <v>252</v>
      </c>
      <c r="B650" s="1"/>
      <c r="C650" s="12"/>
      <c r="D650" s="200"/>
      <c r="E650" s="1"/>
      <c r="F650" s="2"/>
      <c r="G650" s="216"/>
      <c r="H650" s="1"/>
      <c r="I650" s="2"/>
      <c r="J650" s="200"/>
      <c r="K650" s="1"/>
      <c r="L650" s="2"/>
      <c r="M650" s="11"/>
      <c r="N650" s="11"/>
      <c r="O650" s="852">
        <f ca="1">'Exhibit No.__(RMM-2)pg1'!O25*1000</f>
        <v>-23621.634465415365</v>
      </c>
      <c r="P650" s="38"/>
      <c r="Q650" s="38"/>
      <c r="R650" s="38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</row>
    <row r="651" spans="1:34">
      <c r="A651" s="186"/>
      <c r="B651" s="1"/>
      <c r="C651" s="12"/>
      <c r="D651" s="200"/>
      <c r="E651" s="1"/>
      <c r="F651" s="243"/>
      <c r="G651" s="216"/>
      <c r="H651" s="1"/>
      <c r="I651" s="244"/>
      <c r="J651" s="200"/>
      <c r="K651" s="1"/>
      <c r="L651" s="244"/>
      <c r="M651" s="11"/>
      <c r="N651" s="11"/>
      <c r="O651" s="38"/>
      <c r="P651" s="38"/>
      <c r="Q651" s="38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</row>
    <row r="652" spans="1:34">
      <c r="A652" s="172" t="s">
        <v>253</v>
      </c>
      <c r="B652" s="1"/>
      <c r="C652" s="182"/>
      <c r="D652" s="2" t="s">
        <v>13</v>
      </c>
      <c r="E652" s="1"/>
      <c r="F652" s="1"/>
      <c r="G652" s="516" t="s">
        <v>13</v>
      </c>
      <c r="H652" s="1"/>
      <c r="I652" s="1"/>
      <c r="J652" s="2" t="s">
        <v>13</v>
      </c>
      <c r="K652" s="1"/>
      <c r="L652" s="1"/>
      <c r="M652" s="11"/>
      <c r="N652" s="11"/>
      <c r="O652" s="38"/>
      <c r="P652" s="11"/>
      <c r="Q652" s="11"/>
      <c r="R652" s="11"/>
      <c r="S652" s="11"/>
      <c r="T652" s="11"/>
      <c r="U652" s="11"/>
      <c r="V652" s="11"/>
      <c r="W652" s="11"/>
      <c r="X652" s="11"/>
      <c r="AB652" s="11"/>
      <c r="AC652" s="11"/>
      <c r="AD652" s="11"/>
      <c r="AE652" s="11"/>
      <c r="AF652" s="11"/>
      <c r="AG652" s="11"/>
      <c r="AH652" s="11"/>
    </row>
    <row r="653" spans="1:34">
      <c r="A653" s="172" t="s">
        <v>254</v>
      </c>
      <c r="B653" s="1"/>
      <c r="C653" s="182">
        <f>C709+C760</f>
        <v>1004.1593541188699</v>
      </c>
      <c r="D653" s="200">
        <v>0</v>
      </c>
      <c r="E653" s="187"/>
      <c r="F653" s="184">
        <f>F709+F760</f>
        <v>0</v>
      </c>
      <c r="G653" s="506">
        <v>0</v>
      </c>
      <c r="H653" s="187"/>
      <c r="I653" s="184">
        <f>I709+I760</f>
        <v>0</v>
      </c>
      <c r="J653" s="164">
        <f>G653</f>
        <v>0</v>
      </c>
      <c r="K653" s="187"/>
      <c r="L653" s="184">
        <f>L709+L760</f>
        <v>0</v>
      </c>
      <c r="M653" s="11"/>
      <c r="N653" s="11"/>
      <c r="O653" s="38"/>
      <c r="P653" s="104"/>
      <c r="Q653" s="104"/>
      <c r="R653" s="11"/>
      <c r="S653" s="11"/>
      <c r="T653" s="11"/>
      <c r="U653" s="11"/>
      <c r="V653" s="11"/>
      <c r="AC653" s="11"/>
      <c r="AD653" s="11"/>
      <c r="AE653" s="11"/>
      <c r="AF653" s="11"/>
      <c r="AG653" s="11"/>
      <c r="AH653" s="11"/>
    </row>
    <row r="654" spans="1:34">
      <c r="A654" s="172" t="s">
        <v>560</v>
      </c>
      <c r="B654" s="1"/>
      <c r="C654" s="182">
        <v>0</v>
      </c>
      <c r="D654" s="200">
        <v>2</v>
      </c>
      <c r="E654" s="187"/>
      <c r="F654" s="184">
        <f>C654*D654</f>
        <v>0</v>
      </c>
      <c r="G654" s="506">
        <v>2</v>
      </c>
      <c r="H654" s="187"/>
      <c r="I654" s="184">
        <f>C654*G654</f>
        <v>0</v>
      </c>
      <c r="J654" s="164">
        <v>2</v>
      </c>
      <c r="K654" s="187"/>
      <c r="L654" s="184">
        <f>F654*J654</f>
        <v>0</v>
      </c>
      <c r="M654" s="11"/>
      <c r="N654" s="11"/>
      <c r="O654" s="38"/>
      <c r="P654" s="104"/>
      <c r="Q654" s="104"/>
      <c r="R654" s="11"/>
      <c r="S654" s="11"/>
      <c r="T654" s="11"/>
      <c r="U654" s="11"/>
      <c r="V654" s="11"/>
      <c r="AC654" s="11"/>
      <c r="AD654" s="11"/>
      <c r="AE654" s="11"/>
      <c r="AF654" s="11"/>
      <c r="AG654" s="11"/>
      <c r="AH654" s="11"/>
    </row>
    <row r="655" spans="1:34">
      <c r="A655" s="172" t="s">
        <v>255</v>
      </c>
      <c r="B655" s="1"/>
      <c r="C655" s="182"/>
      <c r="D655" s="200"/>
      <c r="E655" s="187"/>
      <c r="F655" s="184"/>
      <c r="G655" s="216"/>
      <c r="H655" s="187"/>
      <c r="I655" s="184"/>
      <c r="J655" s="200"/>
      <c r="K655" s="187"/>
      <c r="L655" s="184"/>
      <c r="M655" s="279"/>
      <c r="N655" s="185"/>
      <c r="O655" s="185"/>
      <c r="P655" s="512"/>
      <c r="Q655" s="38"/>
      <c r="R655" s="475"/>
      <c r="S655" s="18"/>
      <c r="T655" s="500"/>
      <c r="U655" s="279"/>
      <c r="V655" s="500"/>
      <c r="W655" s="42"/>
      <c r="X655" s="42"/>
      <c r="Y655" s="101"/>
      <c r="AC655" s="11"/>
      <c r="AD655" s="11"/>
      <c r="AE655" s="11"/>
      <c r="AF655" s="11"/>
      <c r="AG655" s="11"/>
      <c r="AH655" s="11"/>
    </row>
    <row r="656" spans="1:34">
      <c r="A656" s="172" t="s">
        <v>256</v>
      </c>
      <c r="B656" s="1"/>
      <c r="C656" s="182">
        <f t="shared" ref="C656:C661" si="62">C711+C762</f>
        <v>3684.9125050247599</v>
      </c>
      <c r="D656" s="200">
        <v>0</v>
      </c>
      <c r="E656" s="187"/>
      <c r="F656" s="184">
        <f>F711+F762</f>
        <v>0</v>
      </c>
      <c r="G656" s="506">
        <v>0</v>
      </c>
      <c r="H656" s="187"/>
      <c r="I656" s="184">
        <f>I711+I762</f>
        <v>0</v>
      </c>
      <c r="J656" s="164">
        <f t="shared" ref="J656:J658" si="63">G656</f>
        <v>0</v>
      </c>
      <c r="K656" s="187"/>
      <c r="L656" s="184">
        <f>L711+L762</f>
        <v>0</v>
      </c>
      <c r="M656" s="334"/>
      <c r="N656" s="334"/>
      <c r="O656" s="38"/>
      <c r="P656" s="504"/>
      <c r="Q656" s="504"/>
      <c r="R656" s="661"/>
      <c r="S656" s="661"/>
      <c r="T656" s="500"/>
      <c r="U656" s="279"/>
      <c r="V656" s="500"/>
      <c r="W656" s="42"/>
      <c r="X656" s="42"/>
      <c r="Y656" s="101"/>
      <c r="AC656" s="11"/>
      <c r="AD656" s="11"/>
      <c r="AE656" s="11"/>
      <c r="AF656" s="11"/>
      <c r="AG656" s="11"/>
      <c r="AH656" s="11"/>
    </row>
    <row r="657" spans="1:34">
      <c r="A657" s="172" t="s">
        <v>257</v>
      </c>
      <c r="B657" s="1"/>
      <c r="C657" s="182">
        <f t="shared" si="62"/>
        <v>434.32336072732699</v>
      </c>
      <c r="D657" s="200">
        <v>449</v>
      </c>
      <c r="E657" s="187"/>
      <c r="F657" s="184">
        <f>F712+F763</f>
        <v>195011</v>
      </c>
      <c r="G657" s="506">
        <v>449</v>
      </c>
      <c r="H657" s="187"/>
      <c r="I657" s="184">
        <f>I712+I763</f>
        <v>195011</v>
      </c>
      <c r="J657" s="164">
        <f t="shared" si="63"/>
        <v>449</v>
      </c>
      <c r="K657" s="187"/>
      <c r="L657" s="184">
        <f>L712+L763</f>
        <v>195011</v>
      </c>
      <c r="M657" s="38"/>
      <c r="N657" s="38"/>
      <c r="O657" s="38"/>
      <c r="P657" s="512"/>
      <c r="Q657" s="104"/>
      <c r="R657" s="660"/>
      <c r="S657" s="279"/>
      <c r="T657" s="490"/>
      <c r="U657" s="279"/>
      <c r="V657" s="490"/>
      <c r="W657" s="42"/>
      <c r="X657" s="42"/>
      <c r="Y657" s="490"/>
      <c r="AC657" s="11"/>
      <c r="AD657" s="11"/>
      <c r="AE657" s="11"/>
      <c r="AF657" s="11"/>
      <c r="AG657" s="11"/>
      <c r="AH657" s="11"/>
    </row>
    <row r="658" spans="1:34">
      <c r="A658" s="172" t="s">
        <v>258</v>
      </c>
      <c r="B658" s="1"/>
      <c r="C658" s="182">
        <f t="shared" si="62"/>
        <v>12.301399719748961</v>
      </c>
      <c r="D658" s="200">
        <v>1825</v>
      </c>
      <c r="E658" s="187"/>
      <c r="F658" s="184">
        <f>F713+F764</f>
        <v>22450</v>
      </c>
      <c r="G658" s="506">
        <v>1825</v>
      </c>
      <c r="H658" s="187"/>
      <c r="I658" s="184">
        <f>I713+I764</f>
        <v>22450</v>
      </c>
      <c r="J658" s="164">
        <f t="shared" si="63"/>
        <v>1825</v>
      </c>
      <c r="K658" s="187"/>
      <c r="L658" s="184">
        <f>L713+L764</f>
        <v>22450</v>
      </c>
      <c r="M658" s="38"/>
      <c r="N658" s="38"/>
      <c r="O658" s="38"/>
      <c r="P658" s="512"/>
      <c r="Q658" s="104"/>
      <c r="R658" s="11"/>
      <c r="S658" s="279"/>
      <c r="T658" s="279"/>
      <c r="U658" s="11"/>
      <c r="V658" s="11"/>
      <c r="Y658" s="11"/>
      <c r="AB658" s="11"/>
      <c r="AC658" s="11"/>
      <c r="AD658" s="11"/>
      <c r="AE658" s="11"/>
      <c r="AF658" s="11"/>
      <c r="AG658" s="11"/>
      <c r="AH658" s="11"/>
    </row>
    <row r="659" spans="1:34">
      <c r="A659" s="172" t="s">
        <v>166</v>
      </c>
      <c r="B659" s="1"/>
      <c r="C659" s="182">
        <f t="shared" si="62"/>
        <v>5135.6966195907062</v>
      </c>
      <c r="D659" s="200"/>
      <c r="E659" s="187"/>
      <c r="F659" s="184"/>
      <c r="G659" s="216"/>
      <c r="H659" s="187"/>
      <c r="I659" s="184"/>
      <c r="J659" s="200"/>
      <c r="K659" s="187"/>
      <c r="L659" s="184"/>
      <c r="M659" s="279"/>
      <c r="N659" s="38"/>
      <c r="O659" s="38"/>
      <c r="P659" s="512"/>
      <c r="Q659" s="490"/>
      <c r="R659" s="38"/>
      <c r="S659" s="11"/>
      <c r="T659" s="11"/>
      <c r="U659" s="11"/>
      <c r="V659" s="11"/>
      <c r="Y659" s="192"/>
      <c r="Z659" s="192"/>
      <c r="AA659" s="11"/>
      <c r="AB659" s="11"/>
      <c r="AC659" s="11"/>
      <c r="AD659" s="11"/>
      <c r="AE659" s="11"/>
      <c r="AF659" s="11"/>
      <c r="AG659" s="11"/>
      <c r="AH659" s="11"/>
    </row>
    <row r="660" spans="1:34">
      <c r="A660" s="172" t="s">
        <v>259</v>
      </c>
      <c r="B660" s="1"/>
      <c r="C660" s="182">
        <f t="shared" si="62"/>
        <v>29198.894444444468</v>
      </c>
      <c r="D660" s="200"/>
      <c r="E660" s="187"/>
      <c r="F660" s="184"/>
      <c r="G660" s="216"/>
      <c r="H660" s="187"/>
      <c r="I660" s="184"/>
      <c r="J660" s="200"/>
      <c r="K660" s="187"/>
      <c r="L660" s="184"/>
      <c r="M660" s="38"/>
      <c r="N660" s="38"/>
      <c r="O660" s="38"/>
      <c r="P660" s="38"/>
      <c r="Q660" s="38"/>
      <c r="R660" s="38"/>
      <c r="S660" s="11"/>
      <c r="T660" s="11"/>
      <c r="U660" s="11"/>
      <c r="V660" s="11"/>
      <c r="AA660" s="11"/>
      <c r="AB660" s="11"/>
      <c r="AC660" s="11"/>
      <c r="AD660" s="11"/>
      <c r="AE660" s="11"/>
      <c r="AF660" s="11"/>
      <c r="AG660" s="11"/>
      <c r="AH660" s="11"/>
    </row>
    <row r="661" spans="1:34">
      <c r="A661" s="172" t="s">
        <v>24</v>
      </c>
      <c r="B661" s="1"/>
      <c r="C661" s="182">
        <f t="shared" si="62"/>
        <v>20744</v>
      </c>
      <c r="D661" s="200"/>
      <c r="E661" s="184"/>
      <c r="F661" s="184"/>
      <c r="G661" s="216"/>
      <c r="H661" s="184"/>
      <c r="I661" s="488" t="s">
        <v>13</v>
      </c>
      <c r="J661" s="200"/>
      <c r="K661" s="184"/>
      <c r="L661" s="488" t="s">
        <v>13</v>
      </c>
      <c r="M661" s="38"/>
      <c r="N661" s="38"/>
      <c r="O661" s="38"/>
      <c r="P661" s="490"/>
      <c r="Q661" s="490"/>
      <c r="R661" s="707"/>
      <c r="S661" s="11"/>
      <c r="T661" s="11"/>
      <c r="U661" s="11"/>
      <c r="V661" s="11"/>
      <c r="AA661" s="11"/>
      <c r="AB661" s="11"/>
      <c r="AC661" s="11"/>
      <c r="AD661" s="11"/>
      <c r="AE661" s="11"/>
      <c r="AF661" s="11"/>
      <c r="AG661" s="11"/>
      <c r="AH661" s="11"/>
    </row>
    <row r="662" spans="1:34">
      <c r="A662" s="172" t="s">
        <v>260</v>
      </c>
      <c r="B662" s="1"/>
      <c r="C662" s="182"/>
      <c r="D662" s="200"/>
      <c r="E662" s="187"/>
      <c r="F662" s="184"/>
      <c r="G662" s="216"/>
      <c r="H662" s="187"/>
      <c r="I662" s="184"/>
      <c r="J662" s="200"/>
      <c r="K662" s="187"/>
      <c r="L662" s="184"/>
      <c r="M662" s="38"/>
      <c r="N662" s="38"/>
      <c r="O662" s="38"/>
      <c r="P662" s="490"/>
      <c r="Q662" s="490"/>
      <c r="R662" s="38"/>
      <c r="S662" s="11"/>
      <c r="T662" s="11"/>
      <c r="U662" s="11"/>
      <c r="V662" s="11"/>
      <c r="AA662" s="11"/>
      <c r="AB662" s="11"/>
      <c r="AC662" s="11"/>
      <c r="AD662" s="11"/>
      <c r="AE662" s="11"/>
      <c r="AF662" s="11"/>
      <c r="AG662" s="11"/>
      <c r="AH662" s="11"/>
    </row>
    <row r="663" spans="1:34">
      <c r="A663" s="172" t="s">
        <v>261</v>
      </c>
      <c r="B663" s="1"/>
      <c r="C663" s="182">
        <f>C718+C769</f>
        <v>3761.26073350857</v>
      </c>
      <c r="D663" s="200">
        <v>31.58</v>
      </c>
      <c r="E663" s="187"/>
      <c r="F663" s="184">
        <f>F718+F769</f>
        <v>118781</v>
      </c>
      <c r="G663" s="506">
        <v>31.58</v>
      </c>
      <c r="H663" s="187"/>
      <c r="I663" s="184">
        <f>I718+I769</f>
        <v>118781</v>
      </c>
      <c r="J663" s="164">
        <f>G663</f>
        <v>31.58</v>
      </c>
      <c r="K663" s="187"/>
      <c r="L663" s="184">
        <f>L718+L769</f>
        <v>118781</v>
      </c>
      <c r="M663" s="339"/>
      <c r="N663" s="339"/>
      <c r="O663" s="38"/>
      <c r="P663" s="104"/>
      <c r="Q663" s="104"/>
      <c r="R663" s="38"/>
      <c r="S663" s="11"/>
      <c r="T663" s="11"/>
      <c r="U663" s="11"/>
      <c r="V663" s="11"/>
      <c r="AC663" s="11"/>
      <c r="AD663" s="11"/>
      <c r="AE663" s="11"/>
      <c r="AF663" s="11"/>
      <c r="AG663" s="11"/>
      <c r="AH663" s="11"/>
    </row>
    <row r="664" spans="1:34">
      <c r="A664" s="172" t="s">
        <v>262</v>
      </c>
      <c r="B664" s="1"/>
      <c r="C664" s="182"/>
      <c r="D664" s="200"/>
      <c r="E664" s="187"/>
      <c r="F664" s="184"/>
      <c r="G664" s="216"/>
      <c r="H664" s="187"/>
      <c r="I664" s="184"/>
      <c r="J664" s="200"/>
      <c r="K664" s="187"/>
      <c r="L664" s="184"/>
      <c r="M664" s="339"/>
      <c r="N664" s="339"/>
      <c r="O664" s="38"/>
      <c r="P664" s="490"/>
      <c r="Q664" s="490"/>
      <c r="R664" s="38"/>
      <c r="S664" s="11"/>
      <c r="T664" s="11"/>
      <c r="U664" s="11"/>
      <c r="V664" s="11"/>
      <c r="AC664" s="11"/>
      <c r="AD664" s="11"/>
      <c r="AE664" s="11"/>
      <c r="AF664" s="11"/>
      <c r="AG664" s="11"/>
      <c r="AH664" s="11"/>
    </row>
    <row r="665" spans="1:34">
      <c r="A665" s="172" t="s">
        <v>256</v>
      </c>
      <c r="B665" s="1"/>
      <c r="C665" s="182">
        <f>C720+C771</f>
        <v>53905.583708849605</v>
      </c>
      <c r="D665" s="200">
        <v>31.58</v>
      </c>
      <c r="E665" s="187"/>
      <c r="F665" s="184">
        <f>F720+F771</f>
        <v>1702339</v>
      </c>
      <c r="G665" s="506">
        <v>31.58</v>
      </c>
      <c r="H665" s="187"/>
      <c r="I665" s="184">
        <f>I720+I771</f>
        <v>1702339</v>
      </c>
      <c r="J665" s="164">
        <f t="shared" ref="J665:J669" si="64">G665</f>
        <v>31.58</v>
      </c>
      <c r="K665" s="187"/>
      <c r="L665" s="184">
        <f>L720+L771</f>
        <v>1702339</v>
      </c>
      <c r="M665" s="339"/>
      <c r="N665" s="339"/>
      <c r="O665" s="38"/>
      <c r="P665" s="104"/>
      <c r="Q665" s="104"/>
      <c r="R665" s="38"/>
      <c r="S665" s="11"/>
      <c r="T665" s="11"/>
      <c r="U665" s="11"/>
      <c r="V665" s="11"/>
      <c r="AC665" s="11"/>
      <c r="AD665" s="11"/>
      <c r="AE665" s="11"/>
      <c r="AF665" s="11"/>
      <c r="AG665" s="11"/>
      <c r="AH665" s="11"/>
    </row>
    <row r="666" spans="1:34">
      <c r="A666" s="172" t="s">
        <v>257</v>
      </c>
      <c r="B666" s="1"/>
      <c r="C666" s="182">
        <f>C721+C772</f>
        <v>42010.213231439397</v>
      </c>
      <c r="D666" s="200">
        <v>21.97</v>
      </c>
      <c r="E666" s="187"/>
      <c r="F666" s="184">
        <f>F721+F772</f>
        <v>922965</v>
      </c>
      <c r="G666" s="506">
        <v>21.97</v>
      </c>
      <c r="H666" s="187"/>
      <c r="I666" s="184">
        <f>I721+I772</f>
        <v>922965</v>
      </c>
      <c r="J666" s="164">
        <f t="shared" si="64"/>
        <v>21.97</v>
      </c>
      <c r="K666" s="187"/>
      <c r="L666" s="184">
        <f>L721+L772</f>
        <v>922965</v>
      </c>
      <c r="M666" s="339"/>
      <c r="N666" s="339"/>
      <c r="O666" s="38"/>
      <c r="P666" s="104"/>
      <c r="Q666" s="104"/>
      <c r="R666" s="38"/>
      <c r="S666" s="11"/>
      <c r="T666" s="11"/>
      <c r="U666" s="279"/>
      <c r="V666" s="279"/>
      <c r="W666" s="42"/>
      <c r="X666" s="42"/>
      <c r="Y666" s="42"/>
      <c r="Z666" s="101"/>
      <c r="AA666" s="11" t="s">
        <v>13</v>
      </c>
      <c r="AB666" s="11"/>
      <c r="AC666" s="11"/>
      <c r="AD666" s="11"/>
      <c r="AE666" s="11"/>
      <c r="AF666" s="11"/>
      <c r="AG666" s="11"/>
      <c r="AH666" s="11"/>
    </row>
    <row r="667" spans="1:34">
      <c r="A667" s="172" t="s">
        <v>258</v>
      </c>
      <c r="B667" s="1" t="s">
        <v>13</v>
      </c>
      <c r="C667" s="182">
        <f>C722+C773</f>
        <v>4739.8709296392499</v>
      </c>
      <c r="D667" s="200">
        <v>17.18</v>
      </c>
      <c r="E667" s="187"/>
      <c r="F667" s="184">
        <f>F722+F773</f>
        <v>81431</v>
      </c>
      <c r="G667" s="506">
        <v>17.18</v>
      </c>
      <c r="H667" s="187"/>
      <c r="I667" s="184">
        <f>I722+I773</f>
        <v>81431</v>
      </c>
      <c r="J667" s="164">
        <f t="shared" si="64"/>
        <v>17.18</v>
      </c>
      <c r="K667" s="187"/>
      <c r="L667" s="184">
        <f>L722+L773</f>
        <v>81431</v>
      </c>
      <c r="M667" s="339"/>
      <c r="N667" s="339"/>
      <c r="O667" s="38"/>
      <c r="P667" s="104"/>
      <c r="Q667" s="104"/>
      <c r="R667" s="38"/>
      <c r="S667" s="11"/>
      <c r="T667" s="11"/>
      <c r="U667" s="11"/>
      <c r="V667" s="11"/>
      <c r="AA667" s="11" t="s">
        <v>13</v>
      </c>
      <c r="AB667" s="11"/>
      <c r="AC667" s="11"/>
      <c r="AD667" s="11"/>
      <c r="AE667" s="11"/>
      <c r="AF667" s="11"/>
      <c r="AG667" s="11"/>
      <c r="AH667" s="11"/>
    </row>
    <row r="668" spans="1:34">
      <c r="A668" s="172" t="s">
        <v>264</v>
      </c>
      <c r="B668" s="1"/>
      <c r="C668" s="182">
        <f>C723+C774</f>
        <v>525.633292205354</v>
      </c>
      <c r="D668" s="200">
        <v>94.74</v>
      </c>
      <c r="E668" s="187"/>
      <c r="F668" s="184">
        <f>F723+F774</f>
        <v>49798</v>
      </c>
      <c r="G668" s="216">
        <v>94.74</v>
      </c>
      <c r="H668" s="187"/>
      <c r="I668" s="184">
        <f>I723+I774</f>
        <v>49798</v>
      </c>
      <c r="J668" s="200">
        <f t="shared" si="64"/>
        <v>94.74</v>
      </c>
      <c r="K668" s="187"/>
      <c r="L668" s="184">
        <f>L723+L774</f>
        <v>49798</v>
      </c>
      <c r="M668" s="38"/>
      <c r="N668" s="38"/>
      <c r="O668" s="38"/>
      <c r="P668" s="104"/>
      <c r="Q668" s="104"/>
      <c r="R668" s="38"/>
      <c r="S668" s="11"/>
      <c r="T668" s="11"/>
      <c r="U668" s="11"/>
      <c r="V668" s="11"/>
      <c r="AA668" s="11"/>
      <c r="AB668" s="11"/>
      <c r="AC668" s="11"/>
      <c r="AD668" s="11"/>
      <c r="AE668" s="11"/>
      <c r="AF668" s="11"/>
      <c r="AG668" s="11"/>
      <c r="AH668" s="11"/>
    </row>
    <row r="669" spans="1:34">
      <c r="A669" s="172" t="s">
        <v>265</v>
      </c>
      <c r="B669" s="1"/>
      <c r="C669" s="182">
        <f>C724+C775</f>
        <v>989.09305134899591</v>
      </c>
      <c r="D669" s="200">
        <v>189.48</v>
      </c>
      <c r="E669" s="187"/>
      <c r="F669" s="184">
        <f>F724+F775</f>
        <v>187413</v>
      </c>
      <c r="G669" s="216">
        <v>189.48</v>
      </c>
      <c r="H669" s="187"/>
      <c r="I669" s="184">
        <f>I724+I775</f>
        <v>187413</v>
      </c>
      <c r="J669" s="200">
        <f t="shared" si="64"/>
        <v>189.48</v>
      </c>
      <c r="K669" s="187"/>
      <c r="L669" s="184">
        <f>L724+L775</f>
        <v>187413</v>
      </c>
      <c r="M669" s="38"/>
      <c r="N669" s="38"/>
      <c r="O669" s="38"/>
      <c r="P669" s="104"/>
      <c r="Q669" s="104"/>
      <c r="R669" s="38"/>
      <c r="S669" s="11"/>
      <c r="T669" s="11"/>
      <c r="U669" s="11"/>
      <c r="V669" s="11"/>
      <c r="AA669" s="11"/>
      <c r="AB669" s="11"/>
      <c r="AC669" s="11"/>
      <c r="AD669" s="11"/>
      <c r="AE669" s="11"/>
      <c r="AF669" s="11"/>
      <c r="AG669" s="11"/>
      <c r="AH669" s="11"/>
    </row>
    <row r="670" spans="1:34">
      <c r="A670" s="172" t="s">
        <v>266</v>
      </c>
      <c r="B670" s="1"/>
      <c r="C670" s="182"/>
      <c r="D670" s="200"/>
      <c r="E670" s="187"/>
      <c r="F670" s="184"/>
      <c r="G670" s="216"/>
      <c r="H670" s="187"/>
      <c r="I670" s="184"/>
      <c r="J670" s="200"/>
      <c r="K670" s="187"/>
      <c r="L670" s="184"/>
      <c r="M670" s="38"/>
      <c r="N670" s="38"/>
      <c r="O670" s="38"/>
      <c r="P670" s="11"/>
      <c r="Q670" s="11"/>
      <c r="R670" s="38"/>
      <c r="S670" s="11"/>
      <c r="T670" s="11"/>
      <c r="U670" s="11"/>
      <c r="V670" s="11"/>
      <c r="AA670" s="11"/>
      <c r="AB670" s="11"/>
      <c r="AC670" s="11"/>
      <c r="AD670" s="11"/>
      <c r="AE670" s="11"/>
      <c r="AF670" s="11"/>
      <c r="AG670" s="11"/>
      <c r="AH670" s="11"/>
    </row>
    <row r="671" spans="1:34">
      <c r="A671" s="172" t="s">
        <v>261</v>
      </c>
      <c r="B671" s="1"/>
      <c r="C671" s="182">
        <f>C726+C777</f>
        <v>499.05232194267103</v>
      </c>
      <c r="D671" s="226">
        <f>-D663</f>
        <v>-31.58</v>
      </c>
      <c r="E671" s="187"/>
      <c r="F671" s="184">
        <f>F726+F777</f>
        <v>-15760</v>
      </c>
      <c r="G671" s="216">
        <v>-31.58</v>
      </c>
      <c r="H671" s="187"/>
      <c r="I671" s="184">
        <f>I726+I777</f>
        <v>-15760</v>
      </c>
      <c r="J671" s="226">
        <f>-J663</f>
        <v>-31.58</v>
      </c>
      <c r="K671" s="187"/>
      <c r="L671" s="184">
        <f>L726+L777</f>
        <v>-15760</v>
      </c>
      <c r="M671" s="38"/>
      <c r="N671" s="38"/>
      <c r="O671" s="38"/>
      <c r="P671" s="11"/>
      <c r="Q671" s="11"/>
      <c r="R671" s="38"/>
      <c r="S671" s="11"/>
      <c r="T671" s="11"/>
      <c r="U671" s="11"/>
      <c r="V671" s="11"/>
      <c r="AA671" s="11"/>
      <c r="AB671" s="11"/>
      <c r="AC671" s="11"/>
      <c r="AD671" s="11"/>
      <c r="AE671" s="11"/>
      <c r="AF671" s="11"/>
      <c r="AG671" s="11"/>
      <c r="AH671" s="11"/>
    </row>
    <row r="672" spans="1:34">
      <c r="A672" s="172" t="s">
        <v>267</v>
      </c>
      <c r="B672" s="1"/>
      <c r="C672" s="182">
        <f>C727+C778</f>
        <v>1531.5181812492169</v>
      </c>
      <c r="D672" s="226">
        <f>-D665</f>
        <v>-31.58</v>
      </c>
      <c r="E672" s="187"/>
      <c r="F672" s="184">
        <f>F727+F778</f>
        <v>-48365</v>
      </c>
      <c r="G672" s="216">
        <v>-31.58</v>
      </c>
      <c r="H672" s="187"/>
      <c r="I672" s="184">
        <f>I727+I778</f>
        <v>-48365</v>
      </c>
      <c r="J672" s="226">
        <f>-J665</f>
        <v>-31.58</v>
      </c>
      <c r="K672" s="187"/>
      <c r="L672" s="184">
        <f>L727+L778</f>
        <v>-48365</v>
      </c>
      <c r="M672" s="279"/>
      <c r="N672" s="38"/>
      <c r="O672" s="38"/>
      <c r="P672" s="517"/>
      <c r="Q672" s="11"/>
      <c r="R672" s="38"/>
      <c r="S672" s="11"/>
      <c r="T672" s="11"/>
      <c r="U672" s="11"/>
      <c r="V672" s="11"/>
      <c r="AA672" s="11"/>
      <c r="AB672" s="11"/>
      <c r="AC672" s="11"/>
      <c r="AD672" s="11"/>
      <c r="AE672" s="11"/>
      <c r="AF672" s="11"/>
      <c r="AG672" s="11"/>
      <c r="AH672" s="11"/>
    </row>
    <row r="673" spans="1:34">
      <c r="A673" s="186" t="s">
        <v>230</v>
      </c>
      <c r="B673" s="1"/>
      <c r="C673" s="182">
        <f>C728+C779</f>
        <v>0</v>
      </c>
      <c r="D673" s="200"/>
      <c r="E673" s="184"/>
      <c r="F673" s="184"/>
      <c r="G673" s="216"/>
      <c r="H673" s="184"/>
      <c r="I673" s="184"/>
      <c r="J673" s="200"/>
      <c r="K673" s="184"/>
      <c r="L673" s="184"/>
      <c r="M673" s="38"/>
      <c r="N673" s="38"/>
      <c r="O673" s="38"/>
      <c r="P673" s="11"/>
      <c r="Q673" s="11"/>
      <c r="R673" s="38"/>
      <c r="S673" s="11"/>
      <c r="T673" s="11"/>
      <c r="U673" s="11"/>
      <c r="V673" s="11"/>
      <c r="AA673" s="11"/>
      <c r="AB673" s="11"/>
      <c r="AC673" s="11"/>
      <c r="AD673" s="11"/>
      <c r="AE673" s="11"/>
      <c r="AF673" s="11"/>
      <c r="AG673" s="11"/>
      <c r="AH673" s="11"/>
    </row>
    <row r="674" spans="1:34">
      <c r="A674" s="172" t="s">
        <v>268</v>
      </c>
      <c r="B674" s="1"/>
      <c r="C674" s="182">
        <f>C729+C780</f>
        <v>156050797.84020001</v>
      </c>
      <c r="D674" s="246">
        <v>6.891</v>
      </c>
      <c r="E674" s="184" t="s">
        <v>178</v>
      </c>
      <c r="F674" s="184">
        <f>F729+F780</f>
        <v>10753460</v>
      </c>
      <c r="G674" s="428">
        <v>7.2140000000000004</v>
      </c>
      <c r="H674" s="184" t="s">
        <v>178</v>
      </c>
      <c r="I674" s="184">
        <f>I729+I780</f>
        <v>11257505</v>
      </c>
      <c r="J674" s="162">
        <f ca="1">ROUND(G674+($O$650/$C$701)*100,3)</f>
        <v>7.1989999999999998</v>
      </c>
      <c r="K674" s="184" t="s">
        <v>178</v>
      </c>
      <c r="L674" s="184">
        <f ca="1">L729+L780</f>
        <v>11234097</v>
      </c>
      <c r="M674" s="279"/>
      <c r="N674" s="185"/>
      <c r="O674" s="38"/>
      <c r="P674" s="512"/>
      <c r="Q674" s="104"/>
      <c r="R674" s="38"/>
      <c r="S674" s="11"/>
      <c r="T674" s="11"/>
      <c r="U674" s="11"/>
      <c r="V674" s="11"/>
      <c r="AA674" s="11"/>
      <c r="AB674" s="11"/>
      <c r="AC674" s="11"/>
      <c r="AD674" s="11"/>
      <c r="AE674" s="11"/>
      <c r="AF674" s="11"/>
      <c r="AG674" s="11"/>
      <c r="AH674" s="11"/>
    </row>
    <row r="675" spans="1:34">
      <c r="A675" s="172" t="s">
        <v>561</v>
      </c>
      <c r="B675" s="1"/>
      <c r="C675" s="182">
        <v>0</v>
      </c>
      <c r="D675" s="246">
        <v>10.541</v>
      </c>
      <c r="E675" s="184" t="s">
        <v>178</v>
      </c>
      <c r="F675" s="184">
        <f>C675*D675/100</f>
        <v>0</v>
      </c>
      <c r="G675" s="428">
        <v>10.864000000000001</v>
      </c>
      <c r="H675" s="184" t="s">
        <v>178</v>
      </c>
      <c r="I675" s="184">
        <f>C675*G675/100</f>
        <v>0</v>
      </c>
      <c r="J675" s="162">
        <f ca="1">ROUND(G675+($O$650/$C$701)*100,3)</f>
        <v>10.849</v>
      </c>
      <c r="K675" s="184" t="s">
        <v>178</v>
      </c>
      <c r="L675" s="184">
        <f ca="1">F675*J675/100</f>
        <v>0</v>
      </c>
      <c r="M675" s="279"/>
      <c r="N675" s="185"/>
      <c r="O675" s="38"/>
      <c r="P675" s="512"/>
      <c r="Q675" s="104"/>
      <c r="R675" s="38"/>
      <c r="S675" s="11"/>
      <c r="T675" s="11"/>
      <c r="U675" s="11"/>
      <c r="V675" s="11"/>
      <c r="AA675" s="11"/>
      <c r="AB675" s="11"/>
      <c r="AC675" s="11"/>
      <c r="AD675" s="11"/>
      <c r="AE675" s="11"/>
      <c r="AF675" s="11"/>
      <c r="AG675" s="11"/>
      <c r="AH675" s="11"/>
    </row>
    <row r="676" spans="1:34">
      <c r="A676" s="172" t="s">
        <v>562</v>
      </c>
      <c r="B676" s="1"/>
      <c r="C676" s="182">
        <v>0</v>
      </c>
      <c r="D676" s="246">
        <v>5.609</v>
      </c>
      <c r="E676" s="184" t="s">
        <v>178</v>
      </c>
      <c r="F676" s="184">
        <f>C676*D676/100</f>
        <v>0</v>
      </c>
      <c r="G676" s="428">
        <v>5.9320000000000004</v>
      </c>
      <c r="H676" s="184" t="s">
        <v>178</v>
      </c>
      <c r="I676" s="184">
        <f>C676*G676/100</f>
        <v>0</v>
      </c>
      <c r="J676" s="162">
        <f ca="1">ROUND(G676+($O$650/$C$701)*100,3)</f>
        <v>5.9169999999999998</v>
      </c>
      <c r="K676" s="184" t="s">
        <v>178</v>
      </c>
      <c r="L676" s="184">
        <f ca="1">F676*J676/100</f>
        <v>0</v>
      </c>
      <c r="M676" s="279"/>
      <c r="N676" s="185"/>
      <c r="O676" s="38"/>
      <c r="P676" s="512"/>
      <c r="Q676" s="104"/>
      <c r="R676" s="38"/>
      <c r="S676" s="11"/>
      <c r="T676" s="11"/>
      <c r="U676" s="11"/>
      <c r="V676" s="11"/>
      <c r="AA676" s="11"/>
      <c r="AB676" s="11"/>
      <c r="AC676" s="11"/>
      <c r="AD676" s="11"/>
      <c r="AE676" s="11"/>
      <c r="AF676" s="11"/>
      <c r="AG676" s="11"/>
      <c r="AH676" s="11"/>
    </row>
    <row r="677" spans="1:34">
      <c r="A677" s="186" t="s">
        <v>204</v>
      </c>
      <c r="B677" s="1"/>
      <c r="C677" s="182">
        <f>C730+C781</f>
        <v>66643</v>
      </c>
      <c r="D677" s="474">
        <v>58</v>
      </c>
      <c r="E677" s="186" t="s">
        <v>178</v>
      </c>
      <c r="F677" s="184">
        <f>F730+F781</f>
        <v>38653</v>
      </c>
      <c r="G677" s="744">
        <v>58</v>
      </c>
      <c r="H677" s="186" t="s">
        <v>178</v>
      </c>
      <c r="I677" s="184">
        <f>I730+I781</f>
        <v>38653</v>
      </c>
      <c r="J677" s="472">
        <f t="shared" ref="J677:J678" si="65">G677</f>
        <v>58</v>
      </c>
      <c r="K677" s="186" t="s">
        <v>178</v>
      </c>
      <c r="L677" s="184">
        <f>L730+L781</f>
        <v>38653</v>
      </c>
      <c r="M677" s="279"/>
      <c r="N677" s="279"/>
      <c r="O677" s="38"/>
      <c r="P677" s="512"/>
      <c r="Q677" s="104"/>
      <c r="R677" s="38"/>
      <c r="S677" s="11"/>
      <c r="T677" s="11"/>
      <c r="U677" s="11"/>
      <c r="V677" s="11"/>
      <c r="AA677" s="11"/>
      <c r="AB677" s="11"/>
      <c r="AC677" s="11"/>
      <c r="AD677" s="11"/>
      <c r="AE677" s="11"/>
      <c r="AF677" s="11"/>
      <c r="AG677" s="11"/>
      <c r="AH677" s="11"/>
    </row>
    <row r="678" spans="1:34">
      <c r="A678" s="223" t="s">
        <v>205</v>
      </c>
      <c r="B678" s="1"/>
      <c r="C678" s="182"/>
      <c r="D678" s="195">
        <v>-0.01</v>
      </c>
      <c r="E678" s="1"/>
      <c r="F678" s="184"/>
      <c r="G678" s="734">
        <v>-0.01</v>
      </c>
      <c r="H678" s="1"/>
      <c r="I678" s="184"/>
      <c r="J678" s="195">
        <f t="shared" si="65"/>
        <v>-0.01</v>
      </c>
      <c r="K678" s="1"/>
      <c r="L678" s="184"/>
      <c r="M678" s="11"/>
      <c r="N678" s="11"/>
      <c r="O678" s="38"/>
      <c r="P678" s="38"/>
      <c r="Q678" s="38"/>
      <c r="R678" s="11"/>
      <c r="S678" s="11"/>
      <c r="T678" s="11"/>
      <c r="U678" s="11"/>
      <c r="V678" s="11"/>
      <c r="AA678" s="11"/>
      <c r="AB678" s="11"/>
      <c r="AC678" s="11"/>
      <c r="AD678" s="11"/>
      <c r="AE678" s="11"/>
      <c r="AF678" s="11"/>
      <c r="AG678" s="11"/>
      <c r="AH678" s="11"/>
    </row>
    <row r="679" spans="1:34">
      <c r="A679" s="172" t="s">
        <v>194</v>
      </c>
      <c r="B679" s="1"/>
      <c r="C679" s="182">
        <f>C732+C783</f>
        <v>0</v>
      </c>
      <c r="D679" s="247">
        <f>D653</f>
        <v>0</v>
      </c>
      <c r="E679" s="187"/>
      <c r="F679" s="184">
        <f>F732+F783</f>
        <v>0</v>
      </c>
      <c r="G679" s="216">
        <v>0</v>
      </c>
      <c r="H679" s="187"/>
      <c r="I679" s="184">
        <f>I732+I783</f>
        <v>0</v>
      </c>
      <c r="J679" s="247">
        <f>J653</f>
        <v>0</v>
      </c>
      <c r="K679" s="187"/>
      <c r="L679" s="184">
        <f>L732+L783</f>
        <v>0</v>
      </c>
      <c r="M679" s="11"/>
      <c r="N679" s="11"/>
      <c r="O679" s="38"/>
      <c r="P679" s="38"/>
      <c r="Q679" s="38"/>
      <c r="R679" s="11"/>
      <c r="S679" s="11"/>
      <c r="T679" s="11"/>
      <c r="U679" s="11"/>
      <c r="V679" s="11"/>
      <c r="AA679" s="11"/>
      <c r="AB679" s="11"/>
      <c r="AC679" s="11"/>
      <c r="AD679" s="11"/>
      <c r="AE679" s="11"/>
      <c r="AF679" s="11"/>
      <c r="AG679" s="11"/>
      <c r="AH679" s="11"/>
    </row>
    <row r="680" spans="1:34">
      <c r="A680" s="172" t="s">
        <v>195</v>
      </c>
      <c r="B680" s="1"/>
      <c r="C680" s="182"/>
      <c r="D680" s="247"/>
      <c r="E680" s="187"/>
      <c r="F680" s="184"/>
      <c r="G680" s="216"/>
      <c r="H680" s="187"/>
      <c r="I680" s="184"/>
      <c r="J680" s="247"/>
      <c r="K680" s="187"/>
      <c r="L680" s="184"/>
      <c r="M680" s="11"/>
      <c r="N680" s="11"/>
      <c r="O680" s="38"/>
      <c r="P680" s="38"/>
      <c r="Q680" s="38"/>
      <c r="R680" s="11"/>
      <c r="S680" s="11"/>
      <c r="T680" s="11"/>
      <c r="U680" s="11"/>
      <c r="V680" s="11"/>
      <c r="AA680" s="11"/>
      <c r="AB680" s="11"/>
      <c r="AC680" s="11"/>
      <c r="AD680" s="11"/>
      <c r="AE680" s="11"/>
      <c r="AF680" s="11"/>
      <c r="AG680" s="11"/>
      <c r="AH680" s="11"/>
    </row>
    <row r="681" spans="1:34">
      <c r="A681" s="172" t="s">
        <v>256</v>
      </c>
      <c r="B681" s="1"/>
      <c r="C681" s="182">
        <f>C734+C785</f>
        <v>1</v>
      </c>
      <c r="D681" s="247">
        <f>D656</f>
        <v>0</v>
      </c>
      <c r="E681" s="187"/>
      <c r="F681" s="184">
        <f>F734+F785</f>
        <v>0</v>
      </c>
      <c r="G681" s="216">
        <v>0</v>
      </c>
      <c r="H681" s="187"/>
      <c r="I681" s="184">
        <f>I734+I785</f>
        <v>0</v>
      </c>
      <c r="J681" s="247">
        <f>J656</f>
        <v>0</v>
      </c>
      <c r="K681" s="187"/>
      <c r="L681" s="184">
        <f>L734+L785</f>
        <v>0</v>
      </c>
      <c r="M681" s="11"/>
      <c r="N681" s="11"/>
      <c r="O681" s="38"/>
      <c r="P681" s="38"/>
      <c r="Q681" s="38"/>
      <c r="R681" s="11"/>
      <c r="S681" s="11"/>
      <c r="T681" s="11"/>
      <c r="U681" s="11"/>
      <c r="V681" s="11"/>
      <c r="AA681" s="11"/>
      <c r="AB681" s="11"/>
      <c r="AC681" s="11"/>
      <c r="AD681" s="11"/>
      <c r="AE681" s="11"/>
      <c r="AF681" s="11"/>
      <c r="AG681" s="11"/>
      <c r="AH681" s="11"/>
    </row>
    <row r="682" spans="1:34">
      <c r="A682" s="172" t="s">
        <v>257</v>
      </c>
      <c r="B682" s="1"/>
      <c r="C682" s="182">
        <f>C735+C786</f>
        <v>0</v>
      </c>
      <c r="D682" s="247">
        <f>D657</f>
        <v>449</v>
      </c>
      <c r="E682" s="187"/>
      <c r="F682" s="184">
        <f>F735+F786</f>
        <v>0</v>
      </c>
      <c r="G682" s="216">
        <v>449</v>
      </c>
      <c r="H682" s="187"/>
      <c r="I682" s="184">
        <f>I735+I786</f>
        <v>0</v>
      </c>
      <c r="J682" s="247">
        <f>J657</f>
        <v>449</v>
      </c>
      <c r="K682" s="187"/>
      <c r="L682" s="184">
        <f>L735+L786</f>
        <v>0</v>
      </c>
      <c r="M682" s="11"/>
      <c r="N682" s="11"/>
      <c r="O682" s="38"/>
      <c r="P682" s="38"/>
      <c r="Q682" s="38"/>
      <c r="R682" s="11"/>
      <c r="S682" s="11"/>
      <c r="T682" s="11"/>
      <c r="U682" s="11"/>
      <c r="V682" s="11"/>
      <c r="AA682" s="11"/>
      <c r="AB682" s="11"/>
      <c r="AC682" s="11"/>
      <c r="AD682" s="11"/>
      <c r="AE682" s="11"/>
      <c r="AF682" s="11"/>
      <c r="AG682" s="11"/>
      <c r="AH682" s="11"/>
    </row>
    <row r="683" spans="1:34">
      <c r="A683" s="172" t="s">
        <v>258</v>
      </c>
      <c r="B683" s="1"/>
      <c r="C683" s="182">
        <f>C736+C787</f>
        <v>0</v>
      </c>
      <c r="D683" s="247">
        <f>D658</f>
        <v>1825</v>
      </c>
      <c r="E683" s="187"/>
      <c r="F683" s="184">
        <f>F736+F787</f>
        <v>0</v>
      </c>
      <c r="G683" s="216">
        <v>1825</v>
      </c>
      <c r="H683" s="187"/>
      <c r="I683" s="184">
        <f>I736+I787</f>
        <v>0</v>
      </c>
      <c r="J683" s="247">
        <f>J658</f>
        <v>1825</v>
      </c>
      <c r="K683" s="187"/>
      <c r="L683" s="184">
        <f>L736+L787</f>
        <v>0</v>
      </c>
      <c r="M683" s="11"/>
      <c r="N683" s="11"/>
      <c r="O683" s="38"/>
      <c r="P683" s="38"/>
      <c r="Q683" s="38"/>
      <c r="R683" s="11"/>
      <c r="S683" s="11"/>
      <c r="T683" s="11"/>
      <c r="U683" s="11"/>
      <c r="V683" s="11"/>
      <c r="AA683" s="11"/>
      <c r="AB683" s="11"/>
      <c r="AC683" s="11"/>
      <c r="AD683" s="11"/>
      <c r="AE683" s="11"/>
      <c r="AF683" s="11"/>
      <c r="AG683" s="11"/>
      <c r="AH683" s="11"/>
    </row>
    <row r="684" spans="1:34">
      <c r="A684" s="172" t="s">
        <v>194</v>
      </c>
      <c r="B684" s="1"/>
      <c r="C684" s="182">
        <f>C737+C788</f>
        <v>0</v>
      </c>
      <c r="D684" s="247">
        <f>D663</f>
        <v>31.58</v>
      </c>
      <c r="E684" s="187"/>
      <c r="F684" s="184">
        <f>F737+F788</f>
        <v>0</v>
      </c>
      <c r="G684" s="216">
        <v>31.58</v>
      </c>
      <c r="H684" s="187"/>
      <c r="I684" s="184">
        <f>I737+I788</f>
        <v>0</v>
      </c>
      <c r="J684" s="247">
        <f>J663</f>
        <v>31.58</v>
      </c>
      <c r="K684" s="187"/>
      <c r="L684" s="184">
        <f>L737+L788</f>
        <v>0</v>
      </c>
      <c r="M684" s="11"/>
      <c r="N684" s="11"/>
      <c r="O684" s="38"/>
      <c r="P684" s="38"/>
      <c r="Q684" s="38"/>
      <c r="R684" s="11"/>
      <c r="S684" s="11"/>
      <c r="T684" s="11"/>
      <c r="U684" s="11"/>
      <c r="V684" s="11"/>
      <c r="AA684" s="11"/>
      <c r="AB684" s="11"/>
      <c r="AC684" s="11"/>
      <c r="AD684" s="11"/>
      <c r="AE684" s="11"/>
      <c r="AF684" s="11"/>
      <c r="AG684" s="11"/>
      <c r="AH684" s="11"/>
    </row>
    <row r="685" spans="1:34">
      <c r="A685" s="172" t="s">
        <v>195</v>
      </c>
      <c r="B685" s="1"/>
      <c r="C685" s="182"/>
      <c r="D685" s="247"/>
      <c r="E685" s="187"/>
      <c r="F685" s="184"/>
      <c r="G685" s="216"/>
      <c r="H685" s="187"/>
      <c r="I685" s="184"/>
      <c r="J685" s="247"/>
      <c r="K685" s="187"/>
      <c r="L685" s="184"/>
      <c r="M685" s="11"/>
      <c r="N685" s="11"/>
      <c r="O685" s="38"/>
      <c r="P685" s="38"/>
      <c r="Q685" s="38"/>
      <c r="R685" s="11"/>
      <c r="S685" s="11"/>
      <c r="T685" s="11"/>
      <c r="U685" s="11"/>
      <c r="V685" s="11"/>
      <c r="AA685" s="11"/>
      <c r="AB685" s="11"/>
      <c r="AC685" s="11"/>
      <c r="AD685" s="11"/>
      <c r="AE685" s="11"/>
      <c r="AF685" s="11"/>
      <c r="AG685" s="11"/>
      <c r="AH685" s="11"/>
    </row>
    <row r="686" spans="1:34">
      <c r="A686" s="172" t="s">
        <v>256</v>
      </c>
      <c r="B686" s="1"/>
      <c r="C686" s="182">
        <f>C739+C790</f>
        <v>39</v>
      </c>
      <c r="D686" s="247">
        <f>D665</f>
        <v>31.58</v>
      </c>
      <c r="E686" s="187"/>
      <c r="F686" s="184">
        <f>F739+F790</f>
        <v>-12</v>
      </c>
      <c r="G686" s="216">
        <v>31.58</v>
      </c>
      <c r="H686" s="187"/>
      <c r="I686" s="184">
        <f>I739+I790</f>
        <v>-12</v>
      </c>
      <c r="J686" s="247">
        <f>J665</f>
        <v>31.58</v>
      </c>
      <c r="K686" s="187"/>
      <c r="L686" s="184">
        <f>L739+L790</f>
        <v>-12</v>
      </c>
      <c r="M686" s="11"/>
      <c r="N686" s="11"/>
      <c r="O686" s="38"/>
      <c r="P686" s="38"/>
      <c r="Q686" s="38"/>
      <c r="R686" s="11"/>
      <c r="S686" s="11"/>
      <c r="T686" s="11"/>
      <c r="U686" s="11"/>
      <c r="V686" s="11"/>
      <c r="AA686" s="11"/>
      <c r="AB686" s="11"/>
      <c r="AC686" s="11"/>
      <c r="AD686" s="11"/>
      <c r="AE686" s="11"/>
      <c r="AF686" s="11"/>
      <c r="AG686" s="11"/>
      <c r="AH686" s="11"/>
    </row>
    <row r="687" spans="1:34">
      <c r="A687" s="172" t="s">
        <v>257</v>
      </c>
      <c r="B687" s="1"/>
      <c r="C687" s="182">
        <f>C740+C791</f>
        <v>0</v>
      </c>
      <c r="D687" s="247">
        <f>D666</f>
        <v>21.97</v>
      </c>
      <c r="E687" s="187"/>
      <c r="F687" s="184">
        <f>F740+F791</f>
        <v>0</v>
      </c>
      <c r="G687" s="216">
        <v>21.97</v>
      </c>
      <c r="H687" s="187"/>
      <c r="I687" s="184">
        <f>I740+I791</f>
        <v>0</v>
      </c>
      <c r="J687" s="247">
        <f>J666</f>
        <v>21.97</v>
      </c>
      <c r="K687" s="187"/>
      <c r="L687" s="184">
        <f>L740+L791</f>
        <v>0</v>
      </c>
      <c r="M687" s="11"/>
      <c r="N687" s="11"/>
      <c r="O687" s="38"/>
      <c r="P687" s="38"/>
      <c r="Q687" s="38"/>
      <c r="R687" s="11"/>
      <c r="S687" s="11"/>
      <c r="T687" s="11"/>
      <c r="U687" s="11"/>
      <c r="V687" s="11"/>
      <c r="AA687" s="11"/>
      <c r="AB687" s="11"/>
      <c r="AC687" s="11"/>
      <c r="AD687" s="11"/>
      <c r="AE687" s="11"/>
      <c r="AF687" s="11"/>
      <c r="AG687" s="11"/>
      <c r="AH687" s="11"/>
    </row>
    <row r="688" spans="1:34">
      <c r="A688" s="172" t="s">
        <v>258</v>
      </c>
      <c r="B688" s="1"/>
      <c r="C688" s="182">
        <f>C741+C792</f>
        <v>0</v>
      </c>
      <c r="D688" s="247">
        <f>D667</f>
        <v>17.18</v>
      </c>
      <c r="E688" s="187"/>
      <c r="F688" s="184">
        <f>F741+F792</f>
        <v>0</v>
      </c>
      <c r="G688" s="216">
        <v>17.18</v>
      </c>
      <c r="H688" s="187"/>
      <c r="I688" s="184">
        <f>I741+I792</f>
        <v>0</v>
      </c>
      <c r="J688" s="247">
        <f>J667</f>
        <v>17.18</v>
      </c>
      <c r="K688" s="187"/>
      <c r="L688" s="184">
        <f>L741+L792</f>
        <v>0</v>
      </c>
      <c r="M688" s="11"/>
      <c r="N688" s="11"/>
      <c r="O688" s="38"/>
      <c r="P688" s="38"/>
      <c r="Q688" s="38"/>
      <c r="R688" s="11"/>
      <c r="S688" s="11"/>
      <c r="T688" s="11"/>
      <c r="U688" s="11"/>
      <c r="V688" s="11"/>
      <c r="AA688" s="11"/>
      <c r="AB688" s="11"/>
      <c r="AC688" s="11"/>
      <c r="AD688" s="11"/>
      <c r="AE688" s="11"/>
      <c r="AF688" s="11"/>
      <c r="AG688" s="11"/>
      <c r="AH688" s="11"/>
    </row>
    <row r="689" spans="1:34">
      <c r="A689" s="172" t="s">
        <v>269</v>
      </c>
      <c r="B689" s="1"/>
      <c r="C689" s="182">
        <f>C742+C793</f>
        <v>0</v>
      </c>
      <c r="D689" s="247">
        <f>D668</f>
        <v>94.74</v>
      </c>
      <c r="E689" s="187"/>
      <c r="F689" s="184">
        <f>F742+F793</f>
        <v>0</v>
      </c>
      <c r="G689" s="216">
        <v>94.74</v>
      </c>
      <c r="H689" s="187"/>
      <c r="I689" s="184">
        <f>I742+I793</f>
        <v>0</v>
      </c>
      <c r="J689" s="216">
        <f>J668</f>
        <v>94.74</v>
      </c>
      <c r="K689" s="187"/>
      <c r="L689" s="184">
        <f>L742+L793</f>
        <v>0</v>
      </c>
      <c r="M689" s="11"/>
      <c r="N689" s="11"/>
      <c r="O689" s="38"/>
      <c r="P689" s="38"/>
      <c r="Q689" s="38"/>
      <c r="R689" s="11"/>
      <c r="S689" s="11"/>
      <c r="T689" s="11"/>
      <c r="U689" s="11"/>
      <c r="V689" s="11"/>
      <c r="AA689" s="11"/>
      <c r="AB689" s="11"/>
      <c r="AC689" s="11"/>
      <c r="AD689" s="11"/>
      <c r="AE689" s="11"/>
      <c r="AF689" s="11"/>
      <c r="AG689" s="11"/>
      <c r="AH689" s="11"/>
    </row>
    <row r="690" spans="1:34">
      <c r="A690" s="172" t="s">
        <v>270</v>
      </c>
      <c r="B690" s="1"/>
      <c r="C690" s="182">
        <f>C743+C794</f>
        <v>0</v>
      </c>
      <c r="D690" s="216">
        <f>D669</f>
        <v>189.48</v>
      </c>
      <c r="E690" s="187"/>
      <c r="F690" s="184">
        <f>F743+F794</f>
        <v>0</v>
      </c>
      <c r="G690" s="216">
        <v>189.48</v>
      </c>
      <c r="H690" s="187"/>
      <c r="I690" s="184">
        <f>I743+I794</f>
        <v>0</v>
      </c>
      <c r="J690" s="216">
        <f>J669</f>
        <v>189.48</v>
      </c>
      <c r="K690" s="187"/>
      <c r="L690" s="184">
        <f>L743+L794</f>
        <v>0</v>
      </c>
      <c r="M690" s="11"/>
      <c r="N690" s="11"/>
      <c r="O690" s="38"/>
      <c r="P690" s="38"/>
      <c r="Q690" s="38"/>
      <c r="R690" s="11"/>
      <c r="S690" s="11"/>
      <c r="T690" s="11"/>
      <c r="U690" s="11"/>
      <c r="V690" s="11"/>
      <c r="AA690" s="11"/>
      <c r="AB690" s="11"/>
      <c r="AC690" s="11"/>
      <c r="AD690" s="11"/>
      <c r="AE690" s="11"/>
      <c r="AF690" s="11"/>
      <c r="AG690" s="11"/>
      <c r="AH690" s="11"/>
    </row>
    <row r="691" spans="1:34">
      <c r="A691" s="172" t="s">
        <v>266</v>
      </c>
      <c r="B691" s="1"/>
      <c r="C691" s="182"/>
      <c r="D691" s="200"/>
      <c r="E691" s="187"/>
      <c r="F691" s="184"/>
      <c r="G691" s="216"/>
      <c r="H691" s="187"/>
      <c r="I691" s="184"/>
      <c r="J691" s="200"/>
      <c r="K691" s="187"/>
      <c r="L691" s="184"/>
      <c r="M691" s="11"/>
      <c r="N691" s="11"/>
      <c r="O691" s="38"/>
      <c r="P691" s="38"/>
      <c r="Q691" s="38"/>
      <c r="R691" s="11"/>
      <c r="S691" s="11"/>
      <c r="T691" s="11"/>
      <c r="U691" s="11"/>
      <c r="V691" s="11"/>
      <c r="AA691" s="11"/>
      <c r="AB691" s="11"/>
      <c r="AC691" s="11"/>
      <c r="AD691" s="11"/>
      <c r="AE691" s="11"/>
      <c r="AF691" s="11"/>
      <c r="AG691" s="11"/>
      <c r="AH691" s="11"/>
    </row>
    <row r="692" spans="1:34">
      <c r="A692" s="172" t="s">
        <v>261</v>
      </c>
      <c r="B692" s="1"/>
      <c r="C692" s="182">
        <f>C745+C796</f>
        <v>0</v>
      </c>
      <c r="D692" s="226">
        <f>D671</f>
        <v>-31.58</v>
      </c>
      <c r="E692" s="187"/>
      <c r="F692" s="184">
        <f>F745+F796</f>
        <v>0</v>
      </c>
      <c r="G692" s="216">
        <v>-31.58</v>
      </c>
      <c r="H692" s="187"/>
      <c r="I692" s="184">
        <f>I745+I796</f>
        <v>0</v>
      </c>
      <c r="J692" s="226">
        <f>J671</f>
        <v>-31.58</v>
      </c>
      <c r="K692" s="187"/>
      <c r="L692" s="184">
        <f>L745+L796</f>
        <v>0</v>
      </c>
      <c r="M692" s="11"/>
      <c r="N692" s="11"/>
      <c r="O692" s="38"/>
      <c r="P692" s="38"/>
      <c r="Q692" s="38"/>
      <c r="R692" s="11"/>
      <c r="S692" s="11"/>
      <c r="T692" s="11"/>
      <c r="U692" s="11"/>
      <c r="V692" s="11"/>
      <c r="AA692" s="11"/>
      <c r="AB692" s="11"/>
      <c r="AC692" s="11"/>
      <c r="AD692" s="11"/>
      <c r="AE692" s="11"/>
      <c r="AF692" s="11"/>
      <c r="AG692" s="11"/>
      <c r="AH692" s="11"/>
    </row>
    <row r="693" spans="1:34">
      <c r="A693" s="172" t="s">
        <v>267</v>
      </c>
      <c r="B693" s="1"/>
      <c r="C693" s="182">
        <f>C746+C797</f>
        <v>0</v>
      </c>
      <c r="D693" s="226">
        <f>D672</f>
        <v>-31.58</v>
      </c>
      <c r="E693" s="187"/>
      <c r="F693" s="184">
        <f>F746+F797</f>
        <v>0</v>
      </c>
      <c r="G693" s="216">
        <v>-31.58</v>
      </c>
      <c r="H693" s="187"/>
      <c r="I693" s="184">
        <f>I746+I797</f>
        <v>0</v>
      </c>
      <c r="J693" s="226">
        <f>J672</f>
        <v>-31.58</v>
      </c>
      <c r="K693" s="187"/>
      <c r="L693" s="184">
        <f>L746+L797</f>
        <v>0</v>
      </c>
      <c r="M693" s="11"/>
      <c r="N693" s="11"/>
      <c r="O693" s="38"/>
      <c r="P693" s="38"/>
      <c r="Q693" s="38"/>
      <c r="R693" s="11"/>
      <c r="S693" s="11"/>
      <c r="T693" s="11"/>
      <c r="U693" s="11"/>
      <c r="V693" s="11"/>
      <c r="AA693" s="11"/>
      <c r="AB693" s="11"/>
      <c r="AC693" s="11"/>
      <c r="AD693" s="11"/>
      <c r="AE693" s="11"/>
      <c r="AF693" s="11"/>
      <c r="AG693" s="11"/>
      <c r="AH693" s="11"/>
    </row>
    <row r="694" spans="1:34">
      <c r="A694" s="186" t="s">
        <v>230</v>
      </c>
      <c r="B694" s="1"/>
      <c r="C694" s="182"/>
      <c r="D694" s="247"/>
      <c r="E694" s="184"/>
      <c r="F694" s="184"/>
      <c r="G694" s="216"/>
      <c r="H694" s="184"/>
      <c r="I694" s="184"/>
      <c r="J694" s="247"/>
      <c r="K694" s="184"/>
      <c r="L694" s="184"/>
      <c r="M694" s="11"/>
      <c r="N694" s="11"/>
      <c r="O694" s="38"/>
      <c r="P694" s="38"/>
      <c r="Q694" s="38"/>
      <c r="R694" s="11"/>
      <c r="S694" s="11"/>
      <c r="T694" s="11"/>
      <c r="U694" s="11"/>
      <c r="V694" s="11"/>
      <c r="AA694" s="11"/>
      <c r="AB694" s="11"/>
      <c r="AC694" s="11"/>
      <c r="AD694" s="11"/>
      <c r="AE694" s="11"/>
      <c r="AF694" s="11"/>
      <c r="AG694" s="11"/>
      <c r="AH694" s="11"/>
    </row>
    <row r="695" spans="1:34">
      <c r="A695" s="172" t="s">
        <v>268</v>
      </c>
      <c r="B695" s="1"/>
      <c r="C695" s="182">
        <f>C748+C799</f>
        <v>9458</v>
      </c>
      <c r="D695" s="248">
        <f>D674</f>
        <v>6.891</v>
      </c>
      <c r="E695" s="184" t="s">
        <v>178</v>
      </c>
      <c r="F695" s="184">
        <f>F748+F799</f>
        <v>-7</v>
      </c>
      <c r="G695" s="287">
        <v>7.2140000000000004</v>
      </c>
      <c r="H695" s="184" t="s">
        <v>178</v>
      </c>
      <c r="I695" s="184">
        <f>I748+I799</f>
        <v>-7</v>
      </c>
      <c r="J695" s="248">
        <f ca="1">J674</f>
        <v>7.1989999999999998</v>
      </c>
      <c r="K695" s="184" t="s">
        <v>178</v>
      </c>
      <c r="L695" s="184">
        <f ca="1">L748+L799</f>
        <v>-7</v>
      </c>
      <c r="M695" s="11"/>
      <c r="N695" s="11"/>
      <c r="O695" s="38"/>
      <c r="P695" s="38"/>
      <c r="Q695" s="38"/>
      <c r="R695" s="11"/>
      <c r="S695" s="11"/>
      <c r="T695" s="11"/>
      <c r="U695" s="11"/>
      <c r="V695" s="11"/>
      <c r="AA695" s="11"/>
      <c r="AB695" s="11"/>
      <c r="AC695" s="11"/>
      <c r="AD695" s="11"/>
      <c r="AE695" s="11"/>
      <c r="AF695" s="11"/>
      <c r="AG695" s="11"/>
      <c r="AH695" s="11"/>
    </row>
    <row r="696" spans="1:34" hidden="1">
      <c r="A696" s="664" t="s">
        <v>524</v>
      </c>
      <c r="B696" s="665"/>
      <c r="C696" s="666" t="e">
        <f>#REF!+#REF!</f>
        <v>#REF!</v>
      </c>
      <c r="D696" s="667">
        <v>0</v>
      </c>
      <c r="E696" s="668" t="s">
        <v>178</v>
      </c>
      <c r="F696" s="668" t="e">
        <f>ROUND(D696/100*C696,0)</f>
        <v>#REF!</v>
      </c>
      <c r="G696" s="747" t="e">
        <v>#REF!</v>
      </c>
      <c r="H696" s="668" t="s">
        <v>178</v>
      </c>
      <c r="I696" s="668" t="e">
        <f>ROUND(G696/100*$C696,0)</f>
        <v>#REF!</v>
      </c>
      <c r="J696" s="667" t="e">
        <f>#REF!</f>
        <v>#REF!</v>
      </c>
      <c r="K696" s="668" t="s">
        <v>178</v>
      </c>
      <c r="L696" s="668" t="e">
        <f>ROUND(J696/100*$C696,0)</f>
        <v>#REF!</v>
      </c>
      <c r="M696" s="11"/>
      <c r="N696" s="11"/>
      <c r="O696" s="38"/>
      <c r="P696" s="38"/>
      <c r="Q696" s="38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</row>
    <row r="697" spans="1:34" hidden="1">
      <c r="A697" s="664" t="s">
        <v>525</v>
      </c>
      <c r="B697" s="665"/>
      <c r="C697" s="666" t="e">
        <f>#REF!+#REF!</f>
        <v>#REF!</v>
      </c>
      <c r="D697" s="667">
        <v>0</v>
      </c>
      <c r="E697" s="668" t="s">
        <v>178</v>
      </c>
      <c r="F697" s="668" t="e">
        <f>ROUND(D697/100*C697,0)</f>
        <v>#REF!</v>
      </c>
      <c r="G697" s="747" t="e">
        <v>#REF!</v>
      </c>
      <c r="H697" s="668" t="s">
        <v>178</v>
      </c>
      <c r="I697" s="668" t="e">
        <f>ROUND(G697/100*$C697,0)</f>
        <v>#REF!</v>
      </c>
      <c r="J697" s="667" t="e">
        <f>#REF!</f>
        <v>#REF!</v>
      </c>
      <c r="K697" s="668" t="s">
        <v>178</v>
      </c>
      <c r="L697" s="668" t="e">
        <f>ROUND(J697/100*$C697,0)</f>
        <v>#REF!</v>
      </c>
      <c r="M697" s="11"/>
      <c r="N697" s="11"/>
      <c r="O697" s="38"/>
      <c r="P697" s="38"/>
      <c r="Q697" s="38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</row>
    <row r="698" spans="1:34">
      <c r="A698" s="186" t="s">
        <v>204</v>
      </c>
      <c r="B698" s="1"/>
      <c r="C698" s="182">
        <f>C749+C800</f>
        <v>0</v>
      </c>
      <c r="D698" s="238">
        <f>D677</f>
        <v>58</v>
      </c>
      <c r="E698" s="186" t="s">
        <v>178</v>
      </c>
      <c r="F698" s="184">
        <f>F749+F800</f>
        <v>0</v>
      </c>
      <c r="G698" s="733">
        <v>58</v>
      </c>
      <c r="H698" s="186" t="s">
        <v>178</v>
      </c>
      <c r="I698" s="184">
        <f t="shared" ref="I698:I703" si="66">I749+I800</f>
        <v>0</v>
      </c>
      <c r="J698" s="238">
        <f>J677</f>
        <v>58</v>
      </c>
      <c r="K698" s="186" t="s">
        <v>178</v>
      </c>
      <c r="L698" s="184">
        <f t="shared" ref="L698:L703" si="67">L749+L800</f>
        <v>0</v>
      </c>
      <c r="M698" s="11"/>
      <c r="N698" s="11"/>
      <c r="O698" s="38"/>
      <c r="P698" s="38"/>
      <c r="Q698" s="38"/>
      <c r="R698" s="11"/>
      <c r="S698" s="11"/>
      <c r="T698" s="11"/>
      <c r="U698" s="11"/>
      <c r="V698" s="11"/>
      <c r="AA698" s="11"/>
      <c r="AB698" s="11"/>
      <c r="AC698" s="11"/>
      <c r="AD698" s="11"/>
      <c r="AE698" s="11"/>
      <c r="AF698" s="11"/>
      <c r="AG698" s="11"/>
      <c r="AH698" s="11"/>
    </row>
    <row r="699" spans="1:34">
      <c r="A699" s="186" t="s">
        <v>247</v>
      </c>
      <c r="B699" s="1"/>
      <c r="C699" s="182">
        <f>C750+C801</f>
        <v>12</v>
      </c>
      <c r="D699" s="200">
        <v>60</v>
      </c>
      <c r="E699" s="1"/>
      <c r="F699" s="184">
        <f>F750+F801</f>
        <v>720</v>
      </c>
      <c r="G699" s="216">
        <v>60</v>
      </c>
      <c r="H699" s="1"/>
      <c r="I699" s="184">
        <f t="shared" si="66"/>
        <v>720</v>
      </c>
      <c r="J699" s="200">
        <f t="shared" ref="J699:J700" si="68">G699</f>
        <v>60</v>
      </c>
      <c r="K699" s="1"/>
      <c r="L699" s="184">
        <f t="shared" si="67"/>
        <v>720</v>
      </c>
      <c r="M699" s="279"/>
      <c r="N699" s="279"/>
      <c r="O699" s="38"/>
      <c r="P699" s="512"/>
      <c r="Q699" s="38"/>
      <c r="R699" s="11"/>
      <c r="S699" s="11"/>
      <c r="T699" s="11"/>
      <c r="U699" s="11"/>
      <c r="V699" s="11"/>
      <c r="AA699" s="11"/>
      <c r="AB699" s="11"/>
      <c r="AC699" s="11"/>
      <c r="AD699" s="11"/>
      <c r="AE699" s="11"/>
      <c r="AF699" s="11"/>
      <c r="AG699" s="11"/>
      <c r="AH699" s="11"/>
    </row>
    <row r="700" spans="1:34">
      <c r="A700" s="186" t="s">
        <v>248</v>
      </c>
      <c r="B700" s="1"/>
      <c r="C700" s="182">
        <f>C751+C802</f>
        <v>468</v>
      </c>
      <c r="D700" s="474">
        <v>-30</v>
      </c>
      <c r="E700" s="184" t="s">
        <v>178</v>
      </c>
      <c r="F700" s="184">
        <f>F751+F802</f>
        <v>-140</v>
      </c>
      <c r="G700" s="748">
        <v>-30</v>
      </c>
      <c r="H700" s="184" t="s">
        <v>178</v>
      </c>
      <c r="I700" s="184">
        <f t="shared" si="66"/>
        <v>-140</v>
      </c>
      <c r="J700" s="341">
        <f t="shared" si="68"/>
        <v>-30</v>
      </c>
      <c r="K700" s="184" t="s">
        <v>178</v>
      </c>
      <c r="L700" s="184">
        <f t="shared" si="67"/>
        <v>-140</v>
      </c>
      <c r="M700" s="279"/>
      <c r="N700" s="279"/>
      <c r="O700" s="38"/>
      <c r="P700" s="512"/>
      <c r="Q700" s="38"/>
      <c r="R700" s="11"/>
      <c r="S700" s="11"/>
      <c r="T700" s="11"/>
      <c r="U700" s="11"/>
      <c r="V700" s="11"/>
      <c r="AA700" s="11"/>
      <c r="AB700" s="11"/>
      <c r="AC700" s="11"/>
      <c r="AD700" s="11"/>
      <c r="AE700" s="11"/>
      <c r="AF700" s="11"/>
      <c r="AG700" s="11"/>
      <c r="AH700" s="11"/>
    </row>
    <row r="701" spans="1:34">
      <c r="A701" s="1" t="s">
        <v>185</v>
      </c>
      <c r="B701" s="1"/>
      <c r="C701" s="182">
        <f>C752+C803</f>
        <v>156050797.84020001</v>
      </c>
      <c r="D701" s="187"/>
      <c r="E701" s="186"/>
      <c r="F701" s="2">
        <f>F752+F803</f>
        <v>14008737</v>
      </c>
      <c r="G701" s="516"/>
      <c r="H701" s="186"/>
      <c r="I701" s="529">
        <f t="shared" si="66"/>
        <v>14512782</v>
      </c>
      <c r="J701" s="2"/>
      <c r="K701" s="186"/>
      <c r="L701" s="529">
        <f t="shared" ca="1" si="67"/>
        <v>14489374</v>
      </c>
      <c r="M701" s="528"/>
      <c r="N701" s="528"/>
      <c r="O701" s="528"/>
      <c r="P701" s="512"/>
      <c r="Q701" s="511"/>
      <c r="R701" s="11"/>
      <c r="S701" s="11"/>
      <c r="T701" s="11"/>
      <c r="U701" s="11"/>
      <c r="V701" s="11"/>
      <c r="AA701" s="11"/>
      <c r="AB701" s="11"/>
      <c r="AC701" s="11"/>
      <c r="AD701" s="11"/>
      <c r="AE701" s="11"/>
      <c r="AF701" s="11"/>
      <c r="AG701" s="11"/>
      <c r="AH701" s="11"/>
    </row>
    <row r="702" spans="1:34" ht="14.25" customHeight="1">
      <c r="A702" s="1" t="s">
        <v>167</v>
      </c>
      <c r="B702" s="1"/>
      <c r="C702" s="203">
        <f>C753+C804</f>
        <v>8745000</v>
      </c>
      <c r="D702" s="172"/>
      <c r="E702" s="172"/>
      <c r="F702" s="173">
        <f>F753+F804</f>
        <v>1173000</v>
      </c>
      <c r="G702" s="284"/>
      <c r="H702" s="172"/>
      <c r="I702" s="613">
        <f t="shared" si="66"/>
        <v>1173000</v>
      </c>
      <c r="J702" s="172"/>
      <c r="K702" s="172"/>
      <c r="L702" s="613">
        <f t="shared" si="67"/>
        <v>1173000</v>
      </c>
      <c r="M702" s="11"/>
      <c r="N702" s="11"/>
      <c r="O702" s="38"/>
      <c r="P702" s="38"/>
      <c r="Q702" s="38"/>
      <c r="R702" s="11"/>
      <c r="S702" s="11"/>
      <c r="T702" s="11"/>
      <c r="U702" s="11"/>
      <c r="V702" s="11"/>
      <c r="AA702" s="11"/>
      <c r="AB702" s="11"/>
      <c r="AC702" s="11"/>
      <c r="AD702" s="11"/>
      <c r="AE702" s="11"/>
      <c r="AF702" s="11"/>
      <c r="AG702" s="11"/>
      <c r="AH702" s="11"/>
    </row>
    <row r="703" spans="1:34" ht="17.25" customHeight="1" thickBot="1">
      <c r="A703" s="1" t="s">
        <v>186</v>
      </c>
      <c r="B703" s="1"/>
      <c r="C703" s="229">
        <f>SUM(C701:C702)</f>
        <v>164795797.84020001</v>
      </c>
      <c r="D703" s="205"/>
      <c r="E703" s="208"/>
      <c r="F703" s="207">
        <f>F701+F702</f>
        <v>15181737</v>
      </c>
      <c r="G703" s="741"/>
      <c r="H703" s="208"/>
      <c r="I703" s="207">
        <f t="shared" si="66"/>
        <v>15685782</v>
      </c>
      <c r="J703" s="205"/>
      <c r="K703" s="208"/>
      <c r="L703" s="207">
        <f t="shared" ca="1" si="67"/>
        <v>15662374</v>
      </c>
      <c r="M703" s="279"/>
      <c r="N703" s="11"/>
      <c r="O703" s="279"/>
      <c r="P703" s="500"/>
      <c r="Q703" s="500"/>
      <c r="R703" s="490"/>
      <c r="S703" s="490"/>
      <c r="T703" s="11"/>
      <c r="U703" s="11"/>
      <c r="V703" s="11"/>
      <c r="AA703" s="11"/>
      <c r="AB703" s="11"/>
      <c r="AC703" s="11"/>
      <c r="AD703" s="11"/>
      <c r="AE703" s="11"/>
      <c r="AF703" s="11"/>
      <c r="AG703" s="11"/>
      <c r="AH703" s="11"/>
    </row>
    <row r="704" spans="1:34" ht="16.5" thickTop="1">
      <c r="A704" s="1"/>
      <c r="B704" s="1"/>
      <c r="C704" s="16"/>
      <c r="D704" s="214" t="s">
        <v>13</v>
      </c>
      <c r="E704" s="14"/>
      <c r="F704" s="185"/>
      <c r="G704" s="742" t="s">
        <v>13</v>
      </c>
      <c r="H704" s="14"/>
      <c r="I704" s="135" t="s">
        <v>13</v>
      </c>
      <c r="J704" s="249" t="s">
        <v>13</v>
      </c>
      <c r="K704" s="14"/>
      <c r="L704" s="135" t="s">
        <v>13</v>
      </c>
      <c r="M704" s="11"/>
      <c r="N704" s="11"/>
      <c r="O704" s="279"/>
      <c r="P704" s="11"/>
      <c r="Q704" s="509"/>
      <c r="R704" s="11"/>
      <c r="S704" s="11"/>
      <c r="T704" s="11"/>
      <c r="U704" s="11"/>
      <c r="V704" s="11"/>
      <c r="AA704" s="11"/>
      <c r="AB704" s="11"/>
      <c r="AC704" s="11"/>
      <c r="AD704" s="11"/>
      <c r="AE704" s="11"/>
      <c r="AF704" s="11"/>
      <c r="AG704" s="11"/>
      <c r="AH704" s="11"/>
    </row>
    <row r="705" spans="1:34" hidden="1">
      <c r="A705" s="156" t="s">
        <v>251</v>
      </c>
      <c r="B705" s="1"/>
      <c r="C705" s="12"/>
      <c r="D705" s="200"/>
      <c r="E705" s="1"/>
      <c r="F705" s="2"/>
      <c r="G705" s="216"/>
      <c r="H705" s="1"/>
      <c r="I705" s="2"/>
      <c r="J705" s="200"/>
      <c r="K705" s="1"/>
      <c r="L705" s="2"/>
      <c r="M705" s="11"/>
      <c r="N705" s="11"/>
      <c r="O705" s="38"/>
      <c r="P705" s="38"/>
      <c r="Q705" s="38"/>
      <c r="R705" s="11"/>
      <c r="S705" s="11"/>
      <c r="T705" s="11"/>
      <c r="U705" s="11"/>
      <c r="V705" s="11"/>
      <c r="AA705" s="11"/>
      <c r="AB705" s="11"/>
      <c r="AC705" s="11"/>
      <c r="AD705" s="11"/>
      <c r="AE705" s="11"/>
      <c r="AF705" s="11"/>
      <c r="AG705" s="11"/>
      <c r="AH705" s="11"/>
    </row>
    <row r="706" spans="1:34" hidden="1">
      <c r="A706" s="172" t="s">
        <v>84</v>
      </c>
      <c r="B706" s="1"/>
      <c r="C706" s="12"/>
      <c r="D706" s="200"/>
      <c r="E706" s="1"/>
      <c r="F706" s="2"/>
      <c r="G706" s="216"/>
      <c r="H706" s="1"/>
      <c r="I706" s="2"/>
      <c r="J706" s="200"/>
      <c r="K706" s="1"/>
      <c r="L706" s="2"/>
      <c r="M706" s="279"/>
      <c r="N706" s="279"/>
      <c r="O706" s="286"/>
      <c r="P706" s="300"/>
      <c r="Q706" s="300"/>
      <c r="R706" s="11"/>
      <c r="S706" s="11"/>
      <c r="T706" s="11"/>
      <c r="U706" s="11"/>
      <c r="V706" s="11"/>
      <c r="AA706" s="11"/>
      <c r="AB706" s="11"/>
      <c r="AC706" s="11"/>
      <c r="AD706" s="11"/>
      <c r="AE706" s="11"/>
      <c r="AF706" s="11"/>
      <c r="AG706" s="11"/>
      <c r="AH706" s="11"/>
    </row>
    <row r="707" spans="1:34" hidden="1">
      <c r="A707" s="186"/>
      <c r="B707" s="1"/>
      <c r="C707" s="12"/>
      <c r="D707" s="200"/>
      <c r="E707" s="1"/>
      <c r="F707" s="243"/>
      <c r="G707" s="216"/>
      <c r="H707" s="1"/>
      <c r="I707" s="244"/>
      <c r="J707" s="200"/>
      <c r="K707" s="1"/>
      <c r="L707" s="244"/>
      <c r="M707" s="11"/>
      <c r="N707" s="11"/>
      <c r="O707" s="38"/>
      <c r="P707" s="38"/>
      <c r="Q707" s="38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</row>
    <row r="708" spans="1:34" hidden="1">
      <c r="A708" s="172" t="s">
        <v>253</v>
      </c>
      <c r="B708" s="1"/>
      <c r="C708" s="182"/>
      <c r="D708" s="2" t="s">
        <v>13</v>
      </c>
      <c r="E708" s="1"/>
      <c r="F708" s="1"/>
      <c r="G708" s="516" t="s">
        <v>13</v>
      </c>
      <c r="H708" s="1"/>
      <c r="I708" s="1"/>
      <c r="J708" s="2" t="s">
        <v>13</v>
      </c>
      <c r="K708" s="1"/>
      <c r="L708" s="1"/>
      <c r="M708" s="11"/>
      <c r="N708" s="11"/>
      <c r="O708" s="38"/>
      <c r="P708" s="38"/>
      <c r="Q708" s="38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</row>
    <row r="709" spans="1:34" hidden="1">
      <c r="A709" s="172" t="s">
        <v>254</v>
      </c>
      <c r="B709" s="1"/>
      <c r="C709" s="182">
        <v>466.03559951751799</v>
      </c>
      <c r="D709" s="200">
        <f>D653</f>
        <v>0</v>
      </c>
      <c r="E709" s="187"/>
      <c r="F709" s="184">
        <f>ROUND(D709*C709,0)</f>
        <v>0</v>
      </c>
      <c r="G709" s="216">
        <v>0</v>
      </c>
      <c r="H709" s="187"/>
      <c r="I709" s="184">
        <f>ROUND(G709*$C709,0)</f>
        <v>0</v>
      </c>
      <c r="J709" s="200">
        <f>$G$653</f>
        <v>0</v>
      </c>
      <c r="K709" s="187"/>
      <c r="L709" s="184">
        <f>ROUND(J709*$C709,0)</f>
        <v>0</v>
      </c>
      <c r="M709" s="11"/>
      <c r="N709" s="11"/>
      <c r="O709" s="38"/>
      <c r="P709" s="38"/>
      <c r="Q709" s="38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</row>
    <row r="710" spans="1:34" hidden="1">
      <c r="A710" s="172" t="s">
        <v>255</v>
      </c>
      <c r="B710" s="1"/>
      <c r="C710" s="182"/>
      <c r="D710" s="200"/>
      <c r="E710" s="187"/>
      <c r="F710" s="184"/>
      <c r="G710" s="216"/>
      <c r="H710" s="187"/>
      <c r="I710" s="184"/>
      <c r="J710" s="200"/>
      <c r="K710" s="187"/>
      <c r="L710" s="184"/>
      <c r="M710" s="11"/>
      <c r="N710" s="11"/>
      <c r="O710" s="38"/>
      <c r="P710" s="38"/>
      <c r="Q710" s="38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</row>
    <row r="711" spans="1:34" hidden="1">
      <c r="A711" s="172" t="s">
        <v>256</v>
      </c>
      <c r="B711" s="1"/>
      <c r="C711" s="182">
        <v>2192.4547848167499</v>
      </c>
      <c r="D711" s="200">
        <f>D656</f>
        <v>0</v>
      </c>
      <c r="E711" s="187"/>
      <c r="F711" s="184">
        <f>ROUND(D711*C711,0)</f>
        <v>0</v>
      </c>
      <c r="G711" s="216">
        <v>0</v>
      </c>
      <c r="H711" s="187"/>
      <c r="I711" s="184">
        <f>ROUND(G711*$C711,0)</f>
        <v>0</v>
      </c>
      <c r="J711" s="200">
        <f>$G$656</f>
        <v>0</v>
      </c>
      <c r="K711" s="187"/>
      <c r="L711" s="184">
        <f>ROUND(J711*$C711,0)</f>
        <v>0</v>
      </c>
      <c r="M711" s="11"/>
      <c r="N711" s="11"/>
      <c r="O711" s="38"/>
      <c r="P711" s="38"/>
      <c r="Q711" s="38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</row>
    <row r="712" spans="1:34" hidden="1">
      <c r="A712" s="172" t="s">
        <v>257</v>
      </c>
      <c r="B712" s="1"/>
      <c r="C712" s="182">
        <v>273.57538142360301</v>
      </c>
      <c r="D712" s="200">
        <f>D657</f>
        <v>449</v>
      </c>
      <c r="E712" s="187"/>
      <c r="F712" s="184">
        <f>ROUND(D712*C712,0)</f>
        <v>122835</v>
      </c>
      <c r="G712" s="216">
        <v>449</v>
      </c>
      <c r="H712" s="187"/>
      <c r="I712" s="184">
        <f>ROUND(G712*$C712,0)</f>
        <v>122835</v>
      </c>
      <c r="J712" s="200">
        <f>$G$657</f>
        <v>449</v>
      </c>
      <c r="K712" s="187"/>
      <c r="L712" s="184">
        <f>ROUND(J712*$C712,0)</f>
        <v>122835</v>
      </c>
      <c r="M712" s="11"/>
      <c r="N712" s="11"/>
      <c r="O712" s="38"/>
      <c r="P712" s="38"/>
      <c r="Q712" s="38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</row>
    <row r="713" spans="1:34" hidden="1">
      <c r="A713" s="172" t="s">
        <v>258</v>
      </c>
      <c r="B713" s="1"/>
      <c r="C713" s="182">
        <v>8.0192081482092199</v>
      </c>
      <c r="D713" s="200">
        <f>D658</f>
        <v>1825</v>
      </c>
      <c r="E713" s="187"/>
      <c r="F713" s="184">
        <f>ROUND(D713*C713,0)</f>
        <v>14635</v>
      </c>
      <c r="G713" s="216">
        <v>1825</v>
      </c>
      <c r="H713" s="187"/>
      <c r="I713" s="184">
        <f>ROUND(G713*$C713,0)</f>
        <v>14635</v>
      </c>
      <c r="J713" s="200">
        <f>$G$658</f>
        <v>1825</v>
      </c>
      <c r="K713" s="187"/>
      <c r="L713" s="184">
        <f>ROUND(J713*$C713,0)</f>
        <v>14635</v>
      </c>
      <c r="M713" s="11"/>
      <c r="N713" s="11"/>
      <c r="O713" s="38"/>
      <c r="P713" s="38"/>
      <c r="Q713" s="38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</row>
    <row r="714" spans="1:34" hidden="1">
      <c r="A714" s="172" t="s">
        <v>166</v>
      </c>
      <c r="B714" s="1"/>
      <c r="C714" s="182">
        <f>SUM(C709:C713)</f>
        <v>2940.0849739060804</v>
      </c>
      <c r="D714" s="200"/>
      <c r="E714" s="187"/>
      <c r="F714" s="184"/>
      <c r="G714" s="216"/>
      <c r="H714" s="187"/>
      <c r="I714" s="184"/>
      <c r="J714" s="200"/>
      <c r="K714" s="187"/>
      <c r="L714" s="184"/>
      <c r="M714" s="11"/>
      <c r="N714" s="11"/>
      <c r="O714" s="38"/>
      <c r="P714" s="38"/>
      <c r="Q714" s="38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</row>
    <row r="715" spans="1:34" hidden="1">
      <c r="A715" s="172" t="s">
        <v>259</v>
      </c>
      <c r="B715" s="1"/>
      <c r="C715" s="182">
        <v>22331</v>
      </c>
      <c r="D715" s="200"/>
      <c r="E715" s="184"/>
      <c r="F715" s="184"/>
      <c r="G715" s="216"/>
      <c r="H715" s="184"/>
      <c r="I715" s="184"/>
      <c r="J715" s="200"/>
      <c r="K715" s="184"/>
      <c r="L715" s="184"/>
      <c r="M715" s="11"/>
      <c r="N715" s="11"/>
      <c r="O715" s="38"/>
      <c r="P715" s="38"/>
      <c r="Q715" s="38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</row>
    <row r="716" spans="1:34" hidden="1">
      <c r="A716" s="172" t="s">
        <v>24</v>
      </c>
      <c r="B716" s="1"/>
      <c r="C716" s="182">
        <v>3002</v>
      </c>
      <c r="D716" s="200"/>
      <c r="E716" s="184"/>
      <c r="F716" s="184"/>
      <c r="G716" s="216"/>
      <c r="H716" s="184"/>
      <c r="I716" s="184"/>
      <c r="J716" s="200"/>
      <c r="K716" s="184"/>
      <c r="L716" s="184"/>
      <c r="M716" s="11"/>
      <c r="N716" s="11"/>
      <c r="O716" s="38"/>
      <c r="P716" s="38"/>
      <c r="Q716" s="38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</row>
    <row r="717" spans="1:34" hidden="1">
      <c r="A717" s="172" t="s">
        <v>260</v>
      </c>
      <c r="B717" s="1"/>
      <c r="C717" s="182"/>
      <c r="D717" s="200"/>
      <c r="E717" s="187"/>
      <c r="F717" s="184"/>
      <c r="G717" s="216"/>
      <c r="H717" s="187"/>
      <c r="I717" s="184"/>
      <c r="J717" s="200"/>
      <c r="K717" s="187"/>
      <c r="L717" s="184"/>
      <c r="M717" s="11"/>
      <c r="N717" s="11"/>
      <c r="O717" s="38"/>
      <c r="P717" s="38"/>
      <c r="Q717" s="38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</row>
    <row r="718" spans="1:34" hidden="1">
      <c r="A718" s="172" t="s">
        <v>261</v>
      </c>
      <c r="B718" s="1"/>
      <c r="C718" s="182">
        <v>1822.6373138064801</v>
      </c>
      <c r="D718" s="200">
        <f>D663</f>
        <v>31.58</v>
      </c>
      <c r="E718" s="187"/>
      <c r="F718" s="184">
        <f>ROUND(D718*C718,0)</f>
        <v>57559</v>
      </c>
      <c r="G718" s="216">
        <v>31.58</v>
      </c>
      <c r="H718" s="187"/>
      <c r="I718" s="184">
        <f>ROUND(G718*$C718,0)</f>
        <v>57559</v>
      </c>
      <c r="J718" s="200">
        <f>$G$663</f>
        <v>31.58</v>
      </c>
      <c r="K718" s="187"/>
      <c r="L718" s="184">
        <f>ROUND(J718*$C718,0)</f>
        <v>57559</v>
      </c>
      <c r="M718" s="11"/>
      <c r="N718" s="11"/>
      <c r="O718" s="38"/>
      <c r="P718" s="38"/>
      <c r="Q718" s="38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</row>
    <row r="719" spans="1:34" hidden="1">
      <c r="A719" s="172" t="s">
        <v>262</v>
      </c>
      <c r="B719" s="1"/>
      <c r="C719" s="182"/>
      <c r="D719" s="200"/>
      <c r="E719" s="187"/>
      <c r="F719" s="184"/>
      <c r="G719" s="216"/>
      <c r="H719" s="187"/>
      <c r="I719" s="184"/>
      <c r="J719" s="200"/>
      <c r="K719" s="187"/>
      <c r="L719" s="184"/>
      <c r="M719" s="11"/>
      <c r="N719" s="11"/>
      <c r="O719" s="38"/>
      <c r="P719" s="38"/>
      <c r="Q719" s="38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</row>
    <row r="720" spans="1:34" hidden="1">
      <c r="A720" s="172" t="s">
        <v>256</v>
      </c>
      <c r="B720" s="1"/>
      <c r="C720" s="182">
        <v>34411.773720115103</v>
      </c>
      <c r="D720" s="200">
        <f>D665</f>
        <v>31.58</v>
      </c>
      <c r="E720" s="187"/>
      <c r="F720" s="184">
        <f>ROUND(D720*C720,0)</f>
        <v>1086724</v>
      </c>
      <c r="G720" s="216">
        <v>31.58</v>
      </c>
      <c r="H720" s="187"/>
      <c r="I720" s="184">
        <f>ROUND(G720*$C720,0)</f>
        <v>1086724</v>
      </c>
      <c r="J720" s="200">
        <f>$G$665</f>
        <v>31.58</v>
      </c>
      <c r="K720" s="187"/>
      <c r="L720" s="184">
        <f>ROUND(J720*$C720,0)</f>
        <v>1086724</v>
      </c>
      <c r="M720" s="11"/>
      <c r="N720" s="11"/>
      <c r="O720" s="38"/>
      <c r="P720" s="38"/>
      <c r="Q720" s="38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</row>
    <row r="721" spans="1:34" hidden="1">
      <c r="A721" s="172" t="s">
        <v>257</v>
      </c>
      <c r="B721" s="1"/>
      <c r="C721" s="182">
        <v>26713.8204399559</v>
      </c>
      <c r="D721" s="200">
        <f>D666</f>
        <v>21.97</v>
      </c>
      <c r="E721" s="187"/>
      <c r="F721" s="184">
        <f>ROUND(D721*C721,0)</f>
        <v>586903</v>
      </c>
      <c r="G721" s="216">
        <v>21.97</v>
      </c>
      <c r="H721" s="187"/>
      <c r="I721" s="184">
        <f>ROUND(G721*$C721,0)</f>
        <v>586903</v>
      </c>
      <c r="J721" s="200">
        <f>$G$666</f>
        <v>21.97</v>
      </c>
      <c r="K721" s="187"/>
      <c r="L721" s="184">
        <f>ROUND(J721*$C721,0)</f>
        <v>586903</v>
      </c>
      <c r="M721" s="11"/>
      <c r="N721" s="11"/>
      <c r="O721" s="38"/>
      <c r="P721" s="38"/>
      <c r="Q721" s="38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</row>
    <row r="722" spans="1:34" hidden="1">
      <c r="A722" s="172" t="s">
        <v>258</v>
      </c>
      <c r="B722" s="1"/>
      <c r="C722" s="182">
        <v>3107.6765078724902</v>
      </c>
      <c r="D722" s="200">
        <f>D667</f>
        <v>17.18</v>
      </c>
      <c r="E722" s="187"/>
      <c r="F722" s="184">
        <f>ROUND(D722*C722,0)</f>
        <v>53390</v>
      </c>
      <c r="G722" s="216">
        <v>17.18</v>
      </c>
      <c r="H722" s="187"/>
      <c r="I722" s="184">
        <f>ROUND(G722*$C722,0)</f>
        <v>53390</v>
      </c>
      <c r="J722" s="200">
        <f>$G$667</f>
        <v>17.18</v>
      </c>
      <c r="K722" s="187"/>
      <c r="L722" s="184">
        <f>ROUND(J722*$C722,0)</f>
        <v>53390</v>
      </c>
      <c r="M722" s="11"/>
      <c r="N722" s="11"/>
      <c r="O722" s="38"/>
      <c r="P722" s="38"/>
      <c r="Q722" s="38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</row>
    <row r="723" spans="1:34" hidden="1">
      <c r="A723" s="172" t="s">
        <v>264</v>
      </c>
      <c r="B723" s="1"/>
      <c r="C723" s="182">
        <v>226.93694454875501</v>
      </c>
      <c r="D723" s="200">
        <f>D668</f>
        <v>94.74</v>
      </c>
      <c r="E723" s="187"/>
      <c r="F723" s="184">
        <f>ROUND(D723*C723,0)</f>
        <v>21500</v>
      </c>
      <c r="G723" s="216">
        <v>94.74</v>
      </c>
      <c r="H723" s="187"/>
      <c r="I723" s="184">
        <f>ROUND(G723*$C723,0)</f>
        <v>21500</v>
      </c>
      <c r="J723" s="200">
        <f>$G$668</f>
        <v>94.74</v>
      </c>
      <c r="K723" s="187"/>
      <c r="L723" s="184">
        <f>ROUND(J723*$C723,0)</f>
        <v>21500</v>
      </c>
      <c r="M723" s="11"/>
      <c r="N723" s="11"/>
      <c r="O723" s="38"/>
      <c r="P723" s="38"/>
      <c r="Q723" s="38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</row>
    <row r="724" spans="1:34" hidden="1">
      <c r="A724" s="172" t="s">
        <v>265</v>
      </c>
      <c r="B724" s="1"/>
      <c r="C724" s="182">
        <v>503.25743779564999</v>
      </c>
      <c r="D724" s="200">
        <f>D669</f>
        <v>189.48</v>
      </c>
      <c r="E724" s="187"/>
      <c r="F724" s="184">
        <f>ROUND(D724*C724,0)</f>
        <v>95357</v>
      </c>
      <c r="G724" s="216">
        <v>189.48</v>
      </c>
      <c r="H724" s="187"/>
      <c r="I724" s="184">
        <f>ROUND(G724*$C724,0)</f>
        <v>95357</v>
      </c>
      <c r="J724" s="200">
        <f>$G$669</f>
        <v>189.48</v>
      </c>
      <c r="K724" s="187"/>
      <c r="L724" s="184">
        <f>ROUND(J724*$C724,0)</f>
        <v>95357</v>
      </c>
      <c r="M724" s="11"/>
      <c r="N724" s="11"/>
      <c r="O724" s="38"/>
      <c r="P724" s="38"/>
      <c r="Q724" s="38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</row>
    <row r="725" spans="1:34" hidden="1">
      <c r="A725" s="172" t="s">
        <v>266</v>
      </c>
      <c r="B725" s="1"/>
      <c r="C725" s="182"/>
      <c r="D725" s="200"/>
      <c r="E725" s="187"/>
      <c r="F725" s="184"/>
      <c r="G725" s="216"/>
      <c r="H725" s="187"/>
      <c r="I725" s="184"/>
      <c r="J725" s="200"/>
      <c r="K725" s="187"/>
      <c r="L725" s="184"/>
      <c r="M725" s="11"/>
      <c r="N725" s="11"/>
      <c r="O725" s="38"/>
      <c r="P725" s="38"/>
      <c r="Q725" s="38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</row>
    <row r="726" spans="1:34" hidden="1">
      <c r="A726" s="172" t="s">
        <v>261</v>
      </c>
      <c r="B726" s="1"/>
      <c r="C726" s="182">
        <v>204.883652522218</v>
      </c>
      <c r="D726" s="226">
        <f>D692</f>
        <v>-31.58</v>
      </c>
      <c r="E726" s="187"/>
      <c r="F726" s="184">
        <f>ROUND(D726*C726,0)</f>
        <v>-6470</v>
      </c>
      <c r="G726" s="216">
        <v>-31.58</v>
      </c>
      <c r="H726" s="187"/>
      <c r="I726" s="184">
        <f>ROUND(G726*$C726,0)</f>
        <v>-6470</v>
      </c>
      <c r="J726" s="226">
        <f>-J718</f>
        <v>-31.58</v>
      </c>
      <c r="K726" s="187"/>
      <c r="L726" s="184">
        <f>ROUND(J726*$C726,0)</f>
        <v>-6470</v>
      </c>
      <c r="M726" s="11"/>
      <c r="N726" s="11"/>
      <c r="O726" s="38"/>
      <c r="P726" s="38"/>
      <c r="Q726" s="38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</row>
    <row r="727" spans="1:34" hidden="1">
      <c r="A727" s="172" t="s">
        <v>267</v>
      </c>
      <c r="B727" s="1"/>
      <c r="C727" s="182">
        <v>708.61337464013002</v>
      </c>
      <c r="D727" s="226">
        <f>D672</f>
        <v>-31.58</v>
      </c>
      <c r="E727" s="187"/>
      <c r="F727" s="184">
        <f>ROUND(D727*C727,0)</f>
        <v>-22378</v>
      </c>
      <c r="G727" s="216">
        <v>-31.58</v>
      </c>
      <c r="H727" s="187"/>
      <c r="I727" s="184">
        <f>ROUND(G727*$C727,0)</f>
        <v>-22378</v>
      </c>
      <c r="J727" s="226">
        <f>-J720</f>
        <v>-31.58</v>
      </c>
      <c r="K727" s="187"/>
      <c r="L727" s="184">
        <f>ROUND(J727*$C727,0)</f>
        <v>-22378</v>
      </c>
      <c r="M727" s="11"/>
      <c r="N727" s="11"/>
      <c r="O727" s="38"/>
      <c r="P727" s="38"/>
      <c r="Q727" s="38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</row>
    <row r="728" spans="1:34" hidden="1">
      <c r="A728" s="186" t="s">
        <v>230</v>
      </c>
      <c r="B728" s="1"/>
      <c r="C728" s="28" t="s">
        <v>13</v>
      </c>
      <c r="D728" s="200"/>
      <c r="E728" s="184"/>
      <c r="F728" s="184"/>
      <c r="G728" s="216"/>
      <c r="H728" s="184"/>
      <c r="I728" s="184"/>
      <c r="J728" s="200"/>
      <c r="K728" s="184"/>
      <c r="L728" s="184"/>
      <c r="M728" s="11"/>
      <c r="N728" s="11"/>
      <c r="O728" s="38"/>
      <c r="P728" s="38"/>
      <c r="Q728" s="38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</row>
    <row r="729" spans="1:34" hidden="1">
      <c r="A729" s="172" t="s">
        <v>268</v>
      </c>
      <c r="B729" s="1"/>
      <c r="C729" s="182">
        <v>95695835.840200007</v>
      </c>
      <c r="D729" s="245">
        <f>D674</f>
        <v>6.891</v>
      </c>
      <c r="E729" s="184" t="s">
        <v>178</v>
      </c>
      <c r="F729" s="184">
        <f>ROUND(D729/100*C729,0)</f>
        <v>6594400</v>
      </c>
      <c r="G729" s="287">
        <v>7.2140000000000004</v>
      </c>
      <c r="H729" s="184" t="s">
        <v>178</v>
      </c>
      <c r="I729" s="184">
        <f>ROUND(G729/100*$C729,0)</f>
        <v>6903498</v>
      </c>
      <c r="J729" s="245">
        <f ca="1">$J$674</f>
        <v>7.1989999999999998</v>
      </c>
      <c r="K729" s="184" t="s">
        <v>178</v>
      </c>
      <c r="L729" s="184">
        <f ca="1">ROUND(J729/100*$C729,0)</f>
        <v>6889143</v>
      </c>
      <c r="M729" s="11"/>
      <c r="N729" s="11"/>
      <c r="O729" s="38"/>
      <c r="P729" s="38"/>
      <c r="Q729" s="38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</row>
    <row r="730" spans="1:34" hidden="1">
      <c r="A730" s="186" t="s">
        <v>204</v>
      </c>
      <c r="B730" s="1"/>
      <c r="C730" s="182">
        <v>43479</v>
      </c>
      <c r="D730" s="202">
        <f>D677</f>
        <v>58</v>
      </c>
      <c r="E730" s="186" t="s">
        <v>178</v>
      </c>
      <c r="F730" s="184">
        <f>ROUND(D730/100*C730,0)</f>
        <v>25218</v>
      </c>
      <c r="G730" s="737">
        <v>58</v>
      </c>
      <c r="H730" s="186" t="s">
        <v>178</v>
      </c>
      <c r="I730" s="184">
        <f>ROUND(G730*$C730/100,0)</f>
        <v>25218</v>
      </c>
      <c r="J730" s="202">
        <f>$G$677</f>
        <v>58</v>
      </c>
      <c r="K730" s="186" t="s">
        <v>178</v>
      </c>
      <c r="L730" s="184">
        <f>ROUND(J730*$C730/100,0)</f>
        <v>25218</v>
      </c>
      <c r="M730" s="11"/>
      <c r="N730" s="11"/>
      <c r="O730" s="38"/>
      <c r="P730" s="38"/>
      <c r="Q730" s="38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</row>
    <row r="731" spans="1:34" hidden="1">
      <c r="A731" s="223" t="s">
        <v>205</v>
      </c>
      <c r="B731" s="1"/>
      <c r="C731" s="182"/>
      <c r="D731" s="195">
        <v>-0.01</v>
      </c>
      <c r="E731" s="1"/>
      <c r="F731" s="184"/>
      <c r="G731" s="734">
        <v>-0.01</v>
      </c>
      <c r="H731" s="1"/>
      <c r="I731" s="184"/>
      <c r="J731" s="195">
        <v>-0.01</v>
      </c>
      <c r="K731" s="1"/>
      <c r="L731" s="184"/>
      <c r="M731" s="11"/>
      <c r="N731" s="11"/>
      <c r="O731" s="38"/>
      <c r="P731" s="38"/>
      <c r="Q731" s="38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</row>
    <row r="732" spans="1:34" hidden="1">
      <c r="A732" s="172" t="s">
        <v>194</v>
      </c>
      <c r="B732" s="1"/>
      <c r="C732" s="182">
        <v>0</v>
      </c>
      <c r="D732" s="247">
        <v>0</v>
      </c>
      <c r="E732" s="187"/>
      <c r="F732" s="184">
        <f>ROUND(D732*C732*$D$678,0)</f>
        <v>0</v>
      </c>
      <c r="G732" s="216">
        <v>0</v>
      </c>
      <c r="H732" s="187"/>
      <c r="I732" s="184">
        <f>ROUND(G732*$C732*$G$731,0)</f>
        <v>0</v>
      </c>
      <c r="J732" s="247">
        <f>J709</f>
        <v>0</v>
      </c>
      <c r="K732" s="187"/>
      <c r="L732" s="184">
        <f>ROUND(J732*$C732*$G$731,0)</f>
        <v>0</v>
      </c>
      <c r="M732" s="11"/>
      <c r="N732" s="11"/>
      <c r="O732" s="38"/>
      <c r="P732" s="38"/>
      <c r="Q732" s="38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</row>
    <row r="733" spans="1:34" hidden="1">
      <c r="A733" s="172" t="s">
        <v>195</v>
      </c>
      <c r="B733" s="1"/>
      <c r="C733" s="182"/>
      <c r="D733" s="247"/>
      <c r="E733" s="187"/>
      <c r="F733" s="184"/>
      <c r="G733" s="216"/>
      <c r="H733" s="187"/>
      <c r="I733" s="184"/>
      <c r="J733" s="247"/>
      <c r="K733" s="187"/>
      <c r="L733" s="184"/>
      <c r="M733" s="11"/>
      <c r="N733" s="11"/>
      <c r="O733" s="38"/>
      <c r="P733" s="38"/>
      <c r="Q733" s="38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</row>
    <row r="734" spans="1:34" hidden="1">
      <c r="A734" s="172" t="s">
        <v>256</v>
      </c>
      <c r="B734" s="1"/>
      <c r="C734" s="182">
        <v>1</v>
      </c>
      <c r="D734" s="247">
        <f>D711</f>
        <v>0</v>
      </c>
      <c r="E734" s="187"/>
      <c r="F734" s="184">
        <f>ROUND(D734*C734*$D$678,0)</f>
        <v>0</v>
      </c>
      <c r="G734" s="216">
        <v>0</v>
      </c>
      <c r="H734" s="187"/>
      <c r="I734" s="184">
        <f>ROUND(G734*$C734*$G$731,0)</f>
        <v>0</v>
      </c>
      <c r="J734" s="247">
        <f>J711</f>
        <v>0</v>
      </c>
      <c r="K734" s="187"/>
      <c r="L734" s="184">
        <f>ROUND(J734*$C734*$G$731,0)</f>
        <v>0</v>
      </c>
      <c r="M734" s="11"/>
      <c r="N734" s="11"/>
      <c r="O734" s="38"/>
      <c r="P734" s="38"/>
      <c r="Q734" s="38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</row>
    <row r="735" spans="1:34" hidden="1">
      <c r="A735" s="172" t="s">
        <v>257</v>
      </c>
      <c r="B735" s="1"/>
      <c r="C735" s="182">
        <v>0</v>
      </c>
      <c r="D735" s="247">
        <f>D712</f>
        <v>449</v>
      </c>
      <c r="E735" s="187"/>
      <c r="F735" s="184">
        <f>ROUND(D735*C735*$D$678,0)</f>
        <v>0</v>
      </c>
      <c r="G735" s="216">
        <v>449</v>
      </c>
      <c r="H735" s="187"/>
      <c r="I735" s="184">
        <f>ROUND(G735*$C735*$G$731,0)</f>
        <v>0</v>
      </c>
      <c r="J735" s="247">
        <f>J712</f>
        <v>449</v>
      </c>
      <c r="K735" s="187"/>
      <c r="L735" s="184">
        <f>ROUND(J735*$C735*$G$731,0)</f>
        <v>0</v>
      </c>
      <c r="M735" s="11"/>
      <c r="N735" s="11"/>
      <c r="O735" s="38"/>
      <c r="P735" s="38"/>
      <c r="Q735" s="38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</row>
    <row r="736" spans="1:34" hidden="1">
      <c r="A736" s="172" t="s">
        <v>258</v>
      </c>
      <c r="B736" s="1"/>
      <c r="C736" s="182">
        <v>0</v>
      </c>
      <c r="D736" s="247">
        <f>D713</f>
        <v>1825</v>
      </c>
      <c r="E736" s="187"/>
      <c r="F736" s="184">
        <f>ROUND(D736*C736*$D$678,0)</f>
        <v>0</v>
      </c>
      <c r="G736" s="216">
        <v>1825</v>
      </c>
      <c r="H736" s="187"/>
      <c r="I736" s="184">
        <f>ROUND(G736*$C736*$G$731,0)</f>
        <v>0</v>
      </c>
      <c r="J736" s="247">
        <f>J713</f>
        <v>1825</v>
      </c>
      <c r="K736" s="187"/>
      <c r="L736" s="184">
        <f>ROUND(J736*$C736*$G$731,0)</f>
        <v>0</v>
      </c>
      <c r="M736" s="11"/>
      <c r="N736" s="11"/>
      <c r="O736" s="38"/>
      <c r="P736" s="38"/>
      <c r="Q736" s="38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</row>
    <row r="737" spans="1:34" hidden="1">
      <c r="A737" s="172" t="s">
        <v>194</v>
      </c>
      <c r="B737" s="1"/>
      <c r="C737" s="182">
        <v>0</v>
      </c>
      <c r="D737" s="247">
        <f>D709</f>
        <v>0</v>
      </c>
      <c r="E737" s="187"/>
      <c r="F737" s="184">
        <f>ROUND(D737*C737*$D$678,0)</f>
        <v>0</v>
      </c>
      <c r="G737" s="216">
        <v>31.58</v>
      </c>
      <c r="H737" s="187"/>
      <c r="I737" s="184">
        <f>ROUND(G737*$C737*$G$731,0)</f>
        <v>0</v>
      </c>
      <c r="J737" s="247">
        <f>J718</f>
        <v>31.58</v>
      </c>
      <c r="K737" s="187"/>
      <c r="L737" s="184">
        <f>ROUND(J737*$C737*$G$731,0)</f>
        <v>0</v>
      </c>
      <c r="M737" s="11"/>
      <c r="N737" s="11"/>
      <c r="O737" s="38"/>
      <c r="P737" s="38"/>
      <c r="Q737" s="38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</row>
    <row r="738" spans="1:34" hidden="1">
      <c r="A738" s="172" t="s">
        <v>195</v>
      </c>
      <c r="B738" s="1"/>
      <c r="C738" s="182"/>
      <c r="D738" s="247"/>
      <c r="E738" s="187"/>
      <c r="F738" s="184"/>
      <c r="G738" s="216"/>
      <c r="H738" s="187"/>
      <c r="I738" s="184"/>
      <c r="J738" s="247"/>
      <c r="K738" s="187"/>
      <c r="L738" s="184"/>
      <c r="M738" s="11"/>
      <c r="N738" s="11"/>
      <c r="O738" s="38"/>
      <c r="P738" s="38"/>
      <c r="Q738" s="38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</row>
    <row r="739" spans="1:34" hidden="1">
      <c r="A739" s="172" t="s">
        <v>256</v>
      </c>
      <c r="B739" s="1"/>
      <c r="C739" s="182">
        <v>39</v>
      </c>
      <c r="D739" s="247">
        <f>D720</f>
        <v>31.58</v>
      </c>
      <c r="E739" s="187"/>
      <c r="F739" s="184">
        <f>ROUND(D739*C739*$D$678,0)</f>
        <v>-12</v>
      </c>
      <c r="G739" s="216">
        <v>31.58</v>
      </c>
      <c r="H739" s="187"/>
      <c r="I739" s="184">
        <f>ROUND(G739*$C739*$G$731,0)</f>
        <v>-12</v>
      </c>
      <c r="J739" s="247">
        <f>J720</f>
        <v>31.58</v>
      </c>
      <c r="K739" s="187"/>
      <c r="L739" s="184">
        <f>ROUND(J739*$C739*$G$731,0)</f>
        <v>-12</v>
      </c>
      <c r="M739" s="11"/>
      <c r="N739" s="11"/>
      <c r="O739" s="38"/>
      <c r="P739" s="38"/>
      <c r="Q739" s="38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</row>
    <row r="740" spans="1:34" hidden="1">
      <c r="A740" s="172" t="s">
        <v>257</v>
      </c>
      <c r="B740" s="1"/>
      <c r="C740" s="182">
        <v>0</v>
      </c>
      <c r="D740" s="247">
        <f>D721</f>
        <v>21.97</v>
      </c>
      <c r="E740" s="187"/>
      <c r="F740" s="184">
        <f>ROUND(D740*C740*$D$678,0)</f>
        <v>0</v>
      </c>
      <c r="G740" s="216">
        <v>21.97</v>
      </c>
      <c r="H740" s="187"/>
      <c r="I740" s="184">
        <f>ROUND(G740*$C740*$G$731,0)</f>
        <v>0</v>
      </c>
      <c r="J740" s="247">
        <f>J721</f>
        <v>21.97</v>
      </c>
      <c r="K740" s="187"/>
      <c r="L740" s="184">
        <f>ROUND(J740*$C740*$G$731,0)</f>
        <v>0</v>
      </c>
      <c r="M740" s="11"/>
      <c r="N740" s="11"/>
      <c r="O740" s="38"/>
      <c r="P740" s="38"/>
      <c r="Q740" s="38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</row>
    <row r="741" spans="1:34" hidden="1">
      <c r="A741" s="172" t="s">
        <v>258</v>
      </c>
      <c r="B741" s="1"/>
      <c r="C741" s="182">
        <v>0</v>
      </c>
      <c r="D741" s="247">
        <f>D722</f>
        <v>17.18</v>
      </c>
      <c r="E741" s="187"/>
      <c r="F741" s="184">
        <f>ROUND(D741*C741*$D$678,0)</f>
        <v>0</v>
      </c>
      <c r="G741" s="216">
        <v>17.18</v>
      </c>
      <c r="H741" s="187"/>
      <c r="I741" s="184">
        <f>ROUND(G741*$C741*$G$731,0)</f>
        <v>0</v>
      </c>
      <c r="J741" s="247">
        <f>J722</f>
        <v>17.18</v>
      </c>
      <c r="K741" s="187"/>
      <c r="L741" s="184">
        <f>ROUND(J741*$C741*$G$731,0)</f>
        <v>0</v>
      </c>
      <c r="M741" s="11"/>
      <c r="N741" s="11"/>
      <c r="O741" s="38"/>
      <c r="P741" s="38"/>
      <c r="Q741" s="38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</row>
    <row r="742" spans="1:34" hidden="1">
      <c r="A742" s="172" t="s">
        <v>269</v>
      </c>
      <c r="B742" s="1"/>
      <c r="C742" s="182">
        <v>0</v>
      </c>
      <c r="D742" s="247">
        <f>D723</f>
        <v>94.74</v>
      </c>
      <c r="E742" s="187"/>
      <c r="F742" s="184">
        <f>ROUND(D742*C742*$D$678,0)</f>
        <v>0</v>
      </c>
      <c r="G742" s="216">
        <v>94.74</v>
      </c>
      <c r="H742" s="187"/>
      <c r="I742" s="184">
        <f>ROUND(G742*$C742*$G$731,0)</f>
        <v>0</v>
      </c>
      <c r="J742" s="216">
        <f>J723</f>
        <v>94.74</v>
      </c>
      <c r="K742" s="187"/>
      <c r="L742" s="184">
        <f>ROUND(J742*$C742*$G$731,0)</f>
        <v>0</v>
      </c>
      <c r="M742" s="11"/>
      <c r="N742" s="11"/>
      <c r="O742" s="38"/>
      <c r="P742" s="38"/>
      <c r="Q742" s="38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</row>
    <row r="743" spans="1:34" hidden="1">
      <c r="A743" s="172" t="s">
        <v>270</v>
      </c>
      <c r="B743" s="1"/>
      <c r="C743" s="182">
        <v>0</v>
      </c>
      <c r="D743" s="247">
        <f>D724</f>
        <v>189.48</v>
      </c>
      <c r="E743" s="187"/>
      <c r="F743" s="184">
        <f>ROUND(D743*C743*$D$678,0)</f>
        <v>0</v>
      </c>
      <c r="G743" s="216">
        <v>189.48</v>
      </c>
      <c r="H743" s="187"/>
      <c r="I743" s="184">
        <f>ROUND(G743*$C743*$G$731,0)</f>
        <v>0</v>
      </c>
      <c r="J743" s="216">
        <f>J724</f>
        <v>189.48</v>
      </c>
      <c r="K743" s="187"/>
      <c r="L743" s="184">
        <f>ROUND(J743*$C743*$G$731,0)</f>
        <v>0</v>
      </c>
      <c r="M743" s="11"/>
      <c r="N743" s="11"/>
      <c r="O743" s="38"/>
      <c r="P743" s="38"/>
      <c r="Q743" s="38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</row>
    <row r="744" spans="1:34" hidden="1">
      <c r="A744" s="172" t="s">
        <v>266</v>
      </c>
      <c r="B744" s="1"/>
      <c r="C744" s="182"/>
      <c r="D744" s="200"/>
      <c r="E744" s="187"/>
      <c r="F744" s="184"/>
      <c r="G744" s="216"/>
      <c r="H744" s="187"/>
      <c r="I744" s="184"/>
      <c r="J744" s="200"/>
      <c r="K744" s="187"/>
      <c r="L744" s="184"/>
      <c r="M744" s="11"/>
      <c r="N744" s="11"/>
      <c r="O744" s="38"/>
      <c r="P744" s="38"/>
      <c r="Q744" s="38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</row>
    <row r="745" spans="1:34" hidden="1">
      <c r="A745" s="172" t="s">
        <v>261</v>
      </c>
      <c r="B745" s="1"/>
      <c r="C745" s="182">
        <v>0</v>
      </c>
      <c r="D745" s="226">
        <f>D726</f>
        <v>-31.58</v>
      </c>
      <c r="E745" s="187"/>
      <c r="F745" s="184">
        <f>ROUND(D745*C745*$D$678,0)</f>
        <v>0</v>
      </c>
      <c r="G745" s="216">
        <v>-31.58</v>
      </c>
      <c r="H745" s="187"/>
      <c r="I745" s="184">
        <f>ROUND(G745*$C745*$G$731,0)</f>
        <v>0</v>
      </c>
      <c r="J745" s="226">
        <f>J726</f>
        <v>-31.58</v>
      </c>
      <c r="K745" s="187"/>
      <c r="L745" s="184">
        <f>ROUND(J745*$C745*$G$731,0)</f>
        <v>0</v>
      </c>
      <c r="M745" s="11"/>
      <c r="N745" s="11"/>
      <c r="O745" s="38"/>
      <c r="P745" s="38"/>
      <c r="Q745" s="38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</row>
    <row r="746" spans="1:34" hidden="1">
      <c r="A746" s="172" t="s">
        <v>267</v>
      </c>
      <c r="B746" s="1"/>
      <c r="C746" s="182">
        <v>0</v>
      </c>
      <c r="D746" s="226">
        <f>D727</f>
        <v>-31.58</v>
      </c>
      <c r="E746" s="187"/>
      <c r="F746" s="184">
        <f>ROUND(D746*C746*$D$678,0)</f>
        <v>0</v>
      </c>
      <c r="G746" s="216">
        <v>-31.58</v>
      </c>
      <c r="H746" s="187"/>
      <c r="I746" s="184">
        <f>ROUND(G746*$C746*$G$731,0)</f>
        <v>0</v>
      </c>
      <c r="J746" s="226">
        <f>J727</f>
        <v>-31.58</v>
      </c>
      <c r="K746" s="187"/>
      <c r="L746" s="184">
        <f>ROUND(J746*$C746*$G$731,0)</f>
        <v>0</v>
      </c>
      <c r="M746" s="11"/>
      <c r="N746" s="11"/>
      <c r="O746" s="38"/>
      <c r="P746" s="38"/>
      <c r="Q746" s="38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</row>
    <row r="747" spans="1:34" hidden="1">
      <c r="A747" s="186" t="s">
        <v>230</v>
      </c>
      <c r="B747" s="1"/>
      <c r="C747" s="182"/>
      <c r="D747" s="247"/>
      <c r="E747" s="184"/>
      <c r="F747" s="184"/>
      <c r="G747" s="216"/>
      <c r="H747" s="184"/>
      <c r="I747" s="184"/>
      <c r="J747" s="247"/>
      <c r="K747" s="184"/>
      <c r="L747" s="184"/>
      <c r="M747" s="11"/>
      <c r="N747" s="11"/>
      <c r="O747" s="38"/>
      <c r="P747" s="38"/>
      <c r="Q747" s="38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</row>
    <row r="748" spans="1:34" hidden="1">
      <c r="A748" s="172" t="s">
        <v>268</v>
      </c>
      <c r="B748" s="1"/>
      <c r="C748" s="182">
        <v>9458</v>
      </c>
      <c r="D748" s="248">
        <f>D729</f>
        <v>6.891</v>
      </c>
      <c r="E748" s="184" t="s">
        <v>178</v>
      </c>
      <c r="F748" s="184">
        <f>ROUND(D748*C748/100*D731,0)</f>
        <v>-7</v>
      </c>
      <c r="G748" s="287">
        <v>7.2140000000000004</v>
      </c>
      <c r="H748" s="184" t="s">
        <v>178</v>
      </c>
      <c r="I748" s="184">
        <f>ROUND(G748/100*$C748*$G$731,0)</f>
        <v>-7</v>
      </c>
      <c r="J748" s="248">
        <f ca="1">J729</f>
        <v>7.1989999999999998</v>
      </c>
      <c r="K748" s="184" t="s">
        <v>178</v>
      </c>
      <c r="L748" s="184">
        <f ca="1">ROUND(J748/100*$C748*$G$731,0)</f>
        <v>-7</v>
      </c>
      <c r="M748" s="11"/>
      <c r="N748" s="11"/>
      <c r="O748" s="38"/>
      <c r="P748" s="38"/>
      <c r="Q748" s="38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</row>
    <row r="749" spans="1:34" hidden="1">
      <c r="A749" s="186" t="s">
        <v>204</v>
      </c>
      <c r="B749" s="1"/>
      <c r="C749" s="182">
        <v>0</v>
      </c>
      <c r="D749" s="238">
        <f>D730</f>
        <v>58</v>
      </c>
      <c r="E749" s="186" t="s">
        <v>178</v>
      </c>
      <c r="F749" s="184">
        <f>ROUND(D749*C749,0)</f>
        <v>0</v>
      </c>
      <c r="G749" s="733">
        <v>58</v>
      </c>
      <c r="H749" s="186" t="s">
        <v>178</v>
      </c>
      <c r="I749" s="184">
        <f>ROUND(G749/100*$C749*$G$731,0)</f>
        <v>0</v>
      </c>
      <c r="J749" s="238">
        <f>J730</f>
        <v>58</v>
      </c>
      <c r="K749" s="186" t="s">
        <v>178</v>
      </c>
      <c r="L749" s="184">
        <f>ROUND(J749/100*$C749*$G$731,0)</f>
        <v>0</v>
      </c>
      <c r="M749" s="11"/>
      <c r="N749" s="11"/>
      <c r="O749" s="38"/>
      <c r="P749" s="38"/>
      <c r="Q749" s="38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</row>
    <row r="750" spans="1:34" hidden="1">
      <c r="A750" s="186" t="s">
        <v>247</v>
      </c>
      <c r="B750" s="1"/>
      <c r="C750" s="182">
        <v>12</v>
      </c>
      <c r="D750" s="161">
        <v>60</v>
      </c>
      <c r="E750" s="1"/>
      <c r="F750" s="184">
        <f>ROUND(D750*$C750,0)</f>
        <v>720</v>
      </c>
      <c r="G750" s="506">
        <v>60</v>
      </c>
      <c r="H750" s="1"/>
      <c r="I750" s="184">
        <f>ROUND(G750*$C750,0)</f>
        <v>720</v>
      </c>
      <c r="J750" s="161">
        <f>$G$699</f>
        <v>60</v>
      </c>
      <c r="K750" s="1"/>
      <c r="L750" s="184">
        <f>ROUND(J750*$C750,0)</f>
        <v>720</v>
      </c>
      <c r="M750" s="11"/>
      <c r="N750" s="11"/>
      <c r="O750" s="38"/>
      <c r="P750" s="38"/>
      <c r="Q750" s="38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</row>
    <row r="751" spans="1:34" hidden="1">
      <c r="A751" s="186" t="s">
        <v>248</v>
      </c>
      <c r="B751" s="1"/>
      <c r="C751" s="182">
        <v>468</v>
      </c>
      <c r="D751" s="202">
        <v>-30</v>
      </c>
      <c r="E751" s="184" t="s">
        <v>178</v>
      </c>
      <c r="F751" s="184">
        <f>ROUND(D751*$C751/100,0)</f>
        <v>-140</v>
      </c>
      <c r="G751" s="737">
        <v>-30</v>
      </c>
      <c r="H751" s="184" t="s">
        <v>178</v>
      </c>
      <c r="I751" s="184">
        <f>ROUND(G751*$C751/100,0)</f>
        <v>-140</v>
      </c>
      <c r="J751" s="202">
        <f>$G$700</f>
        <v>-30</v>
      </c>
      <c r="K751" s="184" t="s">
        <v>178</v>
      </c>
      <c r="L751" s="184">
        <f>ROUND(J751*$C751/100,0)</f>
        <v>-140</v>
      </c>
      <c r="M751" s="11"/>
      <c r="N751" s="11"/>
      <c r="O751" s="38"/>
      <c r="P751" s="38"/>
      <c r="Q751" s="38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</row>
    <row r="752" spans="1:34" hidden="1">
      <c r="A752" s="1" t="s">
        <v>185</v>
      </c>
      <c r="B752" s="1"/>
      <c r="C752" s="182">
        <f>SUM(C729:C729)</f>
        <v>95695835.840200007</v>
      </c>
      <c r="D752" s="193"/>
      <c r="E752" s="186"/>
      <c r="F752" s="2">
        <f>SUM(F709:F751)</f>
        <v>8630234</v>
      </c>
      <c r="G752" s="733"/>
      <c r="H752" s="186"/>
      <c r="I752" s="2">
        <f>SUM(I709:I751)</f>
        <v>8939332</v>
      </c>
      <c r="J752" s="193"/>
      <c r="K752" s="186"/>
      <c r="L752" s="2">
        <f ca="1">SUM(L709:L751)</f>
        <v>8924977</v>
      </c>
      <c r="M752" s="11"/>
      <c r="N752" s="11"/>
      <c r="O752" s="38"/>
      <c r="P752" s="38"/>
      <c r="Q752" s="38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</row>
    <row r="753" spans="1:34" hidden="1">
      <c r="A753" s="1" t="s">
        <v>167</v>
      </c>
      <c r="B753" s="1"/>
      <c r="C753" s="212">
        <v>5472390.0467772651</v>
      </c>
      <c r="D753" s="172"/>
      <c r="E753" s="172"/>
      <c r="F753" s="173">
        <v>710400.5754126875</v>
      </c>
      <c r="G753" s="284"/>
      <c r="H753" s="172"/>
      <c r="I753" s="173">
        <f>F753</f>
        <v>710400.5754126875</v>
      </c>
      <c r="J753" s="172"/>
      <c r="K753" s="172"/>
      <c r="L753" s="173">
        <f>I753</f>
        <v>710400.5754126875</v>
      </c>
      <c r="M753" s="307"/>
      <c r="N753" s="307"/>
      <c r="O753" s="150"/>
      <c r="P753" s="38"/>
      <c r="Q753" s="38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</row>
    <row r="754" spans="1:34" ht="16.5" hidden="1" thickBot="1">
      <c r="A754" s="1" t="s">
        <v>186</v>
      </c>
      <c r="B754" s="1"/>
      <c r="C754" s="229">
        <f>SUM(C752:C753)</f>
        <v>101168225.88697727</v>
      </c>
      <c r="D754" s="205"/>
      <c r="E754" s="208"/>
      <c r="F754" s="207">
        <f>F752+F753</f>
        <v>9340634.5754126869</v>
      </c>
      <c r="G754" s="741"/>
      <c r="H754" s="208"/>
      <c r="I754" s="207">
        <f>I752+I753</f>
        <v>9649732.5754126869</v>
      </c>
      <c r="J754" s="205"/>
      <c r="K754" s="208"/>
      <c r="L754" s="207">
        <f ca="1">L752+L753</f>
        <v>9635377.5754126869</v>
      </c>
      <c r="M754" s="274"/>
      <c r="N754" s="274"/>
      <c r="O754" s="333"/>
      <c r="P754" s="38"/>
      <c r="Q754" s="38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</row>
    <row r="755" spans="1:34" ht="16.5" hidden="1" thickTop="1">
      <c r="A755" s="1"/>
      <c r="B755" s="1"/>
      <c r="C755" s="16"/>
      <c r="D755" s="214" t="s">
        <v>13</v>
      </c>
      <c r="E755" s="14"/>
      <c r="F755" s="185"/>
      <c r="G755" s="742" t="s">
        <v>13</v>
      </c>
      <c r="H755" s="14"/>
      <c r="I755" s="135" t="s">
        <v>13</v>
      </c>
      <c r="J755" s="249" t="s">
        <v>13</v>
      </c>
      <c r="K755" s="14"/>
      <c r="L755" s="135" t="s">
        <v>13</v>
      </c>
      <c r="M755" s="11"/>
      <c r="N755" s="11"/>
      <c r="O755" s="38"/>
      <c r="P755" s="38"/>
      <c r="Q755" s="38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</row>
    <row r="756" spans="1:34" hidden="1">
      <c r="A756" s="156" t="s">
        <v>271</v>
      </c>
      <c r="B756" s="1"/>
      <c r="C756" s="12"/>
      <c r="D756" s="200"/>
      <c r="E756" s="1"/>
      <c r="F756" s="2"/>
      <c r="G756" s="216"/>
      <c r="H756" s="1"/>
      <c r="I756" s="2"/>
      <c r="J756" s="200"/>
      <c r="K756" s="1"/>
      <c r="L756" s="2"/>
      <c r="M756" s="11"/>
      <c r="N756" s="11"/>
      <c r="O756" s="38"/>
      <c r="P756" s="38"/>
      <c r="Q756" s="38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</row>
    <row r="757" spans="1:34" hidden="1">
      <c r="A757" s="172" t="s">
        <v>84</v>
      </c>
      <c r="B757" s="1"/>
      <c r="C757" s="12"/>
      <c r="D757" s="200"/>
      <c r="E757" s="1"/>
      <c r="F757" s="2"/>
      <c r="G757" s="216"/>
      <c r="H757" s="1"/>
      <c r="I757" s="2"/>
      <c r="J757" s="200"/>
      <c r="K757" s="1"/>
      <c r="L757" s="2"/>
      <c r="M757" s="11"/>
      <c r="N757" s="11"/>
      <c r="O757" s="38"/>
      <c r="P757" s="38"/>
      <c r="Q757" s="38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</row>
    <row r="758" spans="1:34" hidden="1">
      <c r="A758" s="186"/>
      <c r="B758" s="1"/>
      <c r="C758" s="12"/>
      <c r="D758" s="200"/>
      <c r="E758" s="1"/>
      <c r="F758" s="243"/>
      <c r="G758" s="216"/>
      <c r="H758" s="1"/>
      <c r="I758" s="244"/>
      <c r="J758" s="200"/>
      <c r="K758" s="1"/>
      <c r="L758" s="244"/>
      <c r="M758" s="11"/>
      <c r="N758" s="11"/>
      <c r="O758" s="38"/>
      <c r="P758" s="38"/>
      <c r="Q758" s="38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</row>
    <row r="759" spans="1:34" hidden="1">
      <c r="A759" s="172" t="s">
        <v>253</v>
      </c>
      <c r="B759" s="1"/>
      <c r="C759" s="182"/>
      <c r="D759" s="2" t="s">
        <v>13</v>
      </c>
      <c r="E759" s="1"/>
      <c r="F759" s="1"/>
      <c r="G759" s="516" t="s">
        <v>13</v>
      </c>
      <c r="H759" s="1"/>
      <c r="I759" s="1"/>
      <c r="J759" s="2" t="s">
        <v>13</v>
      </c>
      <c r="K759" s="1"/>
      <c r="L759" s="1"/>
      <c r="M759" s="11"/>
      <c r="N759" s="11"/>
      <c r="O759" s="38"/>
      <c r="P759" s="38"/>
      <c r="Q759" s="38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</row>
    <row r="760" spans="1:34" hidden="1">
      <c r="A760" s="172" t="s">
        <v>254</v>
      </c>
      <c r="B760" s="1"/>
      <c r="C760" s="182">
        <v>538.12375460135195</v>
      </c>
      <c r="D760" s="200">
        <f>D653</f>
        <v>0</v>
      </c>
      <c r="E760" s="187"/>
      <c r="F760" s="184">
        <f>ROUND(D760*C760,0)</f>
        <v>0</v>
      </c>
      <c r="G760" s="216">
        <v>0</v>
      </c>
      <c r="H760" s="187"/>
      <c r="I760" s="184">
        <f>ROUND(G760*$C760,0)</f>
        <v>0</v>
      </c>
      <c r="J760" s="200">
        <f>$G$653</f>
        <v>0</v>
      </c>
      <c r="K760" s="187"/>
      <c r="L760" s="184">
        <f>ROUND(J760*$C760,0)</f>
        <v>0</v>
      </c>
      <c r="M760" s="11"/>
      <c r="N760" s="11"/>
      <c r="O760" s="38"/>
      <c r="P760" s="38"/>
      <c r="Q760" s="38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</row>
    <row r="761" spans="1:34" hidden="1">
      <c r="A761" s="172" t="s">
        <v>255</v>
      </c>
      <c r="B761" s="1"/>
      <c r="C761" s="182" t="s">
        <v>13</v>
      </c>
      <c r="D761" s="200">
        <f>D655</f>
        <v>0</v>
      </c>
      <c r="E761" s="187"/>
      <c r="F761" s="184"/>
      <c r="G761" s="216"/>
      <c r="H761" s="187"/>
      <c r="I761" s="184"/>
      <c r="J761" s="200"/>
      <c r="K761" s="187"/>
      <c r="L761" s="184"/>
      <c r="M761" s="11"/>
      <c r="N761" s="11"/>
      <c r="O761" s="38"/>
      <c r="P761" s="38"/>
      <c r="Q761" s="38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</row>
    <row r="762" spans="1:34" hidden="1">
      <c r="A762" s="172" t="s">
        <v>256</v>
      </c>
      <c r="B762" s="1"/>
      <c r="C762" s="182">
        <v>1492.45772020801</v>
      </c>
      <c r="D762" s="200">
        <f>D656</f>
        <v>0</v>
      </c>
      <c r="E762" s="187"/>
      <c r="F762" s="184">
        <f>ROUND(D762*C762,0)</f>
        <v>0</v>
      </c>
      <c r="G762" s="216">
        <v>0</v>
      </c>
      <c r="H762" s="187"/>
      <c r="I762" s="184">
        <f>ROUND(G762*$C762,0)</f>
        <v>0</v>
      </c>
      <c r="J762" s="200">
        <f>$G$656</f>
        <v>0</v>
      </c>
      <c r="K762" s="187"/>
      <c r="L762" s="184">
        <f>ROUND(J762*$C762,0)</f>
        <v>0</v>
      </c>
      <c r="M762" s="11"/>
      <c r="N762" s="11"/>
      <c r="O762" s="38"/>
      <c r="P762" s="38"/>
      <c r="Q762" s="38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</row>
    <row r="763" spans="1:34" hidden="1">
      <c r="A763" s="172" t="s">
        <v>257</v>
      </c>
      <c r="B763" s="1"/>
      <c r="C763" s="182">
        <v>160.74797930372401</v>
      </c>
      <c r="D763" s="200">
        <f>D657</f>
        <v>449</v>
      </c>
      <c r="E763" s="187"/>
      <c r="F763" s="184">
        <f>ROUND(D763*C763,0)</f>
        <v>72176</v>
      </c>
      <c r="G763" s="216">
        <v>449</v>
      </c>
      <c r="H763" s="187"/>
      <c r="I763" s="184">
        <f>ROUND(G763*$C763,0)</f>
        <v>72176</v>
      </c>
      <c r="J763" s="200">
        <f>$G$657</f>
        <v>449</v>
      </c>
      <c r="K763" s="187"/>
      <c r="L763" s="184">
        <f>ROUND(J763*$C763,0)</f>
        <v>72176</v>
      </c>
      <c r="M763" s="11"/>
      <c r="N763" s="11"/>
      <c r="O763" s="38"/>
      <c r="P763" s="38"/>
      <c r="Q763" s="38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</row>
    <row r="764" spans="1:34" hidden="1">
      <c r="A764" s="172" t="s">
        <v>258</v>
      </c>
      <c r="B764" s="1"/>
      <c r="C764" s="182">
        <v>4.2821915715397401</v>
      </c>
      <c r="D764" s="200">
        <f>D658</f>
        <v>1825</v>
      </c>
      <c r="E764" s="187"/>
      <c r="F764" s="184">
        <f>ROUND(D764*C764,0)</f>
        <v>7815</v>
      </c>
      <c r="G764" s="216">
        <v>1825</v>
      </c>
      <c r="H764" s="187"/>
      <c r="I764" s="184">
        <f>ROUND(G764*$C764,0)</f>
        <v>7815</v>
      </c>
      <c r="J764" s="200">
        <f>$G$658</f>
        <v>1825</v>
      </c>
      <c r="K764" s="187"/>
      <c r="L764" s="184">
        <f>ROUND(J764*$C764,0)</f>
        <v>7815</v>
      </c>
      <c r="M764" s="11"/>
      <c r="N764" s="11"/>
      <c r="O764" s="38"/>
      <c r="P764" s="38"/>
      <c r="Q764" s="38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</row>
    <row r="765" spans="1:34" hidden="1">
      <c r="A765" s="284" t="s">
        <v>166</v>
      </c>
      <c r="B765" s="1"/>
      <c r="C765" s="182">
        <f>SUM(C760:C764)</f>
        <v>2195.6116456846257</v>
      </c>
      <c r="D765" s="200"/>
      <c r="E765" s="187"/>
      <c r="F765" s="184"/>
      <c r="G765" s="216"/>
      <c r="H765" s="187"/>
      <c r="I765" s="184"/>
      <c r="J765" s="200"/>
      <c r="K765" s="187"/>
      <c r="L765" s="184"/>
      <c r="M765" s="11"/>
      <c r="N765" s="11"/>
      <c r="O765" s="38"/>
      <c r="P765" s="38"/>
      <c r="Q765" s="38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</row>
    <row r="766" spans="1:34" hidden="1">
      <c r="A766" s="172" t="s">
        <v>259</v>
      </c>
      <c r="B766" s="1"/>
      <c r="C766" s="182">
        <v>6867.8944444444687</v>
      </c>
      <c r="D766" s="200"/>
      <c r="E766" s="184"/>
      <c r="F766" s="184"/>
      <c r="G766" s="216"/>
      <c r="H766" s="184"/>
      <c r="I766" s="184"/>
      <c r="J766" s="200"/>
      <c r="K766" s="184"/>
      <c r="L766" s="184"/>
      <c r="M766" s="11"/>
      <c r="N766" s="11"/>
      <c r="O766" s="38"/>
      <c r="P766" s="38"/>
      <c r="Q766" s="38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</row>
    <row r="767" spans="1:34" hidden="1">
      <c r="A767" s="172" t="s">
        <v>24</v>
      </c>
      <c r="B767" s="1"/>
      <c r="C767" s="182">
        <v>17742</v>
      </c>
      <c r="D767" s="200"/>
      <c r="E767" s="184"/>
      <c r="F767" s="184"/>
      <c r="G767" s="216"/>
      <c r="H767" s="184"/>
      <c r="I767" s="184"/>
      <c r="J767" s="200"/>
      <c r="K767" s="184"/>
      <c r="L767" s="184"/>
      <c r="M767" s="11"/>
      <c r="N767" s="11"/>
      <c r="O767" s="38"/>
      <c r="P767" s="38"/>
      <c r="Q767" s="38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</row>
    <row r="768" spans="1:34" hidden="1">
      <c r="A768" s="172" t="s">
        <v>260</v>
      </c>
      <c r="B768" s="1"/>
      <c r="C768" s="182"/>
      <c r="D768" s="200"/>
      <c r="E768" s="187"/>
      <c r="F768" s="184"/>
      <c r="G768" s="216"/>
      <c r="H768" s="187"/>
      <c r="I768" s="184"/>
      <c r="J768" s="200"/>
      <c r="K768" s="187"/>
      <c r="L768" s="184"/>
      <c r="M768" s="11"/>
      <c r="N768" s="11"/>
      <c r="O768" s="38"/>
      <c r="P768" s="38"/>
      <c r="Q768" s="38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</row>
    <row r="769" spans="1:34" hidden="1">
      <c r="A769" s="172" t="s">
        <v>261</v>
      </c>
      <c r="B769" s="1"/>
      <c r="C769" s="182">
        <v>1938.6234197020899</v>
      </c>
      <c r="D769" s="200">
        <f>D663</f>
        <v>31.58</v>
      </c>
      <c r="E769" s="187"/>
      <c r="F769" s="184">
        <f>ROUND(D769*C769,0)</f>
        <v>61222</v>
      </c>
      <c r="G769" s="216">
        <v>31.58</v>
      </c>
      <c r="H769" s="187"/>
      <c r="I769" s="184">
        <f>ROUND(G769*$C769,0)</f>
        <v>61222</v>
      </c>
      <c r="J769" s="200">
        <f>$G$663</f>
        <v>31.58</v>
      </c>
      <c r="K769" s="187"/>
      <c r="L769" s="184">
        <f>ROUND(J769*$C769,0)</f>
        <v>61222</v>
      </c>
      <c r="M769" s="11"/>
      <c r="N769" s="11"/>
      <c r="O769" s="38"/>
      <c r="P769" s="38"/>
      <c r="Q769" s="38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</row>
    <row r="770" spans="1:34" hidden="1">
      <c r="A770" s="172" t="s">
        <v>262</v>
      </c>
      <c r="B770" s="1"/>
      <c r="C770" s="182"/>
      <c r="D770" s="189" t="s">
        <v>13</v>
      </c>
      <c r="E770" s="187"/>
      <c r="F770" s="184"/>
      <c r="G770" s="216"/>
      <c r="H770" s="187"/>
      <c r="I770" s="184"/>
      <c r="J770" s="200"/>
      <c r="K770" s="187"/>
      <c r="L770" s="184"/>
      <c r="M770" s="11"/>
      <c r="N770" s="11"/>
      <c r="O770" s="38"/>
      <c r="P770" s="38"/>
      <c r="Q770" s="38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</row>
    <row r="771" spans="1:34" hidden="1">
      <c r="A771" s="172" t="s">
        <v>256</v>
      </c>
      <c r="B771" s="1"/>
      <c r="C771" s="182">
        <v>19493.809988734502</v>
      </c>
      <c r="D771" s="200">
        <f>D665</f>
        <v>31.58</v>
      </c>
      <c r="E771" s="187"/>
      <c r="F771" s="184">
        <f>ROUND(D771*C771,0)</f>
        <v>615615</v>
      </c>
      <c r="G771" s="216">
        <v>31.58</v>
      </c>
      <c r="H771" s="187"/>
      <c r="I771" s="184">
        <f>ROUND(G771*$C771,0)</f>
        <v>615615</v>
      </c>
      <c r="J771" s="200">
        <f>$G$665</f>
        <v>31.58</v>
      </c>
      <c r="K771" s="187"/>
      <c r="L771" s="184">
        <f>ROUND(J771*$C771,0)</f>
        <v>615615</v>
      </c>
      <c r="M771" s="11"/>
      <c r="N771" s="11"/>
      <c r="O771" s="38"/>
      <c r="P771" s="38"/>
      <c r="Q771" s="38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</row>
    <row r="772" spans="1:34" hidden="1">
      <c r="A772" s="172" t="s">
        <v>257</v>
      </c>
      <c r="B772" s="1"/>
      <c r="C772" s="182">
        <v>15296.3927914835</v>
      </c>
      <c r="D772" s="200">
        <f>D666</f>
        <v>21.97</v>
      </c>
      <c r="E772" s="187"/>
      <c r="F772" s="184">
        <f>ROUND(D772*C772,0)</f>
        <v>336062</v>
      </c>
      <c r="G772" s="216">
        <v>21.97</v>
      </c>
      <c r="H772" s="187"/>
      <c r="I772" s="184">
        <f>ROUND(G772*$C772,0)</f>
        <v>336062</v>
      </c>
      <c r="J772" s="200">
        <f>$G$666</f>
        <v>21.97</v>
      </c>
      <c r="K772" s="187"/>
      <c r="L772" s="184">
        <f>ROUND(J772*$C772,0)</f>
        <v>336062</v>
      </c>
      <c r="M772" s="11"/>
      <c r="N772" s="11"/>
      <c r="O772" s="38"/>
      <c r="P772" s="38"/>
      <c r="Q772" s="38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</row>
    <row r="773" spans="1:34" hidden="1">
      <c r="A773" s="172" t="s">
        <v>258</v>
      </c>
      <c r="B773" s="1"/>
      <c r="C773" s="182">
        <v>1632.1944217667599</v>
      </c>
      <c r="D773" s="200">
        <f>D667</f>
        <v>17.18</v>
      </c>
      <c r="E773" s="187"/>
      <c r="F773" s="184">
        <f>ROUND(D773*C773,0)</f>
        <v>28041</v>
      </c>
      <c r="G773" s="216">
        <v>17.18</v>
      </c>
      <c r="H773" s="187"/>
      <c r="I773" s="184">
        <f>ROUND(G773*$C773,0)</f>
        <v>28041</v>
      </c>
      <c r="J773" s="200">
        <f>$G$667</f>
        <v>17.18</v>
      </c>
      <c r="K773" s="187"/>
      <c r="L773" s="184">
        <f>ROUND(J773*$C773,0)</f>
        <v>28041</v>
      </c>
      <c r="M773" s="11"/>
      <c r="N773" s="11"/>
      <c r="O773" s="38"/>
      <c r="P773" s="38"/>
      <c r="Q773" s="38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</row>
    <row r="774" spans="1:34" hidden="1">
      <c r="A774" s="172" t="s">
        <v>264</v>
      </c>
      <c r="B774" s="1"/>
      <c r="C774" s="182">
        <v>298.69634765659902</v>
      </c>
      <c r="D774" s="200">
        <f>D668</f>
        <v>94.74</v>
      </c>
      <c r="E774" s="187"/>
      <c r="F774" s="184">
        <f>ROUND(D774*C774,0)</f>
        <v>28298</v>
      </c>
      <c r="G774" s="216">
        <v>94.74</v>
      </c>
      <c r="H774" s="187"/>
      <c r="I774" s="184">
        <f>ROUND(G774*$C774,0)</f>
        <v>28298</v>
      </c>
      <c r="J774" s="200">
        <f>$G$668</f>
        <v>94.74</v>
      </c>
      <c r="K774" s="187"/>
      <c r="L774" s="184">
        <f>ROUND(J774*$C774,0)</f>
        <v>28298</v>
      </c>
      <c r="M774" s="11"/>
      <c r="N774" s="11"/>
      <c r="O774" s="38"/>
      <c r="P774" s="38"/>
      <c r="Q774" s="38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</row>
    <row r="775" spans="1:34" hidden="1">
      <c r="A775" s="172" t="s">
        <v>265</v>
      </c>
      <c r="B775" s="1"/>
      <c r="C775" s="182">
        <v>485.83561355334598</v>
      </c>
      <c r="D775" s="200">
        <f>D669</f>
        <v>189.48</v>
      </c>
      <c r="E775" s="187"/>
      <c r="F775" s="184">
        <f>ROUND(D775*C775,0)</f>
        <v>92056</v>
      </c>
      <c r="G775" s="216">
        <v>189.48</v>
      </c>
      <c r="H775" s="187"/>
      <c r="I775" s="184">
        <f>ROUND(G775*$C775,0)</f>
        <v>92056</v>
      </c>
      <c r="J775" s="200">
        <f>$G$669</f>
        <v>189.48</v>
      </c>
      <c r="K775" s="187"/>
      <c r="L775" s="184">
        <f>ROUND(J775*$C775,0)</f>
        <v>92056</v>
      </c>
      <c r="M775" s="11"/>
      <c r="N775" s="11"/>
      <c r="O775" s="38"/>
      <c r="P775" s="38"/>
      <c r="Q775" s="38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</row>
    <row r="776" spans="1:34" hidden="1">
      <c r="A776" s="172" t="s">
        <v>266</v>
      </c>
      <c r="B776" s="1"/>
      <c r="C776" s="182"/>
      <c r="D776" s="200"/>
      <c r="E776" s="187"/>
      <c r="F776" s="184"/>
      <c r="G776" s="216"/>
      <c r="H776" s="187"/>
      <c r="I776" s="184"/>
      <c r="J776" s="200"/>
      <c r="K776" s="187"/>
      <c r="L776" s="184"/>
      <c r="M776" s="11"/>
      <c r="N776" s="11"/>
      <c r="O776" s="38"/>
      <c r="P776" s="38"/>
      <c r="Q776" s="38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</row>
    <row r="777" spans="1:34" hidden="1">
      <c r="A777" s="172" t="s">
        <v>261</v>
      </c>
      <c r="B777" s="1"/>
      <c r="C777" s="182">
        <v>294.168669420453</v>
      </c>
      <c r="D777" s="226">
        <f>D671</f>
        <v>-31.58</v>
      </c>
      <c r="E777" s="187"/>
      <c r="F777" s="184">
        <f>ROUND(D777*C777,0)</f>
        <v>-9290</v>
      </c>
      <c r="G777" s="216">
        <v>-31.58</v>
      </c>
      <c r="H777" s="187"/>
      <c r="I777" s="184">
        <f>ROUND(G777*$C777,0)</f>
        <v>-9290</v>
      </c>
      <c r="J777" s="226">
        <f>-J769</f>
        <v>-31.58</v>
      </c>
      <c r="K777" s="187"/>
      <c r="L777" s="184">
        <f>ROUND(J777*$C777,0)</f>
        <v>-9290</v>
      </c>
      <c r="M777" s="11"/>
      <c r="N777" s="11"/>
      <c r="O777" s="38"/>
      <c r="P777" s="38"/>
      <c r="Q777" s="38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</row>
    <row r="778" spans="1:34" hidden="1">
      <c r="A778" s="172" t="s">
        <v>267</v>
      </c>
      <c r="B778" s="1"/>
      <c r="C778" s="182">
        <v>822.90480660908702</v>
      </c>
      <c r="D778" s="226">
        <f>D672</f>
        <v>-31.58</v>
      </c>
      <c r="E778" s="187"/>
      <c r="F778" s="184">
        <f>ROUND(D778*C778,0)</f>
        <v>-25987</v>
      </c>
      <c r="G778" s="216">
        <v>-31.58</v>
      </c>
      <c r="H778" s="187"/>
      <c r="I778" s="184">
        <f>ROUND(G778*$C778,0)</f>
        <v>-25987</v>
      </c>
      <c r="J778" s="226">
        <f>-J771</f>
        <v>-31.58</v>
      </c>
      <c r="K778" s="187"/>
      <c r="L778" s="184">
        <f>ROUND(J778*$C778,0)</f>
        <v>-25987</v>
      </c>
      <c r="M778" s="11"/>
      <c r="N778" s="11"/>
      <c r="O778" s="38"/>
      <c r="P778" s="38"/>
      <c r="Q778" s="38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</row>
    <row r="779" spans="1:34" hidden="1">
      <c r="A779" s="186" t="s">
        <v>230</v>
      </c>
      <c r="B779" s="1"/>
      <c r="C779" s="182"/>
      <c r="D779" s="200"/>
      <c r="E779" s="184"/>
      <c r="F779" s="184"/>
      <c r="G779" s="216"/>
      <c r="H779" s="184"/>
      <c r="I779" s="184"/>
      <c r="J779" s="200"/>
      <c r="K779" s="184"/>
      <c r="L779" s="184"/>
      <c r="M779" s="11"/>
      <c r="N779" s="11"/>
      <c r="O779" s="38"/>
      <c r="P779" s="38"/>
      <c r="Q779" s="38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</row>
    <row r="780" spans="1:34" hidden="1">
      <c r="A780" s="172" t="s">
        <v>268</v>
      </c>
      <c r="B780" s="1"/>
      <c r="C780" s="182">
        <v>60354962</v>
      </c>
      <c r="D780" s="245">
        <f>D674</f>
        <v>6.891</v>
      </c>
      <c r="E780" s="184" t="s">
        <v>178</v>
      </c>
      <c r="F780" s="184">
        <f>ROUND(D780/100*C780,0)</f>
        <v>4159060</v>
      </c>
      <c r="G780" s="287">
        <v>7.2140000000000004</v>
      </c>
      <c r="H780" s="184" t="s">
        <v>178</v>
      </c>
      <c r="I780" s="184">
        <f>ROUND(G780/100*$C780,0)</f>
        <v>4354007</v>
      </c>
      <c r="J780" s="245">
        <f ca="1">$J$674</f>
        <v>7.1989999999999998</v>
      </c>
      <c r="K780" s="184" t="s">
        <v>178</v>
      </c>
      <c r="L780" s="184">
        <f ca="1">ROUND(J780/100*$C780,0)</f>
        <v>4344954</v>
      </c>
      <c r="M780" s="11"/>
      <c r="N780" s="11"/>
      <c r="O780" s="38"/>
      <c r="P780" s="38"/>
      <c r="Q780" s="38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</row>
    <row r="781" spans="1:34" hidden="1">
      <c r="A781" s="186" t="s">
        <v>204</v>
      </c>
      <c r="B781" s="1"/>
      <c r="C781" s="182">
        <v>23164</v>
      </c>
      <c r="D781" s="202">
        <f>D677</f>
        <v>58</v>
      </c>
      <c r="E781" s="186" t="s">
        <v>178</v>
      </c>
      <c r="F781" s="184">
        <f>ROUND(D781*C781/100,0)</f>
        <v>13435</v>
      </c>
      <c r="G781" s="737">
        <v>58</v>
      </c>
      <c r="H781" s="186" t="s">
        <v>178</v>
      </c>
      <c r="I781" s="184">
        <f>ROUND(G781*$C781/100,0)</f>
        <v>13435</v>
      </c>
      <c r="J781" s="202">
        <f>$G$677</f>
        <v>58</v>
      </c>
      <c r="K781" s="186" t="s">
        <v>178</v>
      </c>
      <c r="L781" s="184">
        <f>ROUND(J781*$C781/100,0)</f>
        <v>13435</v>
      </c>
      <c r="M781" s="11"/>
      <c r="N781" s="11"/>
      <c r="O781" s="38"/>
      <c r="P781" s="38"/>
      <c r="Q781" s="38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</row>
    <row r="782" spans="1:34" hidden="1">
      <c r="A782" s="223" t="s">
        <v>205</v>
      </c>
      <c r="B782" s="1"/>
      <c r="C782" s="182"/>
      <c r="D782" s="195">
        <v>-0.01</v>
      </c>
      <c r="E782" s="1"/>
      <c r="F782" s="184"/>
      <c r="G782" s="734">
        <v>-0.01</v>
      </c>
      <c r="H782" s="1"/>
      <c r="I782" s="184"/>
      <c r="J782" s="195">
        <v>-0.01</v>
      </c>
      <c r="K782" s="1"/>
      <c r="L782" s="184"/>
      <c r="M782" s="11"/>
      <c r="N782" s="11"/>
      <c r="O782" s="38"/>
      <c r="P782" s="38"/>
      <c r="Q782" s="38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</row>
    <row r="783" spans="1:34" hidden="1">
      <c r="A783" s="172" t="s">
        <v>194</v>
      </c>
      <c r="B783" s="1"/>
      <c r="C783" s="182">
        <v>0</v>
      </c>
      <c r="D783" s="247">
        <f>D760</f>
        <v>0</v>
      </c>
      <c r="E783" s="187"/>
      <c r="F783" s="184">
        <f>ROUND(D783*C783,0)</f>
        <v>0</v>
      </c>
      <c r="G783" s="216">
        <v>0</v>
      </c>
      <c r="H783" s="187"/>
      <c r="I783" s="184">
        <f>ROUND(G783*$C783*$G$782,0)</f>
        <v>0</v>
      </c>
      <c r="J783" s="247">
        <f>J760</f>
        <v>0</v>
      </c>
      <c r="K783" s="187"/>
      <c r="L783" s="184">
        <f>ROUND(J783*$C783*$G$782,0)</f>
        <v>0</v>
      </c>
      <c r="M783" s="11"/>
      <c r="N783" s="11"/>
      <c r="O783" s="38"/>
      <c r="P783" s="38"/>
      <c r="Q783" s="38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</row>
    <row r="784" spans="1:34" hidden="1">
      <c r="A784" s="172" t="s">
        <v>195</v>
      </c>
      <c r="B784" s="1"/>
      <c r="C784" s="182"/>
      <c r="D784" s="247"/>
      <c r="E784" s="187"/>
      <c r="F784" s="184"/>
      <c r="G784" s="216"/>
      <c r="H784" s="187"/>
      <c r="I784" s="184"/>
      <c r="J784" s="247"/>
      <c r="K784" s="187"/>
      <c r="L784" s="184"/>
      <c r="M784" s="11"/>
      <c r="N784" s="11"/>
      <c r="O784" s="38"/>
      <c r="P784" s="38"/>
      <c r="Q784" s="38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</row>
    <row r="785" spans="1:34" hidden="1">
      <c r="A785" s="172" t="s">
        <v>256</v>
      </c>
      <c r="B785" s="1"/>
      <c r="C785" s="182">
        <v>0</v>
      </c>
      <c r="D785" s="247">
        <f>D762</f>
        <v>0</v>
      </c>
      <c r="E785" s="187"/>
      <c r="F785" s="184">
        <f>ROUND(D785*C785,0)</f>
        <v>0</v>
      </c>
      <c r="G785" s="216">
        <v>0</v>
      </c>
      <c r="H785" s="187"/>
      <c r="I785" s="184">
        <f>ROUND(G785*$C785*$G$782,0)</f>
        <v>0</v>
      </c>
      <c r="J785" s="247">
        <f>J762</f>
        <v>0</v>
      </c>
      <c r="K785" s="187"/>
      <c r="L785" s="184">
        <f>ROUND(J785*$C785*$G$782,0)</f>
        <v>0</v>
      </c>
      <c r="M785" s="11"/>
      <c r="N785" s="11"/>
      <c r="O785" s="38"/>
      <c r="P785" s="38"/>
      <c r="Q785" s="38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</row>
    <row r="786" spans="1:34" hidden="1">
      <c r="A786" s="172" t="s">
        <v>257</v>
      </c>
      <c r="B786" s="1"/>
      <c r="C786" s="182">
        <v>0</v>
      </c>
      <c r="D786" s="247">
        <f>D763</f>
        <v>449</v>
      </c>
      <c r="E786" s="187"/>
      <c r="F786" s="184">
        <f>ROUND(D786*C786,0)</f>
        <v>0</v>
      </c>
      <c r="G786" s="216">
        <v>449</v>
      </c>
      <c r="H786" s="187"/>
      <c r="I786" s="184">
        <f>ROUND(G786*$C786*$G$782,0)</f>
        <v>0</v>
      </c>
      <c r="J786" s="247">
        <f>J763</f>
        <v>449</v>
      </c>
      <c r="K786" s="187"/>
      <c r="L786" s="184">
        <f>ROUND(J786*$C786*$G$782,0)</f>
        <v>0</v>
      </c>
      <c r="M786" s="11"/>
      <c r="N786" s="11"/>
      <c r="O786" s="38"/>
      <c r="P786" s="38"/>
      <c r="Q786" s="38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</row>
    <row r="787" spans="1:34" hidden="1">
      <c r="A787" s="172" t="s">
        <v>258</v>
      </c>
      <c r="B787" s="1"/>
      <c r="C787" s="182">
        <v>0</v>
      </c>
      <c r="D787" s="247">
        <f>D764</f>
        <v>1825</v>
      </c>
      <c r="E787" s="187"/>
      <c r="F787" s="184">
        <f>ROUND(D787*C787,0)</f>
        <v>0</v>
      </c>
      <c r="G787" s="216">
        <v>1825</v>
      </c>
      <c r="H787" s="187"/>
      <c r="I787" s="184">
        <f>ROUND(G787*$C787*$G$782,0)</f>
        <v>0</v>
      </c>
      <c r="J787" s="247">
        <f>J764</f>
        <v>1825</v>
      </c>
      <c r="K787" s="187"/>
      <c r="L787" s="184">
        <f>ROUND(J787*$C787*$G$782,0)</f>
        <v>0</v>
      </c>
      <c r="M787" s="11"/>
      <c r="N787" s="11"/>
      <c r="O787" s="38"/>
      <c r="P787" s="38"/>
      <c r="Q787" s="38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</row>
    <row r="788" spans="1:34" hidden="1">
      <c r="A788" s="172" t="s">
        <v>194</v>
      </c>
      <c r="B788" s="1"/>
      <c r="C788" s="182">
        <v>0</v>
      </c>
      <c r="D788" s="247">
        <f>D769</f>
        <v>31.58</v>
      </c>
      <c r="E788" s="187"/>
      <c r="F788" s="184">
        <f>ROUND(D788*C788,0)</f>
        <v>0</v>
      </c>
      <c r="G788" s="216">
        <v>31.58</v>
      </c>
      <c r="H788" s="187"/>
      <c r="I788" s="184">
        <f>ROUND(G788*$C788*$G$782,0)</f>
        <v>0</v>
      </c>
      <c r="J788" s="247">
        <f>J769</f>
        <v>31.58</v>
      </c>
      <c r="K788" s="187"/>
      <c r="L788" s="184">
        <f>ROUND(J788*$C788*$G$782,0)</f>
        <v>0</v>
      </c>
      <c r="M788" s="11"/>
      <c r="N788" s="11"/>
      <c r="O788" s="38"/>
      <c r="P788" s="38"/>
      <c r="Q788" s="38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</row>
    <row r="789" spans="1:34" hidden="1">
      <c r="A789" s="172" t="s">
        <v>195</v>
      </c>
      <c r="B789" s="1"/>
      <c r="C789" s="182"/>
      <c r="D789" s="247"/>
      <c r="E789" s="187"/>
      <c r="F789" s="184"/>
      <c r="G789" s="216"/>
      <c r="H789" s="187"/>
      <c r="I789" s="184"/>
      <c r="J789" s="247"/>
      <c r="K789" s="187"/>
      <c r="L789" s="184"/>
      <c r="M789" s="11"/>
      <c r="N789" s="11"/>
      <c r="O789" s="38"/>
      <c r="P789" s="38"/>
      <c r="Q789" s="38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</row>
    <row r="790" spans="1:34" hidden="1">
      <c r="A790" s="172" t="s">
        <v>256</v>
      </c>
      <c r="B790" s="1"/>
      <c r="C790" s="182">
        <v>0</v>
      </c>
      <c r="D790" s="247">
        <f>D771</f>
        <v>31.58</v>
      </c>
      <c r="E790" s="187"/>
      <c r="F790" s="184">
        <f>ROUND(D790*$C790*$D$678,0)</f>
        <v>0</v>
      </c>
      <c r="G790" s="216">
        <v>31.58</v>
      </c>
      <c r="H790" s="187"/>
      <c r="I790" s="184">
        <f>ROUND(G790*$C790*$G$782,0)</f>
        <v>0</v>
      </c>
      <c r="J790" s="247">
        <f>J771</f>
        <v>31.58</v>
      </c>
      <c r="K790" s="187"/>
      <c r="L790" s="184">
        <f>ROUND(J790*$C790*$G$782,0)</f>
        <v>0</v>
      </c>
      <c r="M790" s="11"/>
      <c r="N790" s="11"/>
      <c r="O790" s="38"/>
      <c r="P790" s="38"/>
      <c r="Q790" s="38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</row>
    <row r="791" spans="1:34" hidden="1">
      <c r="A791" s="172" t="s">
        <v>257</v>
      </c>
      <c r="B791" s="1"/>
      <c r="C791" s="182">
        <v>0</v>
      </c>
      <c r="D791" s="247">
        <f>D772</f>
        <v>21.97</v>
      </c>
      <c r="E791" s="187"/>
      <c r="F791" s="184">
        <f>ROUND(D791*$C791*$D$678,0)</f>
        <v>0</v>
      </c>
      <c r="G791" s="216">
        <v>21.97</v>
      </c>
      <c r="H791" s="187"/>
      <c r="I791" s="184">
        <f>ROUND(G791*$C791*$G$782,0)</f>
        <v>0</v>
      </c>
      <c r="J791" s="247">
        <f>J772</f>
        <v>21.97</v>
      </c>
      <c r="K791" s="187"/>
      <c r="L791" s="184">
        <f>ROUND(J791*$C791*$G$782,0)</f>
        <v>0</v>
      </c>
      <c r="M791" s="11"/>
      <c r="N791" s="11"/>
      <c r="O791" s="38"/>
      <c r="P791" s="38"/>
      <c r="Q791" s="38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</row>
    <row r="792" spans="1:34" hidden="1">
      <c r="A792" s="172" t="s">
        <v>258</v>
      </c>
      <c r="B792" s="1"/>
      <c r="C792" s="182">
        <v>0</v>
      </c>
      <c r="D792" s="247">
        <f>D773</f>
        <v>17.18</v>
      </c>
      <c r="E792" s="187"/>
      <c r="F792" s="184">
        <f>ROUND(D792*$C792*$D$678,0)</f>
        <v>0</v>
      </c>
      <c r="G792" s="216">
        <v>17.18</v>
      </c>
      <c r="H792" s="187"/>
      <c r="I792" s="184">
        <f>ROUND(G792*$C792*$G$782,0)</f>
        <v>0</v>
      </c>
      <c r="J792" s="247">
        <f>J773</f>
        <v>17.18</v>
      </c>
      <c r="K792" s="187"/>
      <c r="L792" s="184">
        <f>ROUND(J792*$C792*$G$782,0)</f>
        <v>0</v>
      </c>
      <c r="M792" s="11"/>
      <c r="N792" s="11"/>
      <c r="O792" s="38"/>
      <c r="P792" s="38"/>
      <c r="Q792" s="38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</row>
    <row r="793" spans="1:34" hidden="1">
      <c r="A793" s="172" t="s">
        <v>269</v>
      </c>
      <c r="B793" s="1"/>
      <c r="C793" s="182">
        <v>0</v>
      </c>
      <c r="D793" s="247">
        <f>D774</f>
        <v>94.74</v>
      </c>
      <c r="E793" s="187"/>
      <c r="F793" s="184">
        <f>ROUND(D793*$C793*$D$678,0)</f>
        <v>0</v>
      </c>
      <c r="G793" s="216">
        <v>94.74</v>
      </c>
      <c r="H793" s="187"/>
      <c r="I793" s="184">
        <f>ROUND(G793*$C793*$G$782,0)</f>
        <v>0</v>
      </c>
      <c r="J793" s="216">
        <f>J774</f>
        <v>94.74</v>
      </c>
      <c r="K793" s="187"/>
      <c r="L793" s="184">
        <f>ROUND(J793*$C793*$G$782,0)</f>
        <v>0</v>
      </c>
      <c r="M793" s="11"/>
      <c r="N793" s="11"/>
      <c r="O793" s="38"/>
      <c r="P793" s="38"/>
      <c r="Q793" s="38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</row>
    <row r="794" spans="1:34" hidden="1">
      <c r="A794" s="172" t="s">
        <v>270</v>
      </c>
      <c r="B794" s="1"/>
      <c r="C794" s="182">
        <v>0</v>
      </c>
      <c r="D794" s="247">
        <f>D775</f>
        <v>189.48</v>
      </c>
      <c r="E794" s="187"/>
      <c r="F794" s="184">
        <f>ROUND(D794*$C794*$D$678,0)</f>
        <v>0</v>
      </c>
      <c r="G794" s="216">
        <v>189.48</v>
      </c>
      <c r="H794" s="187"/>
      <c r="I794" s="184">
        <f>ROUND(G794*$C794*$G$782,0)</f>
        <v>0</v>
      </c>
      <c r="J794" s="216">
        <f>J775</f>
        <v>189.48</v>
      </c>
      <c r="K794" s="187"/>
      <c r="L794" s="184">
        <f>ROUND(J794*$C794*$G$782,0)</f>
        <v>0</v>
      </c>
      <c r="M794" s="11"/>
      <c r="N794" s="11"/>
      <c r="O794" s="38"/>
      <c r="P794" s="38"/>
      <c r="Q794" s="38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</row>
    <row r="795" spans="1:34" hidden="1">
      <c r="A795" s="172" t="s">
        <v>266</v>
      </c>
      <c r="B795" s="1"/>
      <c r="C795" s="182"/>
      <c r="D795" s="200"/>
      <c r="E795" s="187"/>
      <c r="F795" s="184"/>
      <c r="G795" s="216"/>
      <c r="H795" s="187"/>
      <c r="I795" s="184"/>
      <c r="J795" s="200"/>
      <c r="K795" s="187"/>
      <c r="L795" s="184"/>
      <c r="M795" s="11"/>
      <c r="N795" s="11"/>
      <c r="O795" s="38"/>
      <c r="P795" s="38"/>
      <c r="Q795" s="38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</row>
    <row r="796" spans="1:34" hidden="1">
      <c r="A796" s="172" t="s">
        <v>261</v>
      </c>
      <c r="B796" s="1"/>
      <c r="C796" s="182">
        <v>0</v>
      </c>
      <c r="D796" s="226">
        <f>D777</f>
        <v>-31.58</v>
      </c>
      <c r="E796" s="187"/>
      <c r="F796" s="184">
        <f>ROUND(D796*$C796*$D$678,0)</f>
        <v>0</v>
      </c>
      <c r="G796" s="216">
        <v>-31.58</v>
      </c>
      <c r="H796" s="187"/>
      <c r="I796" s="184">
        <f>ROUND(G796*$C796*$G$782,0)</f>
        <v>0</v>
      </c>
      <c r="J796" s="226">
        <f>J777</f>
        <v>-31.58</v>
      </c>
      <c r="K796" s="187"/>
      <c r="L796" s="184">
        <f>ROUND(J796*$C796*$G$782,0)</f>
        <v>0</v>
      </c>
      <c r="M796" s="11"/>
      <c r="N796" s="11"/>
      <c r="O796" s="38"/>
      <c r="P796" s="38"/>
      <c r="Q796" s="38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</row>
    <row r="797" spans="1:34" hidden="1">
      <c r="A797" s="172" t="s">
        <v>267</v>
      </c>
      <c r="B797" s="1"/>
      <c r="C797" s="182">
        <v>0</v>
      </c>
      <c r="D797" s="226">
        <f>D778</f>
        <v>-31.58</v>
      </c>
      <c r="E797" s="187"/>
      <c r="F797" s="184">
        <f>ROUND(D797*$C797*$D$678,0)</f>
        <v>0</v>
      </c>
      <c r="G797" s="216">
        <v>-31.58</v>
      </c>
      <c r="H797" s="187"/>
      <c r="I797" s="184">
        <f>ROUND(G797*$C797*$G$782,0)</f>
        <v>0</v>
      </c>
      <c r="J797" s="226">
        <f>J778</f>
        <v>-31.58</v>
      </c>
      <c r="K797" s="187"/>
      <c r="L797" s="184">
        <f>ROUND(J797*$C797*$G$782,0)</f>
        <v>0</v>
      </c>
      <c r="M797" s="11"/>
      <c r="N797" s="11"/>
      <c r="O797" s="38"/>
      <c r="P797" s="38"/>
      <c r="Q797" s="38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</row>
    <row r="798" spans="1:34" hidden="1">
      <c r="A798" s="186" t="s">
        <v>230</v>
      </c>
      <c r="B798" s="1"/>
      <c r="C798" s="182"/>
      <c r="D798" s="247"/>
      <c r="E798" s="184"/>
      <c r="F798" s="184"/>
      <c r="G798" s="216"/>
      <c r="H798" s="184"/>
      <c r="I798" s="184"/>
      <c r="J798" s="247"/>
      <c r="K798" s="184"/>
      <c r="L798" s="184"/>
      <c r="M798" s="11"/>
      <c r="N798" s="11"/>
      <c r="O798" s="38"/>
      <c r="P798" s="38"/>
      <c r="Q798" s="38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</row>
    <row r="799" spans="1:34" hidden="1">
      <c r="A799" s="172" t="s">
        <v>268</v>
      </c>
      <c r="B799" s="1"/>
      <c r="C799" s="182">
        <v>0</v>
      </c>
      <c r="D799" s="248">
        <f>D780</f>
        <v>6.891</v>
      </c>
      <c r="E799" s="184" t="s">
        <v>178</v>
      </c>
      <c r="F799" s="184">
        <f>ROUND(D799/100*C799*$D$678,0)</f>
        <v>0</v>
      </c>
      <c r="G799" s="287">
        <v>7.2140000000000004</v>
      </c>
      <c r="H799" s="184" t="s">
        <v>178</v>
      </c>
      <c r="I799" s="184">
        <f>ROUND(G799/100*$C799*$G$782,0)</f>
        <v>0</v>
      </c>
      <c r="J799" s="248">
        <f ca="1">J780</f>
        <v>7.1989999999999998</v>
      </c>
      <c r="K799" s="184" t="s">
        <v>178</v>
      </c>
      <c r="L799" s="184">
        <f ca="1">ROUND(J799/100*$C799*$G$782,0)</f>
        <v>0</v>
      </c>
      <c r="M799" s="11"/>
      <c r="N799" s="11"/>
      <c r="O799" s="38"/>
      <c r="P799" s="38"/>
      <c r="Q799" s="38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</row>
    <row r="800" spans="1:34" hidden="1">
      <c r="A800" s="186" t="s">
        <v>204</v>
      </c>
      <c r="B800" s="1"/>
      <c r="C800" s="182">
        <v>0</v>
      </c>
      <c r="D800" s="238">
        <f>D781</f>
        <v>58</v>
      </c>
      <c r="E800" s="186" t="s">
        <v>178</v>
      </c>
      <c r="F800" s="184">
        <f>ROUND(D800/100*C800*$D$678,0)</f>
        <v>0</v>
      </c>
      <c r="G800" s="733">
        <v>58</v>
      </c>
      <c r="H800" s="186" t="s">
        <v>178</v>
      </c>
      <c r="I800" s="184">
        <f>ROUND(G800/100*$C800*$G$782,0)</f>
        <v>0</v>
      </c>
      <c r="J800" s="238">
        <f>J781</f>
        <v>58</v>
      </c>
      <c r="K800" s="186" t="s">
        <v>178</v>
      </c>
      <c r="L800" s="184">
        <f>ROUND(J800/100*$C800*$G$782,0)</f>
        <v>0</v>
      </c>
      <c r="M800" s="11"/>
      <c r="N800" s="11"/>
      <c r="O800" s="38"/>
      <c r="P800" s="38"/>
      <c r="Q800" s="38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</row>
    <row r="801" spans="1:34" hidden="1">
      <c r="A801" s="186" t="s">
        <v>247</v>
      </c>
      <c r="B801" s="1"/>
      <c r="C801" s="182">
        <v>0</v>
      </c>
      <c r="D801" s="161">
        <v>60</v>
      </c>
      <c r="E801" s="1"/>
      <c r="F801" s="184">
        <f>ROUND(D801*$C801,0)</f>
        <v>0</v>
      </c>
      <c r="G801" s="506">
        <v>60</v>
      </c>
      <c r="H801" s="1"/>
      <c r="I801" s="184">
        <f>ROUND(G801*$C801,0)</f>
        <v>0</v>
      </c>
      <c r="J801" s="161">
        <f>$G$699</f>
        <v>60</v>
      </c>
      <c r="K801" s="1"/>
      <c r="L801" s="184">
        <f>ROUND(J801*$C801,0)</f>
        <v>0</v>
      </c>
      <c r="M801" s="11"/>
      <c r="N801" s="11"/>
      <c r="O801" s="17"/>
      <c r="P801" s="38"/>
      <c r="Q801" s="38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</row>
    <row r="802" spans="1:34" hidden="1">
      <c r="A802" s="186" t="s">
        <v>248</v>
      </c>
      <c r="B802" s="1"/>
      <c r="C802" s="182">
        <v>0</v>
      </c>
      <c r="D802" s="202">
        <v>-30</v>
      </c>
      <c r="E802" s="184" t="s">
        <v>178</v>
      </c>
      <c r="F802" s="184">
        <f>ROUND(D802*$C802/100,0)</f>
        <v>0</v>
      </c>
      <c r="G802" s="737">
        <v>-30</v>
      </c>
      <c r="H802" s="184" t="s">
        <v>178</v>
      </c>
      <c r="I802" s="184">
        <f>ROUND(G802*$C802/100,0)</f>
        <v>0</v>
      </c>
      <c r="J802" s="202">
        <f>$G$700</f>
        <v>-30</v>
      </c>
      <c r="K802" s="184" t="s">
        <v>178</v>
      </c>
      <c r="L802" s="184">
        <f>ROUND(J802*$C802/100,0)</f>
        <v>0</v>
      </c>
      <c r="M802" s="11"/>
      <c r="N802" s="11"/>
      <c r="O802" s="38"/>
      <c r="P802" s="38"/>
      <c r="Q802" s="38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</row>
    <row r="803" spans="1:34" hidden="1">
      <c r="A803" s="1" t="s">
        <v>185</v>
      </c>
      <c r="B803" s="1"/>
      <c r="C803" s="182">
        <f>SUM(C780:C780)</f>
        <v>60354962</v>
      </c>
      <c r="D803" s="193"/>
      <c r="E803" s="186"/>
      <c r="F803" s="2">
        <f>SUM(F760:F802)</f>
        <v>5378503</v>
      </c>
      <c r="G803" s="733"/>
      <c r="H803" s="186"/>
      <c r="I803" s="2">
        <f>SUM(I760:I802)</f>
        <v>5573450</v>
      </c>
      <c r="J803" s="193"/>
      <c r="K803" s="186"/>
      <c r="L803" s="2">
        <f ca="1">SUM(L760:L802)</f>
        <v>5564397</v>
      </c>
      <c r="M803" s="11"/>
      <c r="N803" s="11"/>
      <c r="O803" s="38"/>
      <c r="P803" s="38"/>
      <c r="Q803" s="38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</row>
    <row r="804" spans="1:34" hidden="1">
      <c r="A804" s="1" t="s">
        <v>167</v>
      </c>
      <c r="B804" s="1"/>
      <c r="C804" s="212">
        <v>3272609.9532227353</v>
      </c>
      <c r="D804" s="172"/>
      <c r="E804" s="172"/>
      <c r="F804" s="173">
        <v>462599.42458731245</v>
      </c>
      <c r="G804" s="284"/>
      <c r="H804" s="172"/>
      <c r="I804" s="173">
        <f>F804</f>
        <v>462599.42458731245</v>
      </c>
      <c r="J804" s="172"/>
      <c r="K804" s="172"/>
      <c r="L804" s="173">
        <f>I804</f>
        <v>462599.42458731245</v>
      </c>
      <c r="M804" s="307"/>
      <c r="N804" s="307"/>
      <c r="O804" s="150"/>
      <c r="P804" s="38"/>
      <c r="Q804" s="38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</row>
    <row r="805" spans="1:34" ht="16.5" hidden="1" thickBot="1">
      <c r="A805" s="1" t="s">
        <v>186</v>
      </c>
      <c r="B805" s="1"/>
      <c r="C805" s="229">
        <f>SUM(C803:C804)</f>
        <v>63627571.953222737</v>
      </c>
      <c r="D805" s="205"/>
      <c r="E805" s="208"/>
      <c r="F805" s="207">
        <f>F803+F804</f>
        <v>5841102.4245873122</v>
      </c>
      <c r="G805" s="741"/>
      <c r="H805" s="208"/>
      <c r="I805" s="207">
        <f>I803+I804</f>
        <v>6036049.4245873122</v>
      </c>
      <c r="J805" s="205"/>
      <c r="K805" s="208"/>
      <c r="L805" s="207">
        <f ca="1">L803+L804</f>
        <v>6026996.4245873122</v>
      </c>
      <c r="M805" s="274"/>
      <c r="N805" s="274"/>
      <c r="O805" s="333"/>
      <c r="P805" s="38"/>
      <c r="Q805" s="38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</row>
    <row r="806" spans="1:34" ht="16.5" hidden="1" thickTop="1">
      <c r="A806" s="1"/>
      <c r="B806" s="1"/>
      <c r="C806" s="16"/>
      <c r="D806" s="214"/>
      <c r="E806" s="14"/>
      <c r="F806" s="185"/>
      <c r="G806" s="742"/>
      <c r="H806" s="14"/>
      <c r="I806" s="185"/>
      <c r="J806" s="214"/>
      <c r="K806" s="14"/>
      <c r="L806" s="185"/>
      <c r="M806" s="616"/>
      <c r="N806" s="616"/>
      <c r="O806" s="616"/>
      <c r="P806" s="616"/>
      <c r="Q806" s="38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</row>
    <row r="807" spans="1:34" hidden="1">
      <c r="A807" s="1"/>
      <c r="B807" s="1"/>
      <c r="C807" s="16"/>
      <c r="D807" s="214"/>
      <c r="E807" s="14"/>
      <c r="F807" s="185"/>
      <c r="G807" s="742"/>
      <c r="H807" s="14"/>
      <c r="I807" s="185"/>
      <c r="J807" s="214"/>
      <c r="K807" s="14"/>
      <c r="L807" s="185"/>
      <c r="M807" s="274"/>
      <c r="N807" s="274"/>
      <c r="O807" s="274"/>
      <c r="P807" s="274"/>
      <c r="Q807" s="17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</row>
    <row r="808" spans="1:34">
      <c r="A808" s="166"/>
      <c r="B808" s="241"/>
      <c r="C808" s="166"/>
      <c r="D808" s="1"/>
      <c r="E808" s="166"/>
      <c r="F808" s="242" t="s">
        <v>13</v>
      </c>
      <c r="G808" s="4"/>
      <c r="H808" s="166"/>
      <c r="I808" s="166"/>
      <c r="J808" s="166"/>
      <c r="K808" s="166"/>
      <c r="L808" s="166"/>
      <c r="M808" s="11"/>
      <c r="N808" s="11"/>
      <c r="O808" s="38"/>
      <c r="P808" s="38"/>
      <c r="Q808" s="38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</row>
    <row r="809" spans="1:34">
      <c r="A809" s="156" t="s">
        <v>273</v>
      </c>
      <c r="B809" s="1"/>
      <c r="C809" s="1"/>
      <c r="D809" s="2"/>
      <c r="E809" s="1"/>
      <c r="F809" s="1"/>
      <c r="G809" s="516"/>
      <c r="H809" s="1"/>
      <c r="I809" s="1"/>
      <c r="J809" s="2"/>
      <c r="K809" s="1"/>
      <c r="L809" s="1"/>
      <c r="M809" s="11"/>
      <c r="N809" s="11"/>
      <c r="O809" s="38"/>
      <c r="P809" s="38"/>
      <c r="Q809" s="38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</row>
    <row r="810" spans="1:34">
      <c r="A810" s="284" t="s">
        <v>489</v>
      </c>
      <c r="B810" s="1"/>
      <c r="C810" s="1"/>
      <c r="D810" s="2"/>
      <c r="E810" s="1"/>
      <c r="F810" s="1"/>
      <c r="G810" s="516"/>
      <c r="H810" s="1"/>
      <c r="I810" s="1"/>
      <c r="J810" s="2"/>
      <c r="K810" s="1"/>
      <c r="L810" s="1"/>
      <c r="M810" s="11"/>
      <c r="N810" s="11"/>
      <c r="O810" s="38"/>
      <c r="P810" s="38"/>
      <c r="Q810" s="38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</row>
    <row r="811" spans="1:34">
      <c r="A811" s="186"/>
      <c r="B811" s="1"/>
      <c r="C811" s="1"/>
      <c r="D811" s="2"/>
      <c r="E811" s="1"/>
      <c r="F811" s="1"/>
      <c r="G811" s="516"/>
      <c r="H811" s="1"/>
      <c r="I811" s="1"/>
      <c r="J811" s="2"/>
      <c r="K811" s="1"/>
      <c r="L811" s="1"/>
      <c r="M811" s="11"/>
      <c r="N811" s="11"/>
      <c r="O811" s="38"/>
      <c r="P811" s="38"/>
      <c r="Q811" s="38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</row>
    <row r="812" spans="1:34">
      <c r="A812" s="186" t="s">
        <v>197</v>
      </c>
      <c r="B812" s="1"/>
      <c r="C812" s="182"/>
      <c r="D812" s="2"/>
      <c r="E812" s="1"/>
      <c r="F812" s="1"/>
      <c r="G812" s="516"/>
      <c r="H812" s="1"/>
      <c r="I812" s="1"/>
      <c r="J812" s="2"/>
      <c r="K812" s="1"/>
      <c r="L812" s="1"/>
      <c r="M812" s="11"/>
      <c r="N812" s="11"/>
      <c r="O812" s="38"/>
      <c r="P812" s="38"/>
      <c r="Q812" s="38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</row>
    <row r="813" spans="1:34">
      <c r="A813" s="186" t="s">
        <v>275</v>
      </c>
      <c r="B813" s="1"/>
      <c r="C813" s="182">
        <v>12</v>
      </c>
      <c r="D813" s="247">
        <f>D875</f>
        <v>1313</v>
      </c>
      <c r="E813" s="184"/>
      <c r="F813" s="2">
        <f>ROUND(D813*C813,0)</f>
        <v>15756</v>
      </c>
      <c r="G813" s="216">
        <v>1313</v>
      </c>
      <c r="H813" s="184"/>
      <c r="I813" s="2">
        <f>ROUND(G813*$C813,0)</f>
        <v>15756</v>
      </c>
      <c r="J813" s="247">
        <f>J895</f>
        <v>1313</v>
      </c>
      <c r="K813" s="184"/>
      <c r="L813" s="2">
        <f>ROUND(J813*$C813,0)</f>
        <v>15756</v>
      </c>
      <c r="M813" s="11"/>
      <c r="N813" s="11"/>
      <c r="O813" s="104"/>
      <c r="P813" s="38"/>
      <c r="Q813" s="38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</row>
    <row r="814" spans="1:34">
      <c r="A814" s="186" t="s">
        <v>276</v>
      </c>
      <c r="B814" s="1"/>
      <c r="C814" s="182">
        <v>0</v>
      </c>
      <c r="D814" s="247">
        <f>D876</f>
        <v>1587</v>
      </c>
      <c r="E814" s="187"/>
      <c r="F814" s="2">
        <f>ROUND(D814*C814,0)</f>
        <v>0</v>
      </c>
      <c r="G814" s="216">
        <v>1587</v>
      </c>
      <c r="H814" s="187"/>
      <c r="I814" s="2">
        <f>ROUND(G814*$C814,0)</f>
        <v>0</v>
      </c>
      <c r="J814" s="247">
        <f>J896</f>
        <v>1587</v>
      </c>
      <c r="K814" s="187"/>
      <c r="L814" s="2">
        <f>ROUND(J814*$C814,0)</f>
        <v>0</v>
      </c>
      <c r="M814" s="11"/>
      <c r="N814" s="11"/>
      <c r="O814" s="104"/>
      <c r="P814" s="38"/>
      <c r="Q814" s="38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</row>
    <row r="815" spans="1:34">
      <c r="A815" s="186" t="s">
        <v>198</v>
      </c>
      <c r="B815" s="1"/>
      <c r="C815" s="182">
        <f>SUM(C813:C814)</f>
        <v>12</v>
      </c>
      <c r="D815" s="247"/>
      <c r="E815" s="184"/>
      <c r="F815" s="2" t="s">
        <v>13</v>
      </c>
      <c r="G815" s="216">
        <v>0</v>
      </c>
      <c r="H815" s="184"/>
      <c r="I815" s="2" t="s">
        <v>13</v>
      </c>
      <c r="J815" s="247">
        <f>U858</f>
        <v>0</v>
      </c>
      <c r="K815" s="184"/>
      <c r="L815" s="2" t="s">
        <v>13</v>
      </c>
      <c r="M815" s="279"/>
      <c r="N815" s="185"/>
      <c r="O815" s="477"/>
      <c r="P815" s="38"/>
      <c r="Q815" s="38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</row>
    <row r="816" spans="1:34">
      <c r="A816" s="186" t="s">
        <v>277</v>
      </c>
      <c r="B816" s="1"/>
      <c r="C816" s="182">
        <v>27697</v>
      </c>
      <c r="D816" s="247">
        <f>D878</f>
        <v>1.22</v>
      </c>
      <c r="E816" s="184"/>
      <c r="F816" s="2">
        <f>ROUND(D816*C816,0)</f>
        <v>33790</v>
      </c>
      <c r="G816" s="216">
        <v>1.22</v>
      </c>
      <c r="H816" s="184"/>
      <c r="I816" s="2">
        <f>ROUND(G816*$C816,0)</f>
        <v>33790</v>
      </c>
      <c r="J816" s="247">
        <f>J898</f>
        <v>1.22</v>
      </c>
      <c r="K816" s="184"/>
      <c r="L816" s="2">
        <f>ROUND(J816*$C816,0)</f>
        <v>33790</v>
      </c>
      <c r="M816" s="11"/>
      <c r="N816" s="11"/>
      <c r="O816" s="104"/>
      <c r="P816" s="38"/>
      <c r="Q816" s="38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</row>
    <row r="817" spans="1:36">
      <c r="A817" s="186" t="s">
        <v>278</v>
      </c>
      <c r="B817" s="1"/>
      <c r="C817" s="182">
        <v>0</v>
      </c>
      <c r="D817" s="247">
        <f>D879</f>
        <v>1.0900000000000001</v>
      </c>
      <c r="E817" s="184"/>
      <c r="F817" s="2">
        <f>ROUND(D817*C817,0)</f>
        <v>0</v>
      </c>
      <c r="G817" s="216">
        <v>1.0900000000000001</v>
      </c>
      <c r="H817" s="184"/>
      <c r="I817" s="2">
        <f>ROUND(G817*$C817,0)</f>
        <v>0</v>
      </c>
      <c r="J817" s="247">
        <f>J899</f>
        <v>1.0900000000000001</v>
      </c>
      <c r="K817" s="184"/>
      <c r="L817" s="2">
        <f>ROUND(J817*$C817,0)</f>
        <v>0</v>
      </c>
      <c r="M817" s="11"/>
      <c r="N817" s="185"/>
      <c r="O817" s="38"/>
      <c r="P817" s="38"/>
      <c r="Q817" s="38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</row>
    <row r="818" spans="1:36">
      <c r="A818" s="284" t="s">
        <v>539</v>
      </c>
      <c r="B818" s="1"/>
      <c r="C818" s="182">
        <v>20114.639175257729</v>
      </c>
      <c r="D818" s="695">
        <f>D880</f>
        <v>8.73</v>
      </c>
      <c r="E818" s="184"/>
      <c r="F818" s="2">
        <f>D818*C818</f>
        <v>175600.8</v>
      </c>
      <c r="G818" s="216">
        <v>8.73</v>
      </c>
      <c r="H818" s="184"/>
      <c r="I818" s="2">
        <f>G818*C818</f>
        <v>175600.8</v>
      </c>
      <c r="J818" s="247">
        <f>J900</f>
        <v>8.73</v>
      </c>
      <c r="K818" s="184"/>
      <c r="L818" s="2">
        <f>J818*C818</f>
        <v>175600.8</v>
      </c>
      <c r="M818" s="11"/>
      <c r="N818" s="279"/>
      <c r="O818" s="38"/>
      <c r="P818" s="38"/>
      <c r="Q818" s="38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</row>
    <row r="819" spans="1:36">
      <c r="A819" s="186" t="s">
        <v>230</v>
      </c>
      <c r="B819" s="1"/>
      <c r="C819" s="182"/>
      <c r="D819" s="247"/>
      <c r="E819" s="184"/>
      <c r="F819" s="2"/>
      <c r="G819" s="216"/>
      <c r="H819" s="184"/>
      <c r="I819" s="2"/>
      <c r="J819" s="247"/>
      <c r="K819" s="184"/>
      <c r="L819" s="2"/>
      <c r="M819" s="11"/>
      <c r="N819" s="11"/>
      <c r="O819" s="38"/>
      <c r="P819" s="38"/>
      <c r="Q819" s="38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</row>
    <row r="820" spans="1:36">
      <c r="A820" s="186" t="s">
        <v>268</v>
      </c>
      <c r="B820" s="1"/>
      <c r="C820" s="182">
        <v>2630000</v>
      </c>
      <c r="D820" s="250"/>
      <c r="E820" s="184"/>
      <c r="F820" s="2"/>
      <c r="G820" s="749"/>
      <c r="H820" s="184"/>
      <c r="I820" s="2"/>
      <c r="J820" s="250"/>
      <c r="K820" s="184"/>
      <c r="L820" s="2"/>
      <c r="M820" s="11"/>
      <c r="N820" s="279"/>
      <c r="O820" s="38"/>
      <c r="P820" s="38"/>
      <c r="Q820" s="38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</row>
    <row r="821" spans="1:36">
      <c r="A821" s="172" t="s">
        <v>524</v>
      </c>
      <c r="B821" s="1"/>
      <c r="C821" s="182">
        <f>C903/C906*C820</f>
        <v>1034755.3414975932</v>
      </c>
      <c r="D821" s="245">
        <f>D883</f>
        <v>5.3079999999999998</v>
      </c>
      <c r="E821" s="184" t="s">
        <v>178</v>
      </c>
      <c r="F821" s="184">
        <f>ROUND(D821/100*C821,0)</f>
        <v>54925</v>
      </c>
      <c r="G821" s="287">
        <v>5.6310000000000002</v>
      </c>
      <c r="H821" s="184" t="s">
        <v>178</v>
      </c>
      <c r="I821" s="184">
        <f>ROUND(G821/100*$C821,0)</f>
        <v>58267</v>
      </c>
      <c r="J821" s="245">
        <f ca="1">J883</f>
        <v>5.617</v>
      </c>
      <c r="K821" s="184" t="s">
        <v>178</v>
      </c>
      <c r="L821" s="184">
        <f ca="1">ROUND(J821/100*$C821,0)</f>
        <v>58122</v>
      </c>
      <c r="M821" s="11"/>
      <c r="N821" s="11"/>
      <c r="O821" s="38"/>
      <c r="P821" s="38"/>
      <c r="Q821" s="38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</row>
    <row r="822" spans="1:36">
      <c r="A822" s="172" t="s">
        <v>525</v>
      </c>
      <c r="B822" s="1"/>
      <c r="C822" s="182">
        <f>C828-C821</f>
        <v>1595244.6585024069</v>
      </c>
      <c r="D822" s="245">
        <f>D884</f>
        <v>4.375</v>
      </c>
      <c r="E822" s="184" t="s">
        <v>178</v>
      </c>
      <c r="F822" s="184">
        <f>ROUND(D822/100*C822,0)</f>
        <v>69792</v>
      </c>
      <c r="G822" s="287">
        <v>4.6980000000000004</v>
      </c>
      <c r="H822" s="184" t="s">
        <v>178</v>
      </c>
      <c r="I822" s="184">
        <f>ROUND(G822/100*$C822,0)</f>
        <v>74945</v>
      </c>
      <c r="J822" s="245">
        <f ca="1">J884</f>
        <v>4.6840000000000002</v>
      </c>
      <c r="K822" s="184" t="s">
        <v>178</v>
      </c>
      <c r="L822" s="184">
        <f ca="1">ROUND(J822/100*$C822,0)</f>
        <v>74721</v>
      </c>
      <c r="M822" s="11"/>
      <c r="N822" s="279"/>
      <c r="O822" s="38"/>
      <c r="P822" s="38"/>
      <c r="Q822" s="38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</row>
    <row r="823" spans="1:36">
      <c r="A823" s="186" t="s">
        <v>204</v>
      </c>
      <c r="B823" s="1"/>
      <c r="C823" s="182">
        <v>12558</v>
      </c>
      <c r="D823" s="216">
        <f>D885</f>
        <v>0.56999999999999995</v>
      </c>
      <c r="E823" s="184"/>
      <c r="F823" s="2">
        <f>C823*D823</f>
        <v>7158.0599999999995</v>
      </c>
      <c r="G823" s="216">
        <v>0.56999999999999995</v>
      </c>
      <c r="H823" s="184"/>
      <c r="I823" s="2">
        <f>G823*C823</f>
        <v>7158.0599999999995</v>
      </c>
      <c r="J823" s="216">
        <f>J885</f>
        <v>0.56999999999999995</v>
      </c>
      <c r="K823" s="184"/>
      <c r="L823" s="2">
        <f>J823*F823</f>
        <v>4080.0941999999995</v>
      </c>
      <c r="M823" s="512"/>
      <c r="N823" s="279"/>
      <c r="O823" s="38"/>
      <c r="P823" s="11"/>
      <c r="Q823" s="11"/>
      <c r="R823" s="11"/>
      <c r="S823" s="11"/>
      <c r="T823" s="11"/>
      <c r="U823" s="11"/>
      <c r="V823" s="11"/>
      <c r="Y823" s="11"/>
      <c r="Z823" s="11"/>
      <c r="AA823" s="11"/>
      <c r="AB823" s="11"/>
      <c r="AC823" s="11"/>
      <c r="AD823" s="11"/>
      <c r="AE823" s="11"/>
      <c r="AF823" s="11"/>
    </row>
    <row r="824" spans="1:36">
      <c r="A824" s="172" t="s">
        <v>237</v>
      </c>
      <c r="B824" s="1"/>
      <c r="C824" s="182">
        <v>3816</v>
      </c>
      <c r="D824" s="197">
        <v>4.3499999999999996</v>
      </c>
      <c r="E824" s="184"/>
      <c r="F824" s="184">
        <f>ROUND(D824*$C824,0)</f>
        <v>16600</v>
      </c>
      <c r="G824" s="216">
        <v>4.3499999999999996</v>
      </c>
      <c r="H824" s="184"/>
      <c r="I824" s="184">
        <f>ROUND($C824*G824,0)</f>
        <v>16600</v>
      </c>
      <c r="J824" s="197">
        <f t="shared" ref="J824:J825" si="69">G824</f>
        <v>4.3499999999999996</v>
      </c>
      <c r="K824" s="184"/>
      <c r="L824" s="184">
        <f>ROUND($C824*J824,0)</f>
        <v>16600</v>
      </c>
      <c r="M824" s="11"/>
      <c r="N824" s="279"/>
      <c r="O824" s="38"/>
      <c r="P824" s="38"/>
      <c r="Q824" s="38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</row>
    <row r="825" spans="1:36">
      <c r="A825" s="172" t="s">
        <v>238</v>
      </c>
      <c r="B825" s="1"/>
      <c r="C825" s="182">
        <v>563</v>
      </c>
      <c r="D825" s="197">
        <v>34.799999999999997</v>
      </c>
      <c r="E825" s="184"/>
      <c r="F825" s="184">
        <f>ROUND(D825*$C825,0)</f>
        <v>19592</v>
      </c>
      <c r="G825" s="216">
        <v>34.799999999999997</v>
      </c>
      <c r="H825" s="184"/>
      <c r="I825" s="184">
        <f>ROUND($C825*G825,0)</f>
        <v>19592</v>
      </c>
      <c r="J825" s="197">
        <f t="shared" si="69"/>
        <v>34.799999999999997</v>
      </c>
      <c r="K825" s="184"/>
      <c r="L825" s="184">
        <f>ROUND($C825*J825,0)</f>
        <v>19592</v>
      </c>
      <c r="M825" s="11"/>
      <c r="N825" s="279"/>
      <c r="O825" s="38"/>
      <c r="P825" s="38"/>
      <c r="Q825" s="38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</row>
    <row r="826" spans="1:36">
      <c r="A826" s="3" t="s">
        <v>239</v>
      </c>
      <c r="B826" s="166"/>
      <c r="C826" s="182">
        <v>625</v>
      </c>
      <c r="D826" s="255">
        <v>21.231999999999999</v>
      </c>
      <c r="E826" s="184" t="s">
        <v>178</v>
      </c>
      <c r="F826" s="184">
        <f>ROUND($C826*D826/100,0)</f>
        <v>133</v>
      </c>
      <c r="G826" s="750">
        <v>22.524000000000001</v>
      </c>
      <c r="H826" s="184" t="s">
        <v>178</v>
      </c>
      <c r="I826" s="184">
        <f>ROUND($C826*G826/100,0)</f>
        <v>141</v>
      </c>
      <c r="J826" s="255">
        <f ca="1">ROUND((J821)*4,3)</f>
        <v>22.468</v>
      </c>
      <c r="K826" s="184" t="s">
        <v>178</v>
      </c>
      <c r="L826" s="184">
        <f ca="1">ROUND($C826*J826/100,0)</f>
        <v>140</v>
      </c>
      <c r="M826" s="11"/>
      <c r="N826" s="279"/>
      <c r="O826" s="38"/>
      <c r="P826" s="38"/>
      <c r="Q826" s="38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</row>
    <row r="827" spans="1:36" s="545" customFormat="1">
      <c r="A827" s="524" t="s">
        <v>488</v>
      </c>
      <c r="C827" s="547">
        <f>C820</f>
        <v>2630000</v>
      </c>
      <c r="D827" s="132">
        <v>0</v>
      </c>
      <c r="E827" s="546"/>
      <c r="F827" s="548"/>
      <c r="G827" s="751">
        <v>4.6980000000000004</v>
      </c>
      <c r="H827" s="529" t="s">
        <v>178</v>
      </c>
      <c r="I827" s="548">
        <v>0</v>
      </c>
      <c r="J827" s="556">
        <f ca="1">J884</f>
        <v>4.6840000000000002</v>
      </c>
      <c r="K827" s="529" t="s">
        <v>178</v>
      </c>
      <c r="L827" s="548">
        <v>0</v>
      </c>
      <c r="M827" s="546"/>
      <c r="N827" s="546"/>
      <c r="O827" s="315"/>
      <c r="P827" s="546"/>
      <c r="Q827" s="546"/>
      <c r="R827" s="700"/>
      <c r="S827" s="700"/>
      <c r="T827" s="546"/>
      <c r="U827" s="546"/>
      <c r="V827" s="546"/>
      <c r="X827" s="546"/>
      <c r="Y827" s="546"/>
      <c r="Z827" s="546"/>
      <c r="AA827" s="546"/>
      <c r="AB827" s="546"/>
      <c r="AC827" s="546"/>
      <c r="AD827" s="546"/>
      <c r="AE827" s="546"/>
      <c r="AF827" s="546"/>
      <c r="AG827" s="546"/>
      <c r="AH827" s="546"/>
      <c r="AJ827" s="549"/>
    </row>
    <row r="828" spans="1:36">
      <c r="A828" s="1" t="s">
        <v>185</v>
      </c>
      <c r="B828" s="1"/>
      <c r="C828" s="182">
        <f>C827</f>
        <v>2630000</v>
      </c>
      <c r="D828" s="193"/>
      <c r="E828" s="1"/>
      <c r="F828" s="2">
        <f>SUM(F813:F826)</f>
        <v>393346.86</v>
      </c>
      <c r="G828" s="733"/>
      <c r="H828" s="1"/>
      <c r="I828" s="2">
        <f>SUM(I813:I826)</f>
        <v>401849.86</v>
      </c>
      <c r="J828" s="193"/>
      <c r="K828" s="1"/>
      <c r="L828" s="2">
        <f ca="1">SUM(L813:L826)</f>
        <v>398401.89419999998</v>
      </c>
      <c r="M828" s="11"/>
      <c r="N828" s="11"/>
      <c r="O828" s="38"/>
      <c r="P828" s="38"/>
      <c r="Q828" s="38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</row>
    <row r="829" spans="1:36">
      <c r="A829" s="1" t="s">
        <v>167</v>
      </c>
      <c r="B829" s="1"/>
      <c r="C829" s="182">
        <v>49157.633181796118</v>
      </c>
      <c r="D829" s="172"/>
      <c r="E829" s="172"/>
      <c r="F829" s="204">
        <v>2312.6842468239438</v>
      </c>
      <c r="G829" s="284"/>
      <c r="H829" s="172"/>
      <c r="I829" s="204">
        <f>F829</f>
        <v>2312.6842468239438</v>
      </c>
      <c r="J829" s="172"/>
      <c r="K829" s="172"/>
      <c r="L829" s="204">
        <f>I829</f>
        <v>2312.6842468239438</v>
      </c>
      <c r="M829" s="11"/>
      <c r="N829" s="11"/>
      <c r="O829" s="38"/>
      <c r="P829" s="38"/>
      <c r="Q829" s="38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</row>
    <row r="830" spans="1:36" ht="16.5" thickBot="1">
      <c r="A830" s="1" t="s">
        <v>186</v>
      </c>
      <c r="B830" s="1"/>
      <c r="C830" s="256">
        <f>SUM(C828)+C829</f>
        <v>2679157.6331817959</v>
      </c>
      <c r="D830" s="205"/>
      <c r="E830" s="208"/>
      <c r="F830" s="207">
        <f>F828+F829</f>
        <v>395659.54424682393</v>
      </c>
      <c r="G830" s="741"/>
      <c r="H830" s="208"/>
      <c r="I830" s="207">
        <f>I828+I829</f>
        <v>404162.54424682393</v>
      </c>
      <c r="J830" s="205"/>
      <c r="K830" s="208"/>
      <c r="L830" s="207">
        <f ca="1">L828+L829</f>
        <v>400714.57844682393</v>
      </c>
      <c r="M830" s="11"/>
      <c r="N830" s="11"/>
      <c r="O830" s="279"/>
      <c r="P830" s="500"/>
      <c r="Q830" s="500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</row>
    <row r="831" spans="1:36" ht="16.5" thickTop="1">
      <c r="A831" s="1"/>
      <c r="B831" s="1"/>
      <c r="C831" s="12"/>
      <c r="D831" s="200"/>
      <c r="E831" s="1"/>
      <c r="F831" s="2"/>
      <c r="G831" s="216"/>
      <c r="H831" s="1"/>
      <c r="I831" s="2" t="s">
        <v>13</v>
      </c>
      <c r="J831" s="200"/>
      <c r="K831" s="1"/>
      <c r="L831" s="2" t="s">
        <v>13</v>
      </c>
      <c r="M831" s="11"/>
      <c r="N831" s="11"/>
      <c r="O831" s="279"/>
      <c r="P831" s="11"/>
      <c r="Q831" s="512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</row>
    <row r="832" spans="1:36">
      <c r="A832" s="156" t="s">
        <v>280</v>
      </c>
      <c r="B832" s="1"/>
      <c r="C832" s="1"/>
      <c r="D832" s="2"/>
      <c r="E832" s="1"/>
      <c r="F832" s="1"/>
      <c r="G832" s="516"/>
      <c r="H832" s="1"/>
      <c r="I832" s="1"/>
      <c r="J832" s="2"/>
      <c r="K832" s="1"/>
      <c r="L832" s="1"/>
      <c r="M832" s="11"/>
      <c r="N832" s="11"/>
      <c r="O832" s="853" t="s">
        <v>1458</v>
      </c>
      <c r="P832" s="500"/>
      <c r="Q832" s="38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</row>
    <row r="833" spans="1:37">
      <c r="A833" s="172" t="s">
        <v>281</v>
      </c>
      <c r="B833" s="1"/>
      <c r="C833" s="1"/>
      <c r="D833" s="2"/>
      <c r="E833" s="1"/>
      <c r="F833" s="1"/>
      <c r="G833" s="516"/>
      <c r="H833" s="1"/>
      <c r="I833" s="1"/>
      <c r="J833" s="2"/>
      <c r="K833" s="1"/>
      <c r="L833" s="1"/>
      <c r="M833" s="11"/>
      <c r="N833" s="11"/>
      <c r="O833" s="852">
        <f ca="1">'Exhibit No.__(RMM-2)pg1'!O27*1000</f>
        <v>-54947.95677843281</v>
      </c>
      <c r="P833" s="38"/>
      <c r="Q833" s="38"/>
      <c r="R833" s="38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</row>
    <row r="834" spans="1:37">
      <c r="A834" s="186"/>
      <c r="B834" s="1"/>
      <c r="C834" s="1"/>
      <c r="D834" s="2"/>
      <c r="E834" s="1"/>
      <c r="F834" s="1"/>
      <c r="G834" s="516"/>
      <c r="H834" s="1"/>
      <c r="I834" s="1"/>
      <c r="J834" s="2"/>
      <c r="K834" s="1"/>
      <c r="L834" s="1"/>
      <c r="M834" s="11"/>
      <c r="N834" s="11"/>
      <c r="O834" s="38"/>
      <c r="P834" s="38"/>
      <c r="Q834" s="38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</row>
    <row r="835" spans="1:37">
      <c r="A835" s="186" t="s">
        <v>197</v>
      </c>
      <c r="B835" s="1"/>
      <c r="C835" s="182"/>
      <c r="D835" s="2"/>
      <c r="E835" s="1"/>
      <c r="F835" s="1"/>
      <c r="G835" s="516"/>
      <c r="H835" s="1"/>
      <c r="I835" s="1"/>
      <c r="J835" s="2"/>
      <c r="K835" s="1"/>
      <c r="L835" s="1"/>
      <c r="M835" s="11"/>
      <c r="N835" s="11"/>
      <c r="O835" s="38"/>
      <c r="P835" s="38"/>
      <c r="Q835" s="38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</row>
    <row r="836" spans="1:37">
      <c r="A836" s="186" t="s">
        <v>275</v>
      </c>
      <c r="B836" s="1"/>
      <c r="C836" s="182">
        <f t="shared" ref="C836:C841" si="70">C856+C1032</f>
        <v>773.72727272727298</v>
      </c>
      <c r="D836" s="200"/>
      <c r="E836" s="184"/>
      <c r="F836" s="2">
        <f>F856+F1032</f>
        <v>1019996</v>
      </c>
      <c r="G836" s="216"/>
      <c r="H836" s="184"/>
      <c r="I836" s="2">
        <f>I856+I1032</f>
        <v>1019996</v>
      </c>
      <c r="J836" s="200"/>
      <c r="K836" s="184"/>
      <c r="L836" s="2">
        <f>L856+L1032</f>
        <v>1019996</v>
      </c>
      <c r="M836" s="11"/>
      <c r="N836" s="11"/>
      <c r="O836" s="512"/>
      <c r="P836" s="11"/>
      <c r="Q836" s="11"/>
      <c r="R836" s="11"/>
      <c r="S836" s="11"/>
      <c r="T836" s="11"/>
      <c r="U836" s="11"/>
      <c r="V836" s="11"/>
      <c r="Y836" s="192"/>
      <c r="Z836" s="192"/>
      <c r="AF836" s="11"/>
      <c r="AG836" s="11"/>
      <c r="AH836" s="11"/>
      <c r="AI836" s="11"/>
      <c r="AJ836" s="11"/>
      <c r="AK836" s="11"/>
    </row>
    <row r="837" spans="1:37">
      <c r="A837" s="186" t="s">
        <v>276</v>
      </c>
      <c r="B837" s="1"/>
      <c r="C837" s="182">
        <f t="shared" si="70"/>
        <v>12</v>
      </c>
      <c r="D837" s="200"/>
      <c r="E837" s="187"/>
      <c r="F837" s="2">
        <f>F857+F1033</f>
        <v>35988</v>
      </c>
      <c r="G837" s="216"/>
      <c r="H837" s="187"/>
      <c r="I837" s="2">
        <f>I857+I1033</f>
        <v>35988</v>
      </c>
      <c r="J837" s="200"/>
      <c r="K837" s="187"/>
      <c r="L837" s="2">
        <f>L857+L1033</f>
        <v>35988</v>
      </c>
      <c r="M837" s="11"/>
      <c r="N837" s="11"/>
      <c r="O837" s="512"/>
      <c r="P837" s="11"/>
      <c r="Q837" s="11"/>
      <c r="R837" s="710"/>
      <c r="S837" s="711"/>
      <c r="T837" s="711"/>
      <c r="U837" s="711"/>
      <c r="V837" s="711"/>
      <c r="W837" s="49"/>
      <c r="X837" s="101"/>
      <c r="Y837" s="192"/>
      <c r="Z837" s="192"/>
      <c r="AF837" s="11"/>
      <c r="AG837" s="11"/>
      <c r="AH837" s="11"/>
      <c r="AI837" s="11"/>
      <c r="AJ837" s="11"/>
      <c r="AK837" s="11"/>
    </row>
    <row r="838" spans="1:37">
      <c r="A838" s="186" t="s">
        <v>198</v>
      </c>
      <c r="B838" s="1"/>
      <c r="C838" s="182">
        <f t="shared" si="70"/>
        <v>785.72727272727298</v>
      </c>
      <c r="D838" s="200"/>
      <c r="E838" s="184"/>
      <c r="F838" s="2"/>
      <c r="G838" s="216"/>
      <c r="H838" s="184"/>
      <c r="I838" s="2"/>
      <c r="J838" s="200"/>
      <c r="K838" s="184"/>
      <c r="L838" s="2"/>
      <c r="M838" s="11"/>
      <c r="N838" s="11"/>
      <c r="O838" s="490"/>
      <c r="P838" s="11"/>
      <c r="Q838" s="11"/>
      <c r="R838" s="711"/>
      <c r="S838" s="711"/>
      <c r="T838" s="711"/>
      <c r="U838" s="711"/>
      <c r="V838" s="711"/>
      <c r="W838" s="49"/>
      <c r="X838" s="101"/>
      <c r="AF838" s="11"/>
      <c r="AG838" s="11"/>
      <c r="AH838" s="11"/>
      <c r="AI838" s="11"/>
      <c r="AJ838" s="11"/>
      <c r="AK838" s="11"/>
    </row>
    <row r="839" spans="1:37">
      <c r="A839" s="186" t="s">
        <v>277</v>
      </c>
      <c r="B839" s="1"/>
      <c r="C839" s="182">
        <f t="shared" si="70"/>
        <v>1121158.068965517</v>
      </c>
      <c r="D839" s="200"/>
      <c r="E839" s="184"/>
      <c r="F839" s="2">
        <f>F859+F1035</f>
        <v>1242181</v>
      </c>
      <c r="G839" s="216"/>
      <c r="H839" s="184"/>
      <c r="I839" s="2">
        <f>I859+I1035</f>
        <v>1242181</v>
      </c>
      <c r="J839" s="200"/>
      <c r="K839" s="184"/>
      <c r="L839" s="2">
        <f>L859+L1035</f>
        <v>1242181</v>
      </c>
      <c r="M839" s="11"/>
      <c r="N839" s="11"/>
      <c r="O839" s="512"/>
      <c r="P839" s="11"/>
      <c r="Q839" s="11"/>
      <c r="R839" s="711"/>
      <c r="S839" s="711"/>
      <c r="T839" s="711"/>
      <c r="U839" s="711"/>
      <c r="V839" s="711"/>
      <c r="W839" s="49"/>
      <c r="X839" s="101"/>
      <c r="AF839" s="11"/>
      <c r="AG839" s="11"/>
      <c r="AH839" s="11"/>
      <c r="AI839" s="11"/>
      <c r="AJ839" s="11"/>
      <c r="AK839" s="11"/>
    </row>
    <row r="840" spans="1:37">
      <c r="A840" s="186" t="s">
        <v>278</v>
      </c>
      <c r="B840" s="1"/>
      <c r="C840" s="182">
        <f t="shared" si="70"/>
        <v>686556</v>
      </c>
      <c r="D840" s="200"/>
      <c r="E840" s="184"/>
      <c r="F840" s="2">
        <f>F860+F1036</f>
        <v>178505</v>
      </c>
      <c r="G840" s="216"/>
      <c r="H840" s="184"/>
      <c r="I840" s="2">
        <f>I860+I1036</f>
        <v>178505</v>
      </c>
      <c r="J840" s="200"/>
      <c r="K840" s="184"/>
      <c r="L840" s="2">
        <f>L860+L1036</f>
        <v>178505</v>
      </c>
      <c r="M840" s="11"/>
      <c r="N840" s="11"/>
      <c r="O840" s="512"/>
      <c r="P840" s="11"/>
      <c r="Q840" s="11"/>
      <c r="R840" s="711"/>
      <c r="S840" s="711"/>
      <c r="T840" s="711"/>
      <c r="U840" s="711"/>
      <c r="V840" s="711"/>
      <c r="W840" s="49"/>
      <c r="X840" s="101"/>
      <c r="AF840" s="11"/>
      <c r="AG840" s="11"/>
      <c r="AH840" s="11"/>
      <c r="AI840" s="11"/>
      <c r="AJ840" s="11"/>
      <c r="AK840" s="11"/>
    </row>
    <row r="841" spans="1:37">
      <c r="A841" s="284" t="s">
        <v>539</v>
      </c>
      <c r="B841" s="1"/>
      <c r="C841" s="182">
        <f t="shared" si="70"/>
        <v>1584894.432</v>
      </c>
      <c r="D841" s="200"/>
      <c r="E841" s="184"/>
      <c r="F841" s="2">
        <f>F861+F1037</f>
        <v>13984002</v>
      </c>
      <c r="G841" s="216"/>
      <c r="H841" s="184"/>
      <c r="I841" s="2">
        <f>I861+I1037</f>
        <v>13984002</v>
      </c>
      <c r="J841" s="200"/>
      <c r="K841" s="184"/>
      <c r="L841" s="2">
        <f>L861+L1037</f>
        <v>13984002</v>
      </c>
      <c r="M841" s="11"/>
      <c r="N841" s="11"/>
      <c r="O841" s="512"/>
      <c r="P841" s="11"/>
      <c r="Q841" s="11"/>
      <c r="R841" s="711"/>
      <c r="S841" s="711"/>
      <c r="T841" s="711"/>
      <c r="U841" s="711"/>
      <c r="V841" s="711"/>
      <c r="W841" s="49"/>
      <c r="X841" s="101"/>
      <c r="AF841" s="11"/>
      <c r="AG841" s="11"/>
      <c r="AH841" s="11"/>
      <c r="AI841" s="11"/>
      <c r="AJ841" s="11"/>
      <c r="AK841" s="11"/>
    </row>
    <row r="842" spans="1:37">
      <c r="A842" s="186" t="s">
        <v>230</v>
      </c>
      <c r="B842" s="1"/>
      <c r="C842" s="182"/>
      <c r="D842" s="200"/>
      <c r="E842" s="184"/>
      <c r="F842" s="2"/>
      <c r="G842" s="216"/>
      <c r="H842" s="184"/>
      <c r="I842" s="2"/>
      <c r="J842" s="200"/>
      <c r="K842" s="184"/>
      <c r="L842" s="2"/>
      <c r="M842" s="11"/>
      <c r="N842" s="11"/>
      <c r="O842" s="490"/>
      <c r="P842" s="38"/>
      <c r="Q842" s="38"/>
      <c r="R842" s="11"/>
      <c r="S842" s="11"/>
      <c r="T842" s="11"/>
      <c r="U842" s="11"/>
      <c r="V842" s="11"/>
      <c r="AA842" s="11"/>
      <c r="AB842" s="11"/>
      <c r="AC842" s="11"/>
      <c r="AD842" s="11"/>
      <c r="AE842" s="11"/>
      <c r="AF842" s="11"/>
      <c r="AG842" s="11"/>
      <c r="AH842" s="11"/>
    </row>
    <row r="843" spans="1:37">
      <c r="A843" s="186" t="s">
        <v>268</v>
      </c>
      <c r="B843" s="1"/>
      <c r="C843" s="182">
        <f t="shared" ref="C843:C848" si="71">C863+C1039</f>
        <v>858139786.12835383</v>
      </c>
      <c r="D843" s="521"/>
      <c r="E843" s="184"/>
      <c r="F843" s="2">
        <f t="shared" ref="F843:F848" si="72">F863+F1039</f>
        <v>0</v>
      </c>
      <c r="G843" s="749"/>
      <c r="H843" s="184"/>
      <c r="I843" s="2">
        <f t="shared" ref="I843:I848" si="73">I863+I1039</f>
        <v>0</v>
      </c>
      <c r="J843" s="258"/>
      <c r="K843" s="184"/>
      <c r="L843" s="2">
        <f t="shared" ref="L843:L848" si="74">L863+L1039</f>
        <v>0</v>
      </c>
      <c r="M843" s="11"/>
      <c r="N843" s="11"/>
      <c r="O843" s="512"/>
      <c r="P843" s="38"/>
      <c r="Q843" s="38"/>
      <c r="R843" s="11"/>
      <c r="S843" s="11"/>
      <c r="T843" s="11"/>
      <c r="U843" s="11"/>
      <c r="V843" s="11"/>
      <c r="AA843" s="11"/>
      <c r="AB843" s="11"/>
      <c r="AC843" s="11"/>
      <c r="AD843" s="11"/>
      <c r="AE843" s="11"/>
      <c r="AF843" s="11"/>
      <c r="AG843" s="11"/>
      <c r="AH843" s="11"/>
    </row>
    <row r="844" spans="1:37">
      <c r="A844" s="172" t="s">
        <v>524</v>
      </c>
      <c r="B844" s="1"/>
      <c r="C844" s="182">
        <f t="shared" si="71"/>
        <v>339453752.09193075</v>
      </c>
      <c r="D844" s="515" t="s">
        <v>13</v>
      </c>
      <c r="E844" s="184" t="s">
        <v>13</v>
      </c>
      <c r="F844" s="2">
        <f t="shared" si="72"/>
        <v>17767079</v>
      </c>
      <c r="G844" s="287" t="s">
        <v>13</v>
      </c>
      <c r="H844" s="184" t="s">
        <v>13</v>
      </c>
      <c r="I844" s="2">
        <f t="shared" si="73"/>
        <v>18863514</v>
      </c>
      <c r="J844" s="515" t="s">
        <v>13</v>
      </c>
      <c r="K844" s="184" t="s">
        <v>13</v>
      </c>
      <c r="L844" s="2">
        <f t="shared" ca="1" si="74"/>
        <v>18821502</v>
      </c>
      <c r="M844" s="11"/>
      <c r="N844" s="11"/>
      <c r="O844" s="38"/>
      <c r="P844" s="38"/>
      <c r="Q844" s="38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</row>
    <row r="845" spans="1:37">
      <c r="A845" s="172" t="s">
        <v>525</v>
      </c>
      <c r="B845" s="1"/>
      <c r="C845" s="182">
        <f t="shared" si="71"/>
        <v>518686034.03642309</v>
      </c>
      <c r="D845" s="515" t="s">
        <v>13</v>
      </c>
      <c r="E845" s="184" t="s">
        <v>13</v>
      </c>
      <c r="F845" s="2">
        <f t="shared" si="72"/>
        <v>22310453</v>
      </c>
      <c r="G845" s="287" t="s">
        <v>13</v>
      </c>
      <c r="H845" s="184" t="s">
        <v>13</v>
      </c>
      <c r="I845" s="2">
        <f t="shared" si="73"/>
        <v>23985809</v>
      </c>
      <c r="J845" s="515" t="s">
        <v>13</v>
      </c>
      <c r="K845" s="184" t="s">
        <v>13</v>
      </c>
      <c r="L845" s="2">
        <f t="shared" ca="1" si="74"/>
        <v>23921588</v>
      </c>
      <c r="M845" s="11"/>
      <c r="N845" s="11"/>
      <c r="O845" s="38"/>
      <c r="P845" s="38"/>
      <c r="Q845" s="38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</row>
    <row r="846" spans="1:37">
      <c r="A846" s="186" t="s">
        <v>204</v>
      </c>
      <c r="B846" s="1"/>
      <c r="C846" s="182">
        <f t="shared" si="71"/>
        <v>179017.36363636321</v>
      </c>
      <c r="D846" s="189"/>
      <c r="E846" s="184"/>
      <c r="F846" s="2">
        <f t="shared" si="72"/>
        <v>101516.41727272703</v>
      </c>
      <c r="G846" s="216"/>
      <c r="H846" s="184"/>
      <c r="I846" s="2">
        <f t="shared" si="73"/>
        <v>101516.41727272702</v>
      </c>
      <c r="J846" s="189"/>
      <c r="K846" s="184"/>
      <c r="L846" s="2">
        <f t="shared" si="74"/>
        <v>101516.41727272702</v>
      </c>
      <c r="M846" s="512"/>
      <c r="N846" s="38"/>
      <c r="O846" s="38"/>
      <c r="P846" s="11"/>
      <c r="Q846" s="11"/>
      <c r="R846" s="11"/>
      <c r="S846" s="11"/>
      <c r="T846" s="11"/>
      <c r="U846" s="11"/>
      <c r="V846" s="11"/>
      <c r="Y846" s="11"/>
      <c r="Z846" s="11"/>
      <c r="AA846" s="11"/>
      <c r="AB846" s="11"/>
      <c r="AC846" s="11"/>
      <c r="AD846" s="11"/>
      <c r="AE846" s="11"/>
      <c r="AF846" s="11"/>
    </row>
    <row r="847" spans="1:37">
      <c r="A847" s="1" t="s">
        <v>185</v>
      </c>
      <c r="B847" s="1"/>
      <c r="C847" s="182">
        <f t="shared" si="71"/>
        <v>858139786.12835383</v>
      </c>
      <c r="D847" s="187"/>
      <c r="E847" s="1"/>
      <c r="F847" s="2">
        <f t="shared" si="72"/>
        <v>56639720.417272732</v>
      </c>
      <c r="G847" s="516"/>
      <c r="H847" s="1"/>
      <c r="I847" s="2">
        <f t="shared" si="73"/>
        <v>59411511.417272732</v>
      </c>
      <c r="J847" s="2"/>
      <c r="K847" s="1"/>
      <c r="L847" s="2">
        <f t="shared" ca="1" si="74"/>
        <v>59305278.417272732</v>
      </c>
      <c r="M847" s="11"/>
      <c r="N847" s="11"/>
      <c r="O847" s="38"/>
      <c r="P847" s="38"/>
      <c r="Q847" s="38"/>
      <c r="R847" s="11"/>
      <c r="S847" s="11"/>
      <c r="T847" s="11"/>
      <c r="U847" s="11"/>
      <c r="V847" s="11"/>
      <c r="AA847" s="11"/>
      <c r="AB847" s="11"/>
      <c r="AC847" s="11"/>
      <c r="AD847" s="11"/>
      <c r="AE847" s="11"/>
      <c r="AF847" s="11"/>
      <c r="AG847" s="11"/>
      <c r="AH847" s="11"/>
    </row>
    <row r="848" spans="1:37">
      <c r="A848" s="1" t="s">
        <v>167</v>
      </c>
      <c r="B848" s="1"/>
      <c r="C848" s="203">
        <f t="shared" si="71"/>
        <v>13301070.745551404</v>
      </c>
      <c r="D848" s="172"/>
      <c r="E848" s="172"/>
      <c r="F848" s="494">
        <f t="shared" si="72"/>
        <v>427250.33704310609</v>
      </c>
      <c r="G848" s="284"/>
      <c r="H848" s="172"/>
      <c r="I848" s="494">
        <f t="shared" si="73"/>
        <v>427250.33704310609</v>
      </c>
      <c r="J848" s="172"/>
      <c r="K848" s="172"/>
      <c r="L848" s="494">
        <f t="shared" si="74"/>
        <v>427250.33704310609</v>
      </c>
      <c r="M848" s="11"/>
      <c r="N848" s="11"/>
      <c r="O848" s="38"/>
      <c r="P848" s="38"/>
      <c r="Q848" s="38"/>
      <c r="R848" s="511"/>
      <c r="S848" s="511"/>
      <c r="T848" s="11"/>
      <c r="U848" s="11"/>
      <c r="V848" s="11"/>
      <c r="AA848" s="11"/>
      <c r="AB848" s="11"/>
      <c r="AC848" s="11"/>
      <c r="AD848" s="11"/>
      <c r="AE848" s="11"/>
      <c r="AF848" s="11"/>
      <c r="AG848" s="11"/>
      <c r="AH848" s="11"/>
    </row>
    <row r="849" spans="1:36" ht="16.5" thickBot="1">
      <c r="A849" s="1" t="s">
        <v>186</v>
      </c>
      <c r="B849" s="1"/>
      <c r="C849" s="497">
        <f>SUM(C847:C848)</f>
        <v>871440856.87390518</v>
      </c>
      <c r="D849" s="205"/>
      <c r="E849" s="208"/>
      <c r="F849" s="495">
        <f>F847+F848</f>
        <v>57066970.754315838</v>
      </c>
      <c r="G849" s="741"/>
      <c r="H849" s="208"/>
      <c r="I849" s="495">
        <f>I847+I848</f>
        <v>59838761.754315838</v>
      </c>
      <c r="J849" s="205"/>
      <c r="K849" s="208"/>
      <c r="L849" s="495">
        <f ca="1">L847+L848</f>
        <v>59732528.754315838</v>
      </c>
      <c r="M849" s="11"/>
      <c r="N849" s="11"/>
      <c r="O849" s="279"/>
      <c r="P849" s="500"/>
      <c r="Q849" s="500"/>
      <c r="R849" s="11"/>
      <c r="S849" s="11"/>
      <c r="T849" s="11"/>
      <c r="U849" s="11"/>
      <c r="V849" s="11"/>
      <c r="AA849" s="11"/>
      <c r="AB849" s="11"/>
      <c r="AC849" s="11"/>
      <c r="AD849" s="11"/>
      <c r="AE849" s="11"/>
      <c r="AF849" s="11"/>
      <c r="AG849" s="11"/>
      <c r="AH849" s="11"/>
    </row>
    <row r="850" spans="1:36" ht="16.5" hidden="1" thickTop="1">
      <c r="A850" s="1"/>
      <c r="B850" s="1"/>
      <c r="C850" s="12"/>
      <c r="D850" s="200" t="s">
        <v>13</v>
      </c>
      <c r="E850" s="1"/>
      <c r="F850" s="2"/>
      <c r="G850" s="216" t="s">
        <v>13</v>
      </c>
      <c r="H850" s="1"/>
      <c r="I850" s="2" t="s">
        <v>13</v>
      </c>
      <c r="J850" s="216" t="s">
        <v>13</v>
      </c>
      <c r="K850" s="1"/>
      <c r="L850" s="2" t="s">
        <v>13</v>
      </c>
      <c r="M850" s="11"/>
      <c r="N850" s="11"/>
      <c r="O850" s="279"/>
      <c r="P850" s="11"/>
      <c r="Q850" s="511"/>
      <c r="R850" s="11"/>
      <c r="S850" s="11"/>
      <c r="T850" s="11"/>
      <c r="U850" s="11"/>
      <c r="V850" s="11"/>
      <c r="AA850" s="11"/>
      <c r="AB850" s="11"/>
      <c r="AC850" s="11"/>
      <c r="AD850" s="11"/>
      <c r="AE850" s="11"/>
      <c r="AF850" s="11"/>
      <c r="AG850" s="11"/>
      <c r="AH850" s="11"/>
    </row>
    <row r="851" spans="1:36" ht="16.5" hidden="1" thickTop="1">
      <c r="A851" s="1"/>
      <c r="B851" s="1"/>
      <c r="C851" s="12"/>
      <c r="D851" s="200"/>
      <c r="E851" s="1"/>
      <c r="F851" s="2" t="s">
        <v>13</v>
      </c>
      <c r="G851" s="216"/>
      <c r="H851" s="1"/>
      <c r="I851" s="243"/>
      <c r="J851" s="200"/>
      <c r="K851" s="1"/>
      <c r="L851" s="243"/>
      <c r="M851" s="11"/>
      <c r="N851" s="11"/>
      <c r="O851" s="38"/>
      <c r="P851" s="38"/>
      <c r="Q851" s="38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</row>
    <row r="852" spans="1:36" ht="16.5" hidden="1" thickTop="1">
      <c r="A852" s="156" t="s">
        <v>280</v>
      </c>
      <c r="B852" s="1"/>
      <c r="C852" s="1"/>
      <c r="D852" s="2"/>
      <c r="E852" s="1"/>
      <c r="F852" s="1"/>
      <c r="G852" s="516"/>
      <c r="H852" s="1"/>
      <c r="I852" s="1"/>
      <c r="J852" s="2"/>
      <c r="K852" s="1"/>
      <c r="L852" s="1"/>
      <c r="M852" s="279"/>
      <c r="N852" s="279"/>
      <c r="O852" s="38"/>
      <c r="P852" s="38"/>
      <c r="Q852" s="38"/>
      <c r="R852" s="475"/>
      <c r="S852" s="18"/>
      <c r="T852" s="697"/>
      <c r="U852" s="698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</row>
    <row r="853" spans="1:36" ht="16.5" hidden="1" thickTop="1">
      <c r="A853" s="172" t="s">
        <v>282</v>
      </c>
      <c r="B853" s="1"/>
      <c r="C853" s="1"/>
      <c r="D853" s="2"/>
      <c r="E853" s="1"/>
      <c r="F853" s="1"/>
      <c r="G853" s="516"/>
      <c r="H853" s="1"/>
      <c r="I853" s="1"/>
      <c r="J853" s="2"/>
      <c r="K853" s="1"/>
      <c r="L853" s="1"/>
      <c r="M853" s="11"/>
      <c r="N853" s="11"/>
      <c r="O853" s="38"/>
      <c r="P853" s="38"/>
      <c r="Q853" s="38"/>
      <c r="R853" s="661"/>
      <c r="S853" s="661"/>
      <c r="T853" s="661"/>
      <c r="U853" s="66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</row>
    <row r="854" spans="1:36" ht="16.5" hidden="1" thickTop="1">
      <c r="A854" s="186"/>
      <c r="B854" s="1"/>
      <c r="C854" s="1"/>
      <c r="D854" s="2"/>
      <c r="E854" s="1"/>
      <c r="F854" s="1"/>
      <c r="G854" s="516"/>
      <c r="H854" s="1"/>
      <c r="I854" s="1"/>
      <c r="J854" s="2"/>
      <c r="K854" s="1"/>
      <c r="L854" s="1"/>
      <c r="M854" s="11"/>
      <c r="N854" s="11"/>
      <c r="O854" s="38"/>
      <c r="P854" s="38"/>
      <c r="Q854" s="38"/>
      <c r="R854" s="660"/>
      <c r="S854" s="11"/>
      <c r="T854" s="686"/>
      <c r="U854" s="660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</row>
    <row r="855" spans="1:36" ht="16.5" hidden="1" thickTop="1">
      <c r="A855" s="186" t="s">
        <v>197</v>
      </c>
      <c r="B855" s="1"/>
      <c r="C855" s="182"/>
      <c r="D855" s="2"/>
      <c r="E855" s="1"/>
      <c r="F855" s="1"/>
      <c r="G855" s="516"/>
      <c r="H855" s="1"/>
      <c r="I855" s="1"/>
      <c r="J855" s="2"/>
      <c r="K855" s="1"/>
      <c r="L855" s="1"/>
      <c r="M855" s="11"/>
      <c r="N855" s="11"/>
      <c r="O855" s="38"/>
      <c r="P855" s="11"/>
      <c r="Q855" s="11"/>
      <c r="R855" s="38"/>
      <c r="S855" s="11"/>
      <c r="T855" s="11"/>
      <c r="U855" s="11"/>
      <c r="V855" s="11"/>
      <c r="Z855" s="10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</row>
    <row r="856" spans="1:36" ht="16.5" hidden="1" thickTop="1">
      <c r="A856" s="186" t="s">
        <v>275</v>
      </c>
      <c r="B856" s="1"/>
      <c r="C856" s="182">
        <f>C875+C934</f>
        <v>773.72727272727298</v>
      </c>
      <c r="D856" s="276"/>
      <c r="E856" s="184"/>
      <c r="F856" s="184">
        <f>F875+F934</f>
        <v>1019996</v>
      </c>
      <c r="G856" s="4"/>
      <c r="H856" s="184"/>
      <c r="I856" s="184">
        <f>I875+I934</f>
        <v>1019996</v>
      </c>
      <c r="K856" s="184"/>
      <c r="L856" s="184">
        <f>L875+L934</f>
        <v>1019996</v>
      </c>
      <c r="M856" s="11"/>
      <c r="N856" s="11"/>
      <c r="O856" s="38"/>
      <c r="P856" s="512"/>
      <c r="Q856" s="104"/>
      <c r="R856" s="712"/>
      <c r="S856" s="660"/>
      <c r="T856" s="711"/>
      <c r="U856" s="300"/>
      <c r="V856" s="711"/>
      <c r="W856" s="101"/>
      <c r="X856" s="49"/>
      <c r="Y856" s="49"/>
      <c r="Z856" s="483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</row>
    <row r="857" spans="1:36" ht="16.5" hidden="1" thickTop="1">
      <c r="A857" s="186" t="s">
        <v>276</v>
      </c>
      <c r="B857" s="1"/>
      <c r="C857" s="182">
        <f>C876+C935</f>
        <v>0</v>
      </c>
      <c r="D857" s="276"/>
      <c r="E857" s="187"/>
      <c r="F857" s="184">
        <f>F876+F935</f>
        <v>0</v>
      </c>
      <c r="G857" s="4"/>
      <c r="H857" s="187"/>
      <c r="I857" s="184">
        <f>I876+I935</f>
        <v>0</v>
      </c>
      <c r="K857" s="187"/>
      <c r="L857" s="184">
        <f>L876+L935</f>
        <v>0</v>
      </c>
      <c r="M857" s="11"/>
      <c r="N857" s="11"/>
      <c r="O857" s="38"/>
      <c r="P857" s="512"/>
      <c r="Q857" s="104"/>
      <c r="R857" s="712"/>
      <c r="S857" s="11"/>
      <c r="T857" s="711"/>
      <c r="U857" s="300"/>
      <c r="V857" s="711"/>
      <c r="W857" s="101"/>
      <c r="X857" s="49"/>
      <c r="Y857" s="49"/>
      <c r="Z857" s="483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</row>
    <row r="858" spans="1:36" ht="16.5" hidden="1" thickTop="1">
      <c r="A858" s="186" t="s">
        <v>198</v>
      </c>
      <c r="B858" s="1"/>
      <c r="C858" s="182">
        <f>C995+C1015</f>
        <v>773.72727272727298</v>
      </c>
      <c r="D858" s="276"/>
      <c r="E858" s="184"/>
      <c r="F858" s="516" t="s">
        <v>13</v>
      </c>
      <c r="G858" s="4"/>
      <c r="H858" s="184"/>
      <c r="I858" s="516" t="s">
        <v>13</v>
      </c>
      <c r="K858" s="184"/>
      <c r="L858" s="516" t="s">
        <v>13</v>
      </c>
      <c r="M858" s="279"/>
      <c r="N858" s="185"/>
      <c r="O858" s="185"/>
      <c r="P858" s="490"/>
      <c r="Q858" s="490"/>
      <c r="R858" s="713"/>
      <c r="S858" s="11"/>
      <c r="T858" s="711"/>
      <c r="U858" s="300"/>
      <c r="V858" s="711"/>
      <c r="W858" s="101"/>
      <c r="X858" s="49"/>
      <c r="Y858" s="49"/>
      <c r="Z858" s="483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</row>
    <row r="859" spans="1:36" ht="16.5" hidden="1" thickTop="1">
      <c r="A859" s="186" t="s">
        <v>277</v>
      </c>
      <c r="B859" s="1"/>
      <c r="C859" s="182">
        <f>C878+C937</f>
        <v>1121158.068965517</v>
      </c>
      <c r="D859" s="276"/>
      <c r="E859" s="184"/>
      <c r="F859" s="184">
        <f>F878+F937</f>
        <v>1242181</v>
      </c>
      <c r="G859" s="4"/>
      <c r="H859" s="184"/>
      <c r="I859" s="184">
        <f>I878+I937</f>
        <v>1242181</v>
      </c>
      <c r="K859" s="184"/>
      <c r="L859" s="184">
        <f>L878+L937</f>
        <v>1242181</v>
      </c>
      <c r="M859" s="11"/>
      <c r="N859" s="11"/>
      <c r="O859" s="11"/>
      <c r="P859" s="104"/>
      <c r="Q859" s="104"/>
      <c r="R859" s="712"/>
      <c r="S859" s="11"/>
      <c r="T859" s="711"/>
      <c r="U859" s="300"/>
      <c r="V859" s="711"/>
      <c r="W859" s="101"/>
      <c r="X859" s="49"/>
      <c r="Y859" s="49"/>
      <c r="Z859" s="483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</row>
    <row r="860" spans="1:36" ht="16.5" hidden="1" thickTop="1">
      <c r="A860" s="186" t="s">
        <v>278</v>
      </c>
      <c r="B860" s="1"/>
      <c r="C860" s="182">
        <f>C879+C938</f>
        <v>0</v>
      </c>
      <c r="D860" s="276"/>
      <c r="E860" s="184"/>
      <c r="F860" s="184">
        <f>F879+F938</f>
        <v>0</v>
      </c>
      <c r="G860" s="4"/>
      <c r="H860" s="184"/>
      <c r="I860" s="184">
        <f>I879+I938</f>
        <v>0</v>
      </c>
      <c r="K860" s="184"/>
      <c r="L860" s="184">
        <f>L879+L938</f>
        <v>0</v>
      </c>
      <c r="M860" s="279"/>
      <c r="N860" s="185"/>
      <c r="O860" s="185"/>
      <c r="P860" s="490"/>
      <c r="Q860" s="104"/>
      <c r="R860" s="712"/>
      <c r="S860" s="11"/>
      <c r="T860" s="711"/>
      <c r="U860" s="300"/>
      <c r="V860" s="711"/>
      <c r="W860" s="101"/>
      <c r="X860" s="49"/>
      <c r="Y860" s="49"/>
      <c r="Z860" s="483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</row>
    <row r="861" spans="1:36" ht="16.5" hidden="1" thickTop="1">
      <c r="A861" s="284" t="s">
        <v>539</v>
      </c>
      <c r="B861" s="1"/>
      <c r="C861" s="182">
        <f>C880+C939</f>
        <v>901614.43199999991</v>
      </c>
      <c r="D861" s="276"/>
      <c r="E861" s="184"/>
      <c r="F861" s="184">
        <f>F880+F939</f>
        <v>7882312</v>
      </c>
      <c r="G861" s="4"/>
      <c r="H861" s="184"/>
      <c r="I861" s="184">
        <f>I880+I939</f>
        <v>7882312</v>
      </c>
      <c r="K861" s="184"/>
      <c r="L861" s="184">
        <f>L880+L939</f>
        <v>7882312</v>
      </c>
      <c r="M861" s="279"/>
      <c r="N861" s="185"/>
      <c r="O861" s="185"/>
      <c r="P861" s="490"/>
      <c r="Q861" s="104"/>
      <c r="R861" s="713"/>
      <c r="S861" s="38"/>
      <c r="T861" s="487"/>
      <c r="U861" s="288"/>
      <c r="V861" s="487"/>
      <c r="W861" s="483"/>
      <c r="X861" s="487"/>
      <c r="Y861" s="38"/>
      <c r="Z861" s="483"/>
      <c r="AA861" s="11"/>
      <c r="AB861" s="11"/>
      <c r="AC861" s="11"/>
      <c r="AD861" s="11"/>
      <c r="AE861" s="11"/>
      <c r="AF861" s="11"/>
      <c r="AG861" s="11"/>
      <c r="AH861" s="11"/>
    </row>
    <row r="862" spans="1:36" ht="16.5" hidden="1" thickTop="1">
      <c r="A862" s="186" t="s">
        <v>230</v>
      </c>
      <c r="B862" s="1"/>
      <c r="C862" s="28" t="s">
        <v>13</v>
      </c>
      <c r="D862" s="276"/>
      <c r="E862" s="184"/>
      <c r="F862" s="516" t="s">
        <v>13</v>
      </c>
      <c r="G862" s="4"/>
      <c r="H862" s="184"/>
      <c r="I862" s="516" t="s">
        <v>13</v>
      </c>
      <c r="K862" s="184"/>
      <c r="L862" s="516" t="s">
        <v>13</v>
      </c>
      <c r="M862" s="11"/>
      <c r="N862" s="11"/>
      <c r="O862" s="11"/>
      <c r="P862" s="490"/>
      <c r="Q862" s="490"/>
      <c r="R862" s="713"/>
      <c r="S862" s="38"/>
      <c r="T862" s="11"/>
      <c r="U862" s="11"/>
      <c r="V862" s="279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</row>
    <row r="863" spans="1:36" ht="16.5" hidden="1" thickTop="1">
      <c r="A863" s="186" t="s">
        <v>268</v>
      </c>
      <c r="B863" s="1"/>
      <c r="C863" s="182">
        <f t="shared" ref="C863:C869" si="75">C882+C941</f>
        <v>394620593.62835383</v>
      </c>
      <c r="D863" s="276"/>
      <c r="E863" s="184"/>
      <c r="F863" s="184">
        <f t="shared" ref="F863:F869" si="76">F882+F941</f>
        <v>0</v>
      </c>
      <c r="G863" s="4"/>
      <c r="H863" s="184"/>
      <c r="I863" s="184">
        <f t="shared" ref="I863:I869" si="77">I882+I941</f>
        <v>0</v>
      </c>
      <c r="K863" s="184"/>
      <c r="L863" s="184">
        <f t="shared" ref="L863:L869" si="78">L882+L941</f>
        <v>0</v>
      </c>
      <c r="M863" s="279"/>
      <c r="N863" s="279"/>
      <c r="O863" s="279"/>
      <c r="P863" s="490"/>
      <c r="Q863" s="104"/>
      <c r="R863" s="714"/>
      <c r="S863" s="38"/>
      <c r="T863" s="11"/>
      <c r="U863" s="11"/>
      <c r="V863" s="487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</row>
    <row r="864" spans="1:36" ht="16.5" hidden="1" thickTop="1">
      <c r="A864" s="172" t="s">
        <v>524</v>
      </c>
      <c r="B864" s="1"/>
      <c r="C864" s="182">
        <f t="shared" si="75"/>
        <v>155748767.09193075</v>
      </c>
      <c r="D864" s="515" t="s">
        <v>13</v>
      </c>
      <c r="E864" s="184" t="s">
        <v>13</v>
      </c>
      <c r="F864" s="184">
        <f t="shared" si="76"/>
        <v>8251161</v>
      </c>
      <c r="G864" s="287" t="s">
        <v>13</v>
      </c>
      <c r="H864" s="184" t="s">
        <v>13</v>
      </c>
      <c r="I864" s="184">
        <f t="shared" si="77"/>
        <v>8754229</v>
      </c>
      <c r="J864" s="515" t="s">
        <v>13</v>
      </c>
      <c r="K864" s="184" t="s">
        <v>13</v>
      </c>
      <c r="L864" s="184">
        <f t="shared" ca="1" si="78"/>
        <v>8732424</v>
      </c>
      <c r="M864" s="11"/>
      <c r="N864" s="11"/>
      <c r="O864" s="38"/>
      <c r="P864" s="38"/>
      <c r="Q864" s="38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</row>
    <row r="865" spans="1:34" ht="16.5" hidden="1" thickTop="1">
      <c r="A865" s="172" t="s">
        <v>525</v>
      </c>
      <c r="B865" s="1"/>
      <c r="C865" s="182">
        <f t="shared" si="75"/>
        <v>238871826.53642312</v>
      </c>
      <c r="D865" s="515" t="s">
        <v>13</v>
      </c>
      <c r="E865" s="184" t="s">
        <v>13</v>
      </c>
      <c r="F865" s="184">
        <f t="shared" si="76"/>
        <v>10426744</v>
      </c>
      <c r="G865" s="287" t="s">
        <v>13</v>
      </c>
      <c r="H865" s="184" t="s">
        <v>13</v>
      </c>
      <c r="I865" s="184">
        <f t="shared" si="77"/>
        <v>11198300</v>
      </c>
      <c r="J865" s="515" t="s">
        <v>13</v>
      </c>
      <c r="K865" s="184" t="s">
        <v>13</v>
      </c>
      <c r="L865" s="184">
        <f t="shared" ca="1" si="78"/>
        <v>11164858</v>
      </c>
      <c r="M865" s="11"/>
      <c r="N865" s="279"/>
      <c r="O865" s="38"/>
      <c r="P865" s="38"/>
      <c r="Q865" s="38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</row>
    <row r="866" spans="1:34" ht="16.5" hidden="1" thickTop="1">
      <c r="A866" s="186" t="s">
        <v>204</v>
      </c>
      <c r="B866" s="1"/>
      <c r="C866" s="182">
        <f t="shared" si="75"/>
        <v>160351.36363636321</v>
      </c>
      <c r="D866" s="189"/>
      <c r="E866" s="184"/>
      <c r="F866" s="2">
        <f t="shared" si="76"/>
        <v>91250.117272727031</v>
      </c>
      <c r="G866" s="216"/>
      <c r="H866" s="184"/>
      <c r="I866" s="2">
        <f t="shared" si="77"/>
        <v>91250.117272727017</v>
      </c>
      <c r="J866" s="189"/>
      <c r="K866" s="184"/>
      <c r="L866" s="2">
        <f t="shared" si="78"/>
        <v>91250.117272727017</v>
      </c>
      <c r="M866" s="279"/>
      <c r="N866" s="279"/>
      <c r="O866" s="279"/>
      <c r="P866" s="490"/>
      <c r="Q866" s="11"/>
      <c r="R866" s="11"/>
      <c r="S866" s="11"/>
      <c r="T866" s="11"/>
      <c r="U866" s="11"/>
      <c r="V866" s="11"/>
      <c r="Y866" s="11"/>
      <c r="Z866" s="11"/>
      <c r="AA866" s="11"/>
      <c r="AB866" s="11"/>
      <c r="AC866" s="11"/>
      <c r="AD866" s="11"/>
      <c r="AE866" s="11"/>
      <c r="AF866" s="11"/>
    </row>
    <row r="867" spans="1:34" ht="16.5" hidden="1" thickTop="1">
      <c r="A867" s="1" t="s">
        <v>185</v>
      </c>
      <c r="B867" s="1"/>
      <c r="C867" s="182">
        <f t="shared" si="75"/>
        <v>394620593.62835383</v>
      </c>
      <c r="D867" s="187"/>
      <c r="E867" s="1"/>
      <c r="F867" s="184">
        <f t="shared" si="76"/>
        <v>28913644.117272727</v>
      </c>
      <c r="G867" s="516"/>
      <c r="H867" s="1"/>
      <c r="I867" s="184">
        <f t="shared" si="77"/>
        <v>30188268.117272727</v>
      </c>
      <c r="J867" s="2"/>
      <c r="K867" s="1"/>
      <c r="L867" s="184">
        <f t="shared" ca="1" si="78"/>
        <v>30133021.117272727</v>
      </c>
      <c r="M867" s="185"/>
      <c r="N867" s="185"/>
      <c r="O867" s="614"/>
      <c r="P867" s="38"/>
      <c r="Q867" s="38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</row>
    <row r="868" spans="1:34" ht="16.5" hidden="1" thickTop="1">
      <c r="A868" s="1" t="s">
        <v>167</v>
      </c>
      <c r="B868" s="1"/>
      <c r="C868" s="171">
        <f t="shared" si="75"/>
        <v>5564969.8720139796</v>
      </c>
      <c r="D868" s="172"/>
      <c r="E868" s="172"/>
      <c r="F868" s="494">
        <f t="shared" si="76"/>
        <v>276989.59644031158</v>
      </c>
      <c r="G868" s="284"/>
      <c r="H868" s="172"/>
      <c r="I868" s="494">
        <f t="shared" si="77"/>
        <v>276989.59644031158</v>
      </c>
      <c r="J868" s="172"/>
      <c r="K868" s="172"/>
      <c r="L868" s="494">
        <f t="shared" si="78"/>
        <v>276989.59644031158</v>
      </c>
      <c r="M868" s="307"/>
      <c r="N868" s="307"/>
      <c r="O868" s="150"/>
      <c r="P868" s="38"/>
      <c r="Q868" s="38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</row>
    <row r="869" spans="1:34" ht="17.25" hidden="1" thickTop="1" thickBot="1">
      <c r="A869" s="1" t="s">
        <v>186</v>
      </c>
      <c r="B869" s="1"/>
      <c r="C869" s="618">
        <f t="shared" si="75"/>
        <v>400185563.50036788</v>
      </c>
      <c r="D869" s="205"/>
      <c r="E869" s="208"/>
      <c r="F869" s="496">
        <f t="shared" si="76"/>
        <v>29190633.713713039</v>
      </c>
      <c r="G869" s="741"/>
      <c r="H869" s="208"/>
      <c r="I869" s="496">
        <f t="shared" si="77"/>
        <v>30465257.713713039</v>
      </c>
      <c r="J869" s="205"/>
      <c r="K869" s="208"/>
      <c r="L869" s="496">
        <f t="shared" ca="1" si="78"/>
        <v>30410010.713713039</v>
      </c>
      <c r="M869" s="11"/>
      <c r="N869" s="11"/>
      <c r="O869" s="279"/>
      <c r="P869" s="500"/>
      <c r="Q869" s="500"/>
      <c r="R869" s="17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</row>
    <row r="870" spans="1:34" ht="16.5" thickTop="1">
      <c r="A870" s="1"/>
      <c r="B870" s="1"/>
      <c r="C870" s="213"/>
      <c r="D870" s="214"/>
      <c r="E870" s="14"/>
      <c r="F870" s="20"/>
      <c r="G870" s="742"/>
      <c r="H870" s="14"/>
      <c r="I870" s="20" t="s">
        <v>13</v>
      </c>
      <c r="J870" s="214"/>
      <c r="K870" s="14"/>
      <c r="L870" s="20" t="s">
        <v>13</v>
      </c>
      <c r="M870" s="500"/>
      <c r="N870" s="500"/>
      <c r="O870" s="279"/>
      <c r="P870" s="11"/>
      <c r="Q870" s="38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</row>
    <row r="871" spans="1:34">
      <c r="A871" s="156" t="s">
        <v>280</v>
      </c>
      <c r="B871" s="1"/>
      <c r="C871" s="1"/>
      <c r="D871" s="2"/>
      <c r="E871" s="1"/>
      <c r="F871" s="1"/>
      <c r="G871" s="516"/>
      <c r="H871" s="1"/>
      <c r="J871" s="2"/>
      <c r="K871" s="1"/>
      <c r="M871" s="11"/>
      <c r="N871" s="11"/>
      <c r="O871" s="38"/>
      <c r="P871" s="38"/>
      <c r="Q871" s="38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</row>
    <row r="872" spans="1:34">
      <c r="A872" s="172" t="s">
        <v>434</v>
      </c>
      <c r="B872" s="1"/>
      <c r="C872" s="1"/>
      <c r="D872" s="2"/>
      <c r="E872" s="1"/>
      <c r="F872" s="1"/>
      <c r="G872" s="516"/>
      <c r="H872" s="1"/>
      <c r="I872" s="1"/>
      <c r="J872" s="2"/>
      <c r="K872" s="1"/>
      <c r="L872" s="1"/>
      <c r="M872" s="20"/>
      <c r="N872" s="20"/>
      <c r="O872" s="17"/>
      <c r="P872" s="513"/>
      <c r="Q872" s="38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</row>
    <row r="873" spans="1:34">
      <c r="A873" s="186"/>
      <c r="B873" s="1"/>
      <c r="C873" s="1"/>
      <c r="D873" s="2"/>
      <c r="E873" s="1"/>
      <c r="F873" s="1"/>
      <c r="G873" s="516"/>
      <c r="H873" s="1"/>
      <c r="I873" s="1"/>
      <c r="J873" s="2"/>
      <c r="K873" s="1"/>
      <c r="L873" s="1"/>
      <c r="M873" s="11"/>
      <c r="N873" s="11"/>
      <c r="O873" s="38"/>
      <c r="P873" s="38"/>
      <c r="Q873" s="38"/>
      <c r="R873" s="11"/>
      <c r="S873" s="18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</row>
    <row r="874" spans="1:34">
      <c r="A874" s="186" t="s">
        <v>197</v>
      </c>
      <c r="B874" s="1"/>
      <c r="C874" s="182"/>
      <c r="D874" s="2"/>
      <c r="E874" s="1"/>
      <c r="F874" s="1"/>
      <c r="G874" s="516"/>
      <c r="H874" s="1"/>
      <c r="I874" s="1"/>
      <c r="J874" s="2"/>
      <c r="K874" s="1"/>
      <c r="L874" s="1"/>
      <c r="M874" s="11"/>
      <c r="N874" s="11"/>
      <c r="O874" s="38"/>
      <c r="P874" s="38"/>
      <c r="Q874" s="38"/>
      <c r="R874" s="11"/>
      <c r="S874" s="66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</row>
    <row r="875" spans="1:34">
      <c r="A875" s="186" t="s">
        <v>275</v>
      </c>
      <c r="B875" s="1"/>
      <c r="C875" s="182">
        <f t="shared" ref="C875:C880" si="79">C895+C914</f>
        <v>641.72727272727298</v>
      </c>
      <c r="D875" s="200">
        <v>1313</v>
      </c>
      <c r="E875" s="184"/>
      <c r="F875" s="2">
        <f>ROUND(D875*C875,0)</f>
        <v>842588</v>
      </c>
      <c r="G875" s="506">
        <v>1313</v>
      </c>
      <c r="H875" s="184"/>
      <c r="I875" s="2">
        <f>ROUND(G875*$C875,0)</f>
        <v>842588</v>
      </c>
      <c r="J875" s="164">
        <f t="shared" ref="J875:J876" si="80">G875</f>
        <v>1313</v>
      </c>
      <c r="K875" s="184"/>
      <c r="L875" s="2">
        <f>ROUND(J875*$C875,0)</f>
        <v>842588</v>
      </c>
      <c r="M875" s="279"/>
      <c r="N875" s="321"/>
      <c r="O875" s="38"/>
      <c r="P875" s="513"/>
      <c r="Q875" s="500"/>
      <c r="R875" s="11"/>
      <c r="S875" s="660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</row>
    <row r="876" spans="1:34">
      <c r="A876" s="186" t="s">
        <v>276</v>
      </c>
      <c r="B876" s="1"/>
      <c r="C876" s="182">
        <f t="shared" si="79"/>
        <v>0</v>
      </c>
      <c r="D876" s="200">
        <v>1587</v>
      </c>
      <c r="E876" s="187"/>
      <c r="F876" s="2">
        <f>ROUND(D876*C876,0)</f>
        <v>0</v>
      </c>
      <c r="G876" s="506">
        <v>1587</v>
      </c>
      <c r="H876" s="187"/>
      <c r="I876" s="2">
        <f>ROUND(G876*$C876,0)</f>
        <v>0</v>
      </c>
      <c r="J876" s="164">
        <f t="shared" si="80"/>
        <v>1587</v>
      </c>
      <c r="K876" s="187"/>
      <c r="L876" s="2">
        <f>ROUND(J876*$C876,0)</f>
        <v>0</v>
      </c>
      <c r="M876" s="279"/>
      <c r="N876" s="11"/>
      <c r="O876" s="38"/>
      <c r="P876" s="513"/>
      <c r="Q876" s="500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</row>
    <row r="877" spans="1:34">
      <c r="A877" s="186" t="s">
        <v>198</v>
      </c>
      <c r="B877" s="1"/>
      <c r="C877" s="182">
        <f t="shared" si="79"/>
        <v>641.72727272727298</v>
      </c>
      <c r="D877" s="200" t="s">
        <v>13</v>
      </c>
      <c r="E877" s="184"/>
      <c r="F877" s="2" t="s">
        <v>13</v>
      </c>
      <c r="G877" s="216" t="s">
        <v>13</v>
      </c>
      <c r="H877" s="184"/>
      <c r="I877" s="2" t="s">
        <v>13</v>
      </c>
      <c r="J877" s="189" t="s">
        <v>13</v>
      </c>
      <c r="K877" s="184"/>
      <c r="L877" s="2" t="s">
        <v>13</v>
      </c>
      <c r="M877" s="279"/>
      <c r="N877" s="11"/>
      <c r="O877" s="38"/>
      <c r="P877" s="617"/>
      <c r="Q877" s="38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</row>
    <row r="878" spans="1:34">
      <c r="A878" s="186" t="s">
        <v>277</v>
      </c>
      <c r="B878" s="1"/>
      <c r="C878" s="182">
        <f t="shared" si="79"/>
        <v>915203.06896551698</v>
      </c>
      <c r="D878" s="200">
        <v>1.22</v>
      </c>
      <c r="E878" s="184"/>
      <c r="F878" s="2">
        <f>ROUND(D878*C878,0)</f>
        <v>1116548</v>
      </c>
      <c r="G878" s="506">
        <v>1.22</v>
      </c>
      <c r="H878" s="184"/>
      <c r="I878" s="2">
        <f>ROUND(G878*$C878,0)</f>
        <v>1116548</v>
      </c>
      <c r="J878" s="164">
        <f t="shared" ref="J878:J880" si="81">G878</f>
        <v>1.22</v>
      </c>
      <c r="K878" s="184"/>
      <c r="L878" s="2">
        <f>ROUND(J878*$C878,0)</f>
        <v>1116548</v>
      </c>
      <c r="M878" s="279"/>
      <c r="N878" s="11"/>
      <c r="O878" s="38"/>
      <c r="P878" s="513"/>
      <c r="Q878" s="500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</row>
    <row r="879" spans="1:34">
      <c r="A879" s="186" t="s">
        <v>278</v>
      </c>
      <c r="B879" s="1"/>
      <c r="C879" s="182">
        <f t="shared" si="79"/>
        <v>0</v>
      </c>
      <c r="D879" s="200">
        <v>1.0900000000000001</v>
      </c>
      <c r="E879" s="184"/>
      <c r="F879" s="2">
        <f>ROUND(D879*C879,0)</f>
        <v>0</v>
      </c>
      <c r="G879" s="506">
        <v>1.0900000000000001</v>
      </c>
      <c r="H879" s="184"/>
      <c r="I879" s="2">
        <f>ROUND(G879*$C879,0)</f>
        <v>0</v>
      </c>
      <c r="J879" s="164">
        <f t="shared" si="81"/>
        <v>1.0900000000000001</v>
      </c>
      <c r="K879" s="184"/>
      <c r="L879" s="2">
        <f>ROUND(J879*$C879,0)</f>
        <v>0</v>
      </c>
      <c r="M879" s="279"/>
      <c r="N879" s="11"/>
      <c r="O879" s="38"/>
      <c r="P879" s="513"/>
      <c r="Q879" s="500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</row>
    <row r="880" spans="1:34">
      <c r="A880" s="284" t="s">
        <v>539</v>
      </c>
      <c r="B880" s="1"/>
      <c r="C880" s="182">
        <f t="shared" si="79"/>
        <v>741361.15199999989</v>
      </c>
      <c r="D880" s="200">
        <v>8.73</v>
      </c>
      <c r="E880" s="184"/>
      <c r="F880" s="2">
        <f>ROUND(D880*C880,0)</f>
        <v>6472083</v>
      </c>
      <c r="G880" s="506">
        <v>8.73</v>
      </c>
      <c r="H880" s="184"/>
      <c r="I880" s="2">
        <f>ROUND(G880*$C880,0)</f>
        <v>6472083</v>
      </c>
      <c r="J880" s="164">
        <f t="shared" si="81"/>
        <v>8.73</v>
      </c>
      <c r="K880" s="184"/>
      <c r="L880" s="2">
        <f>ROUND(J880*$C880,0)</f>
        <v>6472083</v>
      </c>
      <c r="M880" s="279"/>
      <c r="N880" s="11"/>
      <c r="O880" s="38"/>
      <c r="P880" s="513"/>
      <c r="Q880" s="500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</row>
    <row r="881" spans="1:34">
      <c r="A881" s="186" t="s">
        <v>230</v>
      </c>
      <c r="B881" s="1"/>
      <c r="C881" s="182"/>
      <c r="D881" s="200" t="s">
        <v>13</v>
      </c>
      <c r="E881" s="184"/>
      <c r="F881" s="2"/>
      <c r="G881" s="216" t="s">
        <v>13</v>
      </c>
      <c r="H881" s="184"/>
      <c r="I881" s="2"/>
      <c r="J881" s="189" t="s">
        <v>13</v>
      </c>
      <c r="K881" s="184"/>
      <c r="L881" s="2"/>
      <c r="M881" s="279"/>
      <c r="N881" s="11"/>
      <c r="O881" s="38"/>
      <c r="P881" s="617"/>
      <c r="Q881" s="38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</row>
    <row r="882" spans="1:34">
      <c r="A882" s="186" t="s">
        <v>268</v>
      </c>
      <c r="B882" s="1"/>
      <c r="C882" s="182">
        <f>C902+C921</f>
        <v>328149970.81905723</v>
      </c>
      <c r="D882" s="258"/>
      <c r="E882" s="184"/>
      <c r="F882" s="2">
        <f>ROUND(D882/100*C882,0)</f>
        <v>0</v>
      </c>
      <c r="G882" s="749"/>
      <c r="H882" s="184"/>
      <c r="I882" s="2">
        <v>0</v>
      </c>
      <c r="J882" s="258"/>
      <c r="K882" s="184"/>
      <c r="L882" s="2">
        <v>0</v>
      </c>
      <c r="M882" s="279"/>
      <c r="N882" s="11"/>
      <c r="O882" s="38"/>
      <c r="P882" s="513"/>
      <c r="Q882" s="500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</row>
    <row r="883" spans="1:34">
      <c r="A883" s="172" t="s">
        <v>524</v>
      </c>
      <c r="B883" s="1"/>
      <c r="C883" s="182">
        <f>C903+C922</f>
        <v>129108340.34878281</v>
      </c>
      <c r="D883" s="515">
        <v>5.3079999999999998</v>
      </c>
      <c r="E883" s="184" t="s">
        <v>178</v>
      </c>
      <c r="F883" s="2">
        <f>ROUND(D883/100*C883,0)</f>
        <v>6853071</v>
      </c>
      <c r="G883" s="731">
        <v>5.6310000000000002</v>
      </c>
      <c r="H883" s="184" t="s">
        <v>178</v>
      </c>
      <c r="I883" s="2">
        <f>ROUND(G883/100*$C883,0)</f>
        <v>7270091</v>
      </c>
      <c r="J883" s="162">
        <f ca="1">ROUND(G883+($O$833/($C$886+$C$945))*100,3)</f>
        <v>5.617</v>
      </c>
      <c r="K883" s="184" t="s">
        <v>178</v>
      </c>
      <c r="L883" s="2">
        <f ca="1">ROUND(J883/100*$C883,0)</f>
        <v>7252015</v>
      </c>
      <c r="M883" s="279"/>
      <c r="N883" s="11"/>
      <c r="O883" s="38"/>
      <c r="P883" s="38"/>
      <c r="Q883" s="38"/>
      <c r="R883" s="11"/>
      <c r="S883" s="11"/>
      <c r="T883" s="11"/>
      <c r="U883" s="6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</row>
    <row r="884" spans="1:34">
      <c r="A884" s="172" t="s">
        <v>525</v>
      </c>
      <c r="B884" s="1"/>
      <c r="C884" s="182">
        <f>C904+C923</f>
        <v>199041630.47027442</v>
      </c>
      <c r="D884" s="515">
        <v>4.375</v>
      </c>
      <c r="E884" s="184" t="s">
        <v>178</v>
      </c>
      <c r="F884" s="2">
        <f>ROUND(D884/100*C884,0)</f>
        <v>8708071</v>
      </c>
      <c r="G884" s="731">
        <v>4.6980000000000004</v>
      </c>
      <c r="H884" s="184" t="s">
        <v>178</v>
      </c>
      <c r="I884" s="2">
        <f>ROUND(G884/100*$C884,0)</f>
        <v>9350976</v>
      </c>
      <c r="J884" s="162">
        <f ca="1">ROUND(G884+($O$833/($C$886+$C$945))*100,3)</f>
        <v>4.6840000000000002</v>
      </c>
      <c r="K884" s="184" t="s">
        <v>178</v>
      </c>
      <c r="L884" s="2">
        <f ca="1">ROUND(J884/100*$C884,0)</f>
        <v>9323110</v>
      </c>
      <c r="M884" s="279"/>
      <c r="N884" s="11"/>
      <c r="O884" s="38"/>
      <c r="P884" s="38"/>
      <c r="Q884" s="38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</row>
    <row r="885" spans="1:34">
      <c r="A885" s="186" t="s">
        <v>204</v>
      </c>
      <c r="B885" s="1"/>
      <c r="C885" s="182">
        <f>C905+C924</f>
        <v>145335.36363636321</v>
      </c>
      <c r="D885" s="189">
        <v>0.56999999999999995</v>
      </c>
      <c r="E885" s="184"/>
      <c r="F885" s="182">
        <f>C885*D885</f>
        <v>82841.157272727025</v>
      </c>
      <c r="G885" s="216">
        <v>0.56999999999999995</v>
      </c>
      <c r="H885" s="184"/>
      <c r="I885" s="182">
        <f>I905+I924</f>
        <v>82841.15727272701</v>
      </c>
      <c r="J885" s="189">
        <f t="shared" ref="J885" si="82">G885</f>
        <v>0.56999999999999995</v>
      </c>
      <c r="K885" s="184"/>
      <c r="L885" s="182">
        <f>L905+L924</f>
        <v>82841.15727272701</v>
      </c>
      <c r="M885" s="279"/>
      <c r="N885" s="38"/>
      <c r="O885" s="38"/>
      <c r="P885" s="11"/>
      <c r="Q885" s="11"/>
      <c r="R885" s="11"/>
      <c r="S885" s="11"/>
      <c r="T885" s="11"/>
      <c r="U885" s="11"/>
      <c r="V885" s="11"/>
      <c r="Y885" s="11"/>
      <c r="Z885" s="11"/>
      <c r="AA885" s="11"/>
      <c r="AB885" s="11"/>
      <c r="AC885" s="11"/>
      <c r="AD885" s="11"/>
      <c r="AE885" s="11"/>
      <c r="AF885" s="11"/>
    </row>
    <row r="886" spans="1:34">
      <c r="A886" s="1" t="s">
        <v>185</v>
      </c>
      <c r="B886" s="1"/>
      <c r="C886" s="182">
        <f>C882</f>
        <v>328149970.81905723</v>
      </c>
      <c r="D886" s="193"/>
      <c r="E886" s="1"/>
      <c r="F886" s="2">
        <f>SUM(F875:F885)</f>
        <v>24075202.157272726</v>
      </c>
      <c r="G886" s="733"/>
      <c r="H886" s="1"/>
      <c r="I886" s="2">
        <f>SUM(I875:I885)</f>
        <v>25135127.157272726</v>
      </c>
      <c r="J886" s="193"/>
      <c r="K886" s="1"/>
      <c r="L886" s="2">
        <f ca="1">SUM(L875:L885)</f>
        <v>25089185.157272726</v>
      </c>
      <c r="M886" s="279"/>
      <c r="N886" s="11"/>
      <c r="O886" s="38"/>
      <c r="P886" s="38"/>
      <c r="Q886" s="38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</row>
    <row r="887" spans="1:34">
      <c r="A887" s="1" t="s">
        <v>167</v>
      </c>
      <c r="B887" s="1"/>
      <c r="C887" s="182">
        <f>C907+C926</f>
        <v>4944665.5555615174</v>
      </c>
      <c r="D887" s="172"/>
      <c r="E887" s="172"/>
      <c r="F887" s="204">
        <f>F907+F926</f>
        <v>214551.19989836428</v>
      </c>
      <c r="G887" s="284"/>
      <c r="H887" s="172"/>
      <c r="I887" s="204">
        <f>F887</f>
        <v>214551.19989836428</v>
      </c>
      <c r="J887" s="172"/>
      <c r="K887" s="172"/>
      <c r="L887" s="204">
        <f>I887</f>
        <v>214551.19989836428</v>
      </c>
      <c r="M887" s="279"/>
      <c r="N887" s="307"/>
      <c r="O887" s="150"/>
      <c r="P887" s="38"/>
      <c r="Q887" s="38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</row>
    <row r="888" spans="1:34" ht="18" customHeight="1" thickBot="1">
      <c r="A888" s="1" t="s">
        <v>186</v>
      </c>
      <c r="B888" s="1"/>
      <c r="C888" s="256">
        <f>SUM(C886)+C887</f>
        <v>333094636.37461877</v>
      </c>
      <c r="D888" s="205"/>
      <c r="E888" s="208"/>
      <c r="F888" s="207">
        <f>F886+F887</f>
        <v>24289753.357171092</v>
      </c>
      <c r="G888" s="741"/>
      <c r="H888" s="208"/>
      <c r="I888" s="207">
        <f>I886+I887</f>
        <v>25349678.357171092</v>
      </c>
      <c r="J888" s="205"/>
      <c r="K888" s="208"/>
      <c r="L888" s="207">
        <f ca="1">L886+L887</f>
        <v>25303736.357171092</v>
      </c>
      <c r="M888" s="279"/>
      <c r="N888" s="6"/>
      <c r="O888" s="17"/>
      <c r="P888" s="513"/>
      <c r="Q888" s="38"/>
      <c r="R888" s="510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</row>
    <row r="889" spans="1:34" ht="16.5" thickTop="1">
      <c r="A889" s="1"/>
      <c r="B889" s="1"/>
      <c r="C889" s="12"/>
      <c r="D889" s="200"/>
      <c r="E889" s="1"/>
      <c r="F889" s="2" t="s">
        <v>13</v>
      </c>
      <c r="G889" s="216"/>
      <c r="H889" s="1"/>
      <c r="I889" s="243"/>
      <c r="J889" s="200"/>
      <c r="K889" s="1"/>
      <c r="L889" s="243"/>
      <c r="M889" s="279"/>
      <c r="N889" s="715"/>
      <c r="O889" s="715"/>
      <c r="P889" s="715"/>
      <c r="Q889" s="38"/>
      <c r="R889" s="6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</row>
    <row r="890" spans="1:34" hidden="1">
      <c r="A890" s="1"/>
      <c r="B890" s="1"/>
      <c r="C890" s="679" t="s">
        <v>13</v>
      </c>
      <c r="D890" s="200"/>
      <c r="E890" s="1"/>
      <c r="F890" s="2"/>
      <c r="G890" s="216"/>
      <c r="H890" s="1"/>
      <c r="I890" s="2" t="s">
        <v>13</v>
      </c>
      <c r="J890" s="200"/>
      <c r="K890" s="1"/>
      <c r="L890" s="2" t="s">
        <v>13</v>
      </c>
      <c r="M890" s="279"/>
      <c r="N890" s="274"/>
      <c r="O890" s="274"/>
      <c r="P890" s="274"/>
      <c r="Q890" s="38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</row>
    <row r="891" spans="1:34" hidden="1">
      <c r="A891" s="156" t="s">
        <v>280</v>
      </c>
      <c r="B891" s="1"/>
      <c r="C891" s="1"/>
      <c r="D891" s="2"/>
      <c r="E891" s="1"/>
      <c r="F891" s="1"/>
      <c r="G891" s="516"/>
      <c r="H891" s="1"/>
      <c r="I891" s="1"/>
      <c r="J891" s="2"/>
      <c r="K891" s="1"/>
      <c r="L891" s="1"/>
      <c r="M891" s="279"/>
      <c r="N891" s="11"/>
      <c r="O891" s="38"/>
      <c r="P891" s="38"/>
      <c r="Q891" s="38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</row>
    <row r="892" spans="1:34" hidden="1">
      <c r="A892" s="172" t="s">
        <v>433</v>
      </c>
      <c r="B892" s="1"/>
      <c r="C892" s="1"/>
      <c r="D892" s="2"/>
      <c r="E892" s="1"/>
      <c r="F892" s="1"/>
      <c r="G892" s="516"/>
      <c r="H892" s="1"/>
      <c r="I892" s="1"/>
      <c r="J892" s="2"/>
      <c r="K892" s="1"/>
      <c r="L892" s="1"/>
      <c r="M892" s="279"/>
      <c r="N892" s="11"/>
      <c r="O892" s="38"/>
      <c r="P892" s="38"/>
      <c r="Q892" s="38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</row>
    <row r="893" spans="1:34" hidden="1">
      <c r="A893" s="186"/>
      <c r="B893" s="1"/>
      <c r="C893" s="1"/>
      <c r="D893" s="2"/>
      <c r="E893" s="1"/>
      <c r="F893" s="1"/>
      <c r="G893" s="516"/>
      <c r="H893" s="1"/>
      <c r="I893" s="1"/>
      <c r="J893" s="2"/>
      <c r="K893" s="1"/>
      <c r="L893" s="1"/>
      <c r="M893" s="279"/>
      <c r="N893" s="11"/>
      <c r="O893" s="38"/>
      <c r="P893" s="38"/>
      <c r="Q893" s="38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</row>
    <row r="894" spans="1:34" hidden="1">
      <c r="A894" s="186" t="s">
        <v>197</v>
      </c>
      <c r="B894" s="1"/>
      <c r="C894" s="182"/>
      <c r="D894" s="2"/>
      <c r="E894" s="1"/>
      <c r="F894" s="1"/>
      <c r="G894" s="516"/>
      <c r="H894" s="1"/>
      <c r="I894" s="1"/>
      <c r="J894" s="2"/>
      <c r="K894" s="1"/>
      <c r="L894" s="1"/>
      <c r="M894" s="279"/>
      <c r="N894" s="11"/>
      <c r="O894" s="38"/>
      <c r="P894" s="38"/>
      <c r="Q894" s="38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</row>
    <row r="895" spans="1:34" hidden="1">
      <c r="A895" s="186" t="s">
        <v>275</v>
      </c>
      <c r="B895" s="1"/>
      <c r="C895" s="182">
        <v>328.84848484848499</v>
      </c>
      <c r="D895" s="200">
        <f>D875</f>
        <v>1313</v>
      </c>
      <c r="E895" s="184"/>
      <c r="F895" s="2">
        <f>ROUND(D895*C895,0)</f>
        <v>431778</v>
      </c>
      <c r="G895" s="216">
        <v>1313</v>
      </c>
      <c r="H895" s="184"/>
      <c r="I895" s="2">
        <f>ROUND(G895*$C895,0)</f>
        <v>431778</v>
      </c>
      <c r="J895" s="200">
        <f>J875</f>
        <v>1313</v>
      </c>
      <c r="K895" s="184"/>
      <c r="L895" s="2">
        <f>ROUND(J895*$C895,0)</f>
        <v>431778</v>
      </c>
      <c r="M895" s="279"/>
      <c r="N895" s="11"/>
      <c r="O895" s="38"/>
      <c r="P895" s="38"/>
      <c r="Q895" s="38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</row>
    <row r="896" spans="1:34" hidden="1">
      <c r="A896" s="186" t="s">
        <v>276</v>
      </c>
      <c r="B896" s="1"/>
      <c r="C896" s="182">
        <v>0</v>
      </c>
      <c r="D896" s="200">
        <f>D876</f>
        <v>1587</v>
      </c>
      <c r="E896" s="187"/>
      <c r="F896" s="2">
        <f>ROUND(D896*C896,0)</f>
        <v>0</v>
      </c>
      <c r="G896" s="216">
        <v>1587</v>
      </c>
      <c r="H896" s="187"/>
      <c r="I896" s="2">
        <f>ROUND(G896*$C896,0)</f>
        <v>0</v>
      </c>
      <c r="J896" s="200">
        <f>J876</f>
        <v>1587</v>
      </c>
      <c r="K896" s="187"/>
      <c r="L896" s="2">
        <f>ROUND(J896*$C896,0)</f>
        <v>0</v>
      </c>
      <c r="M896" s="279"/>
      <c r="N896" s="11"/>
      <c r="O896" s="38"/>
      <c r="P896" s="38"/>
      <c r="Q896" s="38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</row>
    <row r="897" spans="1:34" hidden="1">
      <c r="A897" s="186" t="s">
        <v>198</v>
      </c>
      <c r="B897" s="1"/>
      <c r="C897" s="182">
        <f>SUM(C895:C896)</f>
        <v>328.84848484848499</v>
      </c>
      <c r="D897" s="200"/>
      <c r="E897" s="184"/>
      <c r="F897" s="2" t="s">
        <v>13</v>
      </c>
      <c r="G897" s="216" t="s">
        <v>13</v>
      </c>
      <c r="H897" s="184"/>
      <c r="I897" s="2" t="s">
        <v>13</v>
      </c>
      <c r="J897" s="200" t="s">
        <v>13</v>
      </c>
      <c r="K897" s="184"/>
      <c r="L897" s="2" t="s">
        <v>13</v>
      </c>
      <c r="M897" s="279"/>
      <c r="N897" s="11"/>
      <c r="O897" s="38"/>
      <c r="P897" s="38"/>
      <c r="Q897" s="38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</row>
    <row r="898" spans="1:34" hidden="1">
      <c r="A898" s="186" t="s">
        <v>277</v>
      </c>
      <c r="B898" s="1"/>
      <c r="C898" s="182">
        <v>407303.06896551698</v>
      </c>
      <c r="D898" s="200">
        <f>D878</f>
        <v>1.22</v>
      </c>
      <c r="E898" s="184"/>
      <c r="F898" s="2">
        <f>ROUND(D898*C898,0)</f>
        <v>496910</v>
      </c>
      <c r="G898" s="216">
        <v>1.22</v>
      </c>
      <c r="H898" s="184"/>
      <c r="I898" s="2">
        <f>ROUND(G898*$C898,0)</f>
        <v>496910</v>
      </c>
      <c r="J898" s="200">
        <f>J878</f>
        <v>1.22</v>
      </c>
      <c r="K898" s="184"/>
      <c r="L898" s="2">
        <f>ROUND(J898*$C898,0)</f>
        <v>496910</v>
      </c>
      <c r="M898" s="279"/>
      <c r="N898" s="11"/>
      <c r="O898" s="38"/>
      <c r="P898" s="38"/>
      <c r="Q898" s="38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</row>
    <row r="899" spans="1:34" hidden="1">
      <c r="A899" s="186" t="s">
        <v>278</v>
      </c>
      <c r="B899" s="1"/>
      <c r="C899" s="182">
        <v>0</v>
      </c>
      <c r="D899" s="200">
        <f>D879</f>
        <v>1.0900000000000001</v>
      </c>
      <c r="E899" s="184"/>
      <c r="F899" s="2">
        <f>ROUND(D899*C899,0)</f>
        <v>0</v>
      </c>
      <c r="G899" s="216">
        <v>1.0900000000000001</v>
      </c>
      <c r="H899" s="184"/>
      <c r="I899" s="2">
        <f>ROUND(G899*$C899,0)</f>
        <v>0</v>
      </c>
      <c r="J899" s="200">
        <f>J879</f>
        <v>1.0900000000000001</v>
      </c>
      <c r="K899" s="184"/>
      <c r="L899" s="2">
        <f>ROUND(J899*$C899,0)</f>
        <v>0</v>
      </c>
      <c r="M899" s="279"/>
      <c r="N899" s="11"/>
      <c r="O899" s="38"/>
      <c r="P899" s="38"/>
      <c r="Q899" s="38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</row>
    <row r="900" spans="1:34" hidden="1">
      <c r="A900" s="284" t="s">
        <v>539</v>
      </c>
      <c r="B900" s="1"/>
      <c r="C900" s="182">
        <v>302169.36135238822</v>
      </c>
      <c r="D900" s="200">
        <f>D880</f>
        <v>8.73</v>
      </c>
      <c r="E900" s="184"/>
      <c r="F900" s="2">
        <f>ROUND(D900*$C900,0)</f>
        <v>2637939</v>
      </c>
      <c r="G900" s="216">
        <v>8.73</v>
      </c>
      <c r="H900" s="184"/>
      <c r="I900" s="2">
        <f>ROUND(G900*$C900,0)</f>
        <v>2637939</v>
      </c>
      <c r="J900" s="200">
        <f>J880</f>
        <v>8.73</v>
      </c>
      <c r="K900" s="184"/>
      <c r="L900" s="2">
        <f>ROUND(J900*$C900,0)</f>
        <v>2637939</v>
      </c>
      <c r="M900" s="279"/>
      <c r="N900" s="11"/>
      <c r="O900" s="38"/>
      <c r="P900" s="38"/>
      <c r="Q900" s="38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</row>
    <row r="901" spans="1:34" hidden="1">
      <c r="A901" s="186" t="s">
        <v>230</v>
      </c>
      <c r="B901" s="1"/>
      <c r="C901" s="182"/>
      <c r="D901" s="200"/>
      <c r="E901" s="184"/>
      <c r="F901" s="2"/>
      <c r="G901" s="216" t="s">
        <v>13</v>
      </c>
      <c r="H901" s="184"/>
      <c r="I901" s="2"/>
      <c r="J901" s="200" t="s">
        <v>13</v>
      </c>
      <c r="K901" s="184"/>
      <c r="L901" s="2"/>
      <c r="M901" s="279"/>
      <c r="N901" s="11"/>
      <c r="O901" s="38"/>
      <c r="P901" s="38"/>
      <c r="Q901" s="38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</row>
    <row r="902" spans="1:34" hidden="1">
      <c r="A902" s="186" t="s">
        <v>268</v>
      </c>
      <c r="B902" s="1"/>
      <c r="C902" s="182">
        <v>127260720.81905724</v>
      </c>
      <c r="D902" s="258"/>
      <c r="E902" s="184"/>
      <c r="F902" s="2"/>
      <c r="G902" s="749"/>
      <c r="H902" s="184"/>
      <c r="I902" s="2"/>
      <c r="J902" s="258"/>
      <c r="K902" s="184"/>
      <c r="L902" s="2"/>
      <c r="M902" s="279"/>
      <c r="N902" s="11"/>
      <c r="O902" s="38"/>
      <c r="P902" s="38"/>
      <c r="Q902" s="38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</row>
    <row r="903" spans="1:34" hidden="1">
      <c r="A903" s="172" t="s">
        <v>524</v>
      </c>
      <c r="B903" s="1"/>
      <c r="C903" s="182">
        <v>50069851.950704731</v>
      </c>
      <c r="D903" s="245">
        <f>D883</f>
        <v>5.3079999999999998</v>
      </c>
      <c r="E903" s="184" t="s">
        <v>178</v>
      </c>
      <c r="F903" s="184">
        <f>ROUND(D903/100*C903,0)</f>
        <v>2657708</v>
      </c>
      <c r="G903" s="287">
        <v>5.6310000000000002</v>
      </c>
      <c r="H903" s="184" t="s">
        <v>178</v>
      </c>
      <c r="I903" s="184">
        <f>ROUND(G903/100*$C903,0)</f>
        <v>2819433</v>
      </c>
      <c r="J903" s="245">
        <f ca="1">J883</f>
        <v>5.617</v>
      </c>
      <c r="K903" s="184" t="s">
        <v>178</v>
      </c>
      <c r="L903" s="184">
        <f ca="1">ROUND(J903/100*$C903,0)</f>
        <v>2812424</v>
      </c>
      <c r="M903" s="279"/>
      <c r="N903" s="11"/>
      <c r="O903" s="38"/>
      <c r="P903" s="38"/>
      <c r="Q903" s="38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</row>
    <row r="904" spans="1:34" hidden="1">
      <c r="A904" s="172" t="s">
        <v>525</v>
      </c>
      <c r="B904" s="1"/>
      <c r="C904" s="182">
        <f>C906-C903</f>
        <v>77190868.868352503</v>
      </c>
      <c r="D904" s="245">
        <f>D884</f>
        <v>4.375</v>
      </c>
      <c r="E904" s="184" t="s">
        <v>178</v>
      </c>
      <c r="F904" s="184">
        <f>ROUND(D904/100*C904,0)</f>
        <v>3377101</v>
      </c>
      <c r="G904" s="287">
        <v>4.6980000000000004</v>
      </c>
      <c r="H904" s="184" t="s">
        <v>178</v>
      </c>
      <c r="I904" s="184">
        <f>ROUND(G904/100*$C904,0)</f>
        <v>3626427</v>
      </c>
      <c r="J904" s="245">
        <f ca="1">J884</f>
        <v>4.6840000000000002</v>
      </c>
      <c r="K904" s="184" t="s">
        <v>178</v>
      </c>
      <c r="L904" s="184">
        <f ca="1">ROUND(J904/100*$C904,0)</f>
        <v>3615620</v>
      </c>
      <c r="M904" s="279"/>
      <c r="N904" s="11"/>
      <c r="O904" s="38"/>
      <c r="P904" s="38"/>
      <c r="Q904" s="38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</row>
    <row r="905" spans="1:34" hidden="1">
      <c r="A905" s="186" t="s">
        <v>204</v>
      </c>
      <c r="B905" s="1"/>
      <c r="C905" s="182">
        <v>27823.4242424242</v>
      </c>
      <c r="D905" s="189">
        <v>0.56999999999999995</v>
      </c>
      <c r="E905" s="184"/>
      <c r="F905" s="2">
        <f>C905*D905</f>
        <v>15859.351818181793</v>
      </c>
      <c r="G905" s="216">
        <v>0.56999999999999995</v>
      </c>
      <c r="H905" s="184"/>
      <c r="I905" s="2">
        <f>C905*G905</f>
        <v>15859.351818181793</v>
      </c>
      <c r="J905" s="189">
        <f>J885</f>
        <v>0.56999999999999995</v>
      </c>
      <c r="K905" s="184"/>
      <c r="L905" s="2">
        <f>C905*J905</f>
        <v>15859.351818181793</v>
      </c>
      <c r="M905" s="279"/>
      <c r="N905" s="38"/>
      <c r="O905" s="38"/>
      <c r="P905" s="11"/>
      <c r="Q905" s="11"/>
      <c r="R905" s="11"/>
      <c r="S905" s="11"/>
      <c r="T905" s="11"/>
      <c r="U905" s="11"/>
      <c r="V905" s="11"/>
      <c r="Y905" s="11"/>
      <c r="Z905" s="11"/>
      <c r="AA905" s="11"/>
      <c r="AB905" s="11"/>
      <c r="AC905" s="11"/>
      <c r="AD905" s="11"/>
      <c r="AE905" s="11"/>
      <c r="AF905" s="11"/>
    </row>
    <row r="906" spans="1:34" hidden="1">
      <c r="A906" s="1" t="s">
        <v>185</v>
      </c>
      <c r="B906" s="1"/>
      <c r="C906" s="182">
        <f>C902</f>
        <v>127260720.81905724</v>
      </c>
      <c r="D906" s="193"/>
      <c r="E906" s="1"/>
      <c r="F906" s="2">
        <f>SUM(F895:F905)</f>
        <v>9617295.3518181816</v>
      </c>
      <c r="G906" s="733"/>
      <c r="H906" s="1"/>
      <c r="I906" s="2">
        <f>SUM(I895:I905)</f>
        <v>10028346.351818182</v>
      </c>
      <c r="J906" s="193"/>
      <c r="K906" s="1"/>
      <c r="L906" s="2">
        <f ca="1">SUM(L895:L905)</f>
        <v>10010530.351818182</v>
      </c>
      <c r="M906" s="279"/>
      <c r="N906" s="11"/>
      <c r="O906" s="38"/>
      <c r="P906" s="500"/>
      <c r="Q906" s="500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</row>
    <row r="907" spans="1:34" hidden="1">
      <c r="A907" s="1" t="s">
        <v>167</v>
      </c>
      <c r="B907" s="1"/>
      <c r="C907" s="182">
        <f>C906/($C$906+$C$966)*$C$1005</f>
        <v>1169270.4870616279</v>
      </c>
      <c r="D907" s="172"/>
      <c r="E907" s="172"/>
      <c r="F907" s="204">
        <f>F906/($F$906+$F$966)*$F$1005</f>
        <v>127079.43647024817</v>
      </c>
      <c r="G907" s="284"/>
      <c r="H907" s="172"/>
      <c r="I907" s="204">
        <f>F907</f>
        <v>127079.43647024817</v>
      </c>
      <c r="J907" s="172"/>
      <c r="K907" s="172"/>
      <c r="L907" s="204">
        <f>I907</f>
        <v>127079.43647024817</v>
      </c>
      <c r="M907" s="279"/>
      <c r="N907" s="307"/>
      <c r="O907" s="500"/>
      <c r="P907" s="38"/>
      <c r="Q907" s="38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</row>
    <row r="908" spans="1:34" ht="16.5" hidden="1" thickBot="1">
      <c r="A908" s="1" t="s">
        <v>186</v>
      </c>
      <c r="B908" s="1"/>
      <c r="C908" s="256">
        <f>SUM(C906)+C907</f>
        <v>128429991.30611888</v>
      </c>
      <c r="D908" s="205"/>
      <c r="E908" s="208"/>
      <c r="F908" s="207">
        <f>F906+F907</f>
        <v>9744374.7882884294</v>
      </c>
      <c r="G908" s="741"/>
      <c r="H908" s="208"/>
      <c r="I908" s="207">
        <f>I906+I907</f>
        <v>10155425.788288429</v>
      </c>
      <c r="J908" s="205"/>
      <c r="K908" s="208"/>
      <c r="L908" s="207">
        <f ca="1">L906+L907</f>
        <v>10137609.788288429</v>
      </c>
      <c r="M908" s="279"/>
      <c r="N908" s="274"/>
      <c r="O908" s="500"/>
      <c r="P908" s="38"/>
      <c r="Q908" s="38"/>
      <c r="R908" s="510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</row>
    <row r="909" spans="1:34" ht="16.5" hidden="1" thickTop="1">
      <c r="A909" s="1"/>
      <c r="B909" s="1"/>
      <c r="C909" s="12"/>
      <c r="D909" s="200"/>
      <c r="E909" s="1"/>
      <c r="F909" s="2"/>
      <c r="G909" s="216"/>
      <c r="H909" s="1"/>
      <c r="I909" s="243"/>
      <c r="J909" s="200"/>
      <c r="K909" s="1"/>
      <c r="L909" s="243"/>
      <c r="M909" s="279"/>
      <c r="N909" s="11"/>
      <c r="O909" s="38"/>
      <c r="P909" s="38"/>
      <c r="Q909" s="38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</row>
    <row r="910" spans="1:34" hidden="1">
      <c r="A910" s="156" t="s">
        <v>280</v>
      </c>
      <c r="B910" s="1"/>
      <c r="C910" s="1"/>
      <c r="D910" s="2"/>
      <c r="E910" s="1"/>
      <c r="F910" s="1"/>
      <c r="G910" s="516"/>
      <c r="H910" s="1"/>
      <c r="I910" s="1"/>
      <c r="J910" s="2"/>
      <c r="K910" s="1"/>
      <c r="L910" s="1"/>
      <c r="M910" s="279"/>
      <c r="N910" s="11"/>
      <c r="O910" s="38"/>
      <c r="P910" s="38"/>
      <c r="Q910" s="38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</row>
    <row r="911" spans="1:34" hidden="1">
      <c r="A911" s="172" t="s">
        <v>432</v>
      </c>
      <c r="B911" s="1"/>
      <c r="C911" s="1"/>
      <c r="D911" s="2"/>
      <c r="E911" s="1"/>
      <c r="F911" s="1"/>
      <c r="G911" s="516"/>
      <c r="H911" s="1"/>
      <c r="I911" s="1"/>
      <c r="J911" s="2"/>
      <c r="K911" s="1"/>
      <c r="L911" s="1"/>
      <c r="M911" s="279"/>
      <c r="N911" s="11"/>
      <c r="O911" s="38"/>
      <c r="P911" s="38"/>
      <c r="Q911" s="38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</row>
    <row r="912" spans="1:34" hidden="1">
      <c r="A912" s="186"/>
      <c r="B912" s="1"/>
      <c r="C912" s="1"/>
      <c r="D912" s="2"/>
      <c r="E912" s="1"/>
      <c r="F912" s="1"/>
      <c r="G912" s="516"/>
      <c r="H912" s="1"/>
      <c r="I912" s="1"/>
      <c r="J912" s="2"/>
      <c r="K912" s="1"/>
      <c r="L912" s="1"/>
      <c r="M912" s="279"/>
      <c r="N912" s="11"/>
      <c r="O912" s="38"/>
      <c r="P912" s="38"/>
      <c r="Q912" s="38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</row>
    <row r="913" spans="1:34" hidden="1">
      <c r="A913" s="186" t="s">
        <v>197</v>
      </c>
      <c r="B913" s="1"/>
      <c r="C913" s="182"/>
      <c r="D913" s="2"/>
      <c r="E913" s="1"/>
      <c r="F913" s="1"/>
      <c r="G913" s="516"/>
      <c r="H913" s="1"/>
      <c r="I913" s="1"/>
      <c r="J913" s="2"/>
      <c r="K913" s="1"/>
      <c r="L913" s="1"/>
      <c r="M913" s="279"/>
      <c r="N913" s="11"/>
      <c r="O913" s="38"/>
      <c r="P913" s="38"/>
      <c r="Q913" s="38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</row>
    <row r="914" spans="1:34" hidden="1">
      <c r="A914" s="186" t="s">
        <v>275</v>
      </c>
      <c r="B914" s="1"/>
      <c r="C914" s="182">
        <v>312.87878787878799</v>
      </c>
      <c r="D914" s="200">
        <f>D875</f>
        <v>1313</v>
      </c>
      <c r="E914" s="184"/>
      <c r="F914" s="2">
        <f>ROUND(D914*C914,0)</f>
        <v>410810</v>
      </c>
      <c r="G914" s="216">
        <v>1313</v>
      </c>
      <c r="H914" s="184"/>
      <c r="I914" s="2">
        <f>ROUND(G914*$C914,0)</f>
        <v>410810</v>
      </c>
      <c r="J914" s="200">
        <f>J875</f>
        <v>1313</v>
      </c>
      <c r="K914" s="184"/>
      <c r="L914" s="2">
        <f>ROUND(J914*$C914,0)</f>
        <v>410810</v>
      </c>
      <c r="M914" s="279"/>
      <c r="N914" s="11"/>
      <c r="O914" s="38"/>
      <c r="P914" s="38"/>
      <c r="Q914" s="38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</row>
    <row r="915" spans="1:34" hidden="1">
      <c r="A915" s="186" t="s">
        <v>276</v>
      </c>
      <c r="B915" s="1"/>
      <c r="C915" s="182">
        <v>0</v>
      </c>
      <c r="D915" s="200">
        <f>D876</f>
        <v>1587</v>
      </c>
      <c r="E915" s="187"/>
      <c r="F915" s="2">
        <f>ROUND(D915*C915,0)</f>
        <v>0</v>
      </c>
      <c r="G915" s="216">
        <v>1587</v>
      </c>
      <c r="H915" s="187"/>
      <c r="I915" s="2">
        <f>ROUND(G915*$C915,0)</f>
        <v>0</v>
      </c>
      <c r="J915" s="200">
        <f>J876</f>
        <v>1587</v>
      </c>
      <c r="K915" s="187"/>
      <c r="L915" s="2">
        <f>ROUND(J915*$C915,0)</f>
        <v>0</v>
      </c>
      <c r="M915" s="279"/>
      <c r="N915" s="11"/>
      <c r="O915" s="38"/>
      <c r="P915" s="38"/>
      <c r="Q915" s="38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</row>
    <row r="916" spans="1:34" hidden="1">
      <c r="A916" s="186" t="s">
        <v>198</v>
      </c>
      <c r="B916" s="1"/>
      <c r="C916" s="182">
        <f>SUM(C914:C915)</f>
        <v>312.87878787878799</v>
      </c>
      <c r="D916" s="200"/>
      <c r="E916" s="184"/>
      <c r="F916" s="2" t="s">
        <v>13</v>
      </c>
      <c r="G916" s="216" t="s">
        <v>13</v>
      </c>
      <c r="H916" s="184"/>
      <c r="I916" s="2" t="s">
        <v>13</v>
      </c>
      <c r="J916" s="200" t="s">
        <v>13</v>
      </c>
      <c r="K916" s="184"/>
      <c r="L916" s="2" t="s">
        <v>13</v>
      </c>
      <c r="M916" s="279"/>
      <c r="N916" s="11"/>
      <c r="O916" s="38"/>
      <c r="P916" s="38"/>
      <c r="Q916" s="38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</row>
    <row r="917" spans="1:34" hidden="1">
      <c r="A917" s="186" t="s">
        <v>277</v>
      </c>
      <c r="B917" s="1"/>
      <c r="C917" s="182">
        <v>507900</v>
      </c>
      <c r="D917" s="200">
        <f>D878</f>
        <v>1.22</v>
      </c>
      <c r="E917" s="184"/>
      <c r="F917" s="2">
        <f>ROUND(D917*C917,0)</f>
        <v>619638</v>
      </c>
      <c r="G917" s="216">
        <v>1.22</v>
      </c>
      <c r="H917" s="184"/>
      <c r="I917" s="2">
        <f>ROUND(G917*$C917,0)</f>
        <v>619638</v>
      </c>
      <c r="J917" s="200">
        <f>J878</f>
        <v>1.22</v>
      </c>
      <c r="K917" s="184"/>
      <c r="L917" s="2">
        <f>ROUND(J917*$C917,0)</f>
        <v>619638</v>
      </c>
      <c r="M917" s="279"/>
      <c r="N917" s="11"/>
      <c r="O917" s="38"/>
      <c r="P917" s="38"/>
      <c r="Q917" s="38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</row>
    <row r="918" spans="1:34" hidden="1">
      <c r="A918" s="186" t="s">
        <v>278</v>
      </c>
      <c r="B918" s="1"/>
      <c r="C918" s="182">
        <v>0</v>
      </c>
      <c r="D918" s="200">
        <f>D879</f>
        <v>1.0900000000000001</v>
      </c>
      <c r="E918" s="184"/>
      <c r="F918" s="2">
        <f>ROUND(D918*C918,0)</f>
        <v>0</v>
      </c>
      <c r="G918" s="216">
        <v>1.0900000000000001</v>
      </c>
      <c r="H918" s="184"/>
      <c r="I918" s="2">
        <f>ROUND(G918*$C918,0)</f>
        <v>0</v>
      </c>
      <c r="J918" s="200">
        <f>J879</f>
        <v>1.0900000000000001</v>
      </c>
      <c r="K918" s="184"/>
      <c r="L918" s="2">
        <f>ROUND(J918*$C918,0)</f>
        <v>0</v>
      </c>
      <c r="M918" s="279"/>
      <c r="N918" s="11"/>
      <c r="O918" s="38"/>
      <c r="P918" s="38"/>
      <c r="Q918" s="38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</row>
    <row r="919" spans="1:34" hidden="1">
      <c r="A919" s="284" t="s">
        <v>539</v>
      </c>
      <c r="B919" s="1"/>
      <c r="C919" s="182">
        <v>439191.79064761166</v>
      </c>
      <c r="D919" s="200">
        <f>D880</f>
        <v>8.73</v>
      </c>
      <c r="E919" s="184"/>
      <c r="F919" s="2">
        <f>ROUND(D919*$C919,0)</f>
        <v>3834144</v>
      </c>
      <c r="G919" s="216">
        <v>8.73</v>
      </c>
      <c r="H919" s="184"/>
      <c r="I919" s="2">
        <f>ROUND(G919*$C919,0)</f>
        <v>3834144</v>
      </c>
      <c r="J919" s="200">
        <f>J880</f>
        <v>8.73</v>
      </c>
      <c r="K919" s="184"/>
      <c r="L919" s="2">
        <f>ROUND(J919*$C919,0)</f>
        <v>3834144</v>
      </c>
      <c r="M919" s="279"/>
      <c r="N919" s="11"/>
      <c r="O919" s="38"/>
      <c r="P919" s="38"/>
      <c r="Q919" s="38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</row>
    <row r="920" spans="1:34" hidden="1">
      <c r="A920" s="186" t="s">
        <v>230</v>
      </c>
      <c r="B920" s="1"/>
      <c r="C920" s="182"/>
      <c r="D920" s="200"/>
      <c r="E920" s="184"/>
      <c r="F920" s="2"/>
      <c r="G920" s="216" t="s">
        <v>13</v>
      </c>
      <c r="H920" s="184"/>
      <c r="I920" s="2"/>
      <c r="J920" s="200" t="s">
        <v>13</v>
      </c>
      <c r="K920" s="184"/>
      <c r="L920" s="2"/>
      <c r="M920" s="279"/>
      <c r="N920" s="11"/>
      <c r="O920" s="38"/>
      <c r="P920" s="38"/>
      <c r="Q920" s="38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</row>
    <row r="921" spans="1:34" hidden="1">
      <c r="A921" s="186" t="s">
        <v>268</v>
      </c>
      <c r="B921" s="1"/>
      <c r="C921" s="182">
        <v>200889250</v>
      </c>
      <c r="D921" s="258"/>
      <c r="E921" s="184"/>
      <c r="F921" s="2"/>
      <c r="G921" s="749"/>
      <c r="H921" s="184"/>
      <c r="I921" s="2"/>
      <c r="J921" s="258"/>
      <c r="K921" s="184"/>
      <c r="L921" s="2"/>
      <c r="M921" s="279"/>
      <c r="N921" s="11"/>
      <c r="O921" s="38"/>
      <c r="P921" s="38"/>
      <c r="Q921" s="38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</row>
    <row r="922" spans="1:34" hidden="1">
      <c r="A922" s="172" t="s">
        <v>524</v>
      </c>
      <c r="B922" s="1"/>
      <c r="C922" s="182">
        <v>79038488.398078084</v>
      </c>
      <c r="D922" s="245">
        <f>D883</f>
        <v>5.3079999999999998</v>
      </c>
      <c r="E922" s="184" t="s">
        <v>178</v>
      </c>
      <c r="F922" s="184">
        <f>ROUND(D922/100*C922,0)</f>
        <v>4195363</v>
      </c>
      <c r="G922" s="287">
        <v>5.6310000000000002</v>
      </c>
      <c r="H922" s="184" t="s">
        <v>178</v>
      </c>
      <c r="I922" s="184">
        <f>ROUND(G922/100*$C922,0)</f>
        <v>4450657</v>
      </c>
      <c r="J922" s="245">
        <f ca="1">J883</f>
        <v>5.617</v>
      </c>
      <c r="K922" s="184" t="s">
        <v>178</v>
      </c>
      <c r="L922" s="184">
        <f ca="1">ROUND(J922/100*$C922,0)</f>
        <v>4439592</v>
      </c>
      <c r="M922" s="279"/>
      <c r="N922" s="11"/>
      <c r="O922" s="38"/>
      <c r="P922" s="38"/>
      <c r="Q922" s="38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</row>
    <row r="923" spans="1:34" hidden="1">
      <c r="A923" s="172" t="s">
        <v>525</v>
      </c>
      <c r="B923" s="1"/>
      <c r="C923" s="182">
        <f>C925-C922</f>
        <v>121850761.60192192</v>
      </c>
      <c r="D923" s="245">
        <f>D884</f>
        <v>4.375</v>
      </c>
      <c r="E923" s="184" t="s">
        <v>178</v>
      </c>
      <c r="F923" s="184">
        <f>ROUND(D923/100*C923,0)</f>
        <v>5330971</v>
      </c>
      <c r="G923" s="287">
        <v>4.6980000000000004</v>
      </c>
      <c r="H923" s="184" t="s">
        <v>178</v>
      </c>
      <c r="I923" s="184">
        <f>ROUND(G923/100*$C923,0)</f>
        <v>5724549</v>
      </c>
      <c r="J923" s="245">
        <f ca="1">J884</f>
        <v>4.6840000000000002</v>
      </c>
      <c r="K923" s="184" t="s">
        <v>178</v>
      </c>
      <c r="L923" s="184">
        <f ca="1">ROUND(J923/100*$C923,0)</f>
        <v>5707490</v>
      </c>
      <c r="M923" s="279"/>
      <c r="N923" s="11"/>
      <c r="O923" s="38"/>
      <c r="P923" s="38"/>
      <c r="Q923" s="38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</row>
    <row r="924" spans="1:34" hidden="1">
      <c r="A924" s="186" t="s">
        <v>204</v>
      </c>
      <c r="B924" s="1"/>
      <c r="C924" s="182">
        <v>117511.939393939</v>
      </c>
      <c r="D924" s="189">
        <v>0.56999999999999995</v>
      </c>
      <c r="E924" s="184"/>
      <c r="F924" s="2">
        <f>C924*D924</f>
        <v>66981.805454545218</v>
      </c>
      <c r="G924" s="216">
        <v>0.56999999999999995</v>
      </c>
      <c r="H924" s="184"/>
      <c r="I924" s="2">
        <f>C924*G924</f>
        <v>66981.805454545218</v>
      </c>
      <c r="J924" s="189">
        <f>J885</f>
        <v>0.56999999999999995</v>
      </c>
      <c r="K924" s="184"/>
      <c r="L924" s="2">
        <f>C924*J924</f>
        <v>66981.805454545218</v>
      </c>
      <c r="M924" s="279"/>
      <c r="N924" s="38"/>
      <c r="O924" s="38"/>
      <c r="P924" s="11"/>
      <c r="Q924" s="11"/>
      <c r="R924" s="11"/>
      <c r="S924" s="11"/>
      <c r="T924" s="11"/>
      <c r="U924" s="11"/>
      <c r="V924" s="11"/>
      <c r="Y924" s="11"/>
      <c r="Z924" s="11"/>
      <c r="AA924" s="11"/>
      <c r="AB924" s="11"/>
      <c r="AC924" s="11"/>
      <c r="AD924" s="11"/>
      <c r="AE924" s="11"/>
      <c r="AF924" s="11"/>
    </row>
    <row r="925" spans="1:34" hidden="1">
      <c r="A925" s="1" t="s">
        <v>185</v>
      </c>
      <c r="B925" s="1"/>
      <c r="C925" s="182">
        <f>C921</f>
        <v>200889250</v>
      </c>
      <c r="D925" s="193"/>
      <c r="E925" s="1"/>
      <c r="F925" s="2">
        <f>SUM(F914:F924)</f>
        <v>14457907.805454545</v>
      </c>
      <c r="G925" s="733"/>
      <c r="H925" s="1"/>
      <c r="I925" s="2">
        <f>SUM(I914:I924)</f>
        <v>15106779.805454545</v>
      </c>
      <c r="J925" s="193"/>
      <c r="K925" s="1"/>
      <c r="L925" s="2">
        <f ca="1">SUM(L914:L924)</f>
        <v>15078655.805454545</v>
      </c>
      <c r="M925" s="279"/>
      <c r="N925" s="6"/>
      <c r="O925" s="38"/>
      <c r="P925" s="38"/>
      <c r="Q925" s="38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</row>
    <row r="926" spans="1:34" hidden="1">
      <c r="A926" s="1" t="s">
        <v>167</v>
      </c>
      <c r="B926" s="1"/>
      <c r="C926" s="182">
        <f>C925/($C$925+$C$985)*$C$1025</f>
        <v>3775395.0684998897</v>
      </c>
      <c r="D926" s="172"/>
      <c r="E926" s="172"/>
      <c r="F926" s="204">
        <f>F925/($F$925+$F$985)*$F$1025</f>
        <v>87471.763428116115</v>
      </c>
      <c r="G926" s="284"/>
      <c r="H926" s="172"/>
      <c r="I926" s="204">
        <f>F926</f>
        <v>87471.763428116115</v>
      </c>
      <c r="J926" s="172"/>
      <c r="K926" s="172"/>
      <c r="L926" s="204">
        <f>I926</f>
        <v>87471.763428116115</v>
      </c>
      <c r="M926" s="279"/>
      <c r="N926" s="307"/>
      <c r="O926" s="150"/>
      <c r="P926" s="38"/>
      <c r="Q926" s="38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</row>
    <row r="927" spans="1:34" ht="16.5" hidden="1" thickBot="1">
      <c r="A927" s="1" t="s">
        <v>186</v>
      </c>
      <c r="B927" s="1"/>
      <c r="C927" s="256">
        <f>SUM(C925)+C926</f>
        <v>204664645.06849989</v>
      </c>
      <c r="D927" s="205"/>
      <c r="E927" s="208"/>
      <c r="F927" s="207">
        <f>F925+F926</f>
        <v>14545379.568882661</v>
      </c>
      <c r="G927" s="741"/>
      <c r="H927" s="208"/>
      <c r="I927" s="207">
        <f>I925+I926</f>
        <v>15194251.568882661</v>
      </c>
      <c r="J927" s="205"/>
      <c r="K927" s="208"/>
      <c r="L927" s="207">
        <f ca="1">L925+L926</f>
        <v>15166127.568882661</v>
      </c>
      <c r="M927" s="279"/>
      <c r="N927" s="274"/>
      <c r="O927" s="333"/>
      <c r="P927" s="38"/>
      <c r="Q927" s="38"/>
      <c r="R927" s="510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</row>
    <row r="928" spans="1:34" ht="16.5" hidden="1" thickTop="1">
      <c r="A928" s="1"/>
      <c r="B928" s="1"/>
      <c r="C928" s="12"/>
      <c r="D928" s="200"/>
      <c r="E928" s="1"/>
      <c r="F928" s="2"/>
      <c r="G928" s="216"/>
      <c r="H928" s="1"/>
      <c r="I928" s="243"/>
      <c r="J928" s="200"/>
      <c r="K928" s="1"/>
      <c r="L928" s="243"/>
      <c r="M928" s="279"/>
      <c r="N928" s="11"/>
      <c r="O928" s="38"/>
      <c r="P928" s="500"/>
      <c r="Q928" s="500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</row>
    <row r="929" spans="1:34">
      <c r="A929" s="1"/>
      <c r="B929" s="1"/>
      <c r="C929" s="12"/>
      <c r="D929" s="200"/>
      <c r="E929" s="1"/>
      <c r="F929" s="2"/>
      <c r="G929" s="216"/>
      <c r="H929" s="1"/>
      <c r="I929" s="243"/>
      <c r="J929" s="200"/>
      <c r="K929" s="1"/>
      <c r="L929" s="243"/>
      <c r="M929" s="279"/>
      <c r="N929" s="11"/>
      <c r="O929" s="38"/>
      <c r="P929" s="500"/>
      <c r="Q929" s="500"/>
      <c r="R929" s="11"/>
      <c r="S929" s="18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</row>
    <row r="930" spans="1:34">
      <c r="A930" s="156" t="s">
        <v>280</v>
      </c>
      <c r="B930" s="1"/>
      <c r="C930" s="1"/>
      <c r="D930" s="2"/>
      <c r="E930" s="1"/>
      <c r="F930" s="1"/>
      <c r="G930" s="516"/>
      <c r="H930" s="1"/>
      <c r="I930" s="1"/>
      <c r="J930" s="2"/>
      <c r="K930" s="1"/>
      <c r="L930" s="1"/>
      <c r="M930" s="279"/>
      <c r="N930" s="11"/>
      <c r="O930" s="38"/>
      <c r="P930" s="38"/>
      <c r="Q930" s="38"/>
      <c r="R930" s="11"/>
      <c r="S930" s="66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</row>
    <row r="931" spans="1:34">
      <c r="A931" s="172" t="s">
        <v>435</v>
      </c>
      <c r="B931" s="1"/>
      <c r="C931" s="1"/>
      <c r="D931" s="2"/>
      <c r="E931" s="1"/>
      <c r="F931" s="1"/>
      <c r="G931" s="516"/>
      <c r="H931" s="1"/>
      <c r="I931" s="1"/>
      <c r="J931" s="2"/>
      <c r="K931" s="1"/>
      <c r="L931" s="1"/>
      <c r="M931" s="279"/>
      <c r="N931" s="11"/>
      <c r="O931" s="38"/>
      <c r="P931" s="38"/>
      <c r="Q931" s="38"/>
      <c r="R931" s="11"/>
      <c r="S931" s="660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</row>
    <row r="932" spans="1:34">
      <c r="A932" s="1" t="s">
        <v>13</v>
      </c>
      <c r="B932" s="1"/>
      <c r="C932" s="1"/>
      <c r="D932" s="2"/>
      <c r="E932" s="1"/>
      <c r="F932" s="1"/>
      <c r="G932" s="516"/>
      <c r="H932" s="1"/>
      <c r="I932" s="1"/>
      <c r="J932" s="2"/>
      <c r="K932" s="1"/>
      <c r="L932" s="1"/>
      <c r="M932" s="279"/>
      <c r="N932" s="11"/>
      <c r="O932" s="38"/>
      <c r="P932" s="38"/>
      <c r="Q932" s="38"/>
      <c r="R932" s="11"/>
      <c r="S932" s="18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</row>
    <row r="933" spans="1:34">
      <c r="A933" s="186" t="s">
        <v>197</v>
      </c>
      <c r="B933" s="1"/>
      <c r="C933" s="182"/>
      <c r="D933" s="2"/>
      <c r="E933" s="1"/>
      <c r="F933" s="1"/>
      <c r="G933" s="516"/>
      <c r="H933" s="1"/>
      <c r="I933" s="1"/>
      <c r="J933" s="2"/>
      <c r="K933" s="1"/>
      <c r="L933" s="1"/>
      <c r="M933" s="279"/>
      <c r="N933" s="11"/>
      <c r="O933" s="38"/>
      <c r="P933" s="38"/>
      <c r="Q933" s="38"/>
      <c r="R933" s="11"/>
      <c r="S933" s="66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</row>
    <row r="934" spans="1:34">
      <c r="A934" s="186" t="s">
        <v>275</v>
      </c>
      <c r="B934" s="1"/>
      <c r="C934" s="182">
        <f t="shared" ref="C934:C939" si="83">C955+C974</f>
        <v>132</v>
      </c>
      <c r="D934" s="200">
        <v>1344</v>
      </c>
      <c r="E934" s="184"/>
      <c r="F934" s="2">
        <f>ROUND(D934*C934,0)</f>
        <v>177408</v>
      </c>
      <c r="G934" s="506">
        <v>1344</v>
      </c>
      <c r="H934" s="184"/>
      <c r="I934" s="2">
        <f>ROUND(G934*$C934,0)</f>
        <v>177408</v>
      </c>
      <c r="J934" s="164">
        <f t="shared" ref="J934:J935" si="84">G934</f>
        <v>1344</v>
      </c>
      <c r="K934" s="184"/>
      <c r="L934" s="2">
        <f>ROUND(J934*$C934,0)</f>
        <v>177408</v>
      </c>
      <c r="M934" s="279"/>
      <c r="N934" s="11"/>
      <c r="O934" s="38"/>
      <c r="P934" s="513"/>
      <c r="Q934" s="500"/>
      <c r="R934" s="11"/>
      <c r="S934" s="660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</row>
    <row r="935" spans="1:34">
      <c r="A935" s="186" t="s">
        <v>276</v>
      </c>
      <c r="B935" s="1"/>
      <c r="C935" s="182">
        <f t="shared" si="83"/>
        <v>0</v>
      </c>
      <c r="D935" s="200">
        <v>1618</v>
      </c>
      <c r="E935" s="187"/>
      <c r="F935" s="2">
        <f>ROUND(D935*C935,0)</f>
        <v>0</v>
      </c>
      <c r="G935" s="506">
        <v>1618</v>
      </c>
      <c r="H935" s="187"/>
      <c r="I935" s="2">
        <f>ROUND(G935*$C935,0)</f>
        <v>0</v>
      </c>
      <c r="J935" s="164">
        <f t="shared" si="84"/>
        <v>1618</v>
      </c>
      <c r="K935" s="187"/>
      <c r="L935" s="2">
        <f>ROUND(J935*$C935,0)</f>
        <v>0</v>
      </c>
      <c r="M935" s="279"/>
      <c r="N935" s="11"/>
      <c r="O935" s="38"/>
      <c r="P935" s="513"/>
      <c r="Q935" s="500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</row>
    <row r="936" spans="1:34">
      <c r="A936" s="186" t="s">
        <v>198</v>
      </c>
      <c r="B936" s="1"/>
      <c r="C936" s="182">
        <f t="shared" si="83"/>
        <v>132</v>
      </c>
      <c r="D936" s="200" t="s">
        <v>13</v>
      </c>
      <c r="E936" s="184"/>
      <c r="F936" s="2" t="s">
        <v>13</v>
      </c>
      <c r="G936" s="216" t="s">
        <v>13</v>
      </c>
      <c r="H936" s="184"/>
      <c r="I936" s="2" t="s">
        <v>13</v>
      </c>
      <c r="J936" s="189" t="s">
        <v>13</v>
      </c>
      <c r="K936" s="184"/>
      <c r="L936" s="2" t="s">
        <v>13</v>
      </c>
      <c r="M936" s="279"/>
      <c r="N936" s="11"/>
      <c r="O936" s="38"/>
      <c r="P936" s="617"/>
      <c r="Q936" s="38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</row>
    <row r="937" spans="1:34">
      <c r="A937" s="186" t="s">
        <v>277</v>
      </c>
      <c r="B937" s="1"/>
      <c r="C937" s="182">
        <f t="shared" si="83"/>
        <v>205955</v>
      </c>
      <c r="D937" s="200">
        <v>0.61</v>
      </c>
      <c r="E937" s="184"/>
      <c r="F937" s="2">
        <f>ROUND(D937*C937,0)</f>
        <v>125633</v>
      </c>
      <c r="G937" s="506">
        <v>0.61</v>
      </c>
      <c r="H937" s="184"/>
      <c r="I937" s="2">
        <f>ROUND(G937*$C937,0)</f>
        <v>125633</v>
      </c>
      <c r="J937" s="164">
        <f t="shared" ref="J937:J939" si="85">G937</f>
        <v>0.61</v>
      </c>
      <c r="K937" s="184"/>
      <c r="L937" s="2">
        <f>ROUND(J937*$C937,0)</f>
        <v>125633</v>
      </c>
      <c r="M937" s="279"/>
      <c r="N937" s="11"/>
      <c r="O937" s="38"/>
      <c r="P937" s="513"/>
      <c r="Q937" s="500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</row>
    <row r="938" spans="1:34">
      <c r="A938" s="186" t="s">
        <v>278</v>
      </c>
      <c r="B938" s="1"/>
      <c r="C938" s="182">
        <f t="shared" si="83"/>
        <v>0</v>
      </c>
      <c r="D938" s="200">
        <v>0.5</v>
      </c>
      <c r="E938" s="184"/>
      <c r="F938" s="2">
        <f>ROUND(D938*C938,0)</f>
        <v>0</v>
      </c>
      <c r="G938" s="506">
        <v>0.5</v>
      </c>
      <c r="H938" s="184"/>
      <c r="I938" s="2">
        <f>ROUND(G938*$C938,0)</f>
        <v>0</v>
      </c>
      <c r="J938" s="164">
        <f t="shared" si="85"/>
        <v>0.5</v>
      </c>
      <c r="K938" s="184"/>
      <c r="L938" s="2">
        <f>ROUND(J938*$C938,0)</f>
        <v>0</v>
      </c>
      <c r="M938" s="279"/>
      <c r="N938" s="11"/>
      <c r="O938" s="38"/>
      <c r="P938" s="513"/>
      <c r="Q938" s="500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</row>
    <row r="939" spans="1:34">
      <c r="A939" s="284" t="s">
        <v>539</v>
      </c>
      <c r="B939" s="1"/>
      <c r="C939" s="182">
        <f t="shared" si="83"/>
        <v>160253.28000000003</v>
      </c>
      <c r="D939" s="200">
        <v>8.8000000000000007</v>
      </c>
      <c r="E939" s="184"/>
      <c r="F939" s="2">
        <f>ROUND(D939*C939,0)</f>
        <v>1410229</v>
      </c>
      <c r="G939" s="506">
        <v>8.8000000000000007</v>
      </c>
      <c r="H939" s="184"/>
      <c r="I939" s="2">
        <f>ROUND(G939*$C939,0)</f>
        <v>1410229</v>
      </c>
      <c r="J939" s="164">
        <f t="shared" si="85"/>
        <v>8.8000000000000007</v>
      </c>
      <c r="K939" s="184"/>
      <c r="L939" s="2">
        <f>ROUND(J939*$C939,0)</f>
        <v>1410229</v>
      </c>
      <c r="M939" s="279"/>
      <c r="N939" s="11"/>
      <c r="O939" s="38"/>
      <c r="P939" s="513"/>
      <c r="Q939" s="500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</row>
    <row r="940" spans="1:34">
      <c r="A940" s="186" t="s">
        <v>230</v>
      </c>
      <c r="B940" s="1"/>
      <c r="C940" s="182"/>
      <c r="D940" s="200" t="s">
        <v>13</v>
      </c>
      <c r="E940" s="184"/>
      <c r="F940" s="2"/>
      <c r="G940" s="216" t="s">
        <v>13</v>
      </c>
      <c r="H940" s="184"/>
      <c r="I940" s="2"/>
      <c r="J940" s="189" t="s">
        <v>13</v>
      </c>
      <c r="K940" s="184"/>
      <c r="L940" s="2"/>
      <c r="M940" s="279"/>
      <c r="N940" s="11"/>
      <c r="O940" s="38"/>
      <c r="P940" s="617"/>
      <c r="Q940" s="38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</row>
    <row r="941" spans="1:34">
      <c r="A941" s="186" t="s">
        <v>268</v>
      </c>
      <c r="B941" s="1"/>
      <c r="C941" s="182">
        <f>C962+C981</f>
        <v>66470622.809296638</v>
      </c>
      <c r="D941" s="258"/>
      <c r="E941" s="184"/>
      <c r="F941" s="2">
        <f>ROUND(D941/100*C941,0)</f>
        <v>0</v>
      </c>
      <c r="G941" s="749"/>
      <c r="H941" s="184"/>
      <c r="I941" s="2">
        <v>0</v>
      </c>
      <c r="J941" s="258"/>
      <c r="K941" s="184"/>
      <c r="L941" s="2">
        <v>0</v>
      </c>
      <c r="M941" s="279"/>
      <c r="N941" s="11"/>
      <c r="O941" s="38"/>
      <c r="P941" s="513"/>
      <c r="Q941" s="500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</row>
    <row r="942" spans="1:34">
      <c r="A942" s="172" t="s">
        <v>524</v>
      </c>
      <c r="B942" s="1"/>
      <c r="C942" s="182">
        <f>C963+C982</f>
        <v>26640426.743147943</v>
      </c>
      <c r="D942" s="245">
        <v>5.2480000000000002</v>
      </c>
      <c r="E942" s="184" t="s">
        <v>178</v>
      </c>
      <c r="F942" s="2">
        <f>ROUND(D942/100*C942,0)</f>
        <v>1398090</v>
      </c>
      <c r="G942" s="731">
        <v>5.5709999999999997</v>
      </c>
      <c r="H942" s="184" t="s">
        <v>178</v>
      </c>
      <c r="I942" s="2">
        <f>ROUND(G942/100*$C942,0)</f>
        <v>1484138</v>
      </c>
      <c r="J942" s="162">
        <f t="shared" ref="J942:J943" ca="1" si="86">ROUND(G942+($O$833/($C$886+$C$945))*100,3)</f>
        <v>5.5570000000000004</v>
      </c>
      <c r="K942" s="184" t="s">
        <v>178</v>
      </c>
      <c r="L942" s="2">
        <f ca="1">ROUND(J942/100*$C942,0)</f>
        <v>1480409</v>
      </c>
      <c r="M942" s="279"/>
      <c r="N942" s="11"/>
      <c r="O942" s="38"/>
      <c r="P942" s="38"/>
      <c r="Q942" s="38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</row>
    <row r="943" spans="1:34">
      <c r="A943" s="172" t="s">
        <v>525</v>
      </c>
      <c r="B943" s="1"/>
      <c r="C943" s="182">
        <f>C964+C983</f>
        <v>39830196.066148698</v>
      </c>
      <c r="D943" s="245">
        <v>4.3150000000000004</v>
      </c>
      <c r="E943" s="184" t="s">
        <v>178</v>
      </c>
      <c r="F943" s="2">
        <f>ROUND(D943/100*C943,0)</f>
        <v>1718673</v>
      </c>
      <c r="G943" s="731">
        <v>4.6379999999999999</v>
      </c>
      <c r="H943" s="184" t="s">
        <v>178</v>
      </c>
      <c r="I943" s="2">
        <f>ROUND(G943/100*$C943,0)</f>
        <v>1847324</v>
      </c>
      <c r="J943" s="162">
        <f t="shared" ca="1" si="86"/>
        <v>4.6239999999999997</v>
      </c>
      <c r="K943" s="184" t="s">
        <v>178</v>
      </c>
      <c r="L943" s="2">
        <f ca="1">ROUND(J943/100*$C943,0)</f>
        <v>1841748</v>
      </c>
      <c r="M943" s="279"/>
      <c r="N943" s="11"/>
      <c r="O943" s="38"/>
      <c r="P943" s="38"/>
      <c r="Q943" s="38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</row>
    <row r="944" spans="1:34">
      <c r="A944" s="186" t="s">
        <v>204</v>
      </c>
      <c r="B944" s="1"/>
      <c r="C944" s="182">
        <f>C965+C984</f>
        <v>15016</v>
      </c>
      <c r="D944" s="189">
        <v>0.56000000000000005</v>
      </c>
      <c r="E944" s="184"/>
      <c r="F944" s="2">
        <f>C944*D944</f>
        <v>8408.9600000000009</v>
      </c>
      <c r="G944" s="216">
        <v>0.56000000000000005</v>
      </c>
      <c r="H944" s="184"/>
      <c r="I944" s="2">
        <f>C944*G944</f>
        <v>8408.9600000000009</v>
      </c>
      <c r="J944" s="189">
        <f t="shared" ref="J944" si="87">G944</f>
        <v>0.56000000000000005</v>
      </c>
      <c r="K944" s="184"/>
      <c r="L944" s="2">
        <f>C944*J944</f>
        <v>8408.9600000000009</v>
      </c>
      <c r="M944" s="279"/>
      <c r="N944" s="38"/>
      <c r="O944" s="38"/>
      <c r="P944" s="11"/>
      <c r="Q944" s="11"/>
      <c r="R944" s="11"/>
      <c r="S944" s="11"/>
      <c r="T944" s="11"/>
      <c r="U944" s="11"/>
      <c r="V944" s="11"/>
      <c r="Y944" s="11"/>
      <c r="Z944" s="11"/>
      <c r="AA944" s="11"/>
      <c r="AB944" s="11"/>
      <c r="AC944" s="11"/>
      <c r="AD944" s="11"/>
      <c r="AE944" s="11"/>
      <c r="AF944" s="11"/>
    </row>
    <row r="945" spans="1:34">
      <c r="A945" s="1" t="s">
        <v>185</v>
      </c>
      <c r="B945" s="1"/>
      <c r="C945" s="182">
        <f>C941</f>
        <v>66470622.809296638</v>
      </c>
      <c r="D945" s="193"/>
      <c r="E945" s="1"/>
      <c r="F945" s="2">
        <f>SUM(F934:F944)</f>
        <v>4838441.96</v>
      </c>
      <c r="G945" s="733"/>
      <c r="H945" s="1"/>
      <c r="I945" s="2">
        <f>SUM(I934:I944)</f>
        <v>5053140.96</v>
      </c>
      <c r="J945" s="193"/>
      <c r="K945" s="1"/>
      <c r="L945" s="2">
        <f ca="1">SUM(L934:L944)</f>
        <v>5043835.96</v>
      </c>
      <c r="M945" s="279"/>
      <c r="N945" s="11"/>
      <c r="O945" s="38"/>
      <c r="P945" s="38"/>
      <c r="Q945" s="38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</row>
    <row r="946" spans="1:34">
      <c r="A946" s="1" t="s">
        <v>167</v>
      </c>
      <c r="B946" s="1"/>
      <c r="C946" s="182">
        <f>C967+C986</f>
        <v>620304.31645246211</v>
      </c>
      <c r="D946" s="172"/>
      <c r="E946" s="172"/>
      <c r="F946" s="204">
        <f>F967+F986</f>
        <v>62438.396541947302</v>
      </c>
      <c r="G946" s="284"/>
      <c r="H946" s="172"/>
      <c r="I946" s="204">
        <f>F946</f>
        <v>62438.396541947302</v>
      </c>
      <c r="J946" s="172"/>
      <c r="K946" s="172"/>
      <c r="L946" s="204">
        <f>I946</f>
        <v>62438.396541947302</v>
      </c>
      <c r="M946" s="279"/>
      <c r="N946" s="307"/>
      <c r="O946" s="150"/>
      <c r="P946" s="38"/>
      <c r="Q946" s="38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</row>
    <row r="947" spans="1:34" ht="16.5" thickBot="1">
      <c r="A947" s="1" t="s">
        <v>186</v>
      </c>
      <c r="B947" s="1"/>
      <c r="C947" s="256">
        <f>SUM(C945)+C946</f>
        <v>67090927.125749096</v>
      </c>
      <c r="D947" s="205"/>
      <c r="E947" s="208"/>
      <c r="F947" s="207">
        <f>F945+F946</f>
        <v>4900880.3565419475</v>
      </c>
      <c r="G947" s="741"/>
      <c r="H947" s="208"/>
      <c r="I947" s="207">
        <f>I945+I946</f>
        <v>5115579.3565419475</v>
      </c>
      <c r="J947" s="205"/>
      <c r="K947" s="208"/>
      <c r="L947" s="207">
        <f ca="1">L945+L946</f>
        <v>5106274.3565419475</v>
      </c>
      <c r="M947" s="279"/>
      <c r="N947" s="274"/>
      <c r="O947" s="500"/>
      <c r="P947" s="513"/>
      <c r="Q947" s="38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</row>
    <row r="948" spans="1:34" ht="16.5" hidden="1" thickTop="1">
      <c r="A948" s="1"/>
      <c r="B948" s="1"/>
      <c r="C948" s="12"/>
      <c r="D948" s="200" t="s">
        <v>13</v>
      </c>
      <c r="E948" s="1"/>
      <c r="F948" s="2"/>
      <c r="G948" s="216" t="s">
        <v>13</v>
      </c>
      <c r="H948" s="1"/>
      <c r="I948" s="2" t="s">
        <v>13</v>
      </c>
      <c r="J948" s="216" t="s">
        <v>13</v>
      </c>
      <c r="K948" s="1"/>
      <c r="L948" s="2" t="s">
        <v>13</v>
      </c>
      <c r="M948" s="715"/>
      <c r="N948" s="715"/>
      <c r="O948" s="715"/>
      <c r="P948" s="715"/>
      <c r="Q948" s="38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</row>
    <row r="949" spans="1:34" ht="16.5" hidden="1" thickTop="1">
      <c r="A949" s="1"/>
      <c r="B949" s="1"/>
      <c r="C949" s="679" t="s">
        <v>13</v>
      </c>
      <c r="D949" s="200" t="s">
        <v>13</v>
      </c>
      <c r="E949" s="1"/>
      <c r="F949" s="2"/>
      <c r="G949" s="216" t="s">
        <v>13</v>
      </c>
      <c r="H949" s="1"/>
      <c r="I949" s="2" t="s">
        <v>13</v>
      </c>
      <c r="J949" s="216" t="s">
        <v>13</v>
      </c>
      <c r="K949" s="1"/>
      <c r="L949" s="2" t="s">
        <v>13</v>
      </c>
      <c r="M949" s="274"/>
      <c r="N949" s="274"/>
      <c r="O949" s="274"/>
      <c r="P949" s="274"/>
      <c r="Q949" s="38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</row>
    <row r="950" spans="1:34" ht="16.5" hidden="1" thickTop="1">
      <c r="A950" s="1"/>
      <c r="B950" s="1"/>
      <c r="C950" s="12"/>
      <c r="D950" s="200"/>
      <c r="E950" s="1"/>
      <c r="F950" s="2"/>
      <c r="G950" s="216"/>
      <c r="H950" s="1"/>
      <c r="I950" s="243"/>
      <c r="J950" s="200"/>
      <c r="K950" s="1"/>
      <c r="L950" s="243"/>
      <c r="M950" s="11"/>
      <c r="N950" s="11"/>
      <c r="O950" s="38"/>
      <c r="P950" s="38"/>
      <c r="Q950" s="38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</row>
    <row r="951" spans="1:34" ht="16.5" hidden="1" thickTop="1">
      <c r="A951" s="156" t="s">
        <v>280</v>
      </c>
      <c r="B951" s="1"/>
      <c r="C951" s="1"/>
      <c r="D951" s="2"/>
      <c r="E951" s="1"/>
      <c r="F951" s="1"/>
      <c r="G951" s="516"/>
      <c r="H951" s="1"/>
      <c r="I951" s="1"/>
      <c r="J951" s="2"/>
      <c r="K951" s="1"/>
      <c r="L951" s="1"/>
      <c r="M951" s="11"/>
      <c r="N951" s="11"/>
      <c r="O951" s="38"/>
      <c r="P951" s="38"/>
      <c r="Q951" s="38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</row>
    <row r="952" spans="1:34" ht="16.5" hidden="1" thickTop="1">
      <c r="A952" s="172" t="s">
        <v>431</v>
      </c>
      <c r="B952" s="1"/>
      <c r="C952" s="1"/>
      <c r="D952" s="2"/>
      <c r="E952" s="1"/>
      <c r="F952" s="1"/>
      <c r="G952" s="516"/>
      <c r="H952" s="1"/>
      <c r="I952" s="1"/>
      <c r="J952" s="2"/>
      <c r="K952" s="1"/>
      <c r="L952" s="1"/>
      <c r="M952" s="11"/>
      <c r="N952" s="11"/>
      <c r="O952" s="38"/>
      <c r="P952" s="38"/>
      <c r="Q952" s="38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</row>
    <row r="953" spans="1:34" ht="16.5" hidden="1" thickTop="1">
      <c r="A953" s="1" t="s">
        <v>13</v>
      </c>
      <c r="B953" s="1"/>
      <c r="C953" s="1"/>
      <c r="D953" s="2"/>
      <c r="E953" s="1"/>
      <c r="F953" s="1"/>
      <c r="G953" s="516"/>
      <c r="H953" s="1"/>
      <c r="I953" s="1"/>
      <c r="J953" s="2"/>
      <c r="K953" s="1"/>
      <c r="L953" s="1"/>
      <c r="M953" s="11"/>
      <c r="N953" s="11"/>
      <c r="O953" s="38"/>
      <c r="P953" s="38"/>
      <c r="Q953" s="38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</row>
    <row r="954" spans="1:34" ht="16.5" hidden="1" thickTop="1">
      <c r="A954" s="186" t="s">
        <v>197</v>
      </c>
      <c r="B954" s="1"/>
      <c r="C954" s="182"/>
      <c r="D954" s="2"/>
      <c r="E954" s="1"/>
      <c r="F954" s="1"/>
      <c r="G954" s="516"/>
      <c r="H954" s="1"/>
      <c r="I954" s="1"/>
      <c r="J954" s="2"/>
      <c r="K954" s="1"/>
      <c r="L954" s="1"/>
      <c r="M954" s="11"/>
      <c r="N954" s="11"/>
      <c r="O954" s="38"/>
      <c r="P954" s="38"/>
      <c r="Q954" s="38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</row>
    <row r="955" spans="1:34" ht="16.5" hidden="1" thickTop="1">
      <c r="A955" s="186" t="s">
        <v>275</v>
      </c>
      <c r="B955" s="1"/>
      <c r="C955" s="182">
        <v>108</v>
      </c>
      <c r="D955" s="200">
        <f>D934</f>
        <v>1344</v>
      </c>
      <c r="E955" s="184"/>
      <c r="F955" s="2">
        <f>ROUND(D955*C955,0)</f>
        <v>145152</v>
      </c>
      <c r="G955" s="216">
        <v>1344</v>
      </c>
      <c r="H955" s="184"/>
      <c r="I955" s="2">
        <f>ROUND(G955*$C955,0)</f>
        <v>145152</v>
      </c>
      <c r="J955" s="200">
        <f>J934</f>
        <v>1344</v>
      </c>
      <c r="K955" s="184"/>
      <c r="L955" s="2">
        <f>ROUND(J955*$C955,0)</f>
        <v>145152</v>
      </c>
      <c r="M955" s="11"/>
      <c r="N955" s="11"/>
      <c r="O955" s="38"/>
      <c r="P955" s="38"/>
      <c r="Q955" s="38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</row>
    <row r="956" spans="1:34" ht="16.5" hidden="1" thickTop="1">
      <c r="A956" s="186" t="s">
        <v>276</v>
      </c>
      <c r="B956" s="1"/>
      <c r="C956" s="182">
        <v>0</v>
      </c>
      <c r="D956" s="200">
        <f>D935</f>
        <v>1618</v>
      </c>
      <c r="E956" s="187"/>
      <c r="F956" s="2">
        <f>ROUND(D956*C956,0)</f>
        <v>0</v>
      </c>
      <c r="G956" s="216">
        <v>1618</v>
      </c>
      <c r="H956" s="187"/>
      <c r="I956" s="2">
        <f>ROUND(G956*$C956,0)</f>
        <v>0</v>
      </c>
      <c r="J956" s="200">
        <f>J935</f>
        <v>1618</v>
      </c>
      <c r="K956" s="187"/>
      <c r="L956" s="2">
        <f>ROUND(J956*$C956,0)</f>
        <v>0</v>
      </c>
      <c r="M956" s="11"/>
      <c r="N956" s="11"/>
      <c r="O956" s="38"/>
      <c r="P956" s="38"/>
      <c r="Q956" s="38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</row>
    <row r="957" spans="1:34" ht="16.5" hidden="1" thickTop="1">
      <c r="A957" s="186" t="s">
        <v>198</v>
      </c>
      <c r="B957" s="1"/>
      <c r="C957" s="182">
        <f>SUM(C955:C956)</f>
        <v>108</v>
      </c>
      <c r="D957" s="200"/>
      <c r="E957" s="184"/>
      <c r="F957" s="2" t="s">
        <v>13</v>
      </c>
      <c r="G957" s="216" t="s">
        <v>13</v>
      </c>
      <c r="H957" s="184"/>
      <c r="I957" s="2" t="s">
        <v>13</v>
      </c>
      <c r="J957" s="200" t="s">
        <v>13</v>
      </c>
      <c r="K957" s="184"/>
      <c r="L957" s="2" t="s">
        <v>13</v>
      </c>
      <c r="M957" s="11"/>
      <c r="N957" s="11"/>
      <c r="O957" s="38"/>
      <c r="P957" s="38"/>
      <c r="Q957" s="38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</row>
    <row r="958" spans="1:34" ht="16.5" hidden="1" thickTop="1">
      <c r="A958" s="186" t="s">
        <v>277</v>
      </c>
      <c r="B958" s="1"/>
      <c r="C958" s="182">
        <v>188676</v>
      </c>
      <c r="D958" s="200">
        <f>D937</f>
        <v>0.61</v>
      </c>
      <c r="E958" s="184"/>
      <c r="F958" s="2">
        <f>ROUND(D958*C958,0)</f>
        <v>115092</v>
      </c>
      <c r="G958" s="216">
        <v>0.61</v>
      </c>
      <c r="H958" s="184"/>
      <c r="I958" s="2">
        <f>ROUND(G958*$C958,0)</f>
        <v>115092</v>
      </c>
      <c r="J958" s="200">
        <f>J937</f>
        <v>0.61</v>
      </c>
      <c r="K958" s="184"/>
      <c r="L958" s="2">
        <f>ROUND(J958*$C958,0)</f>
        <v>115092</v>
      </c>
      <c r="M958" s="6"/>
      <c r="N958" s="6"/>
      <c r="O958" s="38"/>
      <c r="P958" s="38"/>
      <c r="Q958" s="38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</row>
    <row r="959" spans="1:34" ht="16.5" hidden="1" thickTop="1">
      <c r="A959" s="186" t="s">
        <v>278</v>
      </c>
      <c r="B959" s="1"/>
      <c r="C959" s="182">
        <v>0</v>
      </c>
      <c r="D959" s="200">
        <f>D938</f>
        <v>0.5</v>
      </c>
      <c r="E959" s="184"/>
      <c r="F959" s="2">
        <f>ROUND(D959*C959,0)</f>
        <v>0</v>
      </c>
      <c r="G959" s="216">
        <v>0.5</v>
      </c>
      <c r="H959" s="184"/>
      <c r="I959" s="2">
        <f>ROUND(G959*$C959,0)</f>
        <v>0</v>
      </c>
      <c r="J959" s="200">
        <f>J938</f>
        <v>0.5</v>
      </c>
      <c r="K959" s="184"/>
      <c r="L959" s="2">
        <f>ROUND(J959*$C959,0)</f>
        <v>0</v>
      </c>
      <c r="M959" s="11"/>
      <c r="N959" s="11"/>
      <c r="O959" s="38"/>
      <c r="P959" s="38"/>
      <c r="Q959" s="38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</row>
    <row r="960" spans="1:34" ht="16.5" hidden="1" thickTop="1">
      <c r="A960" s="284" t="s">
        <v>539</v>
      </c>
      <c r="B960" s="1"/>
      <c r="C960" s="182">
        <v>146860.97586139501</v>
      </c>
      <c r="D960" s="200">
        <f>D939</f>
        <v>8.8000000000000007</v>
      </c>
      <c r="E960" s="184"/>
      <c r="F960" s="2">
        <f>ROUND(D960*$C960,0)</f>
        <v>1292377</v>
      </c>
      <c r="G960" s="216">
        <v>8.8000000000000007</v>
      </c>
      <c r="H960" s="184"/>
      <c r="I960" s="2">
        <f>ROUND(G960*$C960,0)</f>
        <v>1292377</v>
      </c>
      <c r="J960" s="200">
        <f>J939</f>
        <v>8.8000000000000007</v>
      </c>
      <c r="K960" s="184"/>
      <c r="L960" s="2">
        <f>ROUND(J960*$C960,0)</f>
        <v>1292377</v>
      </c>
      <c r="M960" s="11"/>
      <c r="N960" s="11"/>
      <c r="O960" s="38"/>
      <c r="P960" s="38"/>
      <c r="Q960" s="38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</row>
    <row r="961" spans="1:34" ht="16.5" hidden="1" thickTop="1">
      <c r="A961" s="186" t="s">
        <v>230</v>
      </c>
      <c r="B961" s="1"/>
      <c r="C961" s="182"/>
      <c r="D961" s="189" t="s">
        <v>13</v>
      </c>
      <c r="E961" s="184"/>
      <c r="F961" s="2"/>
      <c r="G961" s="216" t="s">
        <v>13</v>
      </c>
      <c r="H961" s="184"/>
      <c r="I961" s="2"/>
      <c r="J961" s="200" t="s">
        <v>13</v>
      </c>
      <c r="K961" s="184"/>
      <c r="L961" s="2"/>
      <c r="M961" s="11"/>
      <c r="N961" s="11"/>
      <c r="O961" s="38"/>
      <c r="P961" s="38"/>
      <c r="Q961" s="38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</row>
    <row r="962" spans="1:34" ht="16.5" hidden="1" thickTop="1">
      <c r="A962" s="186" t="s">
        <v>268</v>
      </c>
      <c r="B962" s="1"/>
      <c r="C962" s="182">
        <v>65474022.809296638</v>
      </c>
      <c r="D962" s="258"/>
      <c r="E962" s="184"/>
      <c r="F962" s="2"/>
      <c r="G962" s="749"/>
      <c r="H962" s="184"/>
      <c r="I962" s="2"/>
      <c r="J962" s="258"/>
      <c r="K962" s="184"/>
      <c r="L962" s="2"/>
      <c r="M962" s="11"/>
      <c r="N962" s="11"/>
      <c r="O962" s="38"/>
      <c r="P962" s="38"/>
      <c r="Q962" s="38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</row>
    <row r="963" spans="1:34" ht="16.5" hidden="1" thickTop="1">
      <c r="A963" s="172" t="s">
        <v>524</v>
      </c>
      <c r="B963" s="1"/>
      <c r="C963" s="182">
        <v>26241004.43942751</v>
      </c>
      <c r="D963" s="245">
        <f>D942</f>
        <v>5.2480000000000002</v>
      </c>
      <c r="E963" s="184" t="s">
        <v>178</v>
      </c>
      <c r="F963" s="184">
        <f>ROUND(D963/100*$C963,0)</f>
        <v>1377128</v>
      </c>
      <c r="G963" s="287">
        <v>5.5709999999999997</v>
      </c>
      <c r="H963" s="184" t="s">
        <v>178</v>
      </c>
      <c r="I963" s="184">
        <f>ROUND(G963/100*$C963,0)</f>
        <v>1461886</v>
      </c>
      <c r="J963" s="245">
        <f ca="1">J942</f>
        <v>5.5570000000000004</v>
      </c>
      <c r="K963" s="184" t="s">
        <v>178</v>
      </c>
      <c r="L963" s="184">
        <f ca="1">ROUND(J963/100*$C963,0)</f>
        <v>1458213</v>
      </c>
      <c r="M963" s="11"/>
      <c r="N963" s="11"/>
      <c r="O963" s="38"/>
      <c r="P963" s="38"/>
      <c r="Q963" s="38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</row>
    <row r="964" spans="1:34" ht="16.5" hidden="1" thickTop="1">
      <c r="A964" s="172" t="s">
        <v>525</v>
      </c>
      <c r="B964" s="1"/>
      <c r="C964" s="182">
        <f>C966-C963</f>
        <v>39233018.369869128</v>
      </c>
      <c r="D964" s="245">
        <f>D943</f>
        <v>4.3150000000000004</v>
      </c>
      <c r="E964" s="184" t="s">
        <v>178</v>
      </c>
      <c r="F964" s="184">
        <f>ROUND(D964/100*$C964,0)</f>
        <v>1692905</v>
      </c>
      <c r="G964" s="287">
        <v>4.6379999999999999</v>
      </c>
      <c r="H964" s="184" t="s">
        <v>178</v>
      </c>
      <c r="I964" s="184">
        <f>ROUND(G964/100*$C964,0)</f>
        <v>1819627</v>
      </c>
      <c r="J964" s="245">
        <f ca="1">J943</f>
        <v>4.6239999999999997</v>
      </c>
      <c r="K964" s="184" t="s">
        <v>178</v>
      </c>
      <c r="L964" s="184">
        <f ca="1">ROUND(J964/100*$C964,0)</f>
        <v>1814135</v>
      </c>
      <c r="M964" s="11"/>
      <c r="N964" s="11"/>
      <c r="O964" s="38"/>
      <c r="P964" s="38"/>
      <c r="Q964" s="38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</row>
    <row r="965" spans="1:34" ht="16.5" hidden="1" thickTop="1">
      <c r="A965" s="186" t="s">
        <v>204</v>
      </c>
      <c r="B965" s="1"/>
      <c r="C965" s="182">
        <v>12663</v>
      </c>
      <c r="D965" s="189">
        <v>0.56000000000000005</v>
      </c>
      <c r="E965" s="184"/>
      <c r="F965" s="2">
        <f>C965*D965</f>
        <v>7091.2800000000007</v>
      </c>
      <c r="G965" s="216">
        <v>0.56000000000000005</v>
      </c>
      <c r="H965" s="184"/>
      <c r="I965" s="2">
        <f>C965*G965</f>
        <v>7091.2800000000007</v>
      </c>
      <c r="J965" s="189">
        <f>J944</f>
        <v>0.56000000000000005</v>
      </c>
      <c r="K965" s="184"/>
      <c r="L965" s="2">
        <f>F965*J965</f>
        <v>3971.1168000000007</v>
      </c>
      <c r="M965" s="512"/>
      <c r="N965" s="38"/>
      <c r="O965" s="38"/>
      <c r="P965" s="11"/>
      <c r="Q965" s="11"/>
      <c r="R965" s="11"/>
      <c r="S965" s="11"/>
      <c r="T965" s="11"/>
      <c r="U965" s="11"/>
      <c r="V965" s="11"/>
      <c r="Y965" s="11"/>
      <c r="Z965" s="11"/>
      <c r="AA965" s="11"/>
      <c r="AB965" s="11"/>
      <c r="AC965" s="11"/>
      <c r="AD965" s="11"/>
      <c r="AE965" s="11"/>
      <c r="AF965" s="11"/>
    </row>
    <row r="966" spans="1:34" ht="16.5" hidden="1" thickTop="1">
      <c r="A966" s="1" t="s">
        <v>185</v>
      </c>
      <c r="B966" s="1"/>
      <c r="C966" s="182">
        <f>C962</f>
        <v>65474022.809296638</v>
      </c>
      <c r="D966" s="193"/>
      <c r="E966" s="1"/>
      <c r="F966" s="2">
        <f>SUM(F955:F965)</f>
        <v>4629745.28</v>
      </c>
      <c r="G966" s="733"/>
      <c r="H966" s="1"/>
      <c r="I966" s="2">
        <f>SUM(I955:I965)</f>
        <v>4841225.28</v>
      </c>
      <c r="J966" s="193"/>
      <c r="K966" s="1"/>
      <c r="L966" s="2">
        <f ca="1">SUM(L955:L965)</f>
        <v>4828940.1168</v>
      </c>
      <c r="M966" s="11"/>
      <c r="N966" s="11"/>
      <c r="O966" s="38"/>
      <c r="P966" s="38"/>
      <c r="Q966" s="38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</row>
    <row r="967" spans="1:34" ht="16.5" hidden="1" thickTop="1">
      <c r="A967" s="1" t="s">
        <v>167</v>
      </c>
      <c r="B967" s="1"/>
      <c r="C967" s="182">
        <f>C966/($C$906+$C$966)*$C$1005</f>
        <v>601574.79894335207</v>
      </c>
      <c r="D967" s="172"/>
      <c r="E967" s="172"/>
      <c r="F967" s="204">
        <f>F966/($F$906+$F$966)*$F$1005</f>
        <v>61175.767163266195</v>
      </c>
      <c r="G967" s="284"/>
      <c r="H967" s="172"/>
      <c r="I967" s="204">
        <f>F967</f>
        <v>61175.767163266195</v>
      </c>
      <c r="J967" s="172"/>
      <c r="K967" s="172"/>
      <c r="L967" s="204">
        <f>I967</f>
        <v>61175.767163266195</v>
      </c>
      <c r="M967" s="307"/>
      <c r="N967" s="307"/>
      <c r="O967" s="150"/>
      <c r="P967" s="38"/>
      <c r="Q967" s="38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</row>
    <row r="968" spans="1:34" ht="17.25" hidden="1" thickTop="1" thickBot="1">
      <c r="A968" s="1" t="s">
        <v>186</v>
      </c>
      <c r="B968" s="1"/>
      <c r="C968" s="256">
        <f>SUM(C966)+C967</f>
        <v>66075597.608239993</v>
      </c>
      <c r="D968" s="205"/>
      <c r="E968" s="208"/>
      <c r="F968" s="207">
        <f>F966+F967</f>
        <v>4690921.0471632667</v>
      </c>
      <c r="G968" s="741"/>
      <c r="H968" s="208"/>
      <c r="I968" s="207">
        <f>I966+I967</f>
        <v>4902401.0471632667</v>
      </c>
      <c r="J968" s="205"/>
      <c r="K968" s="208"/>
      <c r="L968" s="207">
        <f ca="1">L966+L967</f>
        <v>4890115.8839632664</v>
      </c>
      <c r="M968" s="274"/>
      <c r="N968" s="274"/>
      <c r="O968" s="333"/>
      <c r="P968" s="38"/>
      <c r="Q968" s="38"/>
      <c r="R968" s="510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</row>
    <row r="969" spans="1:34" ht="16.5" hidden="1" thickTop="1">
      <c r="A969" s="1"/>
      <c r="B969" s="1"/>
      <c r="C969" s="12"/>
      <c r="D969" s="200" t="s">
        <v>13</v>
      </c>
      <c r="E969" s="1"/>
      <c r="F969" s="2"/>
      <c r="G969" s="216" t="s">
        <v>13</v>
      </c>
      <c r="H969" s="1"/>
      <c r="I969" s="2" t="s">
        <v>13</v>
      </c>
      <c r="J969" s="216" t="s">
        <v>13</v>
      </c>
      <c r="K969" s="1"/>
      <c r="L969" s="2" t="s">
        <v>13</v>
      </c>
      <c r="M969" s="11"/>
      <c r="N969" s="11"/>
      <c r="O969" s="38"/>
      <c r="P969" s="38"/>
      <c r="Q969" s="38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</row>
    <row r="970" spans="1:34" ht="16.5" hidden="1" thickTop="1">
      <c r="A970" s="156" t="s">
        <v>280</v>
      </c>
      <c r="B970" s="1"/>
      <c r="C970" s="1"/>
      <c r="D970" s="2"/>
      <c r="E970" s="1"/>
      <c r="F970" s="1"/>
      <c r="G970" s="516"/>
      <c r="H970" s="1"/>
      <c r="I970" s="1"/>
      <c r="J970" s="2"/>
      <c r="K970" s="1"/>
      <c r="L970" s="1"/>
      <c r="M970" s="11"/>
      <c r="N970" s="11"/>
      <c r="O970" s="38"/>
      <c r="P970" s="38"/>
      <c r="Q970" s="38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</row>
    <row r="971" spans="1:34" ht="16.5" hidden="1" thickTop="1">
      <c r="A971" s="172" t="s">
        <v>430</v>
      </c>
      <c r="B971" s="1"/>
      <c r="C971" s="1"/>
      <c r="D971" s="2"/>
      <c r="E971" s="1"/>
      <c r="F971" s="1"/>
      <c r="G971" s="516"/>
      <c r="H971" s="1"/>
      <c r="I971" s="1"/>
      <c r="J971" s="2"/>
      <c r="K971" s="1"/>
      <c r="L971" s="1"/>
      <c r="M971" s="11"/>
      <c r="N971" s="11"/>
      <c r="O971" s="38"/>
      <c r="P971" s="38"/>
      <c r="Q971" s="38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</row>
    <row r="972" spans="1:34" ht="16.5" hidden="1" thickTop="1">
      <c r="A972" s="1" t="s">
        <v>13</v>
      </c>
      <c r="B972" s="1"/>
      <c r="C972" s="1"/>
      <c r="D972" s="2"/>
      <c r="E972" s="1"/>
      <c r="F972" s="1"/>
      <c r="G972" s="516"/>
      <c r="H972" s="1"/>
      <c r="I972" s="1"/>
      <c r="J972" s="2"/>
      <c r="K972" s="1"/>
      <c r="L972" s="1"/>
      <c r="M972" s="11"/>
      <c r="N972" s="11"/>
      <c r="O972" s="38"/>
      <c r="P972" s="38"/>
      <c r="Q972" s="38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</row>
    <row r="973" spans="1:34" ht="16.5" hidden="1" thickTop="1">
      <c r="A973" s="186" t="s">
        <v>197</v>
      </c>
      <c r="B973" s="1"/>
      <c r="C973" s="182"/>
      <c r="D973" s="2"/>
      <c r="E973" s="1"/>
      <c r="F973" s="1"/>
      <c r="G973" s="516"/>
      <c r="H973" s="1"/>
      <c r="I973" s="1"/>
      <c r="J973" s="2"/>
      <c r="K973" s="1"/>
      <c r="L973" s="1"/>
      <c r="M973" s="11"/>
      <c r="N973" s="11"/>
      <c r="O973" s="38"/>
      <c r="P973" s="38"/>
      <c r="Q973" s="38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</row>
    <row r="974" spans="1:34" ht="16.5" hidden="1" thickTop="1">
      <c r="A974" s="186" t="s">
        <v>275</v>
      </c>
      <c r="B974" s="1"/>
      <c r="C974" s="182">
        <v>24</v>
      </c>
      <c r="D974" s="200">
        <f>D934</f>
        <v>1344</v>
      </c>
      <c r="E974" s="184"/>
      <c r="F974" s="2">
        <f>ROUND(D974*C974,0)</f>
        <v>32256</v>
      </c>
      <c r="G974" s="216">
        <v>1344</v>
      </c>
      <c r="H974" s="184"/>
      <c r="I974" s="2">
        <f>ROUND(G974*$C974,0)</f>
        <v>32256</v>
      </c>
      <c r="J974" s="200">
        <f>J934</f>
        <v>1344</v>
      </c>
      <c r="K974" s="184"/>
      <c r="L974" s="2">
        <f>ROUND(J974*$C974,0)</f>
        <v>32256</v>
      </c>
      <c r="M974" s="11"/>
      <c r="N974" s="11"/>
      <c r="O974" s="38"/>
      <c r="P974" s="38"/>
      <c r="Q974" s="38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</row>
    <row r="975" spans="1:34" ht="16.5" hidden="1" thickTop="1">
      <c r="A975" s="186" t="s">
        <v>276</v>
      </c>
      <c r="B975" s="1"/>
      <c r="C975" s="182">
        <v>0</v>
      </c>
      <c r="D975" s="200">
        <f>D935</f>
        <v>1618</v>
      </c>
      <c r="E975" s="187"/>
      <c r="F975" s="2">
        <f>ROUND(D975*C975,0)</f>
        <v>0</v>
      </c>
      <c r="G975" s="216">
        <v>1618</v>
      </c>
      <c r="H975" s="187"/>
      <c r="I975" s="2">
        <f>ROUND(G975*$C975,0)</f>
        <v>0</v>
      </c>
      <c r="J975" s="200">
        <f>J935</f>
        <v>1618</v>
      </c>
      <c r="K975" s="187"/>
      <c r="L975" s="2">
        <f>ROUND(J975*$C975,0)</f>
        <v>0</v>
      </c>
      <c r="M975" s="11"/>
      <c r="N975" s="11"/>
      <c r="O975" s="38"/>
      <c r="P975" s="38"/>
      <c r="Q975" s="38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</row>
    <row r="976" spans="1:34" ht="16.5" hidden="1" thickTop="1">
      <c r="A976" s="186" t="s">
        <v>198</v>
      </c>
      <c r="B976" s="1"/>
      <c r="C976" s="182">
        <f>SUM(C974:C975)</f>
        <v>24</v>
      </c>
      <c r="D976" s="200"/>
      <c r="E976" s="184"/>
      <c r="F976" s="2" t="s">
        <v>13</v>
      </c>
      <c r="G976" s="216" t="s">
        <v>13</v>
      </c>
      <c r="H976" s="184"/>
      <c r="I976" s="2" t="s">
        <v>13</v>
      </c>
      <c r="J976" s="200" t="s">
        <v>13</v>
      </c>
      <c r="K976" s="184"/>
      <c r="L976" s="2" t="s">
        <v>13</v>
      </c>
      <c r="M976" s="11"/>
      <c r="N976" s="11"/>
      <c r="O976" s="38"/>
      <c r="P976" s="38"/>
      <c r="Q976" s="38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</row>
    <row r="977" spans="1:34" ht="16.5" hidden="1" thickTop="1">
      <c r="A977" s="186" t="s">
        <v>277</v>
      </c>
      <c r="B977" s="1"/>
      <c r="C977" s="182">
        <v>17279</v>
      </c>
      <c r="D977" s="200">
        <f>D937</f>
        <v>0.61</v>
      </c>
      <c r="E977" s="184"/>
      <c r="F977" s="2">
        <f>ROUND(D977*C977,0)</f>
        <v>10540</v>
      </c>
      <c r="G977" s="216">
        <v>0.61</v>
      </c>
      <c r="H977" s="184"/>
      <c r="I977" s="2">
        <f>ROUND(G977*$C977,0)</f>
        <v>10540</v>
      </c>
      <c r="J977" s="200">
        <f>J937</f>
        <v>0.61</v>
      </c>
      <c r="K977" s="184"/>
      <c r="L977" s="2">
        <f>ROUND(J977*$C977,0)</f>
        <v>10540</v>
      </c>
      <c r="M977" s="6"/>
      <c r="N977" s="6"/>
      <c r="O977" s="38"/>
      <c r="P977" s="38"/>
      <c r="Q977" s="38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</row>
    <row r="978" spans="1:34" ht="16.5" hidden="1" thickTop="1">
      <c r="A978" s="186" t="s">
        <v>278</v>
      </c>
      <c r="B978" s="1"/>
      <c r="C978" s="182">
        <v>0</v>
      </c>
      <c r="D978" s="200">
        <f>D938</f>
        <v>0.5</v>
      </c>
      <c r="E978" s="184"/>
      <c r="F978" s="2">
        <f>ROUND(D978*C978,0)</f>
        <v>0</v>
      </c>
      <c r="G978" s="216">
        <v>0.5</v>
      </c>
      <c r="H978" s="184"/>
      <c r="I978" s="2">
        <f>ROUND(G978*$C978,0)</f>
        <v>0</v>
      </c>
      <c r="J978" s="200">
        <f>J938</f>
        <v>0.5</v>
      </c>
      <c r="K978" s="184"/>
      <c r="L978" s="2">
        <f>ROUND(J978*$C978,0)</f>
        <v>0</v>
      </c>
      <c r="M978" s="11"/>
      <c r="N978" s="11"/>
      <c r="O978" s="38"/>
      <c r="P978" s="38"/>
      <c r="Q978" s="38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</row>
    <row r="979" spans="1:34" ht="16.5" hidden="1" thickTop="1">
      <c r="A979" s="284" t="s">
        <v>539</v>
      </c>
      <c r="B979" s="1"/>
      <c r="C979" s="182">
        <v>13392.304138605017</v>
      </c>
      <c r="D979" s="200">
        <f>D939</f>
        <v>8.8000000000000007</v>
      </c>
      <c r="E979" s="184"/>
      <c r="F979" s="2">
        <f>ROUND(D979*$C979,0)</f>
        <v>117852</v>
      </c>
      <c r="G979" s="216">
        <v>8.8000000000000007</v>
      </c>
      <c r="H979" s="184"/>
      <c r="I979" s="2">
        <f>ROUND(G979*$C979,0)</f>
        <v>117852</v>
      </c>
      <c r="J979" s="200">
        <f>J939</f>
        <v>8.8000000000000007</v>
      </c>
      <c r="K979" s="184"/>
      <c r="L979" s="2">
        <f>ROUND(J979*$C979,0)</f>
        <v>117852</v>
      </c>
      <c r="M979" s="11"/>
      <c r="N979" s="11"/>
      <c r="O979" s="38"/>
      <c r="P979" s="38"/>
      <c r="Q979" s="38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</row>
    <row r="980" spans="1:34" ht="16.5" hidden="1" thickTop="1">
      <c r="A980" s="186" t="s">
        <v>230</v>
      </c>
      <c r="B980" s="1"/>
      <c r="C980" s="182"/>
      <c r="D980" s="200"/>
      <c r="E980" s="184"/>
      <c r="F980" s="2"/>
      <c r="G980" s="216" t="s">
        <v>13</v>
      </c>
      <c r="H980" s="184"/>
      <c r="I980" s="2"/>
      <c r="J980" s="200" t="s">
        <v>13</v>
      </c>
      <c r="K980" s="184"/>
      <c r="L980" s="2"/>
      <c r="M980" s="11"/>
      <c r="N980" s="11"/>
      <c r="O980" s="38"/>
      <c r="P980" s="38"/>
      <c r="Q980" s="38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</row>
    <row r="981" spans="1:34" ht="16.5" hidden="1" thickTop="1">
      <c r="A981" s="186" t="s">
        <v>268</v>
      </c>
      <c r="B981" s="1"/>
      <c r="C981" s="182">
        <v>996600</v>
      </c>
      <c r="D981" s="258"/>
      <c r="E981" s="184"/>
      <c r="F981" s="2"/>
      <c r="G981" s="749"/>
      <c r="H981" s="184"/>
      <c r="I981" s="2"/>
      <c r="J981" s="258"/>
      <c r="K981" s="184"/>
      <c r="L981" s="2"/>
      <c r="M981" s="11"/>
      <c r="N981" s="11"/>
      <c r="O981" s="38"/>
      <c r="P981" s="38"/>
      <c r="Q981" s="38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</row>
    <row r="982" spans="1:34" ht="16.5" hidden="1" thickTop="1">
      <c r="A982" s="172" t="s">
        <v>524</v>
      </c>
      <c r="B982" s="1"/>
      <c r="C982" s="182">
        <v>399422.30372043326</v>
      </c>
      <c r="D982" s="245">
        <f>D942</f>
        <v>5.2480000000000002</v>
      </c>
      <c r="E982" s="184" t="s">
        <v>178</v>
      </c>
      <c r="F982" s="184">
        <f>ROUND(D982/100*$C982,0)</f>
        <v>20962</v>
      </c>
      <c r="G982" s="287">
        <v>5.5709999999999997</v>
      </c>
      <c r="H982" s="184" t="s">
        <v>178</v>
      </c>
      <c r="I982" s="184">
        <f>ROUND(G982/100*$C982,0)</f>
        <v>22252</v>
      </c>
      <c r="J982" s="245">
        <f ca="1">J942</f>
        <v>5.5570000000000004</v>
      </c>
      <c r="K982" s="184" t="s">
        <v>178</v>
      </c>
      <c r="L982" s="184">
        <f ca="1">ROUND(J982/100*$C982,0)</f>
        <v>22196</v>
      </c>
      <c r="M982" s="11"/>
      <c r="N982" s="11"/>
      <c r="O982" s="38"/>
      <c r="P982" s="38"/>
      <c r="Q982" s="38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</row>
    <row r="983" spans="1:34" ht="16.5" hidden="1" thickTop="1">
      <c r="A983" s="172" t="s">
        <v>525</v>
      </c>
      <c r="B983" s="1"/>
      <c r="C983" s="182">
        <f>C985-C982</f>
        <v>597177.69627956674</v>
      </c>
      <c r="D983" s="245">
        <f>D943</f>
        <v>4.3150000000000004</v>
      </c>
      <c r="E983" s="184" t="s">
        <v>178</v>
      </c>
      <c r="F983" s="184">
        <f>ROUND(D983/100*$C983,0)</f>
        <v>25768</v>
      </c>
      <c r="G983" s="287">
        <v>4.6379999999999999</v>
      </c>
      <c r="H983" s="184" t="s">
        <v>178</v>
      </c>
      <c r="I983" s="184">
        <f>ROUND(G983/100*$C983,0)</f>
        <v>27697</v>
      </c>
      <c r="J983" s="245">
        <f ca="1">J943</f>
        <v>4.6239999999999997</v>
      </c>
      <c r="K983" s="184" t="s">
        <v>178</v>
      </c>
      <c r="L983" s="184">
        <f ca="1">ROUND(J983/100*$C983,0)</f>
        <v>27613</v>
      </c>
      <c r="M983" s="11"/>
      <c r="N983" s="11"/>
      <c r="O983" s="38"/>
      <c r="P983" s="38"/>
      <c r="Q983" s="38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</row>
    <row r="984" spans="1:34" ht="16.5" hidden="1" thickTop="1">
      <c r="A984" s="186" t="s">
        <v>204</v>
      </c>
      <c r="B984" s="1"/>
      <c r="C984" s="182">
        <v>2353</v>
      </c>
      <c r="D984" s="189">
        <v>0.56000000000000005</v>
      </c>
      <c r="E984" s="184"/>
      <c r="F984" s="2">
        <f>C984*D984</f>
        <v>1317.68</v>
      </c>
      <c r="G984" s="216">
        <v>0.56000000000000005</v>
      </c>
      <c r="H984" s="184"/>
      <c r="I984" s="2">
        <f>C984*G984</f>
        <v>1317.68</v>
      </c>
      <c r="J984" s="189">
        <f>J944</f>
        <v>0.56000000000000005</v>
      </c>
      <c r="K984" s="184"/>
      <c r="L984" s="2">
        <f>F984*J984</f>
        <v>737.90080000000012</v>
      </c>
      <c r="M984" s="512"/>
      <c r="N984" s="38"/>
      <c r="O984" s="38"/>
      <c r="P984" s="11"/>
      <c r="Q984" s="11"/>
      <c r="R984" s="11"/>
      <c r="S984" s="11"/>
      <c r="T984" s="11"/>
      <c r="U984" s="11"/>
      <c r="V984" s="11"/>
      <c r="Y984" s="11"/>
      <c r="Z984" s="11"/>
      <c r="AA984" s="11"/>
      <c r="AB984" s="11"/>
      <c r="AC984" s="11"/>
      <c r="AD984" s="11"/>
      <c r="AE984" s="11"/>
      <c r="AF984" s="11"/>
    </row>
    <row r="985" spans="1:34" ht="16.5" hidden="1" thickTop="1">
      <c r="A985" s="1" t="s">
        <v>185</v>
      </c>
      <c r="B985" s="1"/>
      <c r="C985" s="182">
        <f>C981</f>
        <v>996600</v>
      </c>
      <c r="D985" s="193"/>
      <c r="E985" s="1"/>
      <c r="F985" s="2">
        <f>SUM(F974:F984)</f>
        <v>208695.67999999999</v>
      </c>
      <c r="G985" s="733"/>
      <c r="H985" s="1"/>
      <c r="I985" s="2">
        <f>SUM(I974:I984)</f>
        <v>211914.68</v>
      </c>
      <c r="J985" s="193"/>
      <c r="K985" s="1"/>
      <c r="L985" s="2">
        <f ca="1">SUM(L974:L984)</f>
        <v>211194.9008</v>
      </c>
      <c r="M985" s="11"/>
      <c r="N985" s="11"/>
      <c r="O985" s="38"/>
      <c r="P985" s="38"/>
      <c r="Q985" s="38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</row>
    <row r="986" spans="1:34" ht="16.5" hidden="1" thickTop="1">
      <c r="A986" s="1" t="s">
        <v>167</v>
      </c>
      <c r="B986" s="1"/>
      <c r="C986" s="182">
        <f>C985/($C$925+$C$985)*$C$1025</f>
        <v>18729.517509110068</v>
      </c>
      <c r="D986" s="172"/>
      <c r="E986" s="172"/>
      <c r="F986" s="204">
        <f>F985/($F$925+$F$985)*$F$1025</f>
        <v>1262.6293786811086</v>
      </c>
      <c r="G986" s="284"/>
      <c r="H986" s="172"/>
      <c r="I986" s="204">
        <f>F986</f>
        <v>1262.6293786811086</v>
      </c>
      <c r="J986" s="172"/>
      <c r="K986" s="172"/>
      <c r="L986" s="204">
        <f>I986</f>
        <v>1262.6293786811086</v>
      </c>
      <c r="M986" s="307"/>
      <c r="N986" s="307"/>
      <c r="O986" s="150"/>
      <c r="P986" s="38"/>
      <c r="Q986" s="38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</row>
    <row r="987" spans="1:34" ht="17.25" hidden="1" thickTop="1" thickBot="1">
      <c r="A987" s="1" t="s">
        <v>186</v>
      </c>
      <c r="B987" s="1"/>
      <c r="C987" s="256">
        <f>SUM(C985)+C986</f>
        <v>1015329.51750911</v>
      </c>
      <c r="D987" s="205"/>
      <c r="E987" s="208"/>
      <c r="F987" s="207">
        <f>F985+F986</f>
        <v>209958.30937868109</v>
      </c>
      <c r="G987" s="741"/>
      <c r="H987" s="208"/>
      <c r="I987" s="207">
        <f>I985+I986</f>
        <v>213177.30937868109</v>
      </c>
      <c r="J987" s="205"/>
      <c r="K987" s="208"/>
      <c r="L987" s="207">
        <f ca="1">L985+L986</f>
        <v>212457.5301786811</v>
      </c>
      <c r="M987" s="274"/>
      <c r="N987" s="274"/>
      <c r="O987" s="333"/>
      <c r="P987" s="38"/>
      <c r="Q987" s="38"/>
      <c r="R987" s="510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</row>
    <row r="988" spans="1:34" ht="16.5" hidden="1" thickTop="1">
      <c r="A988" s="1"/>
      <c r="B988" s="1"/>
      <c r="C988" s="12"/>
      <c r="D988" s="200" t="s">
        <v>13</v>
      </c>
      <c r="E988" s="1"/>
      <c r="F988" s="2"/>
      <c r="G988" s="216" t="s">
        <v>13</v>
      </c>
      <c r="H988" s="1"/>
      <c r="I988" s="2" t="s">
        <v>13</v>
      </c>
      <c r="J988" s="216" t="s">
        <v>13</v>
      </c>
      <c r="K988" s="1"/>
      <c r="L988" s="2" t="s">
        <v>13</v>
      </c>
      <c r="M988" s="11"/>
      <c r="N988" s="11"/>
      <c r="O988" s="38"/>
      <c r="P988" s="38"/>
      <c r="Q988" s="38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</row>
    <row r="989" spans="1:34" ht="16.5" hidden="1" thickTop="1">
      <c r="A989" s="156" t="s">
        <v>280</v>
      </c>
      <c r="B989" s="1"/>
      <c r="C989" s="1"/>
      <c r="D989" s="2"/>
      <c r="E989" s="1"/>
      <c r="F989" s="1"/>
      <c r="G989" s="516"/>
      <c r="H989" s="1"/>
      <c r="I989" s="1"/>
      <c r="J989" s="2"/>
      <c r="K989" s="1"/>
      <c r="L989" s="1"/>
      <c r="M989" s="11"/>
      <c r="N989" s="11"/>
      <c r="O989" s="38"/>
      <c r="P989" s="38"/>
      <c r="Q989" s="38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</row>
    <row r="990" spans="1:34" ht="16.5" hidden="1" thickTop="1">
      <c r="A990" s="172" t="s">
        <v>436</v>
      </c>
      <c r="B990" s="1"/>
      <c r="C990" s="1"/>
      <c r="D990" s="2"/>
      <c r="E990" s="1"/>
      <c r="F990" s="1"/>
      <c r="G990" s="516"/>
      <c r="H990" s="1"/>
      <c r="I990" s="1"/>
      <c r="J990" s="2"/>
      <c r="K990" s="1"/>
      <c r="L990" s="1"/>
      <c r="M990" s="11"/>
      <c r="N990" s="11"/>
      <c r="O990" s="38"/>
      <c r="P990" s="38"/>
      <c r="Q990" s="38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</row>
    <row r="991" spans="1:34" ht="16.5" hidden="1" thickTop="1">
      <c r="A991" s="186"/>
      <c r="B991" s="1"/>
      <c r="C991" s="1"/>
      <c r="D991" s="2"/>
      <c r="E991" s="1"/>
      <c r="F991" s="1"/>
      <c r="G991" s="516"/>
      <c r="H991" s="1"/>
      <c r="I991" s="1"/>
      <c r="J991" s="2"/>
      <c r="K991" s="1"/>
      <c r="L991" s="1"/>
      <c r="M991" s="11"/>
      <c r="N991" s="11"/>
      <c r="O991" s="38"/>
      <c r="P991" s="38"/>
      <c r="Q991" s="38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</row>
    <row r="992" spans="1:34" ht="16.5" hidden="1" thickTop="1">
      <c r="A992" s="186" t="s">
        <v>197</v>
      </c>
      <c r="B992" s="1"/>
      <c r="C992" s="182"/>
      <c r="D992" s="2"/>
      <c r="E992" s="1"/>
      <c r="F992" s="1"/>
      <c r="G992" s="516"/>
      <c r="H992" s="1"/>
      <c r="I992" s="1"/>
      <c r="J992" s="2"/>
      <c r="K992" s="1"/>
      <c r="L992" s="1"/>
      <c r="M992" s="11"/>
      <c r="N992" s="11"/>
      <c r="O992" s="38"/>
      <c r="P992" s="38"/>
      <c r="Q992" s="38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</row>
    <row r="993" spans="1:34" ht="16.5" hidden="1" thickTop="1">
      <c r="A993" s="186" t="s">
        <v>275</v>
      </c>
      <c r="B993" s="1"/>
      <c r="C993" s="182">
        <f t="shared" ref="C993:C998" si="88">C955+C895</f>
        <v>436.84848484848499</v>
      </c>
      <c r="D993" s="200"/>
      <c r="E993" s="184"/>
      <c r="F993" s="2">
        <f>F955+F895</f>
        <v>576930</v>
      </c>
      <c r="G993" s="216"/>
      <c r="H993" s="184"/>
      <c r="I993" s="2">
        <f>I955+I895</f>
        <v>576930</v>
      </c>
      <c r="J993" s="200"/>
      <c r="K993" s="184"/>
      <c r="L993" s="2">
        <f>L955+L895</f>
        <v>576930</v>
      </c>
      <c r="M993" s="11"/>
      <c r="N993" s="11"/>
      <c r="O993" s="38"/>
      <c r="P993" s="38"/>
      <c r="Q993" s="38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</row>
    <row r="994" spans="1:34" ht="16.5" hidden="1" thickTop="1">
      <c r="A994" s="186" t="s">
        <v>276</v>
      </c>
      <c r="B994" s="1"/>
      <c r="C994" s="182">
        <f t="shared" si="88"/>
        <v>0</v>
      </c>
      <c r="D994" s="200"/>
      <c r="E994" s="187"/>
      <c r="F994" s="2">
        <f>F956+F896</f>
        <v>0</v>
      </c>
      <c r="G994" s="216"/>
      <c r="H994" s="187"/>
      <c r="I994" s="2">
        <f>I956+I896</f>
        <v>0</v>
      </c>
      <c r="J994" s="200"/>
      <c r="K994" s="187"/>
      <c r="L994" s="2">
        <f>L956+L896</f>
        <v>0</v>
      </c>
      <c r="M994" s="11"/>
      <c r="N994" s="11"/>
      <c r="O994" s="38"/>
      <c r="P994" s="38"/>
      <c r="Q994" s="38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</row>
    <row r="995" spans="1:34" ht="16.5" hidden="1" thickTop="1">
      <c r="A995" s="186" t="s">
        <v>198</v>
      </c>
      <c r="B995" s="1"/>
      <c r="C995" s="182">
        <f t="shared" si="88"/>
        <v>436.84848484848499</v>
      </c>
      <c r="D995" s="200"/>
      <c r="E995" s="184"/>
      <c r="F995" s="2" t="s">
        <v>13</v>
      </c>
      <c r="G995" s="216"/>
      <c r="H995" s="184"/>
      <c r="I995" s="2" t="s">
        <v>13</v>
      </c>
      <c r="J995" s="200"/>
      <c r="K995" s="184"/>
      <c r="L995" s="2" t="s">
        <v>13</v>
      </c>
      <c r="M995" s="11"/>
      <c r="N995" s="11"/>
      <c r="O995" s="38"/>
      <c r="P995" s="38"/>
      <c r="Q995" s="38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</row>
    <row r="996" spans="1:34" ht="16.5" hidden="1" thickTop="1">
      <c r="A996" s="186" t="s">
        <v>277</v>
      </c>
      <c r="B996" s="1"/>
      <c r="C996" s="182">
        <f t="shared" si="88"/>
        <v>595979.06896551698</v>
      </c>
      <c r="D996" s="200"/>
      <c r="E996" s="184"/>
      <c r="F996" s="2">
        <f>F958+F898</f>
        <v>612002</v>
      </c>
      <c r="G996" s="216"/>
      <c r="H996" s="184"/>
      <c r="I996" s="2">
        <f>I958+I898</f>
        <v>612002</v>
      </c>
      <c r="J996" s="200"/>
      <c r="K996" s="184"/>
      <c r="L996" s="2">
        <f>L958+L898</f>
        <v>612002</v>
      </c>
      <c r="M996" s="11"/>
      <c r="N996" s="11"/>
      <c r="O996" s="38"/>
      <c r="P996" s="38"/>
      <c r="Q996" s="38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</row>
    <row r="997" spans="1:34" ht="16.5" hidden="1" thickTop="1">
      <c r="A997" s="186" t="s">
        <v>278</v>
      </c>
      <c r="B997" s="1"/>
      <c r="C997" s="182">
        <f t="shared" si="88"/>
        <v>0</v>
      </c>
      <c r="D997" s="200"/>
      <c r="E997" s="184"/>
      <c r="F997" s="2">
        <f>F959+F899</f>
        <v>0</v>
      </c>
      <c r="G997" s="216"/>
      <c r="H997" s="184"/>
      <c r="I997" s="2">
        <f>I959+I899</f>
        <v>0</v>
      </c>
      <c r="J997" s="200"/>
      <c r="K997" s="184"/>
      <c r="L997" s="2">
        <f>L959+L899</f>
        <v>0</v>
      </c>
      <c r="M997" s="11"/>
      <c r="N997" s="11"/>
      <c r="O997" s="38"/>
      <c r="P997" s="38"/>
      <c r="Q997" s="38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</row>
    <row r="998" spans="1:34" ht="16.5" hidden="1" thickTop="1">
      <c r="A998" s="284" t="s">
        <v>539</v>
      </c>
      <c r="B998" s="1"/>
      <c r="C998" s="182">
        <f t="shared" si="88"/>
        <v>449030.33721378323</v>
      </c>
      <c r="D998" s="258"/>
      <c r="E998" s="184"/>
      <c r="F998" s="2">
        <f>F960+F900</f>
        <v>3930316</v>
      </c>
      <c r="G998" s="749"/>
      <c r="H998" s="184"/>
      <c r="I998" s="2">
        <f>I960+I900</f>
        <v>3930316</v>
      </c>
      <c r="J998" s="258"/>
      <c r="K998" s="184"/>
      <c r="L998" s="2">
        <f>L960+L900</f>
        <v>3930316</v>
      </c>
      <c r="M998" s="11"/>
      <c r="N998" s="11"/>
      <c r="O998" s="38"/>
      <c r="P998" s="38"/>
      <c r="Q998" s="38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</row>
    <row r="999" spans="1:34" ht="16.5" hidden="1" thickTop="1">
      <c r="A999" s="186" t="s">
        <v>230</v>
      </c>
      <c r="B999" s="1"/>
      <c r="C999" s="182"/>
      <c r="D999" s="200"/>
      <c r="E999" s="184"/>
      <c r="F999" s="2"/>
      <c r="G999" s="216"/>
      <c r="H999" s="184"/>
      <c r="I999" s="2"/>
      <c r="J999" s="200"/>
      <c r="K999" s="184"/>
      <c r="L999" s="2"/>
      <c r="M999" s="11"/>
      <c r="N999" s="11"/>
      <c r="O999" s="38"/>
      <c r="P999" s="38"/>
      <c r="Q999" s="38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</row>
    <row r="1000" spans="1:34" ht="16.5" hidden="1" thickTop="1">
      <c r="A1000" s="186" t="s">
        <v>268</v>
      </c>
      <c r="B1000" s="1"/>
      <c r="C1000" s="182">
        <f>C962+C902</f>
        <v>192734743.62835389</v>
      </c>
      <c r="D1000" s="258"/>
      <c r="E1000" s="184"/>
      <c r="F1000" s="2"/>
      <c r="G1000" s="749"/>
      <c r="H1000" s="184"/>
      <c r="I1000" s="2"/>
      <c r="J1000" s="258"/>
      <c r="K1000" s="184"/>
      <c r="L1000" s="2"/>
      <c r="M1000" s="11"/>
      <c r="N1000" s="11"/>
      <c r="O1000" s="38"/>
      <c r="P1000" s="38"/>
      <c r="Q1000" s="38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</row>
    <row r="1001" spans="1:34" ht="16.5" hidden="1" thickTop="1">
      <c r="A1001" s="172" t="s">
        <v>524</v>
      </c>
      <c r="B1001" s="1"/>
      <c r="C1001" s="182">
        <f>C963+C903</f>
        <v>76310856.390132248</v>
      </c>
      <c r="D1001" s="515" t="s">
        <v>13</v>
      </c>
      <c r="E1001" s="184" t="s">
        <v>13</v>
      </c>
      <c r="F1001" s="2">
        <f>F963+F903</f>
        <v>4034836</v>
      </c>
      <c r="G1001" s="287" t="s">
        <v>13</v>
      </c>
      <c r="H1001" s="184" t="s">
        <v>13</v>
      </c>
      <c r="I1001" s="2">
        <f>I963+I903</f>
        <v>4281319</v>
      </c>
      <c r="J1001" s="515" t="s">
        <v>13</v>
      </c>
      <c r="K1001" s="184" t="s">
        <v>13</v>
      </c>
      <c r="L1001" s="2">
        <f ca="1">L963+L903</f>
        <v>4270637</v>
      </c>
      <c r="M1001" s="11"/>
      <c r="N1001" s="11"/>
      <c r="O1001" s="38"/>
      <c r="P1001" s="38"/>
      <c r="Q1001" s="38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</row>
    <row r="1002" spans="1:34" ht="16.5" hidden="1" thickTop="1">
      <c r="A1002" s="172" t="s">
        <v>525</v>
      </c>
      <c r="B1002" s="1"/>
      <c r="C1002" s="182">
        <f>C964+C904</f>
        <v>116423887.23822163</v>
      </c>
      <c r="D1002" s="515" t="s">
        <v>13</v>
      </c>
      <c r="E1002" s="184" t="s">
        <v>13</v>
      </c>
      <c r="F1002" s="2">
        <f>F964+F904</f>
        <v>5070006</v>
      </c>
      <c r="G1002" s="287" t="s">
        <v>13</v>
      </c>
      <c r="H1002" s="184" t="s">
        <v>13</v>
      </c>
      <c r="I1002" s="2">
        <f>I964+I904</f>
        <v>5446054</v>
      </c>
      <c r="J1002" s="515" t="s">
        <v>13</v>
      </c>
      <c r="K1002" s="184" t="s">
        <v>13</v>
      </c>
      <c r="L1002" s="2">
        <f ca="1">L964+L904</f>
        <v>5429755</v>
      </c>
      <c r="M1002" s="11"/>
      <c r="N1002" s="11"/>
      <c r="O1002" s="38"/>
      <c r="P1002" s="38"/>
      <c r="Q1002" s="38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</row>
    <row r="1003" spans="1:34" ht="16.5" hidden="1" thickTop="1">
      <c r="A1003" s="186" t="s">
        <v>204</v>
      </c>
      <c r="B1003" s="1"/>
      <c r="C1003" s="182">
        <f>C965+C905</f>
        <v>40486.424242424197</v>
      </c>
      <c r="D1003" s="189"/>
      <c r="E1003" s="184"/>
      <c r="F1003" s="2">
        <f>F965+F905</f>
        <v>22950.631818181791</v>
      </c>
      <c r="G1003" s="216"/>
      <c r="H1003" s="184"/>
      <c r="I1003" s="2">
        <f>I965+I905</f>
        <v>22950.631818181791</v>
      </c>
      <c r="J1003" s="189"/>
      <c r="K1003" s="184"/>
      <c r="L1003" s="2">
        <f>L965+L905</f>
        <v>19830.468618181792</v>
      </c>
      <c r="M1003" s="512"/>
      <c r="N1003" s="38"/>
      <c r="O1003" s="38"/>
      <c r="P1003" s="11"/>
      <c r="Q1003" s="11"/>
      <c r="R1003" s="11"/>
      <c r="S1003" s="11"/>
      <c r="T1003" s="11"/>
      <c r="U1003" s="11"/>
      <c r="V1003" s="11"/>
      <c r="Y1003" s="11"/>
      <c r="Z1003" s="11"/>
      <c r="AA1003" s="11"/>
      <c r="AB1003" s="11"/>
      <c r="AC1003" s="11"/>
      <c r="AD1003" s="11"/>
      <c r="AE1003" s="11"/>
      <c r="AF1003" s="11"/>
    </row>
    <row r="1004" spans="1:34" ht="16.5" hidden="1" thickTop="1">
      <c r="A1004" s="1" t="s">
        <v>185</v>
      </c>
      <c r="B1004" s="1"/>
      <c r="C1004" s="182">
        <f>C966+C906</f>
        <v>192734743.62835389</v>
      </c>
      <c r="D1004" s="193"/>
      <c r="E1004" s="1"/>
      <c r="F1004" s="2">
        <f>F966+F906</f>
        <v>14247040.631818183</v>
      </c>
      <c r="G1004" s="733"/>
      <c r="H1004" s="1"/>
      <c r="I1004" s="2">
        <f>I966+I906</f>
        <v>14869571.631818183</v>
      </c>
      <c r="J1004" s="193"/>
      <c r="K1004" s="1"/>
      <c r="L1004" s="2">
        <f ca="1">L966+L906</f>
        <v>14839470.468618181</v>
      </c>
      <c r="M1004" s="11"/>
      <c r="N1004" s="11"/>
      <c r="O1004" s="38"/>
      <c r="P1004" s="38"/>
      <c r="Q1004" s="38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</row>
    <row r="1005" spans="1:34" ht="16.5" hidden="1" thickTop="1">
      <c r="A1005" s="1" t="s">
        <v>167</v>
      </c>
      <c r="B1005" s="1"/>
      <c r="C1005" s="203">
        <v>1770845.2860049801</v>
      </c>
      <c r="D1005" s="172"/>
      <c r="E1005" s="172"/>
      <c r="F1005" s="494">
        <v>188255.20363351438</v>
      </c>
      <c r="G1005" s="284"/>
      <c r="H1005" s="172"/>
      <c r="I1005" s="494">
        <f>F1005</f>
        <v>188255.20363351438</v>
      </c>
      <c r="J1005" s="172"/>
      <c r="K1005" s="172"/>
      <c r="L1005" s="494">
        <f>I1005</f>
        <v>188255.20363351438</v>
      </c>
      <c r="M1005" s="307"/>
      <c r="N1005" s="307"/>
      <c r="O1005" s="150"/>
      <c r="P1005" s="38"/>
      <c r="Q1005" s="38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</row>
    <row r="1006" spans="1:34" ht="17.25" hidden="1" thickTop="1" thickBot="1">
      <c r="A1006" s="1" t="s">
        <v>186</v>
      </c>
      <c r="B1006" s="1"/>
      <c r="C1006" s="493">
        <f>C1004+C1005</f>
        <v>194505588.91435888</v>
      </c>
      <c r="D1006" s="205"/>
      <c r="E1006" s="208"/>
      <c r="F1006" s="496">
        <f>F1004+F1005</f>
        <v>14435295.835451698</v>
      </c>
      <c r="G1006" s="741"/>
      <c r="H1006" s="208"/>
      <c r="I1006" s="496">
        <f>I1004+I1005</f>
        <v>15057826.835451698</v>
      </c>
      <c r="J1006" s="205"/>
      <c r="K1006" s="208"/>
      <c r="L1006" s="496">
        <f ca="1">L1004+L1005</f>
        <v>15027725.672251696</v>
      </c>
      <c r="M1006" s="274"/>
      <c r="N1006" s="274"/>
      <c r="O1006" s="333"/>
      <c r="P1006" s="38"/>
      <c r="Q1006" s="38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</row>
    <row r="1007" spans="1:34" ht="16.5" hidden="1" thickTop="1">
      <c r="A1007" s="1"/>
      <c r="B1007" s="1"/>
      <c r="C1007" s="12"/>
      <c r="D1007" s="200" t="s">
        <v>13</v>
      </c>
      <c r="E1007" s="1"/>
      <c r="F1007" s="2"/>
      <c r="G1007" s="216" t="s">
        <v>13</v>
      </c>
      <c r="H1007" s="1"/>
      <c r="I1007" s="2" t="s">
        <v>13</v>
      </c>
      <c r="J1007" s="216" t="s">
        <v>13</v>
      </c>
      <c r="K1007" s="1"/>
      <c r="L1007" s="2" t="s">
        <v>13</v>
      </c>
      <c r="M1007" s="11"/>
      <c r="N1007" s="11"/>
      <c r="O1007" s="38"/>
      <c r="P1007" s="38"/>
      <c r="Q1007" s="38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</row>
    <row r="1008" spans="1:34" ht="16.5" hidden="1" thickTop="1">
      <c r="A1008" s="1"/>
      <c r="B1008" s="1"/>
      <c r="C1008" s="12"/>
      <c r="D1008" s="200"/>
      <c r="E1008" s="1"/>
      <c r="F1008" s="2"/>
      <c r="G1008" s="216"/>
      <c r="H1008" s="1"/>
      <c r="I1008" s="243"/>
      <c r="J1008" s="200"/>
      <c r="K1008" s="1"/>
      <c r="L1008" s="243"/>
      <c r="M1008" s="11"/>
      <c r="N1008" s="11"/>
      <c r="O1008" s="38"/>
      <c r="P1008" s="38"/>
      <c r="Q1008" s="38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</row>
    <row r="1009" spans="1:34" ht="16.5" hidden="1" thickTop="1">
      <c r="A1009" s="156" t="s">
        <v>280</v>
      </c>
      <c r="B1009" s="1"/>
      <c r="C1009" s="1"/>
      <c r="D1009" s="2"/>
      <c r="E1009" s="1"/>
      <c r="F1009" s="1"/>
      <c r="G1009" s="516"/>
      <c r="H1009" s="1"/>
      <c r="I1009" s="1"/>
      <c r="J1009" s="2"/>
      <c r="K1009" s="1"/>
      <c r="L1009" s="1"/>
      <c r="M1009" s="11"/>
      <c r="N1009" s="11"/>
      <c r="O1009" s="38"/>
      <c r="P1009" s="38"/>
      <c r="Q1009" s="38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</row>
    <row r="1010" spans="1:34" ht="16.5" hidden="1" thickTop="1">
      <c r="A1010" s="172" t="s">
        <v>437</v>
      </c>
      <c r="B1010" s="1"/>
      <c r="C1010" s="1"/>
      <c r="D1010" s="2"/>
      <c r="E1010" s="1"/>
      <c r="F1010" s="1"/>
      <c r="G1010" s="516"/>
      <c r="H1010" s="1"/>
      <c r="I1010" s="1"/>
      <c r="J1010" s="2"/>
      <c r="K1010" s="1"/>
      <c r="L1010" s="1"/>
      <c r="M1010" s="11"/>
      <c r="N1010" s="11"/>
      <c r="O1010" s="38"/>
      <c r="P1010" s="38"/>
      <c r="Q1010" s="38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</row>
    <row r="1011" spans="1:34" ht="16.5" hidden="1" thickTop="1">
      <c r="A1011" s="186"/>
      <c r="B1011" s="1"/>
      <c r="C1011" s="1"/>
      <c r="D1011" s="2"/>
      <c r="E1011" s="1"/>
      <c r="F1011" s="1"/>
      <c r="G1011" s="516"/>
      <c r="H1011" s="1"/>
      <c r="I1011" s="1"/>
      <c r="J1011" s="2"/>
      <c r="K1011" s="1"/>
      <c r="L1011" s="1"/>
      <c r="M1011" s="11"/>
      <c r="N1011" s="11"/>
      <c r="O1011" s="38"/>
      <c r="P1011" s="38"/>
      <c r="Q1011" s="38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</row>
    <row r="1012" spans="1:34" ht="16.5" hidden="1" thickTop="1">
      <c r="A1012" s="186" t="s">
        <v>197</v>
      </c>
      <c r="B1012" s="1"/>
      <c r="C1012" s="182"/>
      <c r="D1012" s="2"/>
      <c r="E1012" s="1"/>
      <c r="F1012" s="1"/>
      <c r="G1012" s="516"/>
      <c r="H1012" s="1"/>
      <c r="I1012" s="1"/>
      <c r="J1012" s="2"/>
      <c r="K1012" s="1"/>
      <c r="L1012" s="1"/>
      <c r="M1012" s="11"/>
      <c r="N1012" s="11"/>
      <c r="O1012" s="38"/>
      <c r="P1012" s="38"/>
      <c r="Q1012" s="38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</row>
    <row r="1013" spans="1:34" ht="16.5" hidden="1" thickTop="1">
      <c r="A1013" s="186" t="s">
        <v>275</v>
      </c>
      <c r="B1013" s="1"/>
      <c r="C1013" s="182">
        <f>C974+C914</f>
        <v>336.87878787878799</v>
      </c>
      <c r="D1013" s="200"/>
      <c r="E1013" s="184"/>
      <c r="F1013" s="2">
        <f>F974+F914</f>
        <v>443066</v>
      </c>
      <c r="G1013" s="216"/>
      <c r="H1013" s="184"/>
      <c r="I1013" s="2">
        <f>I974+I914</f>
        <v>443066</v>
      </c>
      <c r="J1013" s="200"/>
      <c r="K1013" s="184"/>
      <c r="L1013" s="2">
        <f>L974+L914</f>
        <v>443066</v>
      </c>
      <c r="M1013" s="11"/>
      <c r="N1013" s="11"/>
      <c r="O1013" s="38"/>
      <c r="P1013" s="38"/>
      <c r="Q1013" s="38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</row>
    <row r="1014" spans="1:34" ht="16.5" hidden="1" thickTop="1">
      <c r="A1014" s="186" t="s">
        <v>276</v>
      </c>
      <c r="B1014" s="1"/>
      <c r="C1014" s="182">
        <f>C975+C915</f>
        <v>0</v>
      </c>
      <c r="D1014" s="200"/>
      <c r="E1014" s="187"/>
      <c r="F1014" s="2">
        <f>F975+F915</f>
        <v>0</v>
      </c>
      <c r="G1014" s="216"/>
      <c r="H1014" s="187"/>
      <c r="I1014" s="2">
        <f>I975+I915</f>
        <v>0</v>
      </c>
      <c r="J1014" s="200"/>
      <c r="K1014" s="187"/>
      <c r="L1014" s="2">
        <f>L975+L915</f>
        <v>0</v>
      </c>
      <c r="M1014" s="11"/>
      <c r="N1014" s="11"/>
      <c r="O1014" s="38"/>
      <c r="P1014" s="38"/>
      <c r="Q1014" s="38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</row>
    <row r="1015" spans="1:34" ht="16.5" hidden="1" thickTop="1">
      <c r="A1015" s="186" t="s">
        <v>198</v>
      </c>
      <c r="B1015" s="1"/>
      <c r="C1015" s="182">
        <f>C976+C916</f>
        <v>336.87878787878799</v>
      </c>
      <c r="D1015" s="200"/>
      <c r="E1015" s="184"/>
      <c r="F1015" s="2" t="s">
        <v>13</v>
      </c>
      <c r="G1015" s="216"/>
      <c r="H1015" s="184"/>
      <c r="I1015" s="2" t="s">
        <v>13</v>
      </c>
      <c r="J1015" s="200"/>
      <c r="K1015" s="184"/>
      <c r="L1015" s="2" t="s">
        <v>13</v>
      </c>
      <c r="M1015" s="11"/>
      <c r="N1015" s="11"/>
      <c r="O1015" s="38"/>
      <c r="P1015" s="38"/>
      <c r="Q1015" s="38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</row>
    <row r="1016" spans="1:34" ht="16.5" hidden="1" thickTop="1">
      <c r="A1016" s="186" t="s">
        <v>277</v>
      </c>
      <c r="B1016" s="1"/>
      <c r="C1016" s="182">
        <f>C977+C917</f>
        <v>525179</v>
      </c>
      <c r="D1016" s="200"/>
      <c r="E1016" s="184"/>
      <c r="F1016" s="2">
        <f>F977+F917</f>
        <v>630178</v>
      </c>
      <c r="G1016" s="216"/>
      <c r="H1016" s="184"/>
      <c r="I1016" s="2">
        <f>I977+I917</f>
        <v>630178</v>
      </c>
      <c r="J1016" s="200"/>
      <c r="K1016" s="184"/>
      <c r="L1016" s="2">
        <f>L977+L917</f>
        <v>630178</v>
      </c>
      <c r="M1016" s="11"/>
      <c r="N1016" s="11"/>
      <c r="O1016" s="38"/>
      <c r="P1016" s="38"/>
      <c r="Q1016" s="38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</row>
    <row r="1017" spans="1:34" ht="16.5" hidden="1" thickTop="1">
      <c r="A1017" s="186" t="s">
        <v>278</v>
      </c>
      <c r="B1017" s="1"/>
      <c r="C1017" s="182">
        <f>C978+C918</f>
        <v>0</v>
      </c>
      <c r="D1017" s="200"/>
      <c r="E1017" s="184"/>
      <c r="F1017" s="2">
        <f>F978+F918</f>
        <v>0</v>
      </c>
      <c r="G1017" s="216"/>
      <c r="H1017" s="184"/>
      <c r="I1017" s="2">
        <f>I978+I918</f>
        <v>0</v>
      </c>
      <c r="J1017" s="200"/>
      <c r="K1017" s="184"/>
      <c r="L1017" s="2">
        <f>L978+L918</f>
        <v>0</v>
      </c>
      <c r="M1017" s="11"/>
      <c r="N1017" s="11"/>
      <c r="O1017" s="38"/>
      <c r="P1017" s="38"/>
      <c r="Q1017" s="38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</row>
    <row r="1018" spans="1:34" ht="16.5" hidden="1" thickTop="1">
      <c r="A1018" s="284" t="s">
        <v>539</v>
      </c>
      <c r="B1018" s="1"/>
      <c r="C1018" s="182">
        <f>C980+C920</f>
        <v>0</v>
      </c>
      <c r="D1018" s="200"/>
      <c r="E1018" s="184"/>
      <c r="F1018" s="2">
        <f>F979+F919</f>
        <v>3951996</v>
      </c>
      <c r="G1018" s="216"/>
      <c r="H1018" s="184"/>
      <c r="I1018" s="2">
        <f>I979+I919</f>
        <v>3951996</v>
      </c>
      <c r="J1018" s="200"/>
      <c r="K1018" s="184"/>
      <c r="L1018" s="2">
        <f>L979+L919</f>
        <v>3951996</v>
      </c>
      <c r="M1018" s="11"/>
      <c r="N1018" s="11"/>
      <c r="O1018" s="38"/>
      <c r="P1018" s="38"/>
      <c r="Q1018" s="38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</row>
    <row r="1019" spans="1:34" ht="16.5" hidden="1" thickTop="1">
      <c r="A1019" s="186" t="s">
        <v>230</v>
      </c>
      <c r="B1019" s="1"/>
      <c r="C1019" s="182"/>
      <c r="D1019" s="200"/>
      <c r="E1019" s="184"/>
      <c r="F1019" s="2"/>
      <c r="G1019" s="216"/>
      <c r="H1019" s="184"/>
      <c r="I1019" s="2"/>
      <c r="J1019" s="200"/>
      <c r="K1019" s="184"/>
      <c r="L1019" s="2"/>
      <c r="M1019" s="11"/>
      <c r="N1019" s="11"/>
      <c r="O1019" s="38"/>
      <c r="P1019" s="38"/>
      <c r="Q1019" s="38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</row>
    <row r="1020" spans="1:34" ht="16.5" hidden="1" thickTop="1">
      <c r="A1020" s="186" t="s">
        <v>268</v>
      </c>
      <c r="B1020" s="1"/>
      <c r="C1020" s="182">
        <f>C981+C921</f>
        <v>201885850</v>
      </c>
      <c r="D1020" s="258"/>
      <c r="E1020" s="184"/>
      <c r="F1020" s="2"/>
      <c r="G1020" s="749"/>
      <c r="H1020" s="184"/>
      <c r="I1020" s="2"/>
      <c r="J1020" s="258"/>
      <c r="K1020" s="184"/>
      <c r="L1020" s="2"/>
      <c r="M1020" s="11"/>
      <c r="N1020" s="11"/>
      <c r="O1020" s="38"/>
      <c r="P1020" s="38"/>
      <c r="Q1020" s="38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</row>
    <row r="1021" spans="1:34" ht="16.5" hidden="1" thickTop="1">
      <c r="A1021" s="172" t="s">
        <v>524</v>
      </c>
      <c r="B1021" s="1"/>
      <c r="C1021" s="182">
        <f>C982+C922</f>
        <v>79437910.701798514</v>
      </c>
      <c r="D1021" s="245"/>
      <c r="E1021" s="184"/>
      <c r="F1021" s="2">
        <f>F982+F922</f>
        <v>4216325</v>
      </c>
      <c r="G1021" s="287"/>
      <c r="H1021" s="184"/>
      <c r="I1021" s="2">
        <f>I982+I922</f>
        <v>4472909</v>
      </c>
      <c r="J1021" s="245"/>
      <c r="K1021" s="184"/>
      <c r="L1021" s="2">
        <f ca="1">L982+L922</f>
        <v>4461788</v>
      </c>
      <c r="M1021" s="11"/>
      <c r="N1021" s="11"/>
      <c r="O1021" s="38"/>
      <c r="P1021" s="38"/>
      <c r="Q1021" s="38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</row>
    <row r="1022" spans="1:34" ht="16.5" hidden="1" thickTop="1">
      <c r="A1022" s="172" t="s">
        <v>525</v>
      </c>
      <c r="B1022" s="1"/>
      <c r="C1022" s="182">
        <f>C983+C923</f>
        <v>122447939.29820149</v>
      </c>
      <c r="D1022" s="245"/>
      <c r="E1022" s="184"/>
      <c r="F1022" s="2">
        <f>F983+F923</f>
        <v>5356739</v>
      </c>
      <c r="G1022" s="287"/>
      <c r="H1022" s="184"/>
      <c r="I1022" s="2">
        <f>I983+I923</f>
        <v>5752246</v>
      </c>
      <c r="J1022" s="245"/>
      <c r="K1022" s="184"/>
      <c r="L1022" s="2">
        <f ca="1">L983+L923</f>
        <v>5735103</v>
      </c>
      <c r="M1022" s="11"/>
      <c r="N1022" s="11"/>
      <c r="O1022" s="38"/>
      <c r="P1022" s="38"/>
      <c r="Q1022" s="38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</row>
    <row r="1023" spans="1:34" ht="16.5" hidden="1" thickTop="1">
      <c r="A1023" s="186" t="s">
        <v>204</v>
      </c>
      <c r="B1023" s="1"/>
      <c r="C1023" s="182">
        <f>C984+C924</f>
        <v>119864.939393939</v>
      </c>
      <c r="D1023" s="189"/>
      <c r="E1023" s="184"/>
      <c r="F1023" s="2">
        <f>F984+F924</f>
        <v>68299.485454545211</v>
      </c>
      <c r="G1023" s="216"/>
      <c r="H1023" s="184"/>
      <c r="I1023" s="2">
        <f>I984+I924</f>
        <v>68299.485454545211</v>
      </c>
      <c r="J1023" s="189"/>
      <c r="K1023" s="184"/>
      <c r="L1023" s="2">
        <f>L984+L924</f>
        <v>67719.706254545221</v>
      </c>
      <c r="M1023" s="512"/>
      <c r="N1023" s="38"/>
      <c r="O1023" s="38"/>
      <c r="P1023" s="11"/>
      <c r="Q1023" s="11"/>
      <c r="R1023" s="11"/>
      <c r="S1023" s="11"/>
      <c r="T1023" s="11"/>
      <c r="U1023" s="11"/>
      <c r="V1023" s="11"/>
      <c r="Y1023" s="11"/>
      <c r="Z1023" s="11"/>
      <c r="AA1023" s="11"/>
      <c r="AB1023" s="11"/>
      <c r="AC1023" s="11"/>
      <c r="AD1023" s="11"/>
      <c r="AE1023" s="11"/>
      <c r="AF1023" s="11"/>
    </row>
    <row r="1024" spans="1:34" ht="16.5" hidden="1" thickTop="1">
      <c r="A1024" s="1" t="s">
        <v>185</v>
      </c>
      <c r="B1024" s="1"/>
      <c r="C1024" s="213">
        <f>C985+C925</f>
        <v>201885850</v>
      </c>
      <c r="D1024" s="193"/>
      <c r="E1024" s="1"/>
      <c r="F1024" s="20">
        <f>F985+F925</f>
        <v>14666603.485454544</v>
      </c>
      <c r="G1024" s="733"/>
      <c r="H1024" s="1"/>
      <c r="I1024" s="20">
        <f>I985+I925</f>
        <v>15318694.485454544</v>
      </c>
      <c r="J1024" s="193"/>
      <c r="K1024" s="1"/>
      <c r="L1024" s="20">
        <f ca="1">L985+L925</f>
        <v>15289850.706254546</v>
      </c>
      <c r="M1024" s="11"/>
      <c r="N1024" s="11"/>
      <c r="O1024" s="38"/>
      <c r="P1024" s="38"/>
      <c r="Q1024" s="38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</row>
    <row r="1025" spans="1:34" ht="16.5" hidden="1" thickTop="1">
      <c r="A1025" s="1" t="s">
        <v>167</v>
      </c>
      <c r="B1025" s="1"/>
      <c r="C1025" s="203">
        <v>3794124.5860089995</v>
      </c>
      <c r="D1025" s="172"/>
      <c r="E1025" s="172"/>
      <c r="F1025" s="494">
        <v>88734.392806797216</v>
      </c>
      <c r="G1025" s="284"/>
      <c r="H1025" s="172"/>
      <c r="I1025" s="494">
        <f>F1025</f>
        <v>88734.392806797216</v>
      </c>
      <c r="J1025" s="172"/>
      <c r="K1025" s="172"/>
      <c r="L1025" s="494">
        <f>I1025</f>
        <v>88734.392806797216</v>
      </c>
      <c r="M1025" s="307"/>
      <c r="N1025" s="307"/>
      <c r="O1025" s="150"/>
      <c r="P1025" s="38"/>
      <c r="Q1025" s="38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</row>
    <row r="1026" spans="1:34" ht="17.25" hidden="1" thickTop="1" thickBot="1">
      <c r="A1026" s="1" t="s">
        <v>186</v>
      </c>
      <c r="B1026" s="1"/>
      <c r="C1026" s="493">
        <f>C1024+C1025</f>
        <v>205679974.586009</v>
      </c>
      <c r="D1026" s="205"/>
      <c r="E1026" s="208"/>
      <c r="F1026" s="495">
        <f>F1024+F1025</f>
        <v>14755337.878261341</v>
      </c>
      <c r="G1026" s="741"/>
      <c r="H1026" s="208"/>
      <c r="I1026" s="495">
        <f>I1024+I1025</f>
        <v>15407428.878261341</v>
      </c>
      <c r="J1026" s="205"/>
      <c r="K1026" s="208"/>
      <c r="L1026" s="495">
        <f ca="1">L1024+L1025</f>
        <v>15378585.099061342</v>
      </c>
      <c r="M1026" s="274"/>
      <c r="N1026" s="274"/>
      <c r="O1026" s="333"/>
      <c r="P1026" s="38"/>
      <c r="Q1026" s="38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</row>
    <row r="1027" spans="1:34" ht="16.5" thickTop="1">
      <c r="A1027" s="1"/>
      <c r="B1027" s="1"/>
      <c r="C1027" s="12"/>
      <c r="D1027" s="200" t="s">
        <v>13</v>
      </c>
      <c r="E1027" s="1"/>
      <c r="F1027" s="2"/>
      <c r="G1027" s="216" t="s">
        <v>13</v>
      </c>
      <c r="H1027" s="1"/>
      <c r="I1027" s="2" t="s">
        <v>13</v>
      </c>
      <c r="J1027" s="216" t="s">
        <v>13</v>
      </c>
      <c r="K1027" s="1"/>
      <c r="L1027" s="2" t="s">
        <v>13</v>
      </c>
      <c r="M1027" s="11"/>
      <c r="N1027" s="11"/>
      <c r="O1027" s="38"/>
      <c r="P1027" s="38"/>
      <c r="Q1027" s="38"/>
      <c r="R1027" s="11"/>
      <c r="S1027" s="18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</row>
    <row r="1028" spans="1:34">
      <c r="A1028" s="156" t="s">
        <v>280</v>
      </c>
      <c r="B1028" s="1"/>
      <c r="C1028" s="1"/>
      <c r="D1028" s="2"/>
      <c r="E1028" s="1"/>
      <c r="F1028" s="1"/>
      <c r="G1028" s="516"/>
      <c r="H1028" s="1"/>
      <c r="I1028" s="1"/>
      <c r="J1028" s="2"/>
      <c r="K1028" s="1"/>
      <c r="L1028" s="1"/>
      <c r="M1028" s="11"/>
      <c r="N1028" s="11"/>
      <c r="O1028" s="853" t="s">
        <v>1459</v>
      </c>
      <c r="P1028" s="38"/>
      <c r="Q1028" s="38"/>
      <c r="R1028" s="11"/>
      <c r="S1028" s="66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</row>
    <row r="1029" spans="1:34">
      <c r="A1029" s="284" t="s">
        <v>449</v>
      </c>
      <c r="B1029" s="1"/>
      <c r="C1029" s="1"/>
      <c r="D1029" s="2"/>
      <c r="E1029" s="1"/>
      <c r="F1029" s="1"/>
      <c r="G1029" s="516"/>
      <c r="H1029" s="1"/>
      <c r="I1029" s="1"/>
      <c r="J1029" s="2"/>
      <c r="K1029" s="1"/>
      <c r="L1029" s="1"/>
      <c r="M1029" s="11"/>
      <c r="N1029" s="11"/>
      <c r="O1029" s="852">
        <f ca="1">'Exhibit No.__(RMM-2)pg1'!O28*1000</f>
        <v>-52793.74518095894</v>
      </c>
      <c r="P1029" s="38"/>
      <c r="Q1029" s="38"/>
      <c r="R1029" s="11"/>
      <c r="S1029" s="660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</row>
    <row r="1030" spans="1:34">
      <c r="A1030" s="186"/>
      <c r="B1030" s="1"/>
      <c r="C1030" s="1"/>
      <c r="D1030" s="2"/>
      <c r="E1030" s="1"/>
      <c r="F1030" s="1"/>
      <c r="G1030" s="516"/>
      <c r="H1030" s="1"/>
      <c r="I1030" s="1"/>
      <c r="J1030" s="2"/>
      <c r="K1030" s="1"/>
      <c r="L1030" s="1"/>
      <c r="M1030" s="11"/>
      <c r="N1030" s="11"/>
      <c r="O1030" s="38"/>
      <c r="P1030" s="38"/>
      <c r="Q1030" s="38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</row>
    <row r="1031" spans="1:34">
      <c r="A1031" s="186" t="s">
        <v>197</v>
      </c>
      <c r="B1031" s="1"/>
      <c r="C1031" s="182"/>
      <c r="D1031" s="2"/>
      <c r="E1031" s="1"/>
      <c r="F1031" s="1"/>
      <c r="G1031" s="516"/>
      <c r="H1031" s="1"/>
      <c r="I1031" s="1" t="s">
        <v>13</v>
      </c>
      <c r="J1031" s="2"/>
      <c r="K1031" s="1"/>
      <c r="L1031" s="1" t="s">
        <v>13</v>
      </c>
      <c r="M1031" s="11"/>
      <c r="N1031" s="11"/>
      <c r="O1031" s="38"/>
      <c r="P1031" s="38"/>
      <c r="Q1031" s="38"/>
      <c r="R1031" s="11"/>
      <c r="S1031" s="11"/>
      <c r="T1031" s="11"/>
      <c r="U1031" s="11"/>
      <c r="V1031" s="11"/>
      <c r="Z1031" s="11"/>
      <c r="AA1031" s="11"/>
      <c r="AB1031" s="11"/>
      <c r="AC1031" s="11"/>
      <c r="AD1031" s="11"/>
      <c r="AE1031" s="11"/>
      <c r="AF1031" s="11"/>
      <c r="AG1031" s="11"/>
      <c r="AH1031" s="11"/>
    </row>
    <row r="1032" spans="1:34">
      <c r="A1032" s="172" t="s">
        <v>423</v>
      </c>
      <c r="B1032" s="1"/>
      <c r="C1032" s="182">
        <v>0</v>
      </c>
      <c r="D1032" s="200" t="s">
        <v>13</v>
      </c>
      <c r="E1032" s="184"/>
      <c r="F1032" s="2">
        <f>ROUND(C1032*D1032,0)</f>
        <v>0</v>
      </c>
      <c r="G1032" s="216" t="s">
        <v>13</v>
      </c>
      <c r="H1032" s="184"/>
      <c r="I1032" s="2">
        <f>ROUND(G1032*$C1032,0)</f>
        <v>0</v>
      </c>
      <c r="J1032" s="200" t="s">
        <v>13</v>
      </c>
      <c r="K1032" s="184"/>
      <c r="L1032" s="2">
        <f>ROUND(J1032*$C1032,0)</f>
        <v>0</v>
      </c>
      <c r="M1032" s="11"/>
      <c r="N1032" s="11"/>
      <c r="O1032" s="38"/>
      <c r="P1032" s="716"/>
      <c r="Q1032" s="716"/>
      <c r="R1032" s="11"/>
      <c r="S1032" s="711"/>
      <c r="T1032" s="288"/>
      <c r="U1032" s="711"/>
      <c r="V1032" s="288"/>
      <c r="W1032" s="49"/>
      <c r="X1032" s="49"/>
      <c r="Y1032" s="483"/>
      <c r="Z1032" s="11"/>
      <c r="AA1032" s="11"/>
      <c r="AB1032" s="11"/>
      <c r="AC1032" s="11"/>
      <c r="AD1032" s="11"/>
      <c r="AE1032" s="11"/>
      <c r="AF1032" s="11"/>
      <c r="AG1032" s="11"/>
      <c r="AH1032" s="11"/>
    </row>
    <row r="1033" spans="1:34">
      <c r="A1033" s="172" t="s">
        <v>424</v>
      </c>
      <c r="B1033" s="1"/>
      <c r="C1033" s="182">
        <v>12</v>
      </c>
      <c r="D1033" s="164">
        <v>2999</v>
      </c>
      <c r="E1033" s="187"/>
      <c r="F1033" s="2">
        <f>ROUND(C1033*D1033,0)</f>
        <v>35988</v>
      </c>
      <c r="G1033" s="506">
        <v>2999</v>
      </c>
      <c r="H1033" s="187"/>
      <c r="I1033" s="2">
        <f>ROUND(G1033*$C1033,0)</f>
        <v>35988</v>
      </c>
      <c r="J1033" s="164">
        <f t="shared" ref="J1033" si="89">G1033</f>
        <v>2999</v>
      </c>
      <c r="K1033" s="187"/>
      <c r="L1033" s="2">
        <f>ROUND(J1033*$C1033,0)</f>
        <v>35988</v>
      </c>
      <c r="M1033" s="321"/>
      <c r="N1033" s="321"/>
      <c r="O1033" s="38"/>
      <c r="P1033" s="513"/>
      <c r="Q1033" s="500"/>
      <c r="R1033" s="11"/>
      <c r="S1033" s="711"/>
      <c r="T1033" s="288"/>
      <c r="U1033" s="711"/>
      <c r="V1033" s="288"/>
      <c r="W1033" s="49"/>
      <c r="X1033" s="49"/>
      <c r="Y1033" s="483"/>
      <c r="Z1033" s="11"/>
      <c r="AA1033" s="11"/>
      <c r="AB1033" s="11"/>
      <c r="AC1033" s="11"/>
      <c r="AD1033" s="11"/>
      <c r="AE1033" s="11"/>
      <c r="AF1033" s="11"/>
      <c r="AG1033" s="11"/>
      <c r="AH1033" s="11"/>
    </row>
    <row r="1034" spans="1:34">
      <c r="A1034" s="186" t="s">
        <v>198</v>
      </c>
      <c r="B1034" s="1"/>
      <c r="C1034" s="182">
        <f>SUM(C1032:C1033)</f>
        <v>12</v>
      </c>
      <c r="D1034" s="200" t="s">
        <v>13</v>
      </c>
      <c r="E1034" s="184"/>
      <c r="F1034" s="2" t="s">
        <v>13</v>
      </c>
      <c r="G1034" s="216" t="s">
        <v>13</v>
      </c>
      <c r="H1034" s="184"/>
      <c r="I1034" s="2" t="s">
        <v>13</v>
      </c>
      <c r="J1034" s="200" t="s">
        <v>13</v>
      </c>
      <c r="K1034" s="184"/>
      <c r="L1034" s="2" t="s">
        <v>13</v>
      </c>
      <c r="M1034" s="185"/>
      <c r="N1034" s="185"/>
      <c r="O1034" s="477"/>
      <c r="P1034" s="490"/>
      <c r="Q1034" s="38"/>
      <c r="R1034" s="11"/>
      <c r="S1034" s="711"/>
      <c r="T1034" s="288"/>
      <c r="U1034" s="711"/>
      <c r="V1034" s="288"/>
      <c r="W1034" s="49"/>
      <c r="X1034" s="49"/>
      <c r="Y1034" s="483"/>
      <c r="Z1034" s="11"/>
      <c r="AA1034" s="11"/>
      <c r="AB1034" s="11"/>
      <c r="AC1034" s="11"/>
      <c r="AD1034" s="11"/>
      <c r="AE1034" s="11"/>
      <c r="AF1034" s="11"/>
      <c r="AG1034" s="11"/>
      <c r="AH1034" s="11"/>
    </row>
    <row r="1035" spans="1:34">
      <c r="A1035" s="186" t="s">
        <v>277</v>
      </c>
      <c r="B1035" s="1"/>
      <c r="C1035" s="182">
        <v>0</v>
      </c>
      <c r="D1035" s="200" t="s">
        <v>13</v>
      </c>
      <c r="E1035" s="184"/>
      <c r="F1035" s="2">
        <f>ROUND(C1035*D1035,0)</f>
        <v>0</v>
      </c>
      <c r="G1035" s="216" t="s">
        <v>13</v>
      </c>
      <c r="H1035" s="184"/>
      <c r="I1035" s="2">
        <f>ROUND(G1035*$C1035,0)</f>
        <v>0</v>
      </c>
      <c r="J1035" s="200" t="s">
        <v>13</v>
      </c>
      <c r="K1035" s="184"/>
      <c r="L1035" s="2">
        <f>ROUND(J1035*$C1035,0)</f>
        <v>0</v>
      </c>
      <c r="M1035" s="11"/>
      <c r="N1035" s="11"/>
      <c r="O1035" s="38"/>
      <c r="P1035" s="512"/>
      <c r="Q1035" s="38"/>
      <c r="R1035" s="11"/>
      <c r="S1035" s="711"/>
      <c r="T1035" s="288"/>
      <c r="U1035" s="711"/>
      <c r="V1035" s="288"/>
      <c r="W1035" s="49"/>
      <c r="X1035" s="49"/>
      <c r="Y1035" s="483"/>
      <c r="Z1035" s="11"/>
      <c r="AA1035" s="11"/>
      <c r="AB1035" s="11"/>
      <c r="AC1035" s="11"/>
      <c r="AD1035" s="11"/>
      <c r="AE1035" s="11"/>
      <c r="AF1035" s="11"/>
      <c r="AG1035" s="11"/>
      <c r="AH1035" s="11"/>
    </row>
    <row r="1036" spans="1:34">
      <c r="A1036" s="172" t="s">
        <v>425</v>
      </c>
      <c r="B1036" s="623" t="s">
        <v>13</v>
      </c>
      <c r="C1036" s="182">
        <v>686556</v>
      </c>
      <c r="D1036" s="164">
        <v>0.26</v>
      </c>
      <c r="E1036" s="184"/>
      <c r="F1036" s="2">
        <f>ROUND(C1036*D1036,0)</f>
        <v>178505</v>
      </c>
      <c r="G1036" s="506">
        <v>0.26</v>
      </c>
      <c r="H1036" s="184"/>
      <c r="I1036" s="2">
        <f>ROUND(G1036*$C1036,0)</f>
        <v>178505</v>
      </c>
      <c r="J1036" s="164">
        <f t="shared" ref="J1036:J1037" si="90">G1036</f>
        <v>0.26</v>
      </c>
      <c r="K1036" s="184"/>
      <c r="L1036" s="2">
        <f>ROUND(J1036*$C1036,0)</f>
        <v>178505</v>
      </c>
      <c r="M1036" s="185"/>
      <c r="N1036" s="185"/>
      <c r="O1036" s="477"/>
      <c r="P1036" s="490"/>
      <c r="Q1036" s="500"/>
      <c r="R1036" s="11"/>
      <c r="S1036" s="711"/>
      <c r="T1036" s="288"/>
      <c r="U1036" s="711"/>
      <c r="V1036" s="288"/>
      <c r="W1036" s="49"/>
      <c r="X1036" s="49"/>
      <c r="Y1036" s="483"/>
      <c r="Z1036" s="11"/>
      <c r="AA1036" s="11"/>
      <c r="AB1036" s="11"/>
      <c r="AC1036" s="11"/>
      <c r="AD1036" s="11"/>
      <c r="AE1036" s="11"/>
      <c r="AF1036" s="11"/>
      <c r="AG1036" s="11"/>
      <c r="AH1036" s="11"/>
    </row>
    <row r="1037" spans="1:34">
      <c r="A1037" s="284" t="s">
        <v>539</v>
      </c>
      <c r="B1037" s="1"/>
      <c r="C1037" s="182">
        <v>683280</v>
      </c>
      <c r="D1037" s="164">
        <v>8.93</v>
      </c>
      <c r="E1037" s="184"/>
      <c r="F1037" s="2">
        <f>ROUND(C1037*D1037,0)</f>
        <v>6101690</v>
      </c>
      <c r="G1037" s="506">
        <v>8.93</v>
      </c>
      <c r="H1037" s="184"/>
      <c r="I1037" s="2">
        <f>ROUND(G1037*$C1037,0)</f>
        <v>6101690</v>
      </c>
      <c r="J1037" s="164">
        <f t="shared" si="90"/>
        <v>8.93</v>
      </c>
      <c r="K1037" s="184"/>
      <c r="L1037" s="2">
        <f>ROUND(J1037*$C1037,0)</f>
        <v>6101690</v>
      </c>
      <c r="M1037" s="185"/>
      <c r="N1037" s="185"/>
      <c r="O1037" s="477"/>
      <c r="P1037" s="490"/>
      <c r="Q1037" s="500"/>
      <c r="R1037" s="38"/>
      <c r="S1037" s="487"/>
      <c r="T1037" s="288"/>
      <c r="U1037" s="487"/>
      <c r="V1037" s="288"/>
      <c r="W1037" s="487"/>
      <c r="X1037" s="38"/>
      <c r="Y1037" s="483"/>
      <c r="Z1037" s="11"/>
      <c r="AA1037" s="11"/>
      <c r="AB1037" s="11"/>
      <c r="AC1037" s="11"/>
      <c r="AD1037" s="11"/>
      <c r="AE1037" s="11"/>
      <c r="AF1037" s="11"/>
      <c r="AG1037" s="11"/>
      <c r="AH1037" s="11"/>
    </row>
    <row r="1038" spans="1:34">
      <c r="A1038" s="186" t="s">
        <v>230</v>
      </c>
      <c r="B1038" s="1"/>
      <c r="C1038" s="138" t="s">
        <v>13</v>
      </c>
      <c r="D1038" s="276" t="s">
        <v>13</v>
      </c>
      <c r="E1038" s="184"/>
      <c r="F1038" s="2"/>
      <c r="G1038" s="284" t="s">
        <v>13</v>
      </c>
      <c r="H1038" s="184"/>
      <c r="I1038" s="2"/>
      <c r="J1038" s="276" t="s">
        <v>13</v>
      </c>
      <c r="K1038" s="184"/>
      <c r="L1038" s="2"/>
      <c r="M1038" s="11"/>
      <c r="N1038" s="11"/>
      <c r="O1038" s="38"/>
      <c r="P1038" s="490"/>
      <c r="Q1038" s="38"/>
      <c r="R1038" s="38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</row>
    <row r="1039" spans="1:34">
      <c r="A1039" s="186" t="s">
        <v>268</v>
      </c>
      <c r="B1039" s="623" t="s">
        <v>13</v>
      </c>
      <c r="C1039" s="182">
        <v>463519192.5</v>
      </c>
      <c r="D1039" s="162"/>
      <c r="E1039" s="184"/>
      <c r="F1039" s="2"/>
      <c r="G1039" s="731"/>
      <c r="H1039" s="184"/>
      <c r="I1039" s="2"/>
      <c r="J1039" s="162"/>
      <c r="K1039" s="184"/>
      <c r="L1039" s="2"/>
      <c r="M1039" s="185"/>
      <c r="N1039" s="279"/>
      <c r="O1039" s="477"/>
      <c r="P1039" s="490"/>
      <c r="Q1039" s="500"/>
      <c r="R1039" s="38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</row>
    <row r="1040" spans="1:34">
      <c r="A1040" s="172" t="s">
        <v>524</v>
      </c>
      <c r="B1040" s="1"/>
      <c r="C1040" s="182">
        <v>183704985</v>
      </c>
      <c r="D1040" s="162">
        <v>5.18</v>
      </c>
      <c r="E1040" s="184" t="s">
        <v>178</v>
      </c>
      <c r="F1040" s="184">
        <f>ROUND(D1040/100*C1040,0)</f>
        <v>9515918</v>
      </c>
      <c r="G1040" s="731">
        <v>5.5030000000000001</v>
      </c>
      <c r="H1040" s="184" t="s">
        <v>178</v>
      </c>
      <c r="I1040" s="184">
        <f>ROUND(G1040/100*$C1040,0)</f>
        <v>10109285</v>
      </c>
      <c r="J1040" s="162">
        <f ca="1">ROUND(G1040+($O$1029/$C$1043)*100,3)</f>
        <v>5.492</v>
      </c>
      <c r="K1040" s="184" t="s">
        <v>178</v>
      </c>
      <c r="L1040" s="184">
        <f ca="1">ROUND(J1040/100*$C1040,0)</f>
        <v>10089078</v>
      </c>
      <c r="M1040" s="11"/>
      <c r="N1040" s="11"/>
      <c r="O1040" s="38"/>
      <c r="P1040" s="38"/>
      <c r="Q1040" s="38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</row>
    <row r="1041" spans="1:34">
      <c r="A1041" s="172" t="s">
        <v>525</v>
      </c>
      <c r="B1041" s="1"/>
      <c r="C1041" s="182">
        <f>C1043-C1040</f>
        <v>279814207.5</v>
      </c>
      <c r="D1041" s="162">
        <v>4.2469999999999999</v>
      </c>
      <c r="E1041" s="184" t="s">
        <v>178</v>
      </c>
      <c r="F1041" s="184">
        <f>ROUND(D1041/100*C1041,0)</f>
        <v>11883709</v>
      </c>
      <c r="G1041" s="731">
        <v>4.57</v>
      </c>
      <c r="H1041" s="184" t="s">
        <v>178</v>
      </c>
      <c r="I1041" s="184">
        <f>ROUND(G1041/100*$C1041,0)</f>
        <v>12787509</v>
      </c>
      <c r="J1041" s="162">
        <f ca="1">ROUND(G1041+($O$1029/$C$1043)*100,3)</f>
        <v>4.5590000000000002</v>
      </c>
      <c r="K1041" s="184" t="s">
        <v>178</v>
      </c>
      <c r="L1041" s="184">
        <f ca="1">ROUND(J1041/100*$C1041,0)</f>
        <v>12756730</v>
      </c>
      <c r="M1041" s="185"/>
      <c r="N1041" s="185"/>
      <c r="O1041" s="185"/>
      <c r="P1041" s="38"/>
      <c r="Q1041" s="38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</row>
    <row r="1042" spans="1:34">
      <c r="A1042" s="186" t="s">
        <v>204</v>
      </c>
      <c r="B1042" s="1"/>
      <c r="C1042" s="182">
        <v>18666</v>
      </c>
      <c r="D1042" s="189">
        <v>0.55000000000000004</v>
      </c>
      <c r="E1042" s="184"/>
      <c r="F1042" s="2">
        <f>C1042*D1042</f>
        <v>10266.300000000001</v>
      </c>
      <c r="G1042" s="744">
        <v>0.55000000000000004</v>
      </c>
      <c r="H1042" s="184"/>
      <c r="I1042" s="2">
        <f>C1042*G1042</f>
        <v>10266.300000000001</v>
      </c>
      <c r="J1042" s="472">
        <f t="shared" ref="J1042" si="91">G1042</f>
        <v>0.55000000000000004</v>
      </c>
      <c r="K1042" s="184"/>
      <c r="L1042" s="2">
        <f>C1042*J1042</f>
        <v>10266.300000000001</v>
      </c>
      <c r="M1042" s="185"/>
      <c r="N1042" s="38"/>
      <c r="O1042" s="38"/>
      <c r="P1042" s="490"/>
      <c r="Q1042" s="11"/>
      <c r="R1042" s="11"/>
      <c r="S1042" s="11"/>
      <c r="T1042" s="11"/>
      <c r="U1042" s="11"/>
      <c r="V1042" s="11"/>
      <c r="Y1042" s="11"/>
      <c r="Z1042" s="11"/>
      <c r="AA1042" s="11"/>
      <c r="AB1042" s="11"/>
      <c r="AC1042" s="11"/>
      <c r="AD1042" s="11"/>
      <c r="AE1042" s="11"/>
      <c r="AF1042" s="11"/>
    </row>
    <row r="1043" spans="1:34">
      <c r="A1043" s="1" t="s">
        <v>185</v>
      </c>
      <c r="B1043" s="1"/>
      <c r="C1043" s="182">
        <f>C1039</f>
        <v>463519192.5</v>
      </c>
      <c r="D1043" s="193"/>
      <c r="E1043" s="1"/>
      <c r="F1043" s="2">
        <f>SUM(F1032:F1042)</f>
        <v>27726076.300000001</v>
      </c>
      <c r="G1043" s="733"/>
      <c r="H1043" s="1"/>
      <c r="I1043" s="2">
        <f>SUM(I1032:I1042)</f>
        <v>29223243.300000001</v>
      </c>
      <c r="J1043" s="193"/>
      <c r="K1043" s="1"/>
      <c r="L1043" s="2">
        <f ca="1">SUM(L1032:L1042)</f>
        <v>29172257.300000001</v>
      </c>
      <c r="M1043" s="20"/>
      <c r="N1043" s="20"/>
      <c r="O1043" s="20"/>
      <c r="P1043" s="38"/>
      <c r="Q1043" s="38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</row>
    <row r="1044" spans="1:34">
      <c r="A1044" s="1" t="s">
        <v>167</v>
      </c>
      <c r="B1044" s="1"/>
      <c r="C1044" s="182">
        <v>7736100.873537424</v>
      </c>
      <c r="D1044" s="172"/>
      <c r="E1044" s="172"/>
      <c r="F1044" s="204">
        <v>150260.74060279451</v>
      </c>
      <c r="G1044" s="284"/>
      <c r="H1044" s="172"/>
      <c r="I1044" s="204">
        <f>F1044</f>
        <v>150260.74060279451</v>
      </c>
      <c r="J1044" s="172"/>
      <c r="K1044" s="172"/>
      <c r="L1044" s="204">
        <f>I1044</f>
        <v>150260.74060279451</v>
      </c>
      <c r="M1044" s="307"/>
      <c r="N1044" s="307"/>
      <c r="O1044" s="150"/>
      <c r="P1044" s="38"/>
      <c r="Q1044" s="38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</row>
    <row r="1045" spans="1:34" ht="16.5" thickBot="1">
      <c r="A1045" s="1" t="s">
        <v>186</v>
      </c>
      <c r="B1045" s="1"/>
      <c r="C1045" s="256">
        <f>SUM(C1043)+C1044</f>
        <v>471255293.37353742</v>
      </c>
      <c r="D1045" s="205"/>
      <c r="E1045" s="208"/>
      <c r="F1045" s="207">
        <f>F1043+F1044</f>
        <v>27876337.040602796</v>
      </c>
      <c r="G1045" s="741"/>
      <c r="H1045" s="208"/>
      <c r="I1045" s="207">
        <f>I1043+I1044</f>
        <v>29373504.040602796</v>
      </c>
      <c r="J1045" s="205"/>
      <c r="K1045" s="208"/>
      <c r="L1045" s="207">
        <f ca="1">L1043+L1044</f>
        <v>29322518.040602796</v>
      </c>
      <c r="M1045" s="279"/>
      <c r="N1045" s="11"/>
      <c r="O1045" s="279"/>
      <c r="P1045" s="500"/>
      <c r="Q1045" s="500"/>
      <c r="R1045" s="510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</row>
    <row r="1046" spans="1:34" ht="16.5" hidden="1" thickTop="1">
      <c r="A1046" s="1"/>
      <c r="B1046" s="1"/>
      <c r="C1046" s="12"/>
      <c r="D1046" s="200" t="s">
        <v>13</v>
      </c>
      <c r="E1046" s="1"/>
      <c r="F1046" s="2"/>
      <c r="G1046" s="216" t="s">
        <v>13</v>
      </c>
      <c r="H1046" s="1"/>
      <c r="I1046" s="2" t="s">
        <v>13</v>
      </c>
      <c r="J1046" s="216" t="s">
        <v>13</v>
      </c>
      <c r="K1046" s="1"/>
      <c r="L1046" s="2" t="s">
        <v>13</v>
      </c>
      <c r="M1046" s="11"/>
      <c r="N1046" s="11"/>
      <c r="O1046" s="279"/>
      <c r="P1046" s="6"/>
      <c r="Q1046" s="38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</row>
    <row r="1047" spans="1:34" ht="16.5" hidden="1" thickTop="1">
      <c r="A1047" s="623"/>
      <c r="B1047" s="1"/>
      <c r="C1047" s="12"/>
      <c r="D1047" s="200"/>
      <c r="E1047" s="1"/>
      <c r="F1047" s="2"/>
      <c r="G1047" s="216"/>
      <c r="H1047" s="1"/>
      <c r="I1047" s="2"/>
      <c r="J1047" s="216"/>
      <c r="K1047" s="1"/>
      <c r="L1047" s="2"/>
      <c r="M1047" s="715"/>
      <c r="N1047" s="715"/>
      <c r="O1047" s="715"/>
      <c r="P1047" s="715"/>
      <c r="Q1047" s="38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</row>
    <row r="1048" spans="1:34" ht="16.5" thickTop="1">
      <c r="A1048" s="1"/>
      <c r="B1048" s="1"/>
      <c r="C1048" s="12"/>
      <c r="D1048" s="200"/>
      <c r="E1048" s="1"/>
      <c r="F1048" s="2"/>
      <c r="G1048" s="216"/>
      <c r="H1048" s="1"/>
      <c r="I1048" s="2" t="s">
        <v>13</v>
      </c>
      <c r="J1048" s="216"/>
      <c r="K1048" s="1"/>
      <c r="L1048" s="2" t="s">
        <v>13</v>
      </c>
      <c r="M1048" s="274"/>
      <c r="N1048" s="274"/>
      <c r="O1048" s="274"/>
      <c r="P1048" s="274"/>
      <c r="Q1048" s="38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</row>
    <row r="1049" spans="1:34">
      <c r="A1049" s="156" t="s">
        <v>286</v>
      </c>
      <c r="B1049" s="1"/>
      <c r="C1049" s="1"/>
      <c r="D1049" s="1"/>
      <c r="E1049" s="1"/>
      <c r="F1049" s="2"/>
      <c r="G1049" s="284"/>
      <c r="H1049" s="1"/>
      <c r="I1049" s="1"/>
      <c r="J1049" s="1"/>
      <c r="K1049" s="1"/>
      <c r="L1049" s="1"/>
      <c r="M1049" s="11"/>
      <c r="N1049" s="11"/>
      <c r="O1049" s="853" t="s">
        <v>1460</v>
      </c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</row>
    <row r="1050" spans="1:34">
      <c r="A1050" s="1" t="s">
        <v>382</v>
      </c>
      <c r="B1050" s="1"/>
      <c r="C1050" s="1"/>
      <c r="D1050" s="1"/>
      <c r="E1050" s="1"/>
      <c r="F1050" s="2"/>
      <c r="G1050" s="284"/>
      <c r="H1050" s="1"/>
      <c r="I1050" s="1"/>
      <c r="J1050" s="1"/>
      <c r="K1050" s="1"/>
      <c r="L1050" s="1"/>
      <c r="M1050" s="11"/>
      <c r="N1050" s="11"/>
      <c r="O1050" s="852">
        <f ca="1">'Exhibit No.__(RMM-2)pg1'!O36*1000</f>
        <v>-372.32060081968928</v>
      </c>
      <c r="P1050" s="11"/>
      <c r="Q1050" s="141"/>
      <c r="R1050" s="141"/>
      <c r="S1050" s="141"/>
      <c r="T1050" s="141"/>
      <c r="U1050" s="141"/>
      <c r="V1050" s="141"/>
      <c r="W1050" s="141"/>
      <c r="X1050" s="141"/>
      <c r="Y1050" s="141"/>
      <c r="Z1050" s="141"/>
      <c r="AA1050" s="141"/>
      <c r="AB1050" s="141"/>
      <c r="AC1050" s="141"/>
      <c r="AD1050" s="11"/>
      <c r="AE1050" s="11"/>
      <c r="AF1050" s="11"/>
      <c r="AG1050" s="11"/>
      <c r="AH1050" s="11"/>
    </row>
    <row r="1051" spans="1:34">
      <c r="A1051" s="498" t="s">
        <v>548</v>
      </c>
      <c r="C1051" s="127"/>
      <c r="D1051" s="128"/>
      <c r="F1051" s="2"/>
      <c r="G1051" s="729" t="s">
        <v>13</v>
      </c>
      <c r="I1051" s="2"/>
      <c r="J1051" s="128" t="s">
        <v>13</v>
      </c>
      <c r="L1051" s="2"/>
      <c r="M1051" s="11"/>
      <c r="N1051" t="s">
        <v>550</v>
      </c>
      <c r="O1051" t="s">
        <v>551</v>
      </c>
      <c r="Q1051" s="144"/>
      <c r="R1051" s="38"/>
      <c r="S1051" s="266"/>
      <c r="T1051" s="266"/>
      <c r="U1051" s="146"/>
      <c r="V1051" s="146"/>
      <c r="W1051" s="146"/>
      <c r="X1051" s="141"/>
      <c r="Y1051" s="141"/>
      <c r="Z1051" s="144"/>
      <c r="AA1051" s="144"/>
      <c r="AB1051" s="148"/>
      <c r="AC1051" s="144"/>
      <c r="AD1051" s="11"/>
      <c r="AE1051" s="11"/>
      <c r="AF1051" s="11"/>
      <c r="AG1051" s="11"/>
      <c r="AH1051" s="11"/>
    </row>
    <row r="1052" spans="1:34">
      <c r="A1052" s="4" t="s">
        <v>542</v>
      </c>
      <c r="C1052" s="127">
        <v>26736.712728096991</v>
      </c>
      <c r="D1052" s="657">
        <v>8.3822774034583869</v>
      </c>
      <c r="F1052" s="2">
        <f t="shared" ref="F1052:F1057" si="92">ROUND(C1052*D1052,0)</f>
        <v>224115</v>
      </c>
      <c r="G1052" s="729">
        <v>8.4600000000000009</v>
      </c>
      <c r="I1052" s="2">
        <f t="shared" ref="I1052:I1057" si="93">ROUND(G1052*$C1052,0)</f>
        <v>226193</v>
      </c>
      <c r="J1052" s="128">
        <f ca="1">G1052+ROUND($O$1050*(O1052/SUM($O$1052:$O$1066))/C1052,2)</f>
        <v>8.4600000000000009</v>
      </c>
      <c r="L1052" s="2">
        <f t="shared" ref="L1052:L1057" ca="1" si="94">ROUND(J1052*$C1052,0)</f>
        <v>226193</v>
      </c>
      <c r="N1052">
        <v>8</v>
      </c>
      <c r="O1052" s="720">
        <f t="shared" ref="O1052:O1057" si="95">N1052*C1052</f>
        <v>213893.70182477593</v>
      </c>
      <c r="Q1052" s="144"/>
      <c r="R1052" s="38"/>
      <c r="S1052" s="266"/>
      <c r="T1052" s="266"/>
      <c r="U1052" s="146"/>
      <c r="V1052" s="146"/>
      <c r="W1052" s="146"/>
      <c r="X1052" s="141"/>
      <c r="Y1052" s="141"/>
      <c r="Z1052" s="144"/>
      <c r="AA1052" s="144"/>
      <c r="AB1052" s="148"/>
      <c r="AC1052" s="144"/>
      <c r="AD1052" s="11"/>
      <c r="AE1052" s="11"/>
      <c r="AF1052" s="11"/>
      <c r="AG1052" s="11"/>
      <c r="AH1052" s="11"/>
    </row>
    <row r="1053" spans="1:34">
      <c r="A1053" s="4" t="s">
        <v>543</v>
      </c>
      <c r="C1053" s="127">
        <v>20530.42971732733</v>
      </c>
      <c r="D1053" s="657">
        <v>9.0026815114224092</v>
      </c>
      <c r="F1053" s="2">
        <f t="shared" si="92"/>
        <v>184829</v>
      </c>
      <c r="G1053" s="729">
        <v>9.15</v>
      </c>
      <c r="I1053" s="2">
        <f t="shared" si="93"/>
        <v>187853</v>
      </c>
      <c r="J1053" s="128">
        <f t="shared" ref="J1053:J1057" ca="1" si="96">G1053+ROUND($O$1050*(O1053/SUM($O$1052:$O$1066))/C1053,2)</f>
        <v>9.15</v>
      </c>
      <c r="L1053" s="2">
        <f t="shared" ca="1" si="94"/>
        <v>187853</v>
      </c>
      <c r="N1053">
        <v>15</v>
      </c>
      <c r="O1053" s="720">
        <f t="shared" si="95"/>
        <v>307956.44575990993</v>
      </c>
      <c r="Q1053" s="144"/>
      <c r="R1053" s="38"/>
      <c r="S1053" s="266"/>
      <c r="T1053" s="266"/>
      <c r="U1053" s="146"/>
      <c r="V1053" s="146"/>
      <c r="W1053" s="146"/>
      <c r="X1053" s="141"/>
      <c r="Y1053" s="141"/>
      <c r="Z1053" s="144"/>
      <c r="AA1053" s="144"/>
      <c r="AB1053" s="148"/>
      <c r="AC1053" s="144"/>
      <c r="AD1053" s="11"/>
      <c r="AE1053" s="11"/>
      <c r="AF1053" s="11"/>
      <c r="AG1053" s="11"/>
      <c r="AH1053" s="11"/>
    </row>
    <row r="1054" spans="1:34">
      <c r="A1054" s="4" t="s">
        <v>544</v>
      </c>
      <c r="C1054" s="127">
        <v>1451.934853557759</v>
      </c>
      <c r="D1054" s="657">
        <v>9.2657954361438577</v>
      </c>
      <c r="F1054" s="2">
        <f t="shared" si="92"/>
        <v>13453</v>
      </c>
      <c r="G1054" s="729">
        <v>9.51</v>
      </c>
      <c r="I1054" s="2">
        <f t="shared" si="93"/>
        <v>13808</v>
      </c>
      <c r="J1054" s="128">
        <f t="shared" ca="1" si="96"/>
        <v>9.5</v>
      </c>
      <c r="L1054" s="2">
        <f t="shared" ca="1" si="94"/>
        <v>13793</v>
      </c>
      <c r="N1054">
        <v>25</v>
      </c>
      <c r="O1054" s="720">
        <f t="shared" si="95"/>
        <v>36298.371338943973</v>
      </c>
      <c r="Q1054" s="144"/>
      <c r="R1054" s="38"/>
      <c r="S1054" s="266"/>
      <c r="T1054" s="266"/>
      <c r="U1054" s="146"/>
      <c r="V1054" s="146"/>
      <c r="W1054" s="146"/>
      <c r="X1054" s="141"/>
      <c r="Y1054" s="141"/>
      <c r="Z1054" s="144"/>
      <c r="AA1054" s="144"/>
      <c r="AB1054" s="148"/>
      <c r="AC1054" s="144"/>
      <c r="AD1054" s="11"/>
      <c r="AE1054" s="11"/>
      <c r="AF1054" s="11"/>
      <c r="AG1054" s="11"/>
      <c r="AH1054" s="11"/>
    </row>
    <row r="1055" spans="1:34">
      <c r="A1055" s="4" t="s">
        <v>545</v>
      </c>
      <c r="C1055" s="127">
        <v>19012.205913949121</v>
      </c>
      <c r="D1055" s="657">
        <v>9.5713734591618813</v>
      </c>
      <c r="F1055" s="2">
        <f t="shared" si="92"/>
        <v>181973</v>
      </c>
      <c r="G1055" s="729">
        <v>9.91</v>
      </c>
      <c r="I1055" s="2">
        <f t="shared" si="93"/>
        <v>188411</v>
      </c>
      <c r="J1055" s="128">
        <f t="shared" ca="1" si="96"/>
        <v>9.9</v>
      </c>
      <c r="L1055" s="2">
        <f t="shared" ca="1" si="94"/>
        <v>188221</v>
      </c>
      <c r="M1055" s="11"/>
      <c r="N1055">
        <v>34</v>
      </c>
      <c r="O1055" s="720">
        <f t="shared" si="95"/>
        <v>646415.00107427011</v>
      </c>
      <c r="Q1055" s="144"/>
      <c r="R1055" s="38"/>
      <c r="S1055" s="266"/>
      <c r="T1055" s="266"/>
      <c r="U1055" s="146"/>
      <c r="V1055" s="146"/>
      <c r="W1055" s="146"/>
      <c r="X1055" s="141"/>
      <c r="Y1055" s="141"/>
      <c r="Z1055" s="144"/>
      <c r="AA1055" s="144"/>
      <c r="AB1055" s="148"/>
      <c r="AC1055" s="144"/>
      <c r="AD1055" s="11"/>
      <c r="AE1055" s="11"/>
      <c r="AF1055" s="11"/>
      <c r="AG1055" s="11"/>
      <c r="AH1055" s="11"/>
    </row>
    <row r="1056" spans="1:34">
      <c r="A1056" s="4" t="s">
        <v>546</v>
      </c>
      <c r="C1056" s="127">
        <v>3915.6518554633003</v>
      </c>
      <c r="D1056" s="657">
        <v>10.15449857949411</v>
      </c>
      <c r="F1056" s="2">
        <f t="shared" si="92"/>
        <v>39761</v>
      </c>
      <c r="G1056" s="729">
        <v>10.59</v>
      </c>
      <c r="I1056" s="2">
        <f t="shared" si="93"/>
        <v>41467</v>
      </c>
      <c r="J1056" s="128">
        <f t="shared" ca="1" si="96"/>
        <v>10.58</v>
      </c>
      <c r="L1056" s="2">
        <f t="shared" ca="1" si="94"/>
        <v>41428</v>
      </c>
      <c r="M1056" s="11"/>
      <c r="N1056">
        <v>44</v>
      </c>
      <c r="O1056" s="720">
        <f t="shared" si="95"/>
        <v>172288.68164038521</v>
      </c>
      <c r="Q1056" s="144"/>
      <c r="R1056" s="38"/>
      <c r="S1056" s="266"/>
      <c r="T1056" s="266"/>
      <c r="U1056" s="146"/>
      <c r="V1056" s="146"/>
      <c r="W1056" s="146"/>
      <c r="X1056" s="141"/>
      <c r="Y1056" s="141"/>
      <c r="Z1056" s="144"/>
      <c r="AA1056" s="144"/>
      <c r="AB1056" s="148"/>
      <c r="AC1056" s="144"/>
      <c r="AD1056" s="11"/>
      <c r="AE1056" s="11"/>
      <c r="AF1056" s="11"/>
      <c r="AG1056" s="11"/>
      <c r="AH1056" s="11"/>
    </row>
    <row r="1057" spans="1:34">
      <c r="A1057" s="4" t="s">
        <v>547</v>
      </c>
      <c r="C1057" s="127">
        <v>3417.7601733623369</v>
      </c>
      <c r="D1057" s="657">
        <v>12.37832354596668</v>
      </c>
      <c r="F1057" s="2">
        <f t="shared" si="92"/>
        <v>42306</v>
      </c>
      <c r="G1057" s="729">
        <v>12.94</v>
      </c>
      <c r="I1057" s="2">
        <f t="shared" si="93"/>
        <v>44226</v>
      </c>
      <c r="J1057" s="128">
        <f t="shared" ca="1" si="96"/>
        <v>12.93</v>
      </c>
      <c r="L1057" s="2">
        <f t="shared" ca="1" si="94"/>
        <v>44192</v>
      </c>
      <c r="M1057" s="11"/>
      <c r="N1057">
        <v>57</v>
      </c>
      <c r="O1057" s="720">
        <f t="shared" si="95"/>
        <v>194812.32988165319</v>
      </c>
      <c r="Q1057" s="144"/>
      <c r="R1057" s="38"/>
      <c r="S1057" s="266"/>
      <c r="T1057" s="266"/>
      <c r="U1057" s="146"/>
      <c r="V1057" s="146"/>
      <c r="W1057" s="146"/>
      <c r="X1057" s="141"/>
      <c r="Y1057" s="141"/>
      <c r="Z1057" s="144"/>
      <c r="AA1057" s="144"/>
      <c r="AB1057" s="148"/>
      <c r="AC1057" s="144"/>
      <c r="AD1057" s="11"/>
      <c r="AE1057" s="11"/>
      <c r="AF1057" s="11"/>
      <c r="AG1057" s="11"/>
      <c r="AH1057" s="11"/>
    </row>
    <row r="1058" spans="1:34">
      <c r="A1058" s="498" t="s">
        <v>540</v>
      </c>
      <c r="C1058" s="127"/>
      <c r="D1058" s="128"/>
      <c r="F1058" s="2"/>
      <c r="G1058" s="729"/>
      <c r="I1058" s="2"/>
      <c r="J1058" s="128"/>
      <c r="L1058" s="2"/>
      <c r="M1058" s="11"/>
      <c r="N1058"/>
      <c r="O1058"/>
      <c r="Q1058" s="144"/>
      <c r="R1058" s="38"/>
      <c r="S1058" s="266"/>
      <c r="T1058" s="266"/>
      <c r="U1058" s="146"/>
      <c r="V1058" s="146"/>
      <c r="W1058" s="146"/>
      <c r="X1058" s="141"/>
      <c r="Y1058" s="141"/>
      <c r="Z1058" s="144"/>
      <c r="AA1058" s="144"/>
      <c r="AB1058" s="148"/>
      <c r="AC1058" s="144"/>
      <c r="AD1058" s="11"/>
      <c r="AE1058" s="11"/>
      <c r="AF1058" s="11"/>
      <c r="AG1058" s="11"/>
      <c r="AH1058" s="11"/>
    </row>
    <row r="1059" spans="1:34">
      <c r="A1059" s="4" t="s">
        <v>542</v>
      </c>
      <c r="C1059" s="127">
        <v>2511.7599388379199</v>
      </c>
      <c r="D1059" s="657">
        <v>4.1314496276496042</v>
      </c>
      <c r="F1059" s="2">
        <f t="shared" ref="F1059:F1064" si="97">ROUND(C1059*D1059,0)</f>
        <v>10377</v>
      </c>
      <c r="G1059" s="729">
        <v>4.21</v>
      </c>
      <c r="I1059" s="2">
        <f t="shared" ref="I1059:I1064" si="98">ROUND(G1059*$C1059,0)</f>
        <v>10575</v>
      </c>
      <c r="J1059" s="128">
        <f t="shared" ref="J1059:J1064" ca="1" si="99">G1059+ROUND($O$1050*(O1059/SUM($O$1052:$O$1066))/C1059,2)</f>
        <v>4.21</v>
      </c>
      <c r="L1059" s="2">
        <f t="shared" ref="L1059:L1064" ca="1" si="100">ROUND(J1059*$C1059,0)</f>
        <v>10575</v>
      </c>
      <c r="N1059">
        <v>8</v>
      </c>
      <c r="O1059" s="720">
        <f t="shared" ref="O1059:O1064" si="101">N1059*C1059</f>
        <v>20094.079510703359</v>
      </c>
      <c r="Q1059" s="144"/>
      <c r="R1059" s="38"/>
      <c r="S1059" s="266"/>
      <c r="T1059" s="266"/>
      <c r="U1059" s="146"/>
      <c r="V1059" s="146"/>
      <c r="W1059" s="146"/>
      <c r="X1059" s="141"/>
      <c r="Y1059" s="141"/>
      <c r="Z1059" s="144"/>
      <c r="AA1059" s="144"/>
      <c r="AB1059" s="148"/>
      <c r="AC1059" s="144"/>
      <c r="AD1059" s="11"/>
      <c r="AE1059" s="11"/>
      <c r="AF1059" s="11"/>
      <c r="AG1059" s="11"/>
      <c r="AH1059" s="11"/>
    </row>
    <row r="1060" spans="1:34">
      <c r="A1060" s="4" t="s">
        <v>543</v>
      </c>
      <c r="C1060" s="127">
        <v>1224.931672702</v>
      </c>
      <c r="D1060" s="657">
        <v>4.4640833240366753</v>
      </c>
      <c r="F1060" s="2">
        <f t="shared" si="97"/>
        <v>5468</v>
      </c>
      <c r="G1060" s="729">
        <v>4.6100000000000003</v>
      </c>
      <c r="I1060" s="2">
        <f t="shared" si="98"/>
        <v>5647</v>
      </c>
      <c r="J1060" s="128">
        <f t="shared" ca="1" si="99"/>
        <v>4.6100000000000003</v>
      </c>
      <c r="L1060" s="2">
        <f t="shared" ca="1" si="100"/>
        <v>5647</v>
      </c>
      <c r="N1060">
        <v>15</v>
      </c>
      <c r="O1060" s="720">
        <f t="shared" si="101"/>
        <v>18373.975090529999</v>
      </c>
      <c r="Q1060" s="144"/>
      <c r="R1060" s="38"/>
      <c r="S1060" s="266"/>
      <c r="T1060" s="266"/>
      <c r="U1060" s="146"/>
      <c r="V1060" s="146"/>
      <c r="W1060" s="146"/>
      <c r="X1060" s="141"/>
      <c r="Y1060" s="141"/>
      <c r="Z1060" s="144"/>
      <c r="AA1060" s="144"/>
      <c r="AB1060" s="148"/>
      <c r="AC1060" s="144"/>
      <c r="AD1060" s="11"/>
      <c r="AE1060" s="11"/>
      <c r="AF1060" s="11"/>
      <c r="AG1060" s="11"/>
      <c r="AH1060" s="11"/>
    </row>
    <row r="1061" spans="1:34">
      <c r="A1061" s="4" t="s">
        <v>544</v>
      </c>
      <c r="C1061" s="127">
        <v>21.048507462686601</v>
      </c>
      <c r="D1061" s="657">
        <v>4.7076110666251578</v>
      </c>
      <c r="F1061" s="2">
        <f t="shared" si="97"/>
        <v>99</v>
      </c>
      <c r="G1061" s="729">
        <v>4.95</v>
      </c>
      <c r="I1061" s="2">
        <f t="shared" si="98"/>
        <v>104</v>
      </c>
      <c r="J1061" s="128">
        <f t="shared" ca="1" si="99"/>
        <v>4.9400000000000004</v>
      </c>
      <c r="L1061" s="2">
        <f t="shared" ca="1" si="100"/>
        <v>104</v>
      </c>
      <c r="N1061">
        <v>25</v>
      </c>
      <c r="O1061" s="720">
        <f t="shared" si="101"/>
        <v>526.21268656716506</v>
      </c>
      <c r="Q1061" s="144"/>
      <c r="R1061" s="38"/>
      <c r="S1061" s="266"/>
      <c r="T1061" s="266"/>
      <c r="U1061" s="146"/>
      <c r="V1061" s="146"/>
      <c r="W1061" s="146"/>
      <c r="X1061" s="141"/>
      <c r="Y1061" s="141"/>
      <c r="Z1061" s="144"/>
      <c r="AA1061" s="144"/>
      <c r="AB1061" s="148"/>
      <c r="AC1061" s="144"/>
      <c r="AD1061" s="11"/>
      <c r="AE1061" s="11"/>
      <c r="AF1061" s="11"/>
      <c r="AG1061" s="11"/>
      <c r="AH1061" s="11"/>
    </row>
    <row r="1062" spans="1:34">
      <c r="A1062" s="4" t="s">
        <v>545</v>
      </c>
      <c r="C1062" s="127">
        <v>1847.76591955096</v>
      </c>
      <c r="D1062" s="657">
        <v>4.9716924248034848</v>
      </c>
      <c r="F1062" s="2">
        <f t="shared" si="97"/>
        <v>9187</v>
      </c>
      <c r="G1062" s="729">
        <v>5.31</v>
      </c>
      <c r="I1062" s="2">
        <f t="shared" si="98"/>
        <v>9812</v>
      </c>
      <c r="J1062" s="128">
        <f t="shared" ca="1" si="99"/>
        <v>5.3</v>
      </c>
      <c r="L1062" s="2">
        <f t="shared" ca="1" si="100"/>
        <v>9793</v>
      </c>
      <c r="M1062" s="11"/>
      <c r="N1062">
        <v>34</v>
      </c>
      <c r="O1062" s="720">
        <f t="shared" si="101"/>
        <v>62824.041264732638</v>
      </c>
      <c r="Q1062" s="144"/>
      <c r="R1062" s="38"/>
      <c r="S1062" s="266"/>
      <c r="T1062" s="266"/>
      <c r="U1062" s="146"/>
      <c r="V1062" s="146"/>
      <c r="W1062" s="146"/>
      <c r="X1062" s="141"/>
      <c r="Y1062" s="141"/>
      <c r="Z1062" s="144"/>
      <c r="AA1062" s="144"/>
      <c r="AB1062" s="148"/>
      <c r="AC1062" s="144"/>
      <c r="AD1062" s="11"/>
      <c r="AE1062" s="11"/>
      <c r="AF1062" s="11"/>
      <c r="AG1062" s="11"/>
      <c r="AH1062" s="11"/>
    </row>
    <row r="1063" spans="1:34">
      <c r="A1063" s="4" t="s">
        <v>546</v>
      </c>
      <c r="C1063" s="127">
        <v>164.16525779691301</v>
      </c>
      <c r="D1063" s="657">
        <v>5.3004493948070266</v>
      </c>
      <c r="F1063" s="2">
        <f t="shared" si="97"/>
        <v>870</v>
      </c>
      <c r="G1063" s="729">
        <v>5.73</v>
      </c>
      <c r="I1063" s="2">
        <f t="shared" si="98"/>
        <v>941</v>
      </c>
      <c r="J1063" s="128">
        <f t="shared" ca="1" si="99"/>
        <v>5.7200000000000006</v>
      </c>
      <c r="L1063" s="2">
        <f t="shared" ca="1" si="100"/>
        <v>939</v>
      </c>
      <c r="M1063" s="11"/>
      <c r="N1063">
        <v>44</v>
      </c>
      <c r="O1063" s="720">
        <f t="shared" si="101"/>
        <v>7223.2713430641725</v>
      </c>
      <c r="Q1063" s="144"/>
      <c r="R1063" s="38"/>
      <c r="S1063" s="266"/>
      <c r="T1063" s="266"/>
      <c r="U1063" s="146"/>
      <c r="V1063" s="146"/>
      <c r="W1063" s="146"/>
      <c r="X1063" s="141"/>
      <c r="Y1063" s="141"/>
      <c r="Z1063" s="144"/>
      <c r="AA1063" s="144"/>
      <c r="AB1063" s="148"/>
      <c r="AC1063" s="144"/>
      <c r="AD1063" s="11"/>
      <c r="AE1063" s="11"/>
      <c r="AF1063" s="11"/>
      <c r="AG1063" s="11"/>
      <c r="AH1063" s="11"/>
    </row>
    <row r="1064" spans="1:34">
      <c r="A1064" s="4" t="s">
        <v>547</v>
      </c>
      <c r="C1064" s="127">
        <v>648.34196374959504</v>
      </c>
      <c r="D1064" s="657">
        <v>6.4715384367034794</v>
      </c>
      <c r="F1064" s="2">
        <f t="shared" si="97"/>
        <v>4196</v>
      </c>
      <c r="G1064" s="729">
        <v>7.03</v>
      </c>
      <c r="I1064" s="2">
        <f t="shared" si="98"/>
        <v>4558</v>
      </c>
      <c r="J1064" s="128">
        <f t="shared" ca="1" si="99"/>
        <v>7.0200000000000005</v>
      </c>
      <c r="L1064" s="2">
        <f t="shared" ca="1" si="100"/>
        <v>4551</v>
      </c>
      <c r="M1064" s="11"/>
      <c r="N1064">
        <v>57</v>
      </c>
      <c r="O1064" s="720">
        <f t="shared" si="101"/>
        <v>36955.491933726917</v>
      </c>
      <c r="Q1064" s="144"/>
      <c r="R1064" s="38"/>
      <c r="S1064" s="266"/>
      <c r="T1064" s="266"/>
      <c r="U1064" s="146"/>
      <c r="V1064" s="146"/>
      <c r="W1064" s="146"/>
      <c r="X1064" s="141"/>
      <c r="Y1064" s="141"/>
      <c r="Z1064" s="144"/>
      <c r="AA1064" s="144"/>
      <c r="AB1064" s="148"/>
      <c r="AC1064" s="144"/>
      <c r="AD1064" s="11"/>
      <c r="AE1064" s="11"/>
      <c r="AF1064" s="11"/>
      <c r="AG1064" s="11"/>
      <c r="AH1064" s="11"/>
    </row>
    <row r="1065" spans="1:34">
      <c r="A1065" s="1" t="s">
        <v>549</v>
      </c>
      <c r="B1065" s="1"/>
      <c r="C1065" s="1"/>
      <c r="D1065" s="1"/>
      <c r="E1065" s="1"/>
      <c r="F1065" s="2"/>
      <c r="G1065" s="284"/>
      <c r="H1065" s="1"/>
      <c r="I1065" s="1"/>
      <c r="J1065" s="1"/>
      <c r="K1065" s="1"/>
      <c r="L1065" s="1"/>
      <c r="M1065" s="11"/>
      <c r="N1065"/>
      <c r="O1065"/>
      <c r="Q1065" s="144"/>
      <c r="R1065" s="38"/>
      <c r="S1065" s="266"/>
      <c r="T1065" s="266"/>
      <c r="U1065" s="146"/>
      <c r="V1065" s="146"/>
      <c r="W1065" s="146"/>
      <c r="X1065" s="141"/>
      <c r="Y1065" s="141"/>
      <c r="Z1065" s="144"/>
      <c r="AA1065" s="144"/>
      <c r="AB1065" s="148"/>
      <c r="AC1065" s="144"/>
      <c r="AD1065" s="11"/>
      <c r="AE1065" s="11"/>
      <c r="AF1065" s="11"/>
      <c r="AG1065" s="11"/>
      <c r="AH1065" s="11"/>
    </row>
    <row r="1066" spans="1:34">
      <c r="A1066" s="4" t="s">
        <v>544</v>
      </c>
      <c r="C1066" s="127">
        <v>47.999893788498298</v>
      </c>
      <c r="D1066" s="657">
        <v>16.583859511862311</v>
      </c>
      <c r="F1066" s="2">
        <f t="shared" ref="F1066" si="102">ROUND(C1066*D1066,0)</f>
        <v>796</v>
      </c>
      <c r="G1066" s="729">
        <v>16.829999999999998</v>
      </c>
      <c r="I1066" s="2">
        <f t="shared" ref="I1066" si="103">ROUND(G1066*$C1066,0)</f>
        <v>808</v>
      </c>
      <c r="J1066" s="128">
        <f ca="1">G1066+ROUND($O$1050*(O1066/SUM($O$1052:$O$1066))/C1066,2)</f>
        <v>16.819999999999997</v>
      </c>
      <c r="L1066" s="2">
        <f t="shared" ref="L1066" ca="1" si="104">ROUND(J1066*$C1066,0)</f>
        <v>807</v>
      </c>
      <c r="N1066">
        <v>25</v>
      </c>
      <c r="O1066" s="720">
        <f>N1066*C1066</f>
        <v>1199.9973447124576</v>
      </c>
      <c r="Q1066" s="144"/>
      <c r="R1066" s="38"/>
      <c r="S1066" s="266"/>
      <c r="T1066" s="266"/>
      <c r="U1066" s="146"/>
      <c r="V1066" s="146"/>
      <c r="W1066" s="146"/>
      <c r="X1066" s="141"/>
      <c r="Y1066" s="141"/>
      <c r="Z1066" s="144"/>
      <c r="AA1066" s="144"/>
      <c r="AB1066" s="148"/>
      <c r="AC1066" s="144"/>
      <c r="AD1066" s="11"/>
      <c r="AE1066" s="11"/>
      <c r="AF1066" s="11"/>
      <c r="AG1066" s="11"/>
      <c r="AH1066" s="11"/>
    </row>
    <row r="1067" spans="1:34">
      <c r="A1067" s="4"/>
      <c r="C1067" s="127"/>
      <c r="D1067" s="657"/>
      <c r="F1067" s="2"/>
      <c r="G1067" s="729"/>
      <c r="I1067" s="2"/>
      <c r="J1067" s="128"/>
      <c r="L1067" s="2"/>
      <c r="M1067" s="11"/>
      <c r="N1067" s="11"/>
      <c r="O1067" s="38"/>
      <c r="P1067" s="513"/>
      <c r="Q1067" s="144"/>
      <c r="R1067" s="38"/>
      <c r="S1067" s="266"/>
      <c r="T1067" s="266"/>
      <c r="U1067" s="146"/>
      <c r="V1067" s="146"/>
      <c r="W1067" s="146"/>
      <c r="X1067" s="141"/>
      <c r="Y1067" s="141"/>
      <c r="Z1067" s="144"/>
      <c r="AA1067" s="144"/>
      <c r="AB1067" s="148"/>
      <c r="AC1067" s="144"/>
      <c r="AD1067" s="11"/>
      <c r="AE1067" s="11"/>
      <c r="AF1067" s="11"/>
      <c r="AG1067" s="11"/>
      <c r="AH1067" s="11"/>
    </row>
    <row r="1068" spans="1:34">
      <c r="A1068" s="3" t="s">
        <v>166</v>
      </c>
      <c r="C1068" s="127">
        <v>2928</v>
      </c>
      <c r="D1068" s="128"/>
      <c r="F1068" s="2"/>
      <c r="G1068" s="729"/>
      <c r="I1068" s="2"/>
      <c r="J1068" s="128"/>
      <c r="L1068" s="2"/>
      <c r="M1068" s="133"/>
      <c r="N1068" s="11"/>
      <c r="O1068" s="38"/>
      <c r="P1068" s="144"/>
      <c r="Q1068" s="144"/>
      <c r="R1068" s="38"/>
      <c r="S1068" s="266"/>
      <c r="T1068" s="266"/>
      <c r="U1068" s="146"/>
      <c r="V1068" s="146"/>
      <c r="W1068" s="146"/>
      <c r="X1068" s="141"/>
      <c r="Y1068" s="141"/>
      <c r="Z1068" s="144"/>
      <c r="AA1068" s="144"/>
      <c r="AB1068" s="144"/>
      <c r="AC1068" s="144"/>
      <c r="AD1068" s="11"/>
      <c r="AE1068" s="11"/>
      <c r="AF1068" s="11"/>
      <c r="AG1068" s="11"/>
      <c r="AH1068" s="11"/>
    </row>
    <row r="1069" spans="1:34">
      <c r="A1069" s="3" t="s">
        <v>185</v>
      </c>
      <c r="C1069" s="127">
        <v>5232514.644587121</v>
      </c>
      <c r="D1069" s="132"/>
      <c r="E1069" s="11"/>
      <c r="F1069" s="135">
        <f>SUM(F1051:F1066)</f>
        <v>717430</v>
      </c>
      <c r="G1069" s="717"/>
      <c r="H1069" s="11"/>
      <c r="I1069" s="135">
        <f>SUM(I1051:I1068)</f>
        <v>734403</v>
      </c>
      <c r="J1069" s="132"/>
      <c r="K1069" s="11"/>
      <c r="L1069" s="135">
        <f ca="1">SUM(L1051:L1068)</f>
        <v>734096</v>
      </c>
      <c r="M1069" s="133"/>
      <c r="N1069" s="11"/>
      <c r="O1069" s="38"/>
      <c r="P1069" s="144"/>
      <c r="Q1069" s="144"/>
      <c r="R1069" s="268"/>
      <c r="S1069" s="11"/>
      <c r="T1069" s="11"/>
      <c r="U1069" s="150"/>
      <c r="V1069" s="150"/>
      <c r="W1069" s="150"/>
      <c r="X1069" s="141"/>
      <c r="Y1069" s="141"/>
      <c r="Z1069" s="151"/>
      <c r="AA1069" s="141"/>
      <c r="AB1069" s="141"/>
      <c r="AC1069" s="141"/>
      <c r="AD1069" s="11"/>
      <c r="AE1069" s="11"/>
      <c r="AF1069" s="11"/>
      <c r="AG1069" s="11"/>
      <c r="AH1069" s="11"/>
    </row>
    <row r="1070" spans="1:34">
      <c r="A1070" s="3" t="s">
        <v>167</v>
      </c>
      <c r="C1070" s="127">
        <v>140762.01218428652</v>
      </c>
      <c r="D1070" s="132"/>
      <c r="E1070" s="11"/>
      <c r="F1070" s="135">
        <v>15832.762045348165</v>
      </c>
      <c r="G1070" s="717"/>
      <c r="H1070" s="11"/>
      <c r="I1070" s="135">
        <f>F1070</f>
        <v>15832.762045348165</v>
      </c>
      <c r="J1070" s="132"/>
      <c r="K1070" s="11"/>
      <c r="L1070" s="135">
        <f>I1070</f>
        <v>15832.762045348165</v>
      </c>
      <c r="M1070" s="307"/>
      <c r="N1070" s="307"/>
      <c r="O1070" s="38"/>
      <c r="P1070" s="150"/>
      <c r="Q1070" s="150"/>
      <c r="R1070" s="266"/>
      <c r="S1070" s="11"/>
      <c r="T1070" s="11"/>
      <c r="U1070" s="11"/>
      <c r="V1070" s="11"/>
      <c r="W1070" s="11"/>
      <c r="X1070" s="144"/>
      <c r="Y1070" s="141"/>
      <c r="Z1070" s="11"/>
      <c r="AA1070" s="11"/>
      <c r="AB1070" s="11"/>
      <c r="AC1070" s="11"/>
      <c r="AD1070" s="11"/>
      <c r="AE1070" s="11"/>
      <c r="AF1070" s="11"/>
      <c r="AG1070" s="11"/>
      <c r="AH1070" s="11"/>
    </row>
    <row r="1071" spans="1:34" ht="16.5" thickBot="1">
      <c r="A1071" s="3" t="s">
        <v>1</v>
      </c>
      <c r="C1071" s="136">
        <f>C1069+C1070</f>
        <v>5373276.6567714075</v>
      </c>
      <c r="D1071" s="175"/>
      <c r="E1071" s="175"/>
      <c r="F1071" s="137">
        <f>F1069+F1070</f>
        <v>733262.76204534818</v>
      </c>
      <c r="G1071" s="730"/>
      <c r="H1071" s="175"/>
      <c r="I1071" s="137">
        <f>I1069+I1070</f>
        <v>750235.76204534818</v>
      </c>
      <c r="J1071" s="175"/>
      <c r="K1071" s="175"/>
      <c r="L1071" s="137">
        <f ca="1">L1069+L1070</f>
        <v>749928.76204534818</v>
      </c>
      <c r="M1071" s="279"/>
      <c r="N1071" s="11"/>
      <c r="O1071" s="279"/>
      <c r="P1071" s="500"/>
      <c r="Q1071" s="500"/>
      <c r="R1071" s="11"/>
      <c r="S1071" s="11"/>
      <c r="T1071" s="11"/>
      <c r="U1071" s="11"/>
      <c r="V1071" s="11"/>
      <c r="X1071" s="141"/>
      <c r="Y1071" s="141"/>
      <c r="Z1071" s="11"/>
      <c r="AA1071" s="11"/>
      <c r="AB1071" s="11"/>
      <c r="AC1071" s="11"/>
      <c r="AD1071" s="11"/>
      <c r="AE1071" s="11"/>
      <c r="AF1071" s="11"/>
      <c r="AG1071" s="11"/>
      <c r="AH1071" s="11"/>
    </row>
    <row r="1072" spans="1:34" ht="16.5" thickTop="1">
      <c r="A1072" s="1"/>
      <c r="B1072" s="1"/>
      <c r="C1072" s="1"/>
      <c r="D1072" s="282"/>
      <c r="E1072" s="1"/>
      <c r="F1072" s="1"/>
      <c r="G1072" s="749"/>
      <c r="H1072" s="1"/>
      <c r="I1072" s="2"/>
      <c r="J1072" s="282"/>
      <c r="K1072" s="1"/>
      <c r="L1072" s="2"/>
      <c r="M1072" s="279"/>
      <c r="N1072" s="279"/>
      <c r="O1072" s="279"/>
      <c r="P1072" s="279"/>
      <c r="Q1072" s="104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</row>
    <row r="1073" spans="1:34">
      <c r="A1073" s="156" t="s">
        <v>297</v>
      </c>
      <c r="B1073" s="1"/>
      <c r="C1073" s="1"/>
      <c r="D1073" s="1"/>
      <c r="E1073" s="1"/>
      <c r="F1073" s="1"/>
      <c r="G1073" s="284"/>
      <c r="H1073" s="1"/>
      <c r="I1073" s="1"/>
      <c r="J1073" s="1"/>
      <c r="K1073" s="1"/>
      <c r="L1073" s="1"/>
      <c r="M1073" s="11"/>
      <c r="N1073" s="11"/>
      <c r="O1073" s="853" t="s">
        <v>1461</v>
      </c>
      <c r="P1073" s="38"/>
      <c r="Q1073" s="38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</row>
    <row r="1074" spans="1:34">
      <c r="A1074" s="1" t="s">
        <v>298</v>
      </c>
      <c r="B1074" s="1"/>
      <c r="C1074" s="1"/>
      <c r="D1074" s="1"/>
      <c r="E1074" s="1"/>
      <c r="F1074" s="1"/>
      <c r="G1074" s="284"/>
      <c r="H1074" s="1"/>
      <c r="I1074" s="1"/>
      <c r="J1074" s="1"/>
      <c r="K1074" s="1"/>
      <c r="L1074" s="1"/>
      <c r="M1074" s="11"/>
      <c r="N1074" s="11"/>
      <c r="O1074" s="852">
        <f ca="1">'Exhibit No.__(RMM-2)pg1'!O37*1000</f>
        <v>-263.03859845777362</v>
      </c>
      <c r="P1074" s="38"/>
      <c r="Q1074" s="38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</row>
    <row r="1075" spans="1:34">
      <c r="A1075" s="1"/>
      <c r="B1075" s="1"/>
      <c r="C1075" s="1"/>
      <c r="D1075" s="282"/>
      <c r="E1075" s="1"/>
      <c r="F1075" s="1"/>
      <c r="G1075" s="749"/>
      <c r="H1075" s="1"/>
      <c r="I1075" s="1"/>
      <c r="J1075" s="282"/>
      <c r="K1075" s="1"/>
      <c r="L1075" s="1"/>
      <c r="M1075" s="11"/>
      <c r="N1075" s="11"/>
      <c r="O1075" s="38"/>
      <c r="P1075" s="38"/>
      <c r="Q1075" s="38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</row>
    <row r="1076" spans="1:34">
      <c r="A1076" s="1" t="s">
        <v>292</v>
      </c>
      <c r="B1076" s="1"/>
      <c r="C1076" s="12"/>
      <c r="D1076" s="161"/>
      <c r="E1076" s="1"/>
      <c r="F1076" s="275">
        <f>F1090+F1103</f>
        <v>0</v>
      </c>
      <c r="G1076" s="506"/>
      <c r="H1076" s="1"/>
      <c r="I1076" s="2">
        <v>0</v>
      </c>
      <c r="J1076" s="161"/>
      <c r="K1076" s="1"/>
      <c r="L1076" s="2">
        <v>0</v>
      </c>
      <c r="M1076" s="11"/>
      <c r="N1076" s="11"/>
      <c r="O1076" s="38"/>
      <c r="P1076" s="38"/>
      <c r="Q1076" s="38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</row>
    <row r="1077" spans="1:34">
      <c r="A1077" s="1" t="s">
        <v>407</v>
      </c>
      <c r="B1077" s="1"/>
      <c r="C1077" s="127">
        <f>C1092+C1104+C1105</f>
        <v>1847418.9175815417</v>
      </c>
      <c r="D1077" s="515" t="s">
        <v>13</v>
      </c>
      <c r="E1077" s="1" t="s">
        <v>13</v>
      </c>
      <c r="F1077" s="277">
        <f>F1092+F1105</f>
        <v>82008.269085045322</v>
      </c>
      <c r="G1077" s="287" t="s">
        <v>13</v>
      </c>
      <c r="H1077" s="1" t="s">
        <v>13</v>
      </c>
      <c r="I1077" s="2">
        <f>I1092+I1105</f>
        <v>87973.624075233005</v>
      </c>
      <c r="J1077" s="515" t="s">
        <v>13</v>
      </c>
      <c r="K1077" s="1" t="s">
        <v>13</v>
      </c>
      <c r="L1077" s="2">
        <f ca="1">L1092+L1105</f>
        <v>87807.778082650679</v>
      </c>
      <c r="M1077" s="11"/>
      <c r="N1077" s="11"/>
      <c r="O1077" s="38"/>
      <c r="P1077" s="38"/>
      <c r="Q1077" s="38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</row>
    <row r="1078" spans="1:34">
      <c r="A1078" s="1" t="s">
        <v>409</v>
      </c>
      <c r="B1078" s="1"/>
      <c r="C1078" s="127">
        <f>C1093</f>
        <v>1848477.8177724311</v>
      </c>
      <c r="D1078" s="287" t="s">
        <v>13</v>
      </c>
      <c r="E1078" s="1" t="s">
        <v>13</v>
      </c>
      <c r="F1078" s="2">
        <f>F1093</f>
        <v>82055.607763180989</v>
      </c>
      <c r="G1078" s="287" t="s">
        <v>13</v>
      </c>
      <c r="H1078" s="1" t="s">
        <v>13</v>
      </c>
      <c r="I1078" s="2">
        <f>I1093</f>
        <v>88024.513682323159</v>
      </c>
      <c r="J1078" s="287" t="s">
        <v>13</v>
      </c>
      <c r="K1078" s="1" t="s">
        <v>13</v>
      </c>
      <c r="L1078" s="2">
        <f ca="1">L1093</f>
        <v>87858.150678723658</v>
      </c>
      <c r="M1078" s="11"/>
      <c r="N1078" s="11"/>
      <c r="O1078" s="38"/>
      <c r="P1078" s="17"/>
      <c r="Q1078" s="38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</row>
    <row r="1079" spans="1:34">
      <c r="A1079" s="1" t="s">
        <v>166</v>
      </c>
      <c r="B1079" s="1"/>
      <c r="C1079" s="127">
        <f>C1094+C1106</f>
        <v>2792</v>
      </c>
      <c r="D1079" s="278"/>
      <c r="E1079" s="1"/>
      <c r="F1079" s="2"/>
      <c r="G1079" s="752"/>
      <c r="H1079" s="1"/>
      <c r="I1079" s="2"/>
      <c r="J1079" s="278"/>
      <c r="K1079" s="1"/>
      <c r="L1079" s="2"/>
      <c r="M1079" s="11"/>
      <c r="N1079" s="11"/>
      <c r="O1079" s="38"/>
      <c r="P1079" s="38"/>
      <c r="Q1079" s="38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</row>
    <row r="1080" spans="1:34">
      <c r="A1080" s="3" t="s">
        <v>295</v>
      </c>
      <c r="C1080" s="127">
        <f>C1095+C1107</f>
        <v>3695896.7353539728</v>
      </c>
      <c r="D1080" s="132"/>
      <c r="E1080" s="11"/>
      <c r="F1080" s="135">
        <f>F1095+F1107</f>
        <v>164063.87684822633</v>
      </c>
      <c r="G1080" s="717"/>
      <c r="H1080" s="11"/>
      <c r="I1080" s="135">
        <f>I1095+I1107</f>
        <v>175998.13775755616</v>
      </c>
      <c r="J1080" s="132"/>
      <c r="K1080" s="11"/>
      <c r="L1080" s="135">
        <f ca="1">L1095+L1107</f>
        <v>175665.92876137432</v>
      </c>
      <c r="M1080" s="11"/>
      <c r="N1080" s="11"/>
      <c r="O1080" s="38"/>
      <c r="P1080" s="38"/>
      <c r="Q1080" s="38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</row>
    <row r="1081" spans="1:34">
      <c r="A1081" s="3" t="s">
        <v>296</v>
      </c>
      <c r="C1081" s="127">
        <f>C1096+C1108</f>
        <v>100237.9878157135</v>
      </c>
      <c r="D1081" s="132"/>
      <c r="E1081" s="11"/>
      <c r="F1081" s="135">
        <f>F1096+F1108</f>
        <v>4167.2379546518341</v>
      </c>
      <c r="G1081" s="717"/>
      <c r="H1081" s="11"/>
      <c r="I1081" s="135">
        <f>F1081</f>
        <v>4167.2379546518341</v>
      </c>
      <c r="J1081" s="132"/>
      <c r="K1081" s="11"/>
      <c r="L1081" s="135">
        <f>I1081</f>
        <v>4167.2379546518341</v>
      </c>
      <c r="M1081" s="307"/>
      <c r="N1081" s="307"/>
      <c r="O1081" s="150"/>
      <c r="P1081" s="38"/>
      <c r="Q1081" s="38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</row>
    <row r="1082" spans="1:34" ht="16.5" thickBot="1">
      <c r="A1082" s="1" t="s">
        <v>1</v>
      </c>
      <c r="B1082" s="1"/>
      <c r="C1082" s="256">
        <f>C1080+C1081</f>
        <v>3796134.7231696863</v>
      </c>
      <c r="D1082" s="522"/>
      <c r="E1082" s="208"/>
      <c r="F1082" s="137">
        <f>F1080+F1081</f>
        <v>168231.11480287815</v>
      </c>
      <c r="G1082" s="753"/>
      <c r="H1082" s="208"/>
      <c r="I1082" s="137">
        <f>I1080+I1081</f>
        <v>180165.37571220798</v>
      </c>
      <c r="J1082" s="522"/>
      <c r="K1082" s="208"/>
      <c r="L1082" s="137">
        <f ca="1">L1080+L1081</f>
        <v>179833.16671602614</v>
      </c>
      <c r="M1082" s="279"/>
      <c r="N1082" s="141"/>
      <c r="O1082" s="279"/>
      <c r="P1082" s="500"/>
      <c r="Q1082" s="513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</row>
    <row r="1083" spans="1:34" ht="16.5" thickTop="1">
      <c r="A1083" s="623" t="s">
        <v>13</v>
      </c>
      <c r="B1083" s="1"/>
      <c r="C1083" s="16"/>
      <c r="D1083" s="285"/>
      <c r="E1083" s="14"/>
      <c r="F1083" s="20"/>
      <c r="G1083" s="754"/>
      <c r="H1083" s="14"/>
      <c r="I1083" s="20" t="s">
        <v>13</v>
      </c>
      <c r="J1083" s="285"/>
      <c r="K1083" s="14"/>
      <c r="L1083" s="20" t="s">
        <v>13</v>
      </c>
      <c r="M1083" s="11"/>
      <c r="N1083" s="141"/>
      <c r="O1083" s="279"/>
      <c r="P1083" s="11"/>
      <c r="Q1083" s="513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</row>
    <row r="1084" spans="1:34">
      <c r="A1084" s="1"/>
      <c r="B1084" s="1"/>
      <c r="C1084" s="16"/>
      <c r="D1084" s="285"/>
      <c r="E1084" s="14"/>
      <c r="F1084" s="20"/>
      <c r="G1084" s="754"/>
      <c r="H1084" s="14"/>
      <c r="I1084" s="20"/>
      <c r="J1084" s="285"/>
      <c r="K1084" s="14"/>
      <c r="L1084" s="20"/>
      <c r="M1084" s="11"/>
      <c r="N1084" s="11"/>
      <c r="O1084" s="38"/>
      <c r="P1084" s="38"/>
      <c r="Q1084" s="513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</row>
    <row r="1085" spans="1:34">
      <c r="A1085" s="1"/>
      <c r="B1085" s="1"/>
      <c r="C1085" s="16"/>
      <c r="D1085" s="285"/>
      <c r="E1085" s="14"/>
      <c r="F1085" s="20"/>
      <c r="G1085" s="754"/>
      <c r="H1085" s="14"/>
      <c r="I1085" s="20"/>
      <c r="J1085" s="285"/>
      <c r="K1085" s="14"/>
      <c r="L1085" s="20"/>
      <c r="M1085" s="490"/>
      <c r="N1085" s="490"/>
      <c r="O1085" s="490"/>
      <c r="P1085" s="490"/>
      <c r="Q1085" s="513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</row>
    <row r="1086" spans="1:34">
      <c r="A1086" s="1"/>
      <c r="B1086" s="1"/>
      <c r="C1086" s="16"/>
      <c r="D1086" s="285" t="s">
        <v>13</v>
      </c>
      <c r="E1086" s="14"/>
      <c r="F1086" s="20"/>
      <c r="G1086" s="754" t="s">
        <v>13</v>
      </c>
      <c r="H1086" s="14"/>
      <c r="I1086" s="20" t="s">
        <v>13</v>
      </c>
      <c r="J1086" s="285" t="s">
        <v>13</v>
      </c>
      <c r="K1086" s="14"/>
      <c r="L1086" s="20" t="s">
        <v>13</v>
      </c>
      <c r="M1086" s="279"/>
      <c r="N1086" s="279"/>
      <c r="O1086" s="279"/>
      <c r="P1086" s="279"/>
      <c r="Q1086" s="38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</row>
    <row r="1087" spans="1:34">
      <c r="A1087" s="156" t="s">
        <v>301</v>
      </c>
      <c r="B1087" s="1"/>
      <c r="C1087" s="1"/>
      <c r="D1087" s="1"/>
      <c r="E1087" s="1"/>
      <c r="F1087" s="1"/>
      <c r="G1087" s="284"/>
      <c r="H1087" s="1"/>
      <c r="I1087" s="1"/>
      <c r="J1087" s="1"/>
      <c r="K1087" s="1"/>
      <c r="L1087" s="1"/>
      <c r="M1087" s="279"/>
      <c r="N1087" s="279"/>
      <c r="O1087" s="38"/>
      <c r="P1087" s="38"/>
      <c r="Q1087" s="38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</row>
    <row r="1088" spans="1:34">
      <c r="A1088" s="1" t="s">
        <v>302</v>
      </c>
      <c r="B1088" s="1"/>
      <c r="C1088" s="1"/>
      <c r="D1088" s="1"/>
      <c r="E1088" s="1"/>
      <c r="F1088" s="1"/>
      <c r="G1088" s="284"/>
      <c r="H1088" s="1"/>
      <c r="I1088" s="1"/>
      <c r="J1088" s="1"/>
      <c r="K1088" s="1"/>
      <c r="L1088" s="1"/>
      <c r="M1088" s="11"/>
      <c r="N1088" s="11"/>
      <c r="O1088" s="38"/>
      <c r="P1088" s="38"/>
      <c r="Q1088" s="38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</row>
    <row r="1089" spans="1:34">
      <c r="A1089" s="1"/>
      <c r="B1089" s="1"/>
      <c r="C1089" s="1"/>
      <c r="D1089" s="282"/>
      <c r="E1089" s="1"/>
      <c r="F1089" s="1"/>
      <c r="G1089" s="749"/>
      <c r="H1089" s="1"/>
      <c r="I1089" s="1"/>
      <c r="J1089" s="282"/>
      <c r="K1089" s="1"/>
      <c r="L1089" s="1"/>
      <c r="M1089" s="11"/>
      <c r="N1089" s="11"/>
      <c r="O1089" s="38"/>
      <c r="P1089" s="38"/>
      <c r="Q1089" s="38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</row>
    <row r="1090" spans="1:34">
      <c r="A1090" s="1" t="s">
        <v>292</v>
      </c>
      <c r="B1090" s="1"/>
      <c r="C1090" s="12"/>
      <c r="D1090" s="161"/>
      <c r="E1090" s="1"/>
      <c r="F1090" s="275"/>
      <c r="G1090" s="506"/>
      <c r="H1090" s="1"/>
      <c r="I1090" s="2">
        <v>0</v>
      </c>
      <c r="J1090" s="161"/>
      <c r="K1090" s="1"/>
      <c r="L1090" s="2">
        <v>0</v>
      </c>
      <c r="M1090" s="11"/>
      <c r="N1090" s="11"/>
      <c r="O1090" s="38"/>
      <c r="P1090" s="38"/>
      <c r="Q1090" s="38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</row>
    <row r="1091" spans="1:34">
      <c r="A1091" s="1"/>
      <c r="B1091" s="1"/>
      <c r="C1091" s="12"/>
      <c r="D1091" s="161"/>
      <c r="E1091" s="1"/>
      <c r="F1091" s="275"/>
      <c r="G1091" s="506"/>
      <c r="H1091" s="1"/>
      <c r="I1091" s="2"/>
      <c r="J1091" s="161"/>
      <c r="K1091" s="1"/>
      <c r="L1091" s="2"/>
      <c r="M1091" s="11"/>
      <c r="N1091" s="11"/>
      <c r="O1091" s="38"/>
      <c r="P1091" s="38"/>
      <c r="Q1091" s="38"/>
      <c r="R1091" s="38"/>
      <c r="S1091" s="38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</row>
    <row r="1092" spans="1:34">
      <c r="A1092" s="1" t="s">
        <v>407</v>
      </c>
      <c r="B1092" s="1"/>
      <c r="C1092" s="127">
        <v>1109399.9175815417</v>
      </c>
      <c r="D1092" s="245">
        <v>4.4390907466806819</v>
      </c>
      <c r="E1092" s="1" t="s">
        <v>178</v>
      </c>
      <c r="F1092" s="277">
        <f>D1092*C1092/100</f>
        <v>49247.269085045329</v>
      </c>
      <c r="G1092" s="287">
        <v>4.7619999999999996</v>
      </c>
      <c r="H1092" s="1" t="s">
        <v>178</v>
      </c>
      <c r="I1092" s="2">
        <f>G1092*C1092/100</f>
        <v>52829.624075233012</v>
      </c>
      <c r="J1092" s="162">
        <f ca="1">ROUND(G1092+($O$1074/$C$1095)*100,3)</f>
        <v>4.7530000000000001</v>
      </c>
      <c r="K1092" s="1" t="s">
        <v>178</v>
      </c>
      <c r="L1092" s="2">
        <f ca="1">J1092*C1092/100</f>
        <v>52729.778082650679</v>
      </c>
      <c r="M1092" s="11"/>
      <c r="N1092" s="11"/>
      <c r="O1092" s="321"/>
      <c r="P1092" s="17"/>
      <c r="Q1092" s="38"/>
      <c r="R1092" s="38"/>
      <c r="S1092" s="38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</row>
    <row r="1093" spans="1:34">
      <c r="A1093" s="1" t="s">
        <v>409</v>
      </c>
      <c r="B1093" s="1"/>
      <c r="C1093" s="127">
        <v>1848477.8177724311</v>
      </c>
      <c r="D1093" s="245">
        <v>4.4390907466806819</v>
      </c>
      <c r="E1093" s="1" t="s">
        <v>178</v>
      </c>
      <c r="F1093" s="2">
        <f>D1093*C1093/100</f>
        <v>82055.607763180989</v>
      </c>
      <c r="G1093" s="287">
        <v>4.7619999999999996</v>
      </c>
      <c r="H1093" s="1" t="s">
        <v>178</v>
      </c>
      <c r="I1093" s="2">
        <f>G1093*C1093/100</f>
        <v>88024.513682323159</v>
      </c>
      <c r="J1093" s="287">
        <f ca="1">J1092</f>
        <v>4.7530000000000001</v>
      </c>
      <c r="K1093" s="1" t="s">
        <v>178</v>
      </c>
      <c r="L1093" s="2">
        <f ca="1">J1093*C1093/100</f>
        <v>87858.150678723658</v>
      </c>
      <c r="M1093" s="11"/>
      <c r="N1093" s="11"/>
      <c r="O1093" s="38"/>
      <c r="P1093" s="38"/>
      <c r="Q1093" s="38"/>
      <c r="R1093" s="38"/>
      <c r="S1093" s="17"/>
      <c r="T1093" s="20"/>
      <c r="U1093" s="20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</row>
    <row r="1094" spans="1:34">
      <c r="A1094" s="1" t="s">
        <v>166</v>
      </c>
      <c r="B1094" s="1"/>
      <c r="C1094" s="127">
        <v>1443</v>
      </c>
      <c r="D1094" s="278"/>
      <c r="E1094" s="1"/>
      <c r="F1094" s="2"/>
      <c r="G1094" s="752"/>
      <c r="H1094" s="1"/>
      <c r="I1094" s="2"/>
      <c r="J1094" s="278"/>
      <c r="K1094" s="1"/>
      <c r="L1094" s="2"/>
      <c r="M1094" s="11"/>
      <c r="N1094" s="11"/>
      <c r="O1094" s="38"/>
      <c r="P1094" s="38"/>
      <c r="Q1094" s="38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</row>
    <row r="1095" spans="1:34">
      <c r="A1095" s="3" t="s">
        <v>295</v>
      </c>
      <c r="C1095" s="127">
        <f>C1092+C1093</f>
        <v>2957877.7353539728</v>
      </c>
      <c r="D1095" s="132"/>
      <c r="E1095" s="11"/>
      <c r="F1095" s="135">
        <f>SUM(F1090:F1093)</f>
        <v>131302.87684822633</v>
      </c>
      <c r="G1095" s="717"/>
      <c r="H1095" s="11"/>
      <c r="I1095" s="135">
        <f>SUM(I1090:I1094)</f>
        <v>140854.13775755616</v>
      </c>
      <c r="J1095" s="132"/>
      <c r="K1095" s="11"/>
      <c r="L1095" s="135">
        <f ca="1">SUM(L1090:L1094)</f>
        <v>140587.92876137432</v>
      </c>
      <c r="M1095" s="11"/>
      <c r="N1095" s="11"/>
      <c r="O1095" s="38"/>
      <c r="P1095" s="38"/>
      <c r="Q1095" s="38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</row>
    <row r="1096" spans="1:34">
      <c r="A1096" s="3" t="s">
        <v>296</v>
      </c>
      <c r="C1096" s="127">
        <v>80210.080976111421</v>
      </c>
      <c r="D1096" s="132"/>
      <c r="E1096" s="11"/>
      <c r="F1096" s="135">
        <v>3338.4372439764056</v>
      </c>
      <c r="G1096" s="717"/>
      <c r="H1096" s="11"/>
      <c r="I1096" s="135">
        <f>F1096</f>
        <v>3338.4372439764056</v>
      </c>
      <c r="J1096" s="132"/>
      <c r="K1096" s="11"/>
      <c r="L1096" s="135">
        <f>I1096</f>
        <v>3338.4372439764056</v>
      </c>
      <c r="M1096" s="307"/>
      <c r="N1096" s="307"/>
      <c r="O1096" s="150"/>
      <c r="P1096" s="38"/>
      <c r="Q1096" s="38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</row>
    <row r="1097" spans="1:34" ht="16.5" thickBot="1">
      <c r="A1097" s="1" t="s">
        <v>1</v>
      </c>
      <c r="B1097" s="1"/>
      <c r="C1097" s="256">
        <f>C1095+C1096</f>
        <v>3038087.8163300841</v>
      </c>
      <c r="D1097" s="522"/>
      <c r="E1097" s="208"/>
      <c r="F1097" s="137">
        <f>F1095+F1096</f>
        <v>134641.31409220272</v>
      </c>
      <c r="G1097" s="753"/>
      <c r="H1097" s="208"/>
      <c r="I1097" s="137">
        <f>I1095+I1096</f>
        <v>144192.57500153256</v>
      </c>
      <c r="J1097" s="522"/>
      <c r="K1097" s="208"/>
      <c r="L1097" s="137">
        <f ca="1">L1095+L1096</f>
        <v>143926.36600535072</v>
      </c>
      <c r="M1097" s="274"/>
      <c r="N1097" s="274"/>
      <c r="O1097" s="333"/>
      <c r="P1097" s="38"/>
      <c r="Q1097" s="38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</row>
    <row r="1098" spans="1:34" ht="16.5" thickTop="1">
      <c r="A1098" s="623" t="s">
        <v>490</v>
      </c>
      <c r="B1098" s="1"/>
      <c r="C1098" s="16"/>
      <c r="D1098" s="285"/>
      <c r="E1098" s="14"/>
      <c r="F1098" s="20"/>
      <c r="G1098" s="754"/>
      <c r="H1098" s="14"/>
      <c r="I1098" s="20"/>
      <c r="J1098" s="285"/>
      <c r="K1098" s="14"/>
      <c r="L1098" s="20"/>
      <c r="M1098" s="274"/>
      <c r="N1098" s="274"/>
      <c r="O1098" s="333"/>
      <c r="P1098" s="38"/>
      <c r="Q1098" s="38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</row>
    <row r="1099" spans="1:34">
      <c r="A1099" s="1"/>
      <c r="B1099" s="1"/>
      <c r="C1099" s="16"/>
      <c r="D1099" s="285" t="s">
        <v>13</v>
      </c>
      <c r="E1099" s="14"/>
      <c r="F1099" s="20"/>
      <c r="G1099" s="754" t="s">
        <v>13</v>
      </c>
      <c r="H1099" s="14"/>
      <c r="I1099" s="20" t="s">
        <v>13</v>
      </c>
      <c r="J1099" s="285" t="s">
        <v>13</v>
      </c>
      <c r="K1099" s="14"/>
      <c r="L1099" s="20" t="s">
        <v>13</v>
      </c>
      <c r="M1099" s="490"/>
      <c r="N1099" s="490"/>
      <c r="O1099" s="490"/>
      <c r="P1099" s="490"/>
      <c r="Q1099" s="38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</row>
    <row r="1100" spans="1:34">
      <c r="A1100" s="156" t="s">
        <v>303</v>
      </c>
      <c r="B1100" s="1"/>
      <c r="C1100" s="1"/>
      <c r="D1100" s="1"/>
      <c r="E1100" s="1"/>
      <c r="F1100" s="1"/>
      <c r="G1100" s="284"/>
      <c r="H1100" s="1"/>
      <c r="I1100" s="1"/>
      <c r="J1100" s="1"/>
      <c r="K1100" s="1"/>
      <c r="L1100" s="1"/>
      <c r="M1100" s="279"/>
      <c r="N1100" s="279"/>
      <c r="O1100" s="279"/>
      <c r="P1100" s="279"/>
      <c r="Q1100" s="38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</row>
    <row r="1101" spans="1:34">
      <c r="A1101" s="1" t="s">
        <v>304</v>
      </c>
      <c r="B1101" s="1"/>
      <c r="C1101" s="1"/>
      <c r="D1101" s="1"/>
      <c r="E1101" s="1"/>
      <c r="F1101" s="1"/>
      <c r="G1101" s="284"/>
      <c r="H1101" s="1"/>
      <c r="I1101" s="1"/>
      <c r="J1101" s="1"/>
      <c r="K1101" s="1"/>
      <c r="L1101" s="1"/>
      <c r="M1101" s="11"/>
      <c r="N1101" s="11"/>
      <c r="O1101" s="38"/>
      <c r="P1101" s="38"/>
      <c r="Q1101" s="38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</row>
    <row r="1102" spans="1:34">
      <c r="A1102" s="1"/>
      <c r="B1102" s="1"/>
      <c r="C1102" s="1"/>
      <c r="D1102" s="282"/>
      <c r="E1102" s="1"/>
      <c r="F1102" s="1"/>
      <c r="G1102" s="749"/>
      <c r="H1102" s="1"/>
      <c r="I1102" s="1"/>
      <c r="J1102" s="282"/>
      <c r="K1102" s="1"/>
      <c r="L1102" s="1"/>
      <c r="M1102" s="11"/>
      <c r="N1102" s="11"/>
      <c r="O1102" s="38"/>
      <c r="P1102" s="38"/>
      <c r="Q1102" s="38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</row>
    <row r="1103" spans="1:34">
      <c r="A1103" s="1" t="s">
        <v>292</v>
      </c>
      <c r="B1103" s="1"/>
      <c r="C1103" s="12"/>
      <c r="D1103" s="161"/>
      <c r="E1103" s="1"/>
      <c r="F1103" s="275">
        <v>0</v>
      </c>
      <c r="G1103" s="506"/>
      <c r="H1103" s="1"/>
      <c r="I1103" s="2">
        <f>F1103</f>
        <v>0</v>
      </c>
      <c r="J1103" s="161"/>
      <c r="K1103" s="1"/>
      <c r="L1103" s="2">
        <f>I1103</f>
        <v>0</v>
      </c>
      <c r="M1103" s="11"/>
      <c r="N1103" s="11"/>
      <c r="O1103" s="38"/>
      <c r="P1103" s="38"/>
      <c r="Q1103" s="38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</row>
    <row r="1104" spans="1:34">
      <c r="A1104" s="1" t="s">
        <v>299</v>
      </c>
      <c r="B1104" s="1"/>
      <c r="C1104" s="127">
        <v>0</v>
      </c>
      <c r="D1104" s="245">
        <v>4.4390907466806819</v>
      </c>
      <c r="E1104" s="1" t="s">
        <v>178</v>
      </c>
      <c r="F1104" s="277">
        <f>ROUND(D1104*C1104/100,0)</f>
        <v>0</v>
      </c>
      <c r="G1104" s="287">
        <v>4.7619999999999996</v>
      </c>
      <c r="H1104" s="1" t="s">
        <v>178</v>
      </c>
      <c r="I1104" s="2">
        <f>ROUND(C1104*G1104/100,0)</f>
        <v>0</v>
      </c>
      <c r="J1104" s="245">
        <f ca="1">J1092</f>
        <v>4.7530000000000001</v>
      </c>
      <c r="K1104" s="1" t="s">
        <v>178</v>
      </c>
      <c r="L1104" s="2">
        <f ca="1">ROUND(C1104*J1104/100,0)</f>
        <v>0</v>
      </c>
      <c r="M1104" s="11"/>
      <c r="N1104" s="11"/>
      <c r="O1104" s="38"/>
      <c r="P1104" s="513"/>
      <c r="Q1104" s="38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</row>
    <row r="1105" spans="1:34">
      <c r="A1105" s="1" t="s">
        <v>300</v>
      </c>
      <c r="B1105" s="1"/>
      <c r="C1105" s="127">
        <v>738019</v>
      </c>
      <c r="D1105" s="287">
        <f>D1104</f>
        <v>4.4390907466806819</v>
      </c>
      <c r="E1105" s="1" t="s">
        <v>178</v>
      </c>
      <c r="F1105" s="277">
        <f>ROUND(D1105*C1105/100,0)</f>
        <v>32761</v>
      </c>
      <c r="G1105" s="287">
        <v>4.7619999999999996</v>
      </c>
      <c r="H1105" s="1" t="s">
        <v>178</v>
      </c>
      <c r="I1105" s="2">
        <f>ROUND(G1105*$C1105/100,0)</f>
        <v>35144</v>
      </c>
      <c r="J1105" s="287">
        <f ca="1">J1104</f>
        <v>4.7530000000000001</v>
      </c>
      <c r="K1105" s="1" t="s">
        <v>178</v>
      </c>
      <c r="L1105" s="2">
        <f ca="1">ROUND(J1105*$C1105/100,0)</f>
        <v>35078</v>
      </c>
      <c r="M1105" s="11"/>
      <c r="N1105" s="11"/>
      <c r="O1105" s="38"/>
      <c r="P1105" s="38"/>
      <c r="Q1105" s="38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</row>
    <row r="1106" spans="1:34">
      <c r="A1106" s="1" t="s">
        <v>166</v>
      </c>
      <c r="B1106" s="1"/>
      <c r="C1106" s="127">
        <v>1349</v>
      </c>
      <c r="D1106" s="278"/>
      <c r="E1106" s="1"/>
      <c r="F1106" s="2"/>
      <c r="G1106" s="752"/>
      <c r="H1106" s="1"/>
      <c r="I1106" s="2"/>
      <c r="J1106" s="278"/>
      <c r="K1106" s="1"/>
      <c r="L1106" s="2"/>
      <c r="M1106" s="11"/>
      <c r="N1106" s="11"/>
      <c r="O1106" s="38"/>
      <c r="P1106" s="38"/>
      <c r="Q1106" s="38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</row>
    <row r="1107" spans="1:34">
      <c r="A1107" s="3" t="s">
        <v>295</v>
      </c>
      <c r="C1107" s="127">
        <f>C1104+C1105</f>
        <v>738019</v>
      </c>
      <c r="D1107" s="132"/>
      <c r="E1107" s="11"/>
      <c r="F1107" s="135">
        <f>SUM(F1103:F1105)</f>
        <v>32761</v>
      </c>
      <c r="G1107" s="717"/>
      <c r="H1107" s="11"/>
      <c r="I1107" s="135">
        <f>SUM(I1103:I1106)</f>
        <v>35144</v>
      </c>
      <c r="J1107" s="132"/>
      <c r="K1107" s="11"/>
      <c r="L1107" s="135">
        <f ca="1">SUM(L1103:L1106)</f>
        <v>35078</v>
      </c>
      <c r="M1107" s="11"/>
      <c r="N1107" s="11"/>
      <c r="O1107" s="38"/>
      <c r="P1107" s="38"/>
      <c r="Q1107" s="38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</row>
    <row r="1108" spans="1:34">
      <c r="A1108" s="3" t="s">
        <v>296</v>
      </c>
      <c r="C1108" s="127">
        <v>20027.90683960207</v>
      </c>
      <c r="D1108" s="132"/>
      <c r="E1108" s="11"/>
      <c r="F1108" s="135">
        <v>828.80071067542849</v>
      </c>
      <c r="G1108" s="717"/>
      <c r="H1108" s="11"/>
      <c r="I1108" s="135">
        <f>F1108</f>
        <v>828.80071067542849</v>
      </c>
      <c r="J1108" s="132"/>
      <c r="K1108" s="11"/>
      <c r="L1108" s="135">
        <f>I1108</f>
        <v>828.80071067542849</v>
      </c>
      <c r="M1108" s="307"/>
      <c r="N1108" s="307"/>
      <c r="O1108" s="150"/>
      <c r="P1108" s="38"/>
      <c r="Q1108" s="38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</row>
    <row r="1109" spans="1:34" ht="16.5" thickBot="1">
      <c r="A1109" s="1" t="s">
        <v>1</v>
      </c>
      <c r="B1109" s="1"/>
      <c r="C1109" s="256">
        <f>C1107+C1108</f>
        <v>758046.90683960204</v>
      </c>
      <c r="D1109" s="522"/>
      <c r="E1109" s="208"/>
      <c r="F1109" s="137">
        <f>F1107+F1108</f>
        <v>33589.80071067543</v>
      </c>
      <c r="G1109" s="753"/>
      <c r="H1109" s="208"/>
      <c r="I1109" s="137">
        <f>I1107+I1108</f>
        <v>35972.80071067543</v>
      </c>
      <c r="J1109" s="522"/>
      <c r="K1109" s="208"/>
      <c r="L1109" s="137">
        <f ca="1">L1107+L1108</f>
        <v>35906.80071067543</v>
      </c>
      <c r="M1109" s="274"/>
      <c r="N1109" s="274"/>
      <c r="O1109" s="333"/>
      <c r="P1109" s="38"/>
      <c r="Q1109" s="38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</row>
    <row r="1110" spans="1:34" ht="16.5" thickTop="1">
      <c r="A1110" s="623" t="s">
        <v>490</v>
      </c>
      <c r="B1110" s="1"/>
      <c r="C1110" s="16"/>
      <c r="D1110" s="285"/>
      <c r="E1110" s="14"/>
      <c r="F1110" s="20"/>
      <c r="G1110" s="754"/>
      <c r="H1110" s="14"/>
      <c r="I1110" s="20"/>
      <c r="J1110" s="285"/>
      <c r="K1110" s="14"/>
      <c r="L1110" s="20"/>
      <c r="M1110" s="274"/>
      <c r="N1110" s="274"/>
      <c r="O1110" s="333"/>
      <c r="P1110" s="38"/>
      <c r="Q1110" s="38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</row>
    <row r="1111" spans="1:34">
      <c r="A1111" s="1"/>
      <c r="B1111" s="1"/>
      <c r="C1111" s="16"/>
      <c r="D1111" s="285"/>
      <c r="E1111" s="14"/>
      <c r="F1111" s="20"/>
      <c r="G1111" s="754"/>
      <c r="H1111" s="14"/>
      <c r="I1111" s="20"/>
      <c r="J1111" s="285"/>
      <c r="K1111" s="14"/>
      <c r="L1111" s="20"/>
      <c r="M1111" s="490"/>
      <c r="N1111" s="490"/>
      <c r="O1111" s="490"/>
      <c r="P1111" s="490"/>
      <c r="Q1111" s="38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</row>
    <row r="1112" spans="1:34">
      <c r="A1112" s="1"/>
      <c r="B1112" s="1"/>
      <c r="C1112" s="16"/>
      <c r="D1112" s="285"/>
      <c r="E1112" s="14"/>
      <c r="F1112" s="20"/>
      <c r="G1112" s="754"/>
      <c r="H1112" s="14"/>
      <c r="I1112" s="20"/>
      <c r="J1112" s="285"/>
      <c r="K1112" s="14"/>
      <c r="L1112" s="20"/>
      <c r="M1112" s="279"/>
      <c r="N1112" s="279"/>
      <c r="O1112" s="279"/>
      <c r="P1112" s="279"/>
      <c r="Q1112" s="38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</row>
    <row r="1113" spans="1:34">
      <c r="A1113" s="1"/>
      <c r="B1113" s="1"/>
      <c r="C1113" s="16"/>
      <c r="D1113" s="285" t="s">
        <v>13</v>
      </c>
      <c r="E1113" s="14"/>
      <c r="F1113" s="20"/>
      <c r="G1113" s="754" t="s">
        <v>13</v>
      </c>
      <c r="H1113" s="14"/>
      <c r="I1113" s="20" t="s">
        <v>13</v>
      </c>
      <c r="J1113" s="285" t="s">
        <v>13</v>
      </c>
      <c r="K1113" s="14"/>
      <c r="L1113" s="20" t="s">
        <v>13</v>
      </c>
      <c r="M1113" s="11"/>
      <c r="N1113" s="11"/>
      <c r="O1113" s="38"/>
      <c r="P1113" s="38"/>
      <c r="Q1113" s="38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</row>
    <row r="1114" spans="1:34">
      <c r="A1114" s="156" t="s">
        <v>305</v>
      </c>
      <c r="B1114" s="1"/>
      <c r="C1114" s="1"/>
      <c r="D1114" s="1"/>
      <c r="E1114" s="1"/>
      <c r="F1114" s="1"/>
      <c r="G1114" s="284"/>
      <c r="H1114" s="1"/>
      <c r="I1114" s="1" t="s">
        <v>13</v>
      </c>
      <c r="J1114" s="1"/>
      <c r="K1114" s="1"/>
      <c r="L1114" s="1" t="s">
        <v>13</v>
      </c>
      <c r="M1114" s="11"/>
      <c r="N1114" s="11"/>
      <c r="O1114" s="853" t="s">
        <v>1462</v>
      </c>
      <c r="P1114" s="38"/>
      <c r="Q1114" s="38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</row>
    <row r="1115" spans="1:34">
      <c r="A1115" s="1" t="s">
        <v>80</v>
      </c>
      <c r="B1115" s="1"/>
      <c r="C1115" s="1"/>
      <c r="D1115" s="1"/>
      <c r="E1115" s="1"/>
      <c r="F1115" s="1"/>
      <c r="G1115" s="284"/>
      <c r="H1115" s="1"/>
      <c r="I1115" s="1"/>
      <c r="J1115" s="1"/>
      <c r="K1115" s="1"/>
      <c r="L1115" s="1"/>
      <c r="M1115" s="11"/>
      <c r="N1115" s="11"/>
      <c r="O1115" s="852">
        <f ca="1">'Exhibit No.__(RMM-2)pg1'!O29*1000</f>
        <v>-19.767481159287478</v>
      </c>
      <c r="P1115" s="38"/>
      <c r="Q1115" s="38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</row>
    <row r="1116" spans="1:34">
      <c r="A1116" s="1"/>
      <c r="B1116" s="1"/>
      <c r="C1116" s="1"/>
      <c r="D1116" s="1"/>
      <c r="E1116" s="1"/>
      <c r="F1116" s="1"/>
      <c r="G1116" s="284"/>
      <c r="H1116" s="1"/>
      <c r="I1116" s="1"/>
      <c r="J1116" s="1"/>
      <c r="K1116" s="1"/>
      <c r="L1116" s="1"/>
      <c r="M1116" s="11"/>
      <c r="N1116" s="11"/>
      <c r="O1116" s="38"/>
      <c r="P1116" s="38"/>
      <c r="Q1116" s="38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</row>
    <row r="1117" spans="1:34">
      <c r="A1117" s="1" t="s">
        <v>306</v>
      </c>
      <c r="B1117" s="1"/>
      <c r="C1117" s="12">
        <v>144</v>
      </c>
      <c r="D1117" s="161">
        <v>7.0305325076863987</v>
      </c>
      <c r="E1117" s="1"/>
      <c r="F1117" s="2">
        <f>ROUND(C1117*D1117,0)</f>
        <v>1012</v>
      </c>
      <c r="G1117" s="729">
        <v>7.0305325076863987</v>
      </c>
      <c r="H1117" s="1"/>
      <c r="I1117" s="2">
        <f>ROUND(G1117*$C1117,0)</f>
        <v>1012</v>
      </c>
      <c r="J1117" s="128">
        <f t="shared" ref="J1117:J1118" si="105">G1117</f>
        <v>7.0305325076863987</v>
      </c>
      <c r="K1117" s="1"/>
      <c r="L1117" s="2">
        <f>ROUND(J1117*$C1117,0)</f>
        <v>1012</v>
      </c>
      <c r="M1117" s="11"/>
      <c r="N1117" s="11"/>
      <c r="O1117" s="717"/>
      <c r="P1117" s="513"/>
      <c r="Q1117" s="288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</row>
    <row r="1118" spans="1:34">
      <c r="A1118" s="1" t="s">
        <v>307</v>
      </c>
      <c r="B1118" s="1"/>
      <c r="C1118" s="12">
        <v>180</v>
      </c>
      <c r="D1118" s="161">
        <v>12.648904500975586</v>
      </c>
      <c r="E1118" s="1"/>
      <c r="F1118" s="2">
        <f>ROUND(C1118*D1118,0)</f>
        <v>2277</v>
      </c>
      <c r="G1118" s="729">
        <v>12.648904500975586</v>
      </c>
      <c r="H1118" s="1"/>
      <c r="I1118" s="2">
        <f>ROUND(G1118*$C1118,0)</f>
        <v>2277</v>
      </c>
      <c r="J1118" s="128">
        <f t="shared" si="105"/>
        <v>12.648904500975586</v>
      </c>
      <c r="K1118" s="1"/>
      <c r="L1118" s="2">
        <f>ROUND(J1118*$C1118,0)</f>
        <v>2277</v>
      </c>
      <c r="M1118" s="11"/>
      <c r="N1118" s="11"/>
      <c r="O1118" s="717"/>
      <c r="P1118" s="513"/>
      <c r="Q1118" s="288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</row>
    <row r="1119" spans="1:34">
      <c r="A1119" s="1" t="s">
        <v>308</v>
      </c>
      <c r="B1119" s="1"/>
      <c r="C1119" s="12">
        <f>SUM(C1117:C1118)</f>
        <v>324</v>
      </c>
      <c r="D1119" s="237"/>
      <c r="E1119" s="1"/>
      <c r="F1119" s="277"/>
      <c r="G1119" s="731"/>
      <c r="H1119" s="1"/>
      <c r="I1119" s="2"/>
      <c r="J1119" s="237"/>
      <c r="K1119" s="1"/>
      <c r="L1119" s="2"/>
      <c r="M1119" s="11"/>
      <c r="N1119" s="11"/>
      <c r="O1119" s="288"/>
      <c r="P1119" s="288"/>
      <c r="Q1119" s="288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</row>
    <row r="1120" spans="1:34">
      <c r="A1120" s="1" t="s">
        <v>268</v>
      </c>
      <c r="B1120" s="1"/>
      <c r="C1120" s="12">
        <v>282712</v>
      </c>
      <c r="D1120" s="190">
        <v>4.6892336901312657</v>
      </c>
      <c r="E1120" s="2" t="s">
        <v>178</v>
      </c>
      <c r="F1120" s="277">
        <f>ROUND(D1120*C1120/100,0)</f>
        <v>13257</v>
      </c>
      <c r="G1120" s="745">
        <v>5.0119999999999996</v>
      </c>
      <c r="H1120" s="2" t="s">
        <v>178</v>
      </c>
      <c r="I1120" s="277">
        <f>ROUND(G1120*C1120/100,0)</f>
        <v>14170</v>
      </c>
      <c r="J1120" s="162">
        <f ca="1">ROUND(G1120+($O$1115/$C$1121)*100,3)</f>
        <v>5.0049999999999999</v>
      </c>
      <c r="K1120" s="2" t="s">
        <v>178</v>
      </c>
      <c r="L1120" s="277">
        <f ca="1">ROUND(J1120*C1120/100,0)</f>
        <v>14150</v>
      </c>
      <c r="M1120" s="11"/>
      <c r="N1120" s="11"/>
      <c r="O1120" s="288"/>
      <c r="P1120" s="513"/>
      <c r="Q1120" s="288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</row>
    <row r="1121" spans="1:34">
      <c r="A1121" s="1" t="s">
        <v>185</v>
      </c>
      <c r="B1121" s="1"/>
      <c r="C1121" s="182">
        <f>SUM(C1120)</f>
        <v>282712</v>
      </c>
      <c r="D1121" s="12"/>
      <c r="E1121" s="2"/>
      <c r="F1121" s="277">
        <f>SUM(F1117:F1120)</f>
        <v>16546</v>
      </c>
      <c r="G1121" s="28"/>
      <c r="H1121" s="2"/>
      <c r="I1121" s="277">
        <f>SUM(I1117:I1120)</f>
        <v>17459</v>
      </c>
      <c r="J1121" s="12"/>
      <c r="K1121" s="2"/>
      <c r="L1121" s="277">
        <f ca="1">SUM(L1117:L1120)</f>
        <v>17439</v>
      </c>
      <c r="M1121" s="11"/>
      <c r="N1121" s="11"/>
      <c r="O1121" s="38"/>
      <c r="P1121" s="38"/>
      <c r="Q1121" s="38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</row>
    <row r="1122" spans="1:34">
      <c r="A1122" s="1" t="s">
        <v>167</v>
      </c>
      <c r="B1122" s="1"/>
      <c r="C1122" s="212">
        <v>2569.407589389054</v>
      </c>
      <c r="D1122" s="523"/>
      <c r="E1122" s="523"/>
      <c r="F1122" s="291">
        <v>344.89560655615463</v>
      </c>
      <c r="G1122" s="755"/>
      <c r="H1122" s="523"/>
      <c r="I1122" s="291">
        <f>F1122</f>
        <v>344.89560655615463</v>
      </c>
      <c r="J1122" s="523"/>
      <c r="K1122" s="523"/>
      <c r="L1122" s="291">
        <f>I1122</f>
        <v>344.89560655615463</v>
      </c>
      <c r="M1122" s="307"/>
      <c r="N1122" s="307"/>
      <c r="O1122" s="150"/>
      <c r="P1122" s="38"/>
      <c r="Q1122" s="38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</row>
    <row r="1123" spans="1:34" ht="16.5" thickBot="1">
      <c r="A1123" s="1" t="s">
        <v>186</v>
      </c>
      <c r="B1123" s="1"/>
      <c r="C1123" s="229">
        <f>C1121+C1122</f>
        <v>285281.40758938907</v>
      </c>
      <c r="D1123" s="208"/>
      <c r="E1123" s="208"/>
      <c r="F1123" s="175">
        <f>F1121+F1122</f>
        <v>16890.895606556154</v>
      </c>
      <c r="G1123" s="756"/>
      <c r="H1123" s="208"/>
      <c r="I1123" s="175">
        <f>I1121+I1122</f>
        <v>17803.895606556154</v>
      </c>
      <c r="J1123" s="208"/>
      <c r="K1123" s="208"/>
      <c r="L1123" s="175">
        <f ca="1">L1121+L1122</f>
        <v>17783.895606556154</v>
      </c>
      <c r="M1123" s="11"/>
      <c r="N1123" s="274"/>
      <c r="O1123" s="279"/>
      <c r="P1123" s="500"/>
      <c r="Q1123" s="38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</row>
    <row r="1124" spans="1:34" ht="16.5" thickTop="1">
      <c r="A1124" s="1"/>
      <c r="B1124" s="176"/>
      <c r="C1124" s="1"/>
      <c r="D1124" s="1" t="s">
        <v>13</v>
      </c>
      <c r="E1124" s="1"/>
      <c r="F1124" s="1"/>
      <c r="G1124" s="284" t="s">
        <v>13</v>
      </c>
      <c r="H1124" s="1"/>
      <c r="I1124" s="2" t="s">
        <v>13</v>
      </c>
      <c r="J1124" s="1" t="s">
        <v>13</v>
      </c>
      <c r="K1124" s="1"/>
      <c r="L1124" s="2" t="s">
        <v>13</v>
      </c>
      <c r="M1124" s="11"/>
      <c r="N1124" s="141"/>
      <c r="O1124" s="279"/>
      <c r="P1124" s="11"/>
      <c r="Q1124" s="5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</row>
    <row r="1125" spans="1:34">
      <c r="A1125" s="166"/>
      <c r="B1125" s="176"/>
      <c r="C1125" s="308"/>
      <c r="D1125" s="309"/>
      <c r="E1125" s="166"/>
      <c r="F1125" s="2"/>
      <c r="G1125" s="216"/>
      <c r="H1125" s="166"/>
      <c r="I1125" s="2"/>
      <c r="J1125" s="309"/>
      <c r="K1125" s="166"/>
      <c r="L1125" s="2"/>
      <c r="M1125" s="11"/>
      <c r="N1125" s="11"/>
      <c r="O1125" s="38"/>
      <c r="P1125" s="38"/>
      <c r="Q1125" s="38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</row>
    <row r="1126" spans="1:34" s="4" customFormat="1" ht="19.899999999999999" customHeight="1" thickBot="1">
      <c r="A1126" s="310" t="s">
        <v>319</v>
      </c>
      <c r="B1126" s="311"/>
      <c r="C1126" s="312">
        <f>C21+C77+C201+C541+C577+C703+C830+C849+C1071+C1082+C1123</f>
        <v>4081606818.5945606</v>
      </c>
      <c r="D1126" s="313"/>
      <c r="E1126" s="314"/>
      <c r="F1126" s="314">
        <f>F21+F77+F201+F541+F577+F703+F830+F849+F1071+F1082+F1123</f>
        <v>351179863.09100753</v>
      </c>
      <c r="G1126" s="757"/>
      <c r="H1126" s="314"/>
      <c r="I1126" s="314">
        <f>I21+I77+I201+I541+I577+I703+I830+I888+I947+I1045+I1071+I1082+I1123</f>
        <v>364311259.28070533</v>
      </c>
      <c r="J1126" s="313"/>
      <c r="K1126" s="314"/>
      <c r="L1126" s="314">
        <f ca="1">L21+L77+L201+L541+L577+L703+L830+L888+L947+L1045+L1071+L1082+L1123</f>
        <v>363700222.20547462</v>
      </c>
      <c r="M1126" s="6"/>
      <c r="N1126" s="6"/>
      <c r="O1126" s="321"/>
      <c r="P1126" s="38"/>
      <c r="Q1126" s="38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/>
    </row>
    <row r="1127" spans="1:34" ht="16.5" thickTop="1">
      <c r="A1127" s="1"/>
      <c r="B1127" s="176"/>
      <c r="C1127" s="200"/>
      <c r="D1127" s="200" t="s">
        <v>13</v>
      </c>
      <c r="E1127" s="1"/>
      <c r="F1127" s="2"/>
      <c r="G1127" s="216" t="s">
        <v>13</v>
      </c>
      <c r="H1127" s="1"/>
      <c r="I1127" s="2" t="s">
        <v>13</v>
      </c>
      <c r="J1127" s="216" t="s">
        <v>13</v>
      </c>
      <c r="K1127" s="1"/>
      <c r="L1127" s="2" t="s">
        <v>13</v>
      </c>
      <c r="M1127" s="11"/>
      <c r="N1127" s="11"/>
      <c r="O1127" s="279"/>
      <c r="P1127" s="509"/>
      <c r="Q1127" s="509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</row>
    <row r="1128" spans="1:34">
      <c r="A1128" s="1" t="s">
        <v>14</v>
      </c>
      <c r="B1128" s="176"/>
      <c r="C1128" s="316"/>
      <c r="D1128" s="317"/>
      <c r="E1128" s="320"/>
      <c r="F1128" s="499">
        <v>727802.09999999986</v>
      </c>
      <c r="G1128" s="319"/>
      <c r="H1128" s="320"/>
      <c r="I1128" s="499">
        <f>F1128</f>
        <v>727802.09999999986</v>
      </c>
      <c r="J1128" s="319"/>
      <c r="K1128" s="320"/>
      <c r="L1128" s="499">
        <f>I1128</f>
        <v>727802.09999999986</v>
      </c>
      <c r="M1128" s="11"/>
      <c r="N1128" s="11"/>
      <c r="O1128" s="38"/>
      <c r="P1128" s="38"/>
      <c r="Q1128" s="38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</row>
    <row r="1129" spans="1:34" s="4" customFormat="1" ht="19.899999999999999" customHeight="1" thickBot="1">
      <c r="A1129" s="322" t="s">
        <v>320</v>
      </c>
      <c r="B1129" s="323"/>
      <c r="C1129" s="324">
        <f>C1126+C1128</f>
        <v>4081606818.5945606</v>
      </c>
      <c r="D1129" s="544"/>
      <c r="E1129" s="326"/>
      <c r="F1129" s="327">
        <f>F1126+F1128</f>
        <v>351907665.19100755</v>
      </c>
      <c r="G1129" s="758"/>
      <c r="H1129" s="326"/>
      <c r="I1129" s="327">
        <f>I1126+I1128</f>
        <v>365039061.38070536</v>
      </c>
      <c r="J1129" s="328"/>
      <c r="K1129" s="326"/>
      <c r="L1129" s="327">
        <f ca="1">L1126+L1128</f>
        <v>364428024.30547464</v>
      </c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</row>
    <row r="1130" spans="1:34" ht="16.5" thickTop="1">
      <c r="A1130" s="1"/>
      <c r="B1130" s="176"/>
      <c r="C1130" s="12"/>
      <c r="D1130" s="200"/>
      <c r="E1130" s="329"/>
      <c r="F1130" s="2" t="s">
        <v>13</v>
      </c>
      <c r="G1130" s="200"/>
      <c r="H1130" s="1"/>
      <c r="I1130" s="29"/>
      <c r="J1130" s="29"/>
      <c r="K1130" s="696"/>
      <c r="L1130" s="200"/>
      <c r="M1130" s="11"/>
      <c r="N1130" s="6"/>
      <c r="O1130" s="17"/>
      <c r="P1130" s="38"/>
      <c r="Q1130" s="38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</row>
    <row r="1132" spans="1:34">
      <c r="I1132" s="22" t="s">
        <v>1452</v>
      </c>
      <c r="L1132" s="851">
        <f ca="1">L1129-I1129</f>
        <v>-611037.07523071766</v>
      </c>
    </row>
    <row r="1133" spans="1:34">
      <c r="A1133" s="22"/>
      <c r="C1133" s="127"/>
      <c r="I1133" s="22"/>
    </row>
    <row r="1134" spans="1:34">
      <c r="I1134" s="22"/>
      <c r="L1134" s="42"/>
    </row>
    <row r="1135" spans="1:34">
      <c r="I1135" s="22"/>
      <c r="L1135" s="42"/>
    </row>
  </sheetData>
  <mergeCells count="1">
    <mergeCell ref="D9:F9"/>
  </mergeCells>
  <printOptions horizontalCentered="1"/>
  <pageMargins left="0" right="0" top="0.25" bottom="0.05" header="0.5" footer="0.25"/>
  <pageSetup scale="55" fitToHeight="13" orientation="portrait" r:id="rId1"/>
  <headerFooter alignWithMargins="0"/>
  <rowBreaks count="5" manualBreakCount="5">
    <brk id="492" max="11" man="1"/>
    <brk id="648" max="11" man="1"/>
    <brk id="831" max="11" man="1"/>
    <brk id="1027" max="11" man="1"/>
    <brk id="1099" max="11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7"/>
  <sheetViews>
    <sheetView view="pageBreakPreview" zoomScale="60" zoomScaleNormal="100" workbookViewId="0"/>
  </sheetViews>
  <sheetFormatPr defaultColWidth="8.5" defaultRowHeight="15"/>
  <cols>
    <col min="1" max="1" width="4.625" style="343" customWidth="1"/>
    <col min="2" max="2" width="8.5" style="343"/>
    <col min="3" max="3" width="2.75" style="343" customWidth="1"/>
    <col min="4" max="4" width="8.875" style="343" bestFit="1" customWidth="1"/>
    <col min="5" max="5" width="2.625" style="343" customWidth="1"/>
    <col min="6" max="6" width="11.75" style="343" customWidth="1"/>
    <col min="7" max="7" width="2.625" style="343" customWidth="1"/>
    <col min="8" max="8" width="10.625" style="343" customWidth="1"/>
    <col min="9" max="9" width="2.875" style="343" customWidth="1"/>
    <col min="10" max="10" width="9.625" style="343" customWidth="1"/>
    <col min="11" max="11" width="4.875" style="343" customWidth="1"/>
    <col min="12" max="12" width="18.25" style="343" customWidth="1"/>
    <col min="13" max="13" width="15.25" style="343" customWidth="1"/>
    <col min="14" max="14" width="11.125" style="343" customWidth="1"/>
    <col min="15" max="15" width="8.25" style="343" customWidth="1"/>
    <col min="16" max="16" width="1.625" style="343" customWidth="1"/>
    <col min="17" max="16384" width="8.5" style="343"/>
  </cols>
  <sheetData>
    <row r="1" spans="1:20" ht="18.75">
      <c r="B1" s="347" t="s">
        <v>443</v>
      </c>
      <c r="C1" s="347"/>
      <c r="D1" s="347"/>
      <c r="E1" s="347"/>
      <c r="F1" s="347"/>
      <c r="G1" s="347"/>
      <c r="H1" s="347"/>
      <c r="I1" s="347"/>
      <c r="J1" s="347"/>
      <c r="K1" s="347"/>
    </row>
    <row r="2" spans="1:20" ht="18.75">
      <c r="A2" s="348"/>
      <c r="B2" s="347" t="s">
        <v>324</v>
      </c>
      <c r="C2" s="347"/>
      <c r="D2" s="347"/>
      <c r="E2" s="347"/>
      <c r="F2" s="347"/>
      <c r="G2" s="347"/>
      <c r="H2" s="347"/>
      <c r="I2" s="347"/>
      <c r="J2" s="347"/>
      <c r="K2" s="347"/>
    </row>
    <row r="3" spans="1:20" ht="18.75">
      <c r="A3" s="348"/>
      <c r="B3" s="347" t="s">
        <v>325</v>
      </c>
      <c r="C3" s="347"/>
      <c r="D3" s="347"/>
      <c r="E3" s="347"/>
      <c r="F3" s="347"/>
      <c r="G3" s="347"/>
      <c r="H3" s="347"/>
      <c r="I3" s="347"/>
      <c r="J3" s="347"/>
      <c r="K3" s="347"/>
    </row>
    <row r="4" spans="1:20" ht="18.75">
      <c r="B4" s="347" t="s">
        <v>13</v>
      </c>
      <c r="C4" s="347"/>
      <c r="D4" s="347"/>
      <c r="E4" s="347"/>
      <c r="F4" s="347"/>
      <c r="G4" s="347"/>
      <c r="H4" s="347"/>
      <c r="I4" s="347"/>
      <c r="J4" s="347"/>
      <c r="K4" s="347"/>
    </row>
    <row r="6" spans="1:20" ht="18.75" thickBot="1">
      <c r="D6" s="868" t="s">
        <v>527</v>
      </c>
      <c r="E6" s="868"/>
      <c r="F6" s="868"/>
      <c r="G6" s="868"/>
      <c r="H6" s="868"/>
      <c r="I6" s="868"/>
      <c r="J6" s="868"/>
      <c r="K6" s="538"/>
      <c r="L6" s="350"/>
    </row>
    <row r="7" spans="1:20">
      <c r="D7" s="538" t="s">
        <v>13</v>
      </c>
      <c r="E7" s="352"/>
      <c r="F7" s="539" t="s">
        <v>13</v>
      </c>
      <c r="H7" s="868" t="s">
        <v>493</v>
      </c>
      <c r="I7" s="868"/>
      <c r="J7" s="868"/>
      <c r="K7" s="538"/>
      <c r="L7" s="353" t="s">
        <v>328</v>
      </c>
      <c r="M7" s="354"/>
      <c r="N7" s="353" t="s">
        <v>329</v>
      </c>
      <c r="O7" s="354"/>
    </row>
    <row r="8" spans="1:20" ht="18">
      <c r="B8" s="537" t="s">
        <v>9</v>
      </c>
      <c r="D8" s="514" t="s">
        <v>85</v>
      </c>
      <c r="E8" s="357" t="s">
        <v>13</v>
      </c>
      <c r="F8" s="514" t="s">
        <v>120</v>
      </c>
      <c r="G8" s="357" t="s">
        <v>13</v>
      </c>
      <c r="H8" s="536" t="s">
        <v>20</v>
      </c>
      <c r="J8" s="631" t="s">
        <v>126</v>
      </c>
      <c r="K8" s="538"/>
      <c r="L8" s="359" t="s">
        <v>330</v>
      </c>
      <c r="M8" s="360">
        <f>'Exhibit No.__(RMM-3)'!D65</f>
        <v>7.75</v>
      </c>
      <c r="N8" s="359"/>
      <c r="O8" s="360">
        <f>'Exhibit No.__(RMM-3)'!J65</f>
        <v>7.75</v>
      </c>
      <c r="R8" s="672" t="s">
        <v>528</v>
      </c>
      <c r="S8" s="671"/>
      <c r="T8" s="539"/>
    </row>
    <row r="9" spans="1:20">
      <c r="B9" s="361"/>
      <c r="D9" s="361"/>
      <c r="E9" s="361"/>
      <c r="F9" s="361"/>
      <c r="L9" s="359" t="s">
        <v>331</v>
      </c>
      <c r="M9" s="362">
        <f>'Exhibit No.__(RMM-3)'!D66+O11+O19</f>
        <v>7.21</v>
      </c>
      <c r="N9" s="359"/>
      <c r="O9" s="362">
        <f ca="1">('Exhibit No.__(RMM-3)'!J66+'Exhibit No.__(RMM-3)'!J71)+O12+O20+O22</f>
        <v>7.4560000000000004</v>
      </c>
      <c r="P9" s="363"/>
      <c r="Q9" s="535">
        <f ca="1">(O9-M9)/M9</f>
        <v>3.4119278779473017E-2</v>
      </c>
      <c r="R9" s="454" t="s">
        <v>175</v>
      </c>
      <c r="S9" s="454" t="s">
        <v>120</v>
      </c>
      <c r="T9" s="454"/>
    </row>
    <row r="10" spans="1:20" ht="15.75" thickBot="1">
      <c r="B10" s="364">
        <v>50</v>
      </c>
      <c r="D10" s="365">
        <f>ROUND($M$8+(($B10*M$9/100))+((B10*$O$14)/100),2)+$O$16</f>
        <v>11.73</v>
      </c>
      <c r="F10" s="365">
        <f ca="1">ROUND($O$8+(($B10*O$9/100))+((B10*$O$15)/100),2)+$O$17</f>
        <v>11.85</v>
      </c>
      <c r="H10" s="366">
        <f ca="1">F10-D10</f>
        <v>0.11999999999999922</v>
      </c>
      <c r="J10" s="367">
        <f ca="1">H10/D10</f>
        <v>1.0230179028132926E-2</v>
      </c>
      <c r="K10" s="367"/>
      <c r="L10" s="368" t="s">
        <v>180</v>
      </c>
      <c r="M10" s="369">
        <f>'Exhibit No.__(RMM-3)'!D67+O11+O19</f>
        <v>10.132</v>
      </c>
      <c r="N10" s="368"/>
      <c r="O10" s="369">
        <f ca="1">('Exhibit No.__(RMM-3)'!J67+'Exhibit No.__(RMM-3)'!J72)+O12+O20+O22</f>
        <v>10.377999999999998</v>
      </c>
      <c r="Q10" s="535">
        <f ca="1">(O10-M10)/M10</f>
        <v>2.4279510461902749E-2</v>
      </c>
      <c r="R10" s="371">
        <f>D10/B10*100</f>
        <v>23.46</v>
      </c>
      <c r="S10" s="371">
        <f ca="1">F10/B10*100</f>
        <v>23.7</v>
      </c>
      <c r="T10" s="371"/>
    </row>
    <row r="11" spans="1:20">
      <c r="B11" s="364">
        <v>100</v>
      </c>
      <c r="D11" s="365">
        <f>ROUND($M$8+(($B11*M$9/100))+((B11*$O$14)/100),2)+$O$16</f>
        <v>14.97</v>
      </c>
      <c r="F11" s="365">
        <f ca="1">ROUND($O$8+(($B11*O$9/100))+((B11*$O$15)/100),2)+$O$17</f>
        <v>15.22</v>
      </c>
      <c r="H11" s="366">
        <f ca="1">F11-D11</f>
        <v>0.25</v>
      </c>
      <c r="J11" s="367">
        <f t="shared" ref="J11:J33" ca="1" si="0">H11/D11</f>
        <v>1.6700066800267199E-2</v>
      </c>
      <c r="K11" s="367"/>
      <c r="L11" s="370"/>
      <c r="M11" s="370" t="s">
        <v>88</v>
      </c>
      <c r="N11" s="370"/>
      <c r="O11" s="371">
        <v>0.29299999999999998</v>
      </c>
      <c r="R11" s="371">
        <f t="shared" ref="R11:R33" si="1">D11/B11*100</f>
        <v>14.97</v>
      </c>
      <c r="S11" s="371">
        <f t="shared" ref="S11:S33" ca="1" si="2">F11/B11*100</f>
        <v>15.22</v>
      </c>
      <c r="T11" s="371"/>
    </row>
    <row r="12" spans="1:20">
      <c r="B12" s="364">
        <v>150</v>
      </c>
      <c r="D12" s="365">
        <f>ROUND($M$8+(($B12*M$9/100))+((B12*$O$14)/100),2)+$O$16</f>
        <v>18.209999999999997</v>
      </c>
      <c r="F12" s="365">
        <f ca="1">ROUND($O$8+(($B12*O$9/100))+((B12*$O$15)/100),2)+$O$17</f>
        <v>18.579999999999998</v>
      </c>
      <c r="H12" s="366">
        <f ca="1">F12-D12</f>
        <v>0.37000000000000099</v>
      </c>
      <c r="J12" s="367">
        <f t="shared" ca="1" si="0"/>
        <v>2.0318506315211479E-2</v>
      </c>
      <c r="K12" s="367"/>
      <c r="L12" s="370"/>
      <c r="M12" s="370"/>
      <c r="N12" s="370"/>
      <c r="O12" s="371">
        <v>0.29299999999999998</v>
      </c>
      <c r="P12" s="372"/>
      <c r="R12" s="371">
        <f t="shared" si="1"/>
        <v>12.139999999999999</v>
      </c>
      <c r="S12" s="371">
        <f t="shared" ca="1" si="2"/>
        <v>12.386666666666665</v>
      </c>
      <c r="T12" s="371"/>
    </row>
    <row r="13" spans="1:20">
      <c r="D13" s="373"/>
      <c r="F13" s="373"/>
      <c r="L13" s="370"/>
      <c r="M13" s="370"/>
      <c r="N13" s="370"/>
      <c r="O13" s="374"/>
      <c r="R13" s="670"/>
      <c r="S13" s="670"/>
      <c r="T13" s="371"/>
    </row>
    <row r="14" spans="1:20">
      <c r="B14" s="364">
        <v>200</v>
      </c>
      <c r="D14" s="365">
        <f>ROUND($M$8+(($B14*M$9/100))+((B14*$O$14)/100),2)+$O$16</f>
        <v>21.45</v>
      </c>
      <c r="F14" s="365">
        <f ca="1">ROUND($O$8+(($B14*O$9/100))+((B14*$O$15)/100),2)+$O$17</f>
        <v>21.95</v>
      </c>
      <c r="H14" s="366">
        <f ca="1">F14-D14</f>
        <v>0.5</v>
      </c>
      <c r="J14" s="367">
        <f t="shared" ca="1" si="0"/>
        <v>2.3310023310023312E-2</v>
      </c>
      <c r="K14" s="367"/>
      <c r="L14" s="370"/>
      <c r="M14" s="370" t="s">
        <v>332</v>
      </c>
      <c r="N14" s="370"/>
      <c r="O14" s="371">
        <v>-0.72799999999999998</v>
      </c>
      <c r="Q14" s="343" t="s">
        <v>13</v>
      </c>
      <c r="R14" s="371">
        <f t="shared" si="1"/>
        <v>10.725</v>
      </c>
      <c r="S14" s="371">
        <f t="shared" ca="1" si="2"/>
        <v>10.975</v>
      </c>
      <c r="T14" s="371"/>
    </row>
    <row r="15" spans="1:20">
      <c r="B15" s="364">
        <v>300</v>
      </c>
      <c r="D15" s="365">
        <f>ROUND($M$8+(($B15*M$9/100))+((B15*$O$14)/100),2)+$O$16</f>
        <v>27.939999999999998</v>
      </c>
      <c r="F15" s="365">
        <f ca="1">ROUND($O$8+(($B15*O$9/100))+((B15*$O$15)/100),2)+$O$17</f>
        <v>28.669999999999998</v>
      </c>
      <c r="H15" s="366">
        <f ca="1">F15-D15</f>
        <v>0.73000000000000043</v>
      </c>
      <c r="J15" s="367">
        <f t="shared" ca="1" si="0"/>
        <v>2.6127415891195434E-2</v>
      </c>
      <c r="K15" s="367"/>
      <c r="L15" s="370"/>
      <c r="M15" s="343" t="s">
        <v>13</v>
      </c>
      <c r="N15" s="343" t="s">
        <v>13</v>
      </c>
      <c r="O15" s="371">
        <f>O14</f>
        <v>-0.72799999999999998</v>
      </c>
      <c r="R15" s="371">
        <f t="shared" si="1"/>
        <v>9.3133333333333326</v>
      </c>
      <c r="S15" s="371">
        <f t="shared" ca="1" si="2"/>
        <v>9.5566666666666666</v>
      </c>
      <c r="T15" s="371"/>
    </row>
    <row r="16" spans="1:20">
      <c r="B16" s="364">
        <v>400</v>
      </c>
      <c r="D16" s="365">
        <f>ROUND($M$8+(($B16*M$9/100))+((B16*$O$14)/100),2)+$O$16</f>
        <v>34.42</v>
      </c>
      <c r="F16" s="365">
        <f ca="1">ROUND($O$8+(($B16*O$9/100))+((B16*$O$15)/100),2)+$O$17</f>
        <v>35.4</v>
      </c>
      <c r="H16" s="366">
        <f ca="1">F16-D16</f>
        <v>0.97999999999999687</v>
      </c>
      <c r="J16" s="367">
        <f t="shared" ca="1" si="0"/>
        <v>2.8471818710052204E-2</v>
      </c>
      <c r="K16" s="367"/>
      <c r="M16" s="343" t="s">
        <v>417</v>
      </c>
      <c r="O16" s="366">
        <v>0.74</v>
      </c>
      <c r="P16" s="343" t="s">
        <v>13</v>
      </c>
      <c r="R16" s="371">
        <f t="shared" si="1"/>
        <v>8.6050000000000004</v>
      </c>
      <c r="S16" s="371">
        <f t="shared" ca="1" si="2"/>
        <v>8.85</v>
      </c>
      <c r="T16" s="371"/>
    </row>
    <row r="17" spans="2:20">
      <c r="B17" s="364">
        <v>500</v>
      </c>
      <c r="D17" s="365">
        <f>ROUND($M$8+(($B17*M$9/100))+((B17*$O$14)/100),2)+$O$16</f>
        <v>40.9</v>
      </c>
      <c r="F17" s="365">
        <f ca="1">ROUND($O$8+(($B17*O$9/100))+((B17*$O$15)/100),2)+$O$17</f>
        <v>42.13</v>
      </c>
      <c r="H17" s="366">
        <f ca="1">F17-D17</f>
        <v>1.230000000000004</v>
      </c>
      <c r="J17" s="367">
        <f t="shared" ca="1" si="0"/>
        <v>3.0073349633251933E-2</v>
      </c>
      <c r="K17" s="367"/>
      <c r="M17" s="343" t="s">
        <v>418</v>
      </c>
      <c r="O17" s="366">
        <f>O16</f>
        <v>0.74</v>
      </c>
      <c r="R17" s="371">
        <f t="shared" si="1"/>
        <v>8.18</v>
      </c>
      <c r="S17" s="371">
        <f t="shared" ca="1" si="2"/>
        <v>8.4260000000000002</v>
      </c>
      <c r="T17" s="371"/>
    </row>
    <row r="18" spans="2:20">
      <c r="D18" s="373"/>
      <c r="F18" s="373"/>
      <c r="R18" s="670"/>
      <c r="S18" s="670"/>
      <c r="T18" s="371"/>
    </row>
    <row r="19" spans="2:20">
      <c r="B19" s="364">
        <v>600</v>
      </c>
      <c r="D19" s="365">
        <f>ROUND($M$8+(($B19*M$9/100))+((B19*$O$14)/100),2)+$O$16</f>
        <v>47.38</v>
      </c>
      <c r="F19" s="365">
        <f ca="1">ROUND($O$8+(($B19*O$9/100))+((B19*$O$15)/100),2)+$O$17</f>
        <v>48.86</v>
      </c>
      <c r="H19" s="366">
        <f ca="1">F19-D19</f>
        <v>1.4799999999999969</v>
      </c>
      <c r="J19" s="367">
        <f t="shared" ca="1" si="0"/>
        <v>3.1236808780075915E-2</v>
      </c>
      <c r="K19" s="367"/>
      <c r="M19" s="501" t="s">
        <v>534</v>
      </c>
      <c r="O19" s="427">
        <v>-0.35899999999999999</v>
      </c>
      <c r="R19" s="371">
        <f t="shared" si="1"/>
        <v>7.8966666666666674</v>
      </c>
      <c r="S19" s="371">
        <f t="shared" ca="1" si="2"/>
        <v>8.1433333333333326</v>
      </c>
      <c r="T19" s="371"/>
    </row>
    <row r="20" spans="2:20">
      <c r="B20" s="364">
        <v>700</v>
      </c>
      <c r="D20" s="365">
        <f>ROUND($M$8+(((600*M$9/100)+(($B20-600)*M$10/100)))+((B20*$O$14)/100),2)+$O$16</f>
        <v>56.79</v>
      </c>
      <c r="F20" s="365">
        <f ca="1">ROUND($O$8+(((600*O$9/100)+(($B20-600)*O$10/100)))+((B20*$O$15)/100),2)+$O$17</f>
        <v>58.510000000000005</v>
      </c>
      <c r="H20" s="366">
        <f ca="1">F20-D20</f>
        <v>1.720000000000006</v>
      </c>
      <c r="J20" s="367">
        <f t="shared" ca="1" si="0"/>
        <v>3.0287022363092199E-2</v>
      </c>
      <c r="K20" s="367"/>
      <c r="M20" s="501" t="s">
        <v>533</v>
      </c>
      <c r="O20" s="427">
        <v>-0.35899999999999999</v>
      </c>
      <c r="R20" s="371">
        <f t="shared" si="1"/>
        <v>8.112857142857143</v>
      </c>
      <c r="S20" s="371">
        <f t="shared" ca="1" si="2"/>
        <v>8.3585714285714285</v>
      </c>
      <c r="T20" s="371"/>
    </row>
    <row r="21" spans="2:20">
      <c r="B21" s="364">
        <v>800</v>
      </c>
      <c r="D21" s="365">
        <f>ROUND($M$8+(((600*M$9/100)+(($B21-600)*M$10/100)))+((B21*$O$14)/100),2)+$O$16</f>
        <v>66.19</v>
      </c>
      <c r="F21" s="365">
        <f ca="1">ROUND($O$8+(((600*O$9/100)+(($B21-600)*O$10/100)))+((B21*$O$15)/100),2)+$O$17</f>
        <v>68.16</v>
      </c>
      <c r="H21" s="366">
        <f ca="1">F21-D21</f>
        <v>1.9699999999999989</v>
      </c>
      <c r="J21" s="367">
        <f t="shared" ca="1" si="0"/>
        <v>2.9762804048949976E-2</v>
      </c>
      <c r="K21" s="367"/>
      <c r="M21" s="501"/>
      <c r="O21" s="690"/>
      <c r="R21" s="371">
        <f t="shared" si="1"/>
        <v>8.2737499999999997</v>
      </c>
      <c r="S21" s="371">
        <f t="shared" ca="1" si="2"/>
        <v>8.52</v>
      </c>
      <c r="T21" s="371"/>
    </row>
    <row r="22" spans="2:20">
      <c r="B22" s="364">
        <v>900</v>
      </c>
      <c r="D22" s="365">
        <f>ROUND($M$8+(((600*M$9/100)+(($B22-600)*M$10/100)))+((B22*$O$14)/100),2)+$O$16</f>
        <v>75.589999999999989</v>
      </c>
      <c r="F22" s="365">
        <f ca="1">ROUND($O$8+(((600*O$9/100)+(($B22-600)*O$10/100)))+((B22*$O$15)/100),2)+$O$17</f>
        <v>77.809999999999988</v>
      </c>
      <c r="H22" s="366">
        <f ca="1">F22-D22</f>
        <v>2.2199999999999989</v>
      </c>
      <c r="J22" s="367">
        <f t="shared" ca="1" si="0"/>
        <v>2.9368964148696906E-2</v>
      </c>
      <c r="K22" s="367"/>
      <c r="M22" s="620" t="s">
        <v>1472</v>
      </c>
      <c r="O22" s="343">
        <f ca="1">'Exhibit No.__(RMM-2)pg1'!S16</f>
        <v>-0.06</v>
      </c>
      <c r="R22" s="371">
        <f t="shared" si="1"/>
        <v>8.3988888888888873</v>
      </c>
      <c r="S22" s="371">
        <f t="shared" ca="1" si="2"/>
        <v>8.6455555555555534</v>
      </c>
      <c r="T22" s="371"/>
    </row>
    <row r="23" spans="2:20">
      <c r="B23" s="364">
        <v>1000</v>
      </c>
      <c r="D23" s="365">
        <f>ROUND($M$8+(((600*M$9/100)+(($B23-600)*M$10/100)))+((B23*$O$14)/100),2)+$O$16</f>
        <v>85</v>
      </c>
      <c r="F23" s="365">
        <f ca="1">ROUND($O$8+(((600*O$9/100)+(($B23-600)*O$10/100)))+((B23*$O$15)/100),2)+$O$17</f>
        <v>87.46</v>
      </c>
      <c r="H23" s="366">
        <f ca="1">F23-D23</f>
        <v>2.4599999999999937</v>
      </c>
      <c r="J23" s="367">
        <f t="shared" ca="1" si="0"/>
        <v>2.8941176470588161E-2</v>
      </c>
      <c r="K23" s="367"/>
      <c r="R23" s="371">
        <f t="shared" si="1"/>
        <v>8.5</v>
      </c>
      <c r="S23" s="371">
        <f t="shared" ca="1" si="2"/>
        <v>8.7460000000000004</v>
      </c>
      <c r="T23" s="371"/>
    </row>
    <row r="24" spans="2:20">
      <c r="D24" s="373"/>
      <c r="F24" s="373"/>
      <c r="J24" s="375"/>
      <c r="K24" s="375"/>
      <c r="R24" s="670"/>
      <c r="S24" s="670"/>
      <c r="T24" s="371"/>
    </row>
    <row r="25" spans="2:20">
      <c r="B25" s="364">
        <v>1100</v>
      </c>
      <c r="D25" s="365">
        <f>ROUND($M$8+(((600*M$9/100)+(($B25-600)*M$10/100)))+((B25*$O$14)/100),2)+$O$16</f>
        <v>94.399999999999991</v>
      </c>
      <c r="F25" s="365">
        <f ca="1">ROUND($O$8+(((600*O$9/100)+(($B25-600)*O$10/100)))+((B25*$O$15)/100),2)+$O$17</f>
        <v>97.11</v>
      </c>
      <c r="H25" s="366">
        <f ca="1">F25-D25</f>
        <v>2.710000000000008</v>
      </c>
      <c r="J25" s="367">
        <f t="shared" ca="1" si="0"/>
        <v>2.8707627118644153E-2</v>
      </c>
      <c r="K25" s="367"/>
      <c r="L25" s="687" t="s">
        <v>491</v>
      </c>
      <c r="M25" s="630">
        <f ca="1">'Exhibit No.__(RMM-2)pg2'!X18</f>
        <v>2.564283993067893E-2</v>
      </c>
      <c r="R25" s="371">
        <f t="shared" si="1"/>
        <v>8.5818181818181802</v>
      </c>
      <c r="S25" s="371">
        <f t="shared" ca="1" si="2"/>
        <v>8.8281818181818181</v>
      </c>
      <c r="T25" s="371"/>
    </row>
    <row r="26" spans="2:20">
      <c r="B26" s="364">
        <v>1200</v>
      </c>
      <c r="C26" s="501" t="s">
        <v>440</v>
      </c>
      <c r="D26" s="365">
        <f>ROUND($M$8+(((600*M$9/100)+(($B26-600)*M$10/100)))+((B26*$O$14)/100),2)+$O$16</f>
        <v>103.80999999999999</v>
      </c>
      <c r="F26" s="365">
        <f ca="1">ROUND($O$8+(((600*O$9/100)+(($B26-600)*O$10/100)))+((B26*$O$15)/100),2)+$O$17</f>
        <v>106.75999999999999</v>
      </c>
      <c r="H26" s="366">
        <f ca="1">F26-D26</f>
        <v>2.9500000000000028</v>
      </c>
      <c r="J26" s="367">
        <f t="shared" ca="1" si="0"/>
        <v>2.8417300838069582E-2</v>
      </c>
      <c r="K26" s="367"/>
      <c r="R26" s="371">
        <f t="shared" si="1"/>
        <v>8.6508333333333329</v>
      </c>
      <c r="S26" s="371">
        <f t="shared" ca="1" si="2"/>
        <v>8.8966666666666647</v>
      </c>
      <c r="T26" s="371"/>
    </row>
    <row r="27" spans="2:20">
      <c r="B27" s="364">
        <v>1300</v>
      </c>
      <c r="C27" s="501" t="s">
        <v>13</v>
      </c>
      <c r="D27" s="365">
        <f>ROUND($M$8+(((600*M$9/100)+(($B27-600)*M$10/100)))+((B27*$O$14)/100),2)+$O$16</f>
        <v>113.21</v>
      </c>
      <c r="F27" s="365">
        <f ca="1">ROUND($O$8+(((600*O$9/100)+(($B27-600)*O$10/100)))+((B27*$O$15)/100),2)+$O$17</f>
        <v>116.41</v>
      </c>
      <c r="H27" s="366">
        <f ca="1">F27-D27</f>
        <v>3.2000000000000028</v>
      </c>
      <c r="J27" s="367">
        <f t="shared" ca="1" si="0"/>
        <v>2.826605423549159E-2</v>
      </c>
      <c r="K27" s="367"/>
      <c r="L27" s="366"/>
      <c r="R27" s="371">
        <f t="shared" si="1"/>
        <v>8.7084615384615383</v>
      </c>
      <c r="S27" s="371">
        <f t="shared" ca="1" si="2"/>
        <v>8.9546153846153853</v>
      </c>
      <c r="T27" s="371"/>
    </row>
    <row r="28" spans="2:20">
      <c r="B28" s="364">
        <v>1400</v>
      </c>
      <c r="D28" s="365">
        <f>ROUND($M$8+(((600*M$9/100)+(($B28-600)*M$10/100)))+((B28*$O$14)/100),2)+$O$16</f>
        <v>122.61</v>
      </c>
      <c r="F28" s="365">
        <f ca="1">ROUND($O$8+(((600*O$9/100)+(($B28-600)*O$10/100)))+((B28*$O$15)/100),2)+$O$17</f>
        <v>126.05999999999999</v>
      </c>
      <c r="H28" s="366">
        <f ca="1">F28-D28</f>
        <v>3.4499999999999886</v>
      </c>
      <c r="J28" s="367">
        <f t="shared" ca="1" si="0"/>
        <v>2.8137998531930417E-2</v>
      </c>
      <c r="K28" s="367"/>
      <c r="R28" s="371">
        <f t="shared" si="1"/>
        <v>8.7578571428571426</v>
      </c>
      <c r="S28" s="371">
        <f t="shared" ca="1" si="2"/>
        <v>9.0042857142857127</v>
      </c>
      <c r="T28" s="371"/>
    </row>
    <row r="29" spans="2:20">
      <c r="B29" s="364">
        <v>1500</v>
      </c>
      <c r="D29" s="365">
        <f>ROUND($M$8+(((600*M$9/100)+(($B29-600)*M$10/100)))+((B29*$O$14)/100),2)+$O$16</f>
        <v>132.02000000000001</v>
      </c>
      <c r="F29" s="365">
        <f ca="1">ROUND($O$8+(((600*O$9/100)+(($B29-600)*O$10/100)))+((B29*$O$15)/100),2)+$O$17</f>
        <v>135.71</v>
      </c>
      <c r="H29" s="366">
        <f ca="1">F29-D29</f>
        <v>3.6899999999999977</v>
      </c>
      <c r="J29" s="367">
        <f t="shared" ca="1" si="0"/>
        <v>2.7950310559006191E-2</v>
      </c>
      <c r="K29" s="367"/>
      <c r="R29" s="371">
        <f t="shared" si="1"/>
        <v>8.8013333333333339</v>
      </c>
      <c r="S29" s="371">
        <f t="shared" ca="1" si="2"/>
        <v>9.0473333333333343</v>
      </c>
      <c r="T29" s="371"/>
    </row>
    <row r="30" spans="2:20">
      <c r="D30" s="373"/>
      <c r="F30" s="373"/>
      <c r="R30" s="670"/>
      <c r="S30" s="670"/>
      <c r="T30" s="371"/>
    </row>
    <row r="31" spans="2:20">
      <c r="B31" s="364">
        <v>1600</v>
      </c>
      <c r="D31" s="365">
        <f>ROUND($M$8+(((600*M$9/100)+(($B31-600)*M$10/100)))+((B31*$O$14)/100),2)+$O$16</f>
        <v>141.42000000000002</v>
      </c>
      <c r="F31" s="365">
        <f ca="1">ROUND($O$8+(((600*O$9/100)+(($B31-600)*O$10/100)))+((B31*$O$15)/100),2)+$O$17</f>
        <v>145.36000000000001</v>
      </c>
      <c r="H31" s="366">
        <f ca="1">F31-D31</f>
        <v>3.9399999999999977</v>
      </c>
      <c r="J31" s="367">
        <f t="shared" ca="1" si="0"/>
        <v>2.7860274360062207E-2</v>
      </c>
      <c r="K31" s="367"/>
      <c r="R31" s="371">
        <f t="shared" si="1"/>
        <v>8.838750000000001</v>
      </c>
      <c r="S31" s="371">
        <f t="shared" ca="1" si="2"/>
        <v>9.0850000000000009</v>
      </c>
      <c r="T31" s="371"/>
    </row>
    <row r="32" spans="2:20">
      <c r="B32" s="364">
        <v>2000</v>
      </c>
      <c r="D32" s="365">
        <f>ROUND($M$8+(((600*M$9/100)+(($B32-600)*M$10/100)))+((B32*$O$14)/100),2)+$O$16</f>
        <v>179.04000000000002</v>
      </c>
      <c r="F32" s="365">
        <f ca="1">ROUND($O$8+(((600*O$9/100)+(($B32-600)*O$10/100)))+((B32*$O$15)/100),2)+$O$17</f>
        <v>183.96</v>
      </c>
      <c r="H32" s="366">
        <f ca="1">F32-D32</f>
        <v>4.9199999999999875</v>
      </c>
      <c r="J32" s="367">
        <f t="shared" ca="1" si="0"/>
        <v>2.747989276139403E-2</v>
      </c>
      <c r="K32" s="367"/>
      <c r="R32" s="371">
        <f t="shared" si="1"/>
        <v>8.9520000000000017</v>
      </c>
      <c r="S32" s="371">
        <f t="shared" ca="1" si="2"/>
        <v>9.1980000000000004</v>
      </c>
      <c r="T32" s="371"/>
    </row>
    <row r="33" spans="2:26">
      <c r="B33" s="364">
        <v>2600</v>
      </c>
      <c r="D33" s="365">
        <f>ROUND($M$8+(((600*M$9/100)+(($B33-600)*M$10/100)))+((B33*$O$14)/100),2)+$O$16</f>
        <v>235.46</v>
      </c>
      <c r="F33" s="365">
        <f ca="1">ROUND($O$8+(((600*O$9/100)+(($B33-600)*O$10/100)))+((B33*$O$15)/100),2)+$O$17</f>
        <v>241.86</v>
      </c>
      <c r="H33" s="366">
        <f ca="1">F33-D33</f>
        <v>6.4000000000000057</v>
      </c>
      <c r="J33" s="367">
        <f t="shared" ca="1" si="0"/>
        <v>2.7180837509555786E-2</v>
      </c>
      <c r="K33" s="367"/>
      <c r="R33" s="371">
        <f t="shared" si="1"/>
        <v>9.0561538461538476</v>
      </c>
      <c r="S33" s="371">
        <f t="shared" ca="1" si="2"/>
        <v>9.3023076923076928</v>
      </c>
      <c r="T33" s="371"/>
    </row>
    <row r="34" spans="2:26">
      <c r="B34" s="376"/>
      <c r="C34" s="358"/>
      <c r="D34" s="377"/>
      <c r="E34" s="358"/>
      <c r="F34" s="377"/>
      <c r="G34" s="358"/>
      <c r="H34" s="358"/>
      <c r="I34" s="358"/>
      <c r="J34" s="378"/>
      <c r="K34" s="378"/>
      <c r="S34" s="366"/>
    </row>
    <row r="35" spans="2:26">
      <c r="B35" s="379"/>
      <c r="N35" s="501" t="s">
        <v>13</v>
      </c>
    </row>
    <row r="36" spans="2:26">
      <c r="B36" s="343" t="s">
        <v>333</v>
      </c>
      <c r="Z36" s="501" t="s">
        <v>13</v>
      </c>
    </row>
    <row r="37" spans="2:26">
      <c r="B37" s="501" t="s">
        <v>441</v>
      </c>
    </row>
    <row r="38" spans="2:26" ht="16.5">
      <c r="B38" s="380" t="s">
        <v>1473</v>
      </c>
    </row>
    <row r="39" spans="2:26">
      <c r="B39" s="380" t="s">
        <v>13</v>
      </c>
    </row>
    <row r="47" spans="2:26">
      <c r="O47" s="381"/>
    </row>
  </sheetData>
  <mergeCells count="2">
    <mergeCell ref="H7:J7"/>
    <mergeCell ref="D6:J6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pageSetUpPr fitToPage="1"/>
  </sheetPr>
  <dimension ref="A1:AA47"/>
  <sheetViews>
    <sheetView view="pageBreakPreview" zoomScale="60" zoomScaleNormal="100" workbookViewId="0"/>
  </sheetViews>
  <sheetFormatPr defaultColWidth="8.5" defaultRowHeight="15"/>
  <cols>
    <col min="1" max="1" width="1.5" style="343" customWidth="1"/>
    <col min="2" max="2" width="9.75" style="343" customWidth="1"/>
    <col min="3" max="3" width="2.875" style="343" customWidth="1"/>
    <col min="4" max="4" width="0.625" style="343" customWidth="1"/>
    <col min="5" max="5" width="8.875" style="343" bestFit="1" customWidth="1"/>
    <col min="6" max="6" width="0.875" style="343" customWidth="1"/>
    <col min="7" max="7" width="11" style="343" bestFit="1" customWidth="1"/>
    <col min="8" max="8" width="1.75" style="343" customWidth="1"/>
    <col min="9" max="9" width="11" style="343" bestFit="1" customWidth="1"/>
    <col min="10" max="10" width="2.375" style="343" customWidth="1"/>
    <col min="11" max="11" width="11" style="343" bestFit="1" customWidth="1"/>
    <col min="12" max="12" width="2" style="343" customWidth="1"/>
    <col min="13" max="13" width="11" style="343" bestFit="1" customWidth="1"/>
    <col min="14" max="14" width="2.875" style="343" customWidth="1"/>
    <col min="15" max="15" width="11" style="501" bestFit="1" customWidth="1"/>
    <col min="16" max="16" width="2" style="501" customWidth="1"/>
    <col min="17" max="17" width="11" style="501" bestFit="1" customWidth="1"/>
    <col min="18" max="19" width="2.75" style="343" customWidth="1"/>
    <col min="20" max="20" width="12.5" style="343" customWidth="1"/>
    <col min="21" max="21" width="13.5" style="343" customWidth="1"/>
    <col min="22" max="22" width="10.875" style="343" customWidth="1"/>
    <col min="23" max="23" width="16.25" style="343" customWidth="1"/>
    <col min="24" max="24" width="12.75" style="343" bestFit="1" customWidth="1"/>
    <col min="25" max="25" width="8.5" style="343" customWidth="1"/>
    <col min="26" max="26" width="2.625" style="383" customWidth="1"/>
    <col min="27" max="16384" width="8.5" style="343"/>
  </cols>
  <sheetData>
    <row r="1" spans="1:27">
      <c r="A1" s="382"/>
      <c r="B1" s="382"/>
    </row>
    <row r="2" spans="1:27">
      <c r="A2" s="382"/>
      <c r="B2" s="382"/>
      <c r="C2" s="384"/>
      <c r="D2" s="384"/>
      <c r="E2" s="384"/>
      <c r="F2" s="384"/>
      <c r="G2" s="384"/>
      <c r="H2" s="384"/>
      <c r="I2" s="384"/>
      <c r="J2" s="384"/>
      <c r="K2" s="384"/>
      <c r="L2" s="384"/>
    </row>
    <row r="3" spans="1:27" ht="18.75">
      <c r="A3" s="382"/>
      <c r="B3" s="344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45"/>
      <c r="N3" s="345"/>
      <c r="O3" s="345"/>
      <c r="P3" s="346" t="s">
        <v>13</v>
      </c>
      <c r="Q3" s="386"/>
      <c r="S3" s="386"/>
    </row>
    <row r="4" spans="1:27" ht="20.25">
      <c r="B4" s="387" t="s">
        <v>443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</row>
    <row r="5" spans="1:27" ht="20.25">
      <c r="B5" s="387" t="s">
        <v>324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</row>
    <row r="6" spans="1:27" ht="20.25">
      <c r="B6" s="387" t="s">
        <v>334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</row>
    <row r="7" spans="1:27" ht="20.25">
      <c r="B7" s="388" t="s">
        <v>13</v>
      </c>
      <c r="C7" s="388"/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</row>
    <row r="8" spans="1:27" ht="18.75">
      <c r="B8" s="389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693"/>
      <c r="P8" s="693"/>
      <c r="Q8" s="694"/>
      <c r="S8" s="391"/>
    </row>
    <row r="9" spans="1:27">
      <c r="A9" s="384"/>
      <c r="B9" s="382"/>
    </row>
    <row r="10" spans="1:27" ht="15.75">
      <c r="A10" s="384"/>
      <c r="B10" s="392" t="s">
        <v>335</v>
      </c>
      <c r="C10" s="393"/>
      <c r="D10" s="393"/>
      <c r="E10" s="393"/>
      <c r="F10" s="393"/>
      <c r="G10" s="394" t="s">
        <v>336</v>
      </c>
      <c r="H10" s="394"/>
      <c r="I10" s="394"/>
      <c r="J10" s="394"/>
      <c r="K10" s="394"/>
      <c r="L10" s="394"/>
      <c r="M10" s="394"/>
      <c r="N10" s="393"/>
      <c r="O10" s="395" t="s">
        <v>327</v>
      </c>
      <c r="P10" s="395"/>
      <c r="Q10" s="395"/>
      <c r="R10" s="396"/>
      <c r="S10" s="395"/>
    </row>
    <row r="11" spans="1:27" ht="16.5" thickBot="1">
      <c r="A11" s="384"/>
      <c r="B11" s="397" t="s">
        <v>337</v>
      </c>
      <c r="C11" s="395"/>
      <c r="D11" s="683" t="s">
        <v>338</v>
      </c>
      <c r="E11" s="393"/>
      <c r="F11" s="393"/>
      <c r="G11" s="398" t="s">
        <v>339</v>
      </c>
      <c r="H11" s="398"/>
      <c r="I11" s="398"/>
      <c r="J11" s="399"/>
      <c r="K11" s="398" t="s">
        <v>412</v>
      </c>
      <c r="L11" s="398"/>
      <c r="M11" s="398"/>
      <c r="N11" s="393"/>
      <c r="O11" s="398" t="s">
        <v>114</v>
      </c>
      <c r="P11" s="398"/>
      <c r="Q11" s="398"/>
      <c r="R11" s="396"/>
      <c r="S11" s="691"/>
    </row>
    <row r="12" spans="1:27" ht="15.75">
      <c r="A12" s="384"/>
      <c r="B12" s="400" t="s">
        <v>210</v>
      </c>
      <c r="C12" s="401"/>
      <c r="D12" s="684" t="s">
        <v>340</v>
      </c>
      <c r="E12" s="400" t="s">
        <v>9</v>
      </c>
      <c r="F12" s="393"/>
      <c r="G12" s="403" t="s">
        <v>341</v>
      </c>
      <c r="H12" s="404"/>
      <c r="I12" s="403" t="s">
        <v>342</v>
      </c>
      <c r="J12" s="393"/>
      <c r="K12" s="403" t="s">
        <v>341</v>
      </c>
      <c r="L12" s="404"/>
      <c r="M12" s="403" t="s">
        <v>342</v>
      </c>
      <c r="N12" s="393"/>
      <c r="O12" s="403" t="s">
        <v>341</v>
      </c>
      <c r="P12" s="393"/>
      <c r="Q12" s="403" t="s">
        <v>342</v>
      </c>
      <c r="R12" s="396"/>
      <c r="S12" s="397"/>
      <c r="T12" s="405"/>
      <c r="U12" s="406" t="s">
        <v>328</v>
      </c>
      <c r="V12" s="407"/>
      <c r="W12" s="406"/>
      <c r="X12" s="406" t="s">
        <v>329</v>
      </c>
      <c r="Y12" s="407"/>
    </row>
    <row r="13" spans="1:27" ht="15.75">
      <c r="A13" s="384"/>
      <c r="B13" s="393"/>
      <c r="C13" s="393"/>
      <c r="D13" s="393"/>
      <c r="E13" s="393"/>
      <c r="F13" s="393"/>
      <c r="G13" s="401"/>
      <c r="H13" s="401"/>
      <c r="I13" s="401"/>
      <c r="J13" s="401"/>
      <c r="K13" s="401"/>
      <c r="L13" s="401"/>
      <c r="M13" s="401"/>
      <c r="N13" s="396"/>
      <c r="O13" s="396"/>
      <c r="P13" s="396"/>
      <c r="Q13" s="396"/>
      <c r="R13" s="396"/>
      <c r="S13" s="396"/>
      <c r="T13" s="408" t="s">
        <v>208</v>
      </c>
      <c r="U13" s="372" t="s">
        <v>343</v>
      </c>
      <c r="V13" s="409" t="s">
        <v>344</v>
      </c>
      <c r="W13" s="372"/>
      <c r="X13" s="372" t="s">
        <v>343</v>
      </c>
      <c r="Y13" s="409" t="s">
        <v>344</v>
      </c>
    </row>
    <row r="14" spans="1:27" ht="15.75">
      <c r="A14" s="384"/>
      <c r="B14" s="393">
        <v>15</v>
      </c>
      <c r="C14" s="393"/>
      <c r="D14" s="393">
        <v>100</v>
      </c>
      <c r="E14" s="410">
        <v>5000</v>
      </c>
      <c r="F14" s="411">
        <f>E14/($B$14*730)</f>
        <v>0.45662100456621002</v>
      </c>
      <c r="G14" s="412">
        <f>ROUND($U$15+IF($E14&gt;1000,IF($E14&gt;9000,(1000*U$21/100)+(8000*U$22/100)+(($E14-(9000))*U$23/100),(1000*U$21/100)+(($E14-1000)*U$22/100)),($E14*$U$21)/100)+IF(B$14&gt;T$18,$U$18*($B$14-T$18),0)+IF(B$14&gt;T$20,$U$20*($B$14-T$20),0),2)+X$29</f>
        <v>414.57</v>
      </c>
      <c r="H14" s="412"/>
      <c r="I14" s="412">
        <f>ROUND($V$15+IF($E14&gt;1000,IF($E14&gt;9000,(1000*V$21/100)+(8000*V$22/100)+(($E14-(9000))*V$23/100),(1000*V$21/100)+(($E14-1000)*V$22/100)),($E14*$V$21)/100)+IF(B$14&gt;T$18,$V$18*($B$14-T$18),0)+IF(B$14&gt;T$20,$V$20*($B$14-T$20),0),2)+X$29</f>
        <v>419.41</v>
      </c>
      <c r="J14" s="412"/>
      <c r="K14" s="412">
        <f ca="1">ROUND($X$15+IF($E14&gt;1000,IF($E14&gt;9000,(1000*X$21/100)+(8000*X$22/100)+(($E14-9000)*X$23/100),(1000*X$21/100)+(($E14-1000)*X$22/100)),($E14*$X$21)/100)+IF(B$14&gt;W$18,$X$18*($B$14-W$18),0)+IF(B$14&gt;W$20,$X$20*($B$14-W$20),0),2)+X30</f>
        <v>427.42</v>
      </c>
      <c r="L14" s="412"/>
      <c r="M14" s="412">
        <f ca="1">ROUND($Y$15+IF($E14&gt;1000,IF($E14&gt;9000,(1000*Y$21/100)+(8000*Y$22/100)+(($E14-9000)*Y$23/100),(1000*Y$21/100)+(($E14-1000)*Y$22/100)),($E14*$Y$21)/100)+IF(B$14&gt;W$18,$Y$18*($B$14-W$18),0)+IF(B$14&gt;W$20,$Y$20*($B$14-W$20),0),2)+X30</f>
        <v>432.26</v>
      </c>
      <c r="N14" s="393"/>
      <c r="O14" s="413">
        <f ca="1">ROUND(K14/G14-1,4)</f>
        <v>3.1E-2</v>
      </c>
      <c r="P14" s="393"/>
      <c r="Q14" s="413">
        <f ca="1">ROUND(M14/I14-1,4)</f>
        <v>3.0599999999999999E-2</v>
      </c>
      <c r="R14" s="396"/>
      <c r="S14" s="413"/>
      <c r="T14" s="408" t="s">
        <v>345</v>
      </c>
      <c r="U14" s="414">
        <f>'Exhibit No.__(RMM-3)'!D175</f>
        <v>9.86</v>
      </c>
      <c r="V14" s="360">
        <f>'Exhibit No.__(RMM-3)'!D176</f>
        <v>14.7</v>
      </c>
      <c r="W14" s="415"/>
      <c r="X14" s="414">
        <f>'Exhibit No.__(RMM-3)'!J210</f>
        <v>9.86</v>
      </c>
      <c r="Y14" s="360">
        <f>'Exhibit No.__(RMM-3)'!J211</f>
        <v>14.7</v>
      </c>
      <c r="Z14" s="416"/>
      <c r="AA14" s="366"/>
    </row>
    <row r="15" spans="1:27" ht="15.75">
      <c r="A15" s="384"/>
      <c r="B15" s="393"/>
      <c r="C15" s="393"/>
      <c r="D15" s="393">
        <v>200</v>
      </c>
      <c r="E15" s="410">
        <v>7500</v>
      </c>
      <c r="F15" s="411">
        <f>E15/($B$14*730)</f>
        <v>0.68493150684931503</v>
      </c>
      <c r="G15" s="412">
        <f>ROUND($U$15+IF($E15&gt;1000,IF($E15&gt;9000,(1000*U$21/100)+(8000*U$22/100)+(($E15-(9000))*U$23/100),(1000*U$21/100)+(($E15-1000)*U$22/100)),($E15*$U$21)/100)+IF(B$14&gt;T$18,$U$18*($B$14-T$18),0)+IF(B$14&gt;T$20,$U$20*($B$14-T$20),0),2)+X$29</f>
        <v>598.52</v>
      </c>
      <c r="H15" s="412"/>
      <c r="I15" s="412">
        <f>ROUND($V$15+IF($E15&gt;1000,IF($E15&gt;9000,(1000*V$21/100)+(8000*V$22/100)+(($E15-(9000))*V$23/100),(1000*V$21/100)+(($E15-1000)*V$22/100)),($E15*$V$21)/100)+IF(B$14&gt;T$18,$V$18*($B$14-T$18),0)+IF(B$14&gt;T$20,$V$20*($B$14-T$20),0),2)+X$29</f>
        <v>603.3599999999999</v>
      </c>
      <c r="J15" s="412"/>
      <c r="K15" s="412">
        <f ca="1">ROUND($X$15+IF($E15&gt;1000,IF($E15&gt;9000,(1000*X$21/100)+(8000*X$22/100)+(($E15-9000)*X$23/100),(1000*X$21/100)+(($E15-1000)*X$22/100)),($E15*$X$21)/100)+IF(B$14&gt;W$18,$X$18*($B$14-W$18),0)+IF(B$14&gt;W$20,$X$20*($B$14-W$20),0),2)+X30</f>
        <v>617.79999999999995</v>
      </c>
      <c r="L15" s="412"/>
      <c r="M15" s="412">
        <f ca="1">ROUND($Y$15+IF($E15&gt;1000,IF($E15&gt;9000,(1000*Y$21/100)+(8000*Y$22/100)+(($E15-9000)*Y$23/100),(1000*Y$21/100)+(($E15-1000)*Y$22/100)),($E15*$Y$21)/100)+IF(B$14&gt;W$18,$Y$18*($B$14-W$18),0)+IF(B$14&gt;W$20,$Y$20*($B$14-W$20),0),2)+X30</f>
        <v>622.64</v>
      </c>
      <c r="N15" s="393"/>
      <c r="O15" s="413">
        <f t="shared" ref="O15:O16" ca="1" si="0">ROUND(K15/G15-1,4)</f>
        <v>3.2199999999999999E-2</v>
      </c>
      <c r="P15" s="393"/>
      <c r="Q15" s="413">
        <f t="shared" ref="Q15:Q32" ca="1" si="1">ROUND(M15/I15-1,4)</f>
        <v>3.2000000000000001E-2</v>
      </c>
      <c r="R15" s="396"/>
      <c r="S15" s="413"/>
      <c r="T15" s="408" t="s">
        <v>346</v>
      </c>
      <c r="U15" s="414">
        <f>U14</f>
        <v>9.86</v>
      </c>
      <c r="V15" s="360">
        <f>V14</f>
        <v>14.7</v>
      </c>
      <c r="W15" s="415"/>
      <c r="X15" s="414">
        <f>X14</f>
        <v>9.86</v>
      </c>
      <c r="Y15" s="360">
        <f>Y14</f>
        <v>14.7</v>
      </c>
    </row>
    <row r="16" spans="1:27" ht="15.75">
      <c r="A16" s="384"/>
      <c r="B16" s="393"/>
      <c r="C16" s="393"/>
      <c r="D16" s="393">
        <v>300</v>
      </c>
      <c r="E16" s="410">
        <v>10000</v>
      </c>
      <c r="F16" s="411">
        <f>E16/($B$14*730)</f>
        <v>0.91324200913242004</v>
      </c>
      <c r="G16" s="412">
        <f>ROUND($U$15+IF($E16&gt;1000,IF($E16&gt;9000,(1000*U$21/100)+(8000*U$22/100)+(($E16-(9000))*U$23/100),(1000*U$21/100)+(($E16-1000)*U$22/100)),($E16*$U$21)/100)+IF(B$14&gt;T$18,$U$18*($B$14-T$18),0)+IF(B$14&gt;T$20,$U$20*($B$14-T$20),0),2)+X$29</f>
        <v>777.26</v>
      </c>
      <c r="H16" s="412"/>
      <c r="I16" s="412">
        <f>ROUND($V$15+IF($E16&gt;1000,IF($E16&gt;9000,(1000*V$21/100)+(8000*V$22/100)+(($E16-(9000))*V$23/100),(1000*V$21/100)+(($E16-1000)*V$22/100)),($E16*$V$21)/100)+IF(B$14&gt;T$18,$V$18*($B$14-T$18),0)+IF(B$14&gt;T$20,$V$20*($B$14-T$20),0),2)+X$29</f>
        <v>782.09999999999991</v>
      </c>
      <c r="J16" s="412"/>
      <c r="K16" s="412">
        <f ca="1">ROUND($X$15+IF($E16&gt;1000,IF($E16&gt;9000,(1000*X$21/100)+(8000*X$22/100)+(($E16-9000)*X$23/100),(1000*X$21/100)+(($E16-1000)*X$22/100)),($E16*$X$21)/100)+IF(B$14&gt;W$18,$X$18*($B$14-W$18),0)+IF(B$14&gt;W$20,$X$20*($B$14-W$20),0),2)+X30</f>
        <v>802.95999999999992</v>
      </c>
      <c r="L16" s="412"/>
      <c r="M16" s="412">
        <f ca="1">ROUND($Y$15+IF($E16&gt;1000,IF($E16&gt;9000,(1000*Y$21/100)+(8000*Y$22/100)+(($E16-9000)*Y$23/100),(1000*Y$21/100)+(($E16-1000)*Y$22/100)),($E16*$Y$21)/100)+IF(B$14&gt;W$18,$Y$18*($B$14-W$18),0)+IF(B$14&gt;W$20,$Y$20*($B$14-W$20),0),2)+X30</f>
        <v>807.8</v>
      </c>
      <c r="N16" s="393"/>
      <c r="O16" s="413">
        <f t="shared" ca="1" si="0"/>
        <v>3.3099999999999997E-2</v>
      </c>
      <c r="P16" s="393"/>
      <c r="Q16" s="413">
        <f t="shared" ca="1" si="1"/>
        <v>3.2899999999999999E-2</v>
      </c>
      <c r="R16" s="396"/>
      <c r="S16" s="413"/>
      <c r="T16" s="408"/>
      <c r="U16" s="372"/>
      <c r="V16" s="409"/>
      <c r="W16" s="372"/>
      <c r="X16" s="414"/>
      <c r="Y16" s="360"/>
    </row>
    <row r="17" spans="1:27" ht="15.75">
      <c r="A17" s="384"/>
      <c r="B17" s="396"/>
      <c r="C17" s="396"/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408" t="s">
        <v>208</v>
      </c>
      <c r="U17" s="414"/>
      <c r="V17" s="360"/>
      <c r="W17" s="417" t="s">
        <v>208</v>
      </c>
      <c r="X17" s="414"/>
      <c r="Y17" s="360"/>
    </row>
    <row r="18" spans="1:27" ht="15.75">
      <c r="A18" s="384"/>
      <c r="B18" s="393">
        <v>25</v>
      </c>
      <c r="C18" s="393"/>
      <c r="D18" s="393">
        <v>150</v>
      </c>
      <c r="E18" s="410">
        <f>ROUND((B$18*D18),0)</f>
        <v>3750</v>
      </c>
      <c r="F18" s="411">
        <f>E18/($B$18*730)</f>
        <v>0.20547945205479451</v>
      </c>
      <c r="G18" s="412">
        <f>ROUND($U$15+IF($E18&gt;1000,IF($E18&gt;9000,(1000*U$21/100)+(8000*U$22/100)+(($E18-9000)*U$23/100),(1000*U$21/100)+(($E18-1000)*U$22/100)),($E18*$U$21)/100)+IF(B$18&gt;T$18,$U$18*($B$18-T$18),0)+IF(B$18&gt;T$20,$U$20*($B$18-T$20),0),2)+X29</f>
        <v>371.1</v>
      </c>
      <c r="H18" s="412"/>
      <c r="I18" s="412">
        <f>ROUND($V$15+IF($E18&gt;1000,IF($E18&gt;9000,(1000*V$21/100)+(8000*V$22/100)+(($E18-9000)*V$23/100),(1000*V$21/100)+(($E18-1000)*V$22/100)),($E18*$V$21)/100)+IF(B$18&gt;T$18,$V$18*($B$18-T$18),0)+IF(B$18&gt;T$20,$V$20*($B$18-T$20),0),2)+X29</f>
        <v>375.94</v>
      </c>
      <c r="J18" s="412"/>
      <c r="K18" s="412">
        <f ca="1">ROUND($X$15+IF($E18&gt;1000,IF($E18&gt;9000,(1000*X$21/100)+(8000*X$22/100)+(($E18-9000)*X$23/100),(1000*X$21/100)+(($E18-1000)*X$22/100)),($E18*$X$21)/100)+IF(B$18&gt;W$18,$X$18*($B$18-W$18),0)+IF(B$18&gt;W$20,$X$20*($B$18-W$20),0),2)+X30</f>
        <v>380.73</v>
      </c>
      <c r="L18" s="412"/>
      <c r="M18" s="412">
        <f ca="1">ROUND($Y$15+IF($E18&gt;1000,IF($E18&gt;9000,(1000*Y$21/100)+(8000*Y$22/100)+(($E18-9000)*Y$23/100),(1000*Y$21/100)+(($E18-1000)*Y$22/100)),($E18*$Y$21)/100)+IF(B$18&gt;W$18,$Y$18*($B$18-W$18),0)+IF(B$18&gt;W$20,$Y$20*($B$18-W$20),0),2)+X30</f>
        <v>385.57</v>
      </c>
      <c r="N18" s="393"/>
      <c r="O18" s="413">
        <f t="shared" ref="O18:O20" ca="1" si="2">ROUND(K18/G18-1,4)</f>
        <v>2.5899999999999999E-2</v>
      </c>
      <c r="P18" s="393"/>
      <c r="Q18" s="413">
        <f t="shared" ca="1" si="1"/>
        <v>2.5600000000000001E-2</v>
      </c>
      <c r="R18" s="396"/>
      <c r="S18" s="413"/>
      <c r="T18" s="418">
        <v>15</v>
      </c>
      <c r="U18" s="414">
        <f>'Exhibit No.__(RMM-3)'!D177</f>
        <v>1.04</v>
      </c>
      <c r="V18" s="360">
        <f>U18</f>
        <v>1.04</v>
      </c>
      <c r="W18" s="419">
        <v>15</v>
      </c>
      <c r="X18" s="414">
        <f>'Exhibit No.__(RMM-3)'!J212</f>
        <v>1.04</v>
      </c>
      <c r="Y18" s="360">
        <f>X18</f>
        <v>1.04</v>
      </c>
      <c r="AA18" s="366"/>
    </row>
    <row r="19" spans="1:27" ht="15.75">
      <c r="A19" s="384"/>
      <c r="B19" s="393"/>
      <c r="C19" s="393"/>
      <c r="D19" s="393">
        <v>200</v>
      </c>
      <c r="E19" s="410">
        <f>ROUND((B$18*D19),0)</f>
        <v>5000</v>
      </c>
      <c r="F19" s="411">
        <f>E19/($B$18*730)</f>
        <v>0.27397260273972601</v>
      </c>
      <c r="G19" s="412">
        <f>ROUND($U$15+IF($E19&gt;1000,IF($E19&gt;9000,(1000*U$21/100)+(8000*U$22/100)+(($E19-9000)*U$23/100),(1000*U$21/100)+(($E19-1000)*U$22/100)),($E19*$U$21)/100)+IF(B$18&gt;T$18,$U$18*($B$18-T$18),0)+IF(B$18&gt;T$20,$U$20*($B$18-T$20),0),2)+X29</f>
        <v>463.07</v>
      </c>
      <c r="H19" s="412"/>
      <c r="I19" s="412">
        <f>ROUND($V$15+IF($E19&gt;1000,IF($E19&gt;9000,(1000*V$21/100)+(8000*V$22/100)+(($E19-9000)*V$23/100),(1000*V$21/100)+(($E19-1000)*V$22/100)),($E19*$V$21)/100)+IF(B$18&gt;T$18,$V$18*($B$18-T$18),0)+IF(B$18&gt;T$20,$V$20*($B$18-T$20),0),2)+X29</f>
        <v>467.91</v>
      </c>
      <c r="J19" s="412"/>
      <c r="K19" s="412">
        <f ca="1">ROUND($X$15+IF($E19&gt;1000,IF($E19&gt;9000,(1000*X$21/100)+(8000*X$22/100)+(($E19-9000)*X$23/100),(1000*X$21/100)+(($E19-1000)*X$22/100)),($E19*$X$21)/100)+IF(B$18&gt;W$18,$X$18*($B$18-W$18),0)+IF(B$18&gt;W$20,$X$20*($B$18-W$20),0),2)+X30</f>
        <v>475.92</v>
      </c>
      <c r="L19" s="412"/>
      <c r="M19" s="412">
        <f ca="1">ROUND($Y$15+IF($E19&gt;1000,IF($E19&gt;9000,(1000*Y$21/100)+(8000*Y$22/100)+(($E19-9000)*Y$23/100),(1000*Y$21/100)+(($E19-1000)*Y$22/100)),($E19*$Y$21)/100)+IF(B$18&gt;W$18,$Y$18*($B$18-W$18),0)+IF(B$18&gt;W$20,$Y$20*($B$18-W$20),0),2)+X30</f>
        <v>480.76</v>
      </c>
      <c r="N19" s="393"/>
      <c r="O19" s="413">
        <f t="shared" ca="1" si="2"/>
        <v>2.7699999999999999E-2</v>
      </c>
      <c r="P19" s="393"/>
      <c r="Q19" s="413">
        <f t="shared" ca="1" si="1"/>
        <v>2.75E-2</v>
      </c>
      <c r="R19" s="396"/>
      <c r="S19" s="413"/>
      <c r="T19" s="408" t="s">
        <v>210</v>
      </c>
      <c r="U19" s="372"/>
      <c r="V19" s="420"/>
      <c r="W19" s="372" t="s">
        <v>210</v>
      </c>
      <c r="X19" s="414"/>
      <c r="Y19" s="360"/>
    </row>
    <row r="20" spans="1:27" ht="15.75">
      <c r="A20" s="384"/>
      <c r="B20" s="393"/>
      <c r="C20" s="393"/>
      <c r="D20" s="393">
        <v>400</v>
      </c>
      <c r="E20" s="410">
        <f>ROUND((B$18*D20),0)</f>
        <v>10000</v>
      </c>
      <c r="F20" s="411">
        <f>E20/($B$18*730)</f>
        <v>0.54794520547945202</v>
      </c>
      <c r="G20" s="412">
        <f>ROUND($U$15+IF($E20&gt;1000,IF($E20&gt;9000,(1000*U$21/100)+(8000*U$22/100)+(($E20-9000)*U$23/100),(1000*U$21/100)+(($E20-1000)*U$22/100)),($E20*$U$21)/100)+IF(B$18&gt;T$18,$U$18*($B$18-T$18),0)+IF(B$18&gt;T$20,$U$20*($B$18-T$20),0),2)+X29</f>
        <v>825.76</v>
      </c>
      <c r="H20" s="412"/>
      <c r="I20" s="412">
        <f>ROUND($V$15+IF($E20&gt;1000,IF($E20&gt;9000,(1000*V$21/100)+(8000*V$22/100)+(($E20-9000)*V$23/100),(1000*V$21/100)+(($E20-1000)*V$22/100)),($E20*$V$21)/100)+IF(B$18&gt;T$18,$V$18*($B$18-T$18),0)+IF(B$18&gt;T$20,$V$20*($B$18-T$20),0),2)+X29</f>
        <v>830.59999999999991</v>
      </c>
      <c r="J20" s="412"/>
      <c r="K20" s="412">
        <f ca="1">ROUND($X$15+IF($E20&gt;1000,IF($E20&gt;9000,(1000*X$21/100)+(8000*X$22/100)+(($E20-9000)*X$23/100),(1000*X$21/100)+(($E20-1000)*X$22/100)),($E20*$X$21)/100)+IF(B$18&gt;W$18,$X$18*($B$18-W$18),0)+IF(B$18&gt;W$20,$X$20*($B$18-W$20),0),2)+X30</f>
        <v>851.45999999999992</v>
      </c>
      <c r="L20" s="412"/>
      <c r="M20" s="412">
        <f ca="1">ROUND($Y$15+IF($E20&gt;1000,IF($E20&gt;9000,(1000*Y$21/100)+(8000*Y$22/100)+(($E20-9000)*Y$23/100),(1000*Y$21/100)+(($E20-1000)*Y$22/100)),($E20*$Y$21)/100)+IF(B$18&gt;W$18,$Y$18*($B$18-W$18),0)+IF(B$18&gt;W$20,$Y$20*($B$18-W$20),0),2)+X30</f>
        <v>856.3</v>
      </c>
      <c r="N20" s="393"/>
      <c r="O20" s="413">
        <f t="shared" ca="1" si="2"/>
        <v>3.1099999999999999E-2</v>
      </c>
      <c r="P20" s="393"/>
      <c r="Q20" s="413">
        <f t="shared" ca="1" si="1"/>
        <v>3.09E-2</v>
      </c>
      <c r="R20" s="396"/>
      <c r="S20" s="413"/>
      <c r="T20" s="418">
        <v>15</v>
      </c>
      <c r="U20" s="414">
        <f>'Exhibit No.__(RMM-3)'!D180</f>
        <v>3.81</v>
      </c>
      <c r="V20" s="360">
        <f>U20</f>
        <v>3.81</v>
      </c>
      <c r="W20" s="421">
        <v>15</v>
      </c>
      <c r="X20" s="414">
        <f>('Exhibit No.__(RMM-3)'!J214)</f>
        <v>3.81</v>
      </c>
      <c r="Y20" s="360">
        <f>X20</f>
        <v>3.81</v>
      </c>
      <c r="AA20" s="366"/>
    </row>
    <row r="21" spans="1:27" ht="15.75">
      <c r="A21" s="384"/>
      <c r="B21" s="396"/>
      <c r="C21" s="396"/>
      <c r="D21" s="396"/>
      <c r="E21" s="396"/>
      <c r="F21" s="411"/>
      <c r="G21" s="422"/>
      <c r="H21" s="422"/>
      <c r="I21" s="422"/>
      <c r="J21" s="422"/>
      <c r="K21" s="422"/>
      <c r="L21" s="422"/>
      <c r="M21" s="422"/>
      <c r="N21" s="396"/>
      <c r="O21" s="413"/>
      <c r="P21" s="396"/>
      <c r="Q21" s="396"/>
      <c r="R21" s="396"/>
      <c r="S21" s="396"/>
      <c r="T21" s="408" t="s">
        <v>347</v>
      </c>
      <c r="U21" s="423">
        <f>'Exhibit No.__(RMM-3)'!D181+X25+X32</f>
        <v>10.882999999999999</v>
      </c>
      <c r="V21" s="362">
        <f>U21</f>
        <v>10.882999999999999</v>
      </c>
      <c r="W21" s="372" t="s">
        <v>347</v>
      </c>
      <c r="X21" s="423">
        <f ca="1">'Exhibit No.__(RMM-3)'!J215+X26+X33+X35</f>
        <v>11.14</v>
      </c>
      <c r="Y21" s="424">
        <f ca="1">X21</f>
        <v>11.14</v>
      </c>
      <c r="AA21" s="363"/>
    </row>
    <row r="22" spans="1:27" ht="15.75">
      <c r="A22" s="384"/>
      <c r="B22" s="393">
        <v>50</v>
      </c>
      <c r="C22" s="393"/>
      <c r="D22" s="393">
        <f>D18</f>
        <v>150</v>
      </c>
      <c r="E22" s="410">
        <f>ROUND((B$22*D22),0)</f>
        <v>7500</v>
      </c>
      <c r="F22" s="411">
        <f>E22/($B$22*730)</f>
        <v>0.20547945205479451</v>
      </c>
      <c r="G22" s="412">
        <f>ROUND($U$15+IF($E22&gt;1000,IF($E22&gt;9000,(1000*U$21/100)+(8000*U$22/100)+(($E22-9000)*U$23/100),(1000*U$21/100)+(($E22-1000)*U$22/100)),($E22*$U$21)/100)+IF(B$22&gt;T$18,$U$18*($B$22-T$18),0)+IF(B$22&gt;T$20,$U$20*($B$22-T$20),0),2)+X29</f>
        <v>768.27</v>
      </c>
      <c r="H22" s="412"/>
      <c r="I22" s="412">
        <f>ROUND($V$15+IF($E22&gt;1000,IF($E22&gt;9000,(1000*V$21/100)+(8000*V$22/100)+(($E22-9000)*V$23/100),(1000*V$21/100)+(($E22-1000)*V$22/100)),($E22*$V$21)/100)+IF(B$22&gt;T$18,$V$18*($B$22-T$18),0)+IF(B$22&gt;T$20,$V$20*($B$22-T$20),0),2)+X29</f>
        <v>773.1099999999999</v>
      </c>
      <c r="J22" s="412"/>
      <c r="K22" s="412">
        <f ca="1">ROUND($X$15+IF($E22&gt;1000,IF($E22&gt;9000,(1000*X$21/100)+(8000*X$22/100)+(($E22-9000)*X$23/100),(1000*X$21/100)+(($E22-1000)*X$22/100)),($E22*$X$21)/100)+IF(B$22&gt;W$18,$X$18*($B$22-W$18),0)+IF(B$22&gt;W$20,$X$20*($B$22-W$20),0),2)+X30</f>
        <v>787.55</v>
      </c>
      <c r="L22" s="412"/>
      <c r="M22" s="412">
        <f ca="1">ROUND($Y$15+IF($E22&gt;1000,IF($E22&gt;9000,(1000*Y$21/100)+(8000*Y$22/100)+(($E22-9000)*Y$23/100),(1000*Y$21/100)+(($E22-1000)*Y$22/100)),($E22*$Y$21)/100)+IF(B$22&gt;W$18,$Y$18*($B$22-W$18),0)+IF(B$22&gt;W$20,$Y$20*($B$22-W$20),0),2)+X30</f>
        <v>792.39</v>
      </c>
      <c r="N22" s="393"/>
      <c r="O22" s="413">
        <f t="shared" ref="O22:O24" ca="1" si="3">ROUND(K22/G22-1,4)</f>
        <v>2.5100000000000001E-2</v>
      </c>
      <c r="P22" s="393"/>
      <c r="Q22" s="413">
        <f t="shared" ca="1" si="1"/>
        <v>2.4899999999999999E-2</v>
      </c>
      <c r="R22" s="396"/>
      <c r="S22" s="413"/>
      <c r="T22" s="408" t="s">
        <v>348</v>
      </c>
      <c r="U22" s="423">
        <f>'Exhibit No.__(RMM-3)'!D182+X25+X32</f>
        <v>7.3579999999999997</v>
      </c>
      <c r="V22" s="362">
        <f>U22</f>
        <v>7.3579999999999997</v>
      </c>
      <c r="W22" s="408" t="s">
        <v>348</v>
      </c>
      <c r="X22" s="423">
        <f ca="1">'Exhibit No.__(RMM-3)'!J216+X26+X33+X35</f>
        <v>7.6150000000000002</v>
      </c>
      <c r="Y22" s="424">
        <f ca="1">X22</f>
        <v>7.6150000000000002</v>
      </c>
      <c r="AA22" s="363"/>
    </row>
    <row r="23" spans="1:27" ht="15.75">
      <c r="B23" s="393"/>
      <c r="C23" s="393"/>
      <c r="D23" s="393">
        <f>D19</f>
        <v>200</v>
      </c>
      <c r="E23" s="410">
        <f>ROUND((B$22*D23),0)</f>
        <v>10000</v>
      </c>
      <c r="F23" s="411">
        <f>E23/($B$22*730)</f>
        <v>0.27397260273972601</v>
      </c>
      <c r="G23" s="412">
        <f>ROUND($U$15+IF($E23&gt;1000,IF($E23&gt;9000,(1000*U$21/100)+(8000*U$22/100)+(($E23-9000)*U$23/100),(1000*U$21/100)+(($E23-1000)*U$22/100)),($E23*$U$21)/100)+IF(B$22&gt;T$18,$U$18*($B$22-T$18),0)+IF(B$22&gt;T$20,$U$20*($B$22-T$20),0),2)+X29</f>
        <v>947.01</v>
      </c>
      <c r="H23" s="412"/>
      <c r="I23" s="412">
        <f>ROUND($V$15+IF($E23&gt;1000,IF($E23&gt;9000,(1000*V$21/100)+(8000*V$22/100)+(($E23-9000)*V$23/100),(1000*V$21/100)+(($E23-1000)*V$22/100)),($E23*$V$21)/100)+IF(B$22&gt;T$18,$V$18*($B$22-T$18),0)+IF(B$22&gt;T$20,$V$20*($B$22-T$20),0),2)+X29</f>
        <v>951.84999999999991</v>
      </c>
      <c r="J23" s="412"/>
      <c r="K23" s="412">
        <f ca="1">ROUND($X$15+IF($E23&gt;1000,IF($E23&gt;9000,(1000*X$21/100)+(8000*X$22/100)+(($E23-9000)*X$23/100),(1000*X$21/100)+(($E23-1000)*X$22/100)),($E23*$X$21)/100)+IF(B$22&gt;W$18,$X$18*($B$22-W$18),0)+IF(B$22&gt;W$20,$X$20*($B$22-W$20),0),2)+X30</f>
        <v>972.70999999999992</v>
      </c>
      <c r="L23" s="412"/>
      <c r="M23" s="412">
        <f ca="1">ROUND($Y$15+IF($E23&gt;1000,IF($E23&gt;9000,(1000*Y$21/100)+(8000*Y$22/100)+(($E23-9000)*Y$23/100),(1000*Y$21/100)+(($E23-1000)*Y$22/100)),($E23*$Y$21)/100)+IF(B$22&gt;W$18,$Y$18*($B$22-W$18),0)+IF(B$22&gt;W$20,$Y$20*($B$22-W$20),0),2)+X30</f>
        <v>977.55</v>
      </c>
      <c r="N23" s="393"/>
      <c r="O23" s="413">
        <f t="shared" ca="1" si="3"/>
        <v>2.7099999999999999E-2</v>
      </c>
      <c r="P23" s="393"/>
      <c r="Q23" s="413">
        <f t="shared" ca="1" si="1"/>
        <v>2.7E-2</v>
      </c>
      <c r="R23" s="396"/>
      <c r="S23" s="413"/>
      <c r="T23" s="408" t="s">
        <v>349</v>
      </c>
      <c r="U23" s="423">
        <f>'Exhibit No.__(RMM-3)'!D183+X25+X32</f>
        <v>6.8369999999999997</v>
      </c>
      <c r="V23" s="362">
        <f>U23</f>
        <v>6.8369999999999997</v>
      </c>
      <c r="W23" s="408" t="s">
        <v>349</v>
      </c>
      <c r="X23" s="423">
        <f ca="1">'Exhibit No.__(RMM-3)'!J217+X26+X33+X35</f>
        <v>7.0939999999999994</v>
      </c>
      <c r="Y23" s="424">
        <f ca="1">X23</f>
        <v>7.0939999999999994</v>
      </c>
      <c r="Z23" s="416"/>
      <c r="AA23" s="366"/>
    </row>
    <row r="24" spans="1:27" ht="16.5" thickBot="1">
      <c r="A24" s="384"/>
      <c r="B24" s="393"/>
      <c r="C24" s="393"/>
      <c r="D24" s="393">
        <f>D20</f>
        <v>400</v>
      </c>
      <c r="E24" s="410">
        <f>ROUND((B$22*D24),0)</f>
        <v>20000</v>
      </c>
      <c r="F24" s="411">
        <f>E24/($B$22*730)</f>
        <v>0.54794520547945202</v>
      </c>
      <c r="G24" s="412">
        <f>ROUND($U$15+IF($E24&gt;1000,IF($E24&gt;9000,(1000*U$21/100)+(8000*U$22/100)+(($E24-9000)*U$23/100),(1000*U$21/100)+(($E24-1000)*U$22/100)),($E24*$U$21)/100)+IF(B$22&gt;T$18,$U$18*($B$22-T$18),0)+IF(B$22&gt;T$20,$U$20*($B$22-T$20),0),2)+X29</f>
        <v>1630.71</v>
      </c>
      <c r="H24" s="412"/>
      <c r="I24" s="412">
        <f>ROUND($V$15+IF($E24&gt;1000,IF($E24&gt;9000,(1000*V$21/100)+(8000*V$22/100)+(($E24-9000)*V$23/100),(1000*V$21/100)+(($E24-1000)*V$22/100)),($E24*$V$21)/100)+IF(B$22&gt;T$18,$V$18*($B$22-T$18),0)+IF(B$22&gt;T$20,$V$20*($B$22-T$20),0),2)+X29</f>
        <v>1635.55</v>
      </c>
      <c r="J24" s="412"/>
      <c r="K24" s="412">
        <f ca="1">ROUND($X$15+IF($E24&gt;1000,IF($E24&gt;9000,(1000*X$21/100)+(8000*X$22/100)+(($E24-9000)*X$23/100),(1000*X$21/100)+(($E24-1000)*X$22/100)),($E24*$X$21)/100)+IF(B$22&gt;W$18,$X$18*($B$22-W$18),0)+IF(B$22&gt;W$20,$X$20*($B$22-W$20),0),2)+X30</f>
        <v>1682.11</v>
      </c>
      <c r="L24" s="412"/>
      <c r="M24" s="412">
        <f ca="1">ROUND($Y$15+IF($E24&gt;1000,IF($E24&gt;9000,(1000*Y$21/100)+(8000*Y$22/100)+(($E24-9000)*Y$23/100),(1000*Y$21/100)+(($E24-1000)*Y$22/100)),($E24*$Y$21)/100)+IF(B$22&gt;W$18,$Y$18*($B$22-W$18),0)+IF(B$22&gt;W$20,$Y$20*($B$22-W$20),0),2)+X30</f>
        <v>1686.95</v>
      </c>
      <c r="N24" s="393"/>
      <c r="O24" s="413">
        <f t="shared" ca="1" si="3"/>
        <v>3.15E-2</v>
      </c>
      <c r="P24" s="393"/>
      <c r="Q24" s="413">
        <f t="shared" ca="1" si="1"/>
        <v>3.1399999999999997E-2</v>
      </c>
      <c r="R24" s="396"/>
      <c r="S24" s="413"/>
      <c r="T24" s="368" t="s">
        <v>13</v>
      </c>
      <c r="U24" s="425" t="s">
        <v>13</v>
      </c>
      <c r="V24" s="426" t="s">
        <v>13</v>
      </c>
      <c r="W24" s="368" t="s">
        <v>13</v>
      </c>
      <c r="X24" s="425" t="s">
        <v>13</v>
      </c>
      <c r="Y24" s="426" t="s">
        <v>13</v>
      </c>
    </row>
    <row r="25" spans="1:27" ht="15.75">
      <c r="A25" s="384"/>
      <c r="B25" s="396"/>
      <c r="C25" s="396"/>
      <c r="D25" s="396"/>
      <c r="E25" s="396"/>
      <c r="F25" s="411"/>
      <c r="G25" s="422"/>
      <c r="H25" s="422"/>
      <c r="I25" s="422"/>
      <c r="J25" s="422"/>
      <c r="K25" s="422"/>
      <c r="L25" s="422"/>
      <c r="M25" s="422"/>
      <c r="N25" s="396"/>
      <c r="O25" s="413"/>
      <c r="P25" s="396"/>
      <c r="Q25" s="396"/>
      <c r="R25" s="396"/>
      <c r="S25" s="396"/>
      <c r="V25" s="370" t="s">
        <v>88</v>
      </c>
      <c r="W25" s="370"/>
      <c r="X25" s="371">
        <v>0.28499999999999998</v>
      </c>
      <c r="Y25" s="427" t="s">
        <v>13</v>
      </c>
    </row>
    <row r="26" spans="1:27" ht="15.75">
      <c r="A26" s="384"/>
      <c r="B26" s="393">
        <v>75</v>
      </c>
      <c r="C26" s="393"/>
      <c r="D26" s="393">
        <v>333.33300000000003</v>
      </c>
      <c r="E26" s="410">
        <f>ROUND((B$26*D26),0)</f>
        <v>25000</v>
      </c>
      <c r="F26" s="411">
        <f>E26/($B$26*730)</f>
        <v>0.45662100456621002</v>
      </c>
      <c r="G26" s="412">
        <f>ROUND($U$15+IF($E26&gt;1000,IF($E26&gt;9000,(1000*U$21/100)+(8000*U$22/100)+(($E26-9000)*U$23/100),(1000*U$21/100)+(($E26-1000)*U$22/100)),($E26*$U$21)/100)+IF(B$26&gt;T$18,$U$18*($B$26-T$18),0)+IF(B$26&gt;T$20,$U$20*($B$26-T$20),0),2)+X29</f>
        <v>2093.81</v>
      </c>
      <c r="H26" s="412"/>
      <c r="I26" s="412">
        <f>ROUND($V$15+IF($E26&gt;1000,IF($E26&gt;9000,(1000*V$21/100)+(8000*V$22/100)+(($E26-9000)*V$23/100),(1000*V$21/100)+(($E26-1000)*V$22/100)),($E26*$V$21)/100)+IF(B$26&gt;T$18,$V$18*($B$26-T$18),0)+IF(B$26&gt;T$20,$V$20*($B$26-T$20),0),2)+X29</f>
        <v>2098.65</v>
      </c>
      <c r="J26" s="428"/>
      <c r="K26" s="412">
        <f ca="1">ROUND($X$15+IF($E26&gt;1000,IF($E26&gt;9000,(1000*X$21/100)+(8000*X$22/100)+(($E26-9000)*X$23/100),(1000*X$21/100)+(($E26-1000)*X$22/100)),($E26*$X$21)/100)+IF(B$26&gt;W$18,$X$18*($B$26-W$18),0)+IF(B$26&gt;W$20,$X$20*($B$26-W$20),0),2)+X30</f>
        <v>2158.06</v>
      </c>
      <c r="L26" s="412"/>
      <c r="M26" s="412">
        <f ca="1">ROUND($Y$15+IF($E26&gt;1000,IF($E26&gt;9000,(1000*Y$21/100)+(8000*Y$22/100)+(($E26-9000)*Y$23/100),(1000*Y$21/100)+(($E26-1000)*Y$22/100)),($E26*$Y$21)/100)+IF(B$26&gt;W$18,$Y$18*($B$26-W$18),0)+IF(B$26&gt;W$20,$Y$20*($B$26-W$20),0),2)+X30</f>
        <v>2162.9</v>
      </c>
      <c r="N26" s="393"/>
      <c r="O26" s="413">
        <f t="shared" ref="O26:O28" ca="1" si="4">ROUND(K26/G26-1,4)</f>
        <v>3.0700000000000002E-2</v>
      </c>
      <c r="P26" s="393"/>
      <c r="Q26" s="413">
        <f t="shared" ca="1" si="1"/>
        <v>3.0599999999999999E-2</v>
      </c>
      <c r="R26" s="396"/>
      <c r="S26" s="413"/>
      <c r="V26" s="370"/>
      <c r="W26" s="370"/>
      <c r="X26" s="371">
        <v>0.28499999999999998</v>
      </c>
      <c r="Y26" s="427" t="s">
        <v>13</v>
      </c>
    </row>
    <row r="27" spans="1:27" ht="15.75">
      <c r="B27" s="393"/>
      <c r="C27" s="393"/>
      <c r="D27" s="393">
        <v>500</v>
      </c>
      <c r="E27" s="410">
        <f>ROUND((B$26*D27),0)</f>
        <v>37500</v>
      </c>
      <c r="F27" s="411">
        <f>E27/($B$26*730)</f>
        <v>0.68493150684931503</v>
      </c>
      <c r="G27" s="412">
        <f>ROUND($U$15+IF($E27&gt;1000,IF($E27&gt;9000,(1000*U$21/100)+(8000*U$22/100)+(($E27-9000)*U$23/100),(1000*U$21/100)+(($E27-1000)*U$22/100)),($E27*$U$21)/100)+IF(B$26&gt;T$18,$U$18*($B$26-T$18),0)+IF(B$26&gt;T$20,$U$20*($B$26-T$20),0),2)+X29</f>
        <v>2948.44</v>
      </c>
      <c r="H27" s="412"/>
      <c r="I27" s="412">
        <f>ROUND($V$15+IF($E27&gt;1000,IF($E27&gt;9000,(1000*V$21/100)+(8000*V$22/100)+(($E27-9000)*V$23/100),(1000*V$21/100)+(($E27-1000)*V$22/100)),($E27*$V$21)/100)+IF(B$26&gt;T$18,$V$18*($B$26-T$18),0)+IF(B$26&gt;T$20,$V$20*($B$26-T$20),0),2)+X29</f>
        <v>2953.2799999999997</v>
      </c>
      <c r="J27" s="428"/>
      <c r="K27" s="412">
        <f ca="1">ROUND($X$15+IF($E27&gt;1000,IF($E27&gt;9000,(1000*X$21/100)+(8000*X$22/100)+(($E27-9000)*X$23/100),(1000*X$21/100)+(($E27-1000)*X$22/100)),($E27*$X$21)/100)+IF(B$26&gt;W$18,$X$18*($B$26-W$18),0)+IF(B$26&gt;W$20,$X$20*($B$26-W$20),0),2)+X30</f>
        <v>3044.81</v>
      </c>
      <c r="L27" s="412"/>
      <c r="M27" s="412">
        <f ca="1">ROUND($Y$15+IF($E27&gt;1000,IF($E27&gt;9000,(1000*Y$21/100)+(8000*Y$22/100)+(($E27-9000)*Y$23/100),(1000*Y$21/100)+(($E27-1000)*Y$22/100)),($E27*$Y$21)/100)+IF(B$26&gt;W$18,$Y$18*($B$26-W$18),0)+IF(B$26&gt;W$20,$Y$20*($B$26-W$20),0),2)+X30</f>
        <v>3049.65</v>
      </c>
      <c r="N27" s="393"/>
      <c r="O27" s="413">
        <f t="shared" ca="1" si="4"/>
        <v>3.27E-2</v>
      </c>
      <c r="P27" s="393"/>
      <c r="Q27" s="413">
        <f t="shared" ca="1" si="1"/>
        <v>3.2599999999999997E-2</v>
      </c>
      <c r="R27" s="396"/>
      <c r="S27" s="413"/>
      <c r="V27" s="370"/>
      <c r="W27" s="370"/>
      <c r="X27" s="374"/>
    </row>
    <row r="28" spans="1:27" ht="15.75">
      <c r="A28" s="384"/>
      <c r="B28" s="393"/>
      <c r="C28" s="393"/>
      <c r="D28" s="393">
        <v>666.66600000000005</v>
      </c>
      <c r="E28" s="410">
        <f>ROUND((B$26*D28),0)</f>
        <v>50000</v>
      </c>
      <c r="F28" s="411">
        <f>E28/($B$26*730)</f>
        <v>0.91324200913242004</v>
      </c>
      <c r="G28" s="412">
        <f>ROUND($U$15+IF($E28&gt;1000,IF($E28&gt;9000,(1000*U$21/100)+(8000*U$22/100)+(($E28-9000)*U$23/100),(1000*U$21/100)+(($E28-1000)*U$22/100)),($E28*$U$21)/100)+IF(B$26&gt;T$18,$U$18*($B$26-T$18),0)+IF(B$26&gt;T$20,$U$20*($B$26-T$20),0),2)+X29</f>
        <v>3803.06</v>
      </c>
      <c r="H28" s="412"/>
      <c r="I28" s="412">
        <f>ROUND($V$15+IF($E28&gt;1000,IF($E28&gt;9000,(1000*V$21/100)+(8000*V$22/100)+(($E28-9000)*V$23/100),(1000*V$21/100)+(($E28-1000)*V$22/100)),($E28*$V$21)/100)+IF(B$26&gt;T$18,$V$18*($B$26-T$18),0)+IF(B$26&gt;T$20,$V$20*($B$26-T$20),0),2)+X29</f>
        <v>3807.9</v>
      </c>
      <c r="J28" s="428"/>
      <c r="K28" s="412">
        <f ca="1">ROUND($X$15+IF($E28&gt;1000,IF($E28&gt;9000,(1000*X$21/100)+(8000*X$22/100)+(($E28-9000)*X$23/100),(1000*X$21/100)+(($E28-1000)*X$22/100)),($E28*$X$21)/100)+IF(B$26&gt;W$18,$X$18*($B$26-W$18),0)+IF(B$26&gt;W$20,$X$20*($B$26-W$20),0),2)+X30</f>
        <v>3931.56</v>
      </c>
      <c r="L28" s="412"/>
      <c r="M28" s="412">
        <f ca="1">ROUND($Y$15+IF($E28&gt;1000,IF($E28&gt;9000,(1000*Y$21/100)+(8000*Y$22/100)+(($E28-9000)*Y$23/100),(1000*Y$21/100)+(($E28-1000)*Y$22/100)),($E28*$Y$21)/100)+IF(B$26&gt;W$18,$Y$18*($B$26-W$18),0)+IF(B$26&gt;W$20,$Y$20*($B$26-W$20),0),2)+X30</f>
        <v>3936.4</v>
      </c>
      <c r="N28" s="393"/>
      <c r="O28" s="413">
        <f t="shared" ca="1" si="4"/>
        <v>3.3799999999999997E-2</v>
      </c>
      <c r="P28" s="393"/>
      <c r="Q28" s="413">
        <f t="shared" ca="1" si="1"/>
        <v>3.3700000000000001E-2</v>
      </c>
      <c r="R28" s="396"/>
      <c r="S28" s="413"/>
      <c r="V28" s="343" t="s">
        <v>13</v>
      </c>
      <c r="X28" s="343" t="s">
        <v>13</v>
      </c>
    </row>
    <row r="29" spans="1:27" ht="15.75">
      <c r="A29" s="384"/>
      <c r="B29" s="429"/>
      <c r="C29" s="429"/>
      <c r="D29" s="429"/>
      <c r="E29" s="429"/>
      <c r="F29" s="430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V29" s="343" t="s">
        <v>417</v>
      </c>
      <c r="X29" s="366">
        <v>1.56</v>
      </c>
      <c r="Y29" s="343" t="s">
        <v>13</v>
      </c>
    </row>
    <row r="30" spans="1:27" ht="15.75">
      <c r="A30" s="384"/>
      <c r="B30" s="393">
        <v>100</v>
      </c>
      <c r="C30" s="393"/>
      <c r="D30" s="393">
        <v>333.33300000000003</v>
      </c>
      <c r="E30" s="410">
        <f>ROUND((B$26*D30),0)</f>
        <v>25000</v>
      </c>
      <c r="F30" s="411">
        <f>E30/($B$30*730)</f>
        <v>0.34246575342465752</v>
      </c>
      <c r="G30" s="412">
        <f>ROUND($U$15+IF($E30&gt;1000,IF($E30&gt;9000,(1000*U$21/100)+(8000*U$22/100)+(($E30-9000)*U$23/100),(1000*U$21/100)+(($E30-1000)*U$22/100)),($E30*$U$21)/100)+IF(B$30&gt;T$18,$U$18*($B$30-T$18),0)+IF(B$30&gt;T$20,$U$20*($B$30-T$20),0),2)+X29</f>
        <v>2215.06</v>
      </c>
      <c r="H30" s="412"/>
      <c r="I30" s="412">
        <f>ROUND($V$15+IF($E30&gt;1000,IF($E30&gt;9000,(1000*V$21/100)+(8000*V$22/100)+(($E30-9000)*V$23/100),(1000*V$21/100)+(($E30-1000)*V$22/100)),($E30*$V$21)/100)+IF(B$30&gt;T$18,$V$18*($B$30-T$18),0)+IF(B$30&gt;T$20,$V$20*($B$30-T$20),0),2)+X29</f>
        <v>2219.9</v>
      </c>
      <c r="J30" s="428"/>
      <c r="K30" s="412">
        <f ca="1">ROUND($X$15+IF($E30&gt;1000,IF($E30&gt;9000,(1000*X$21/100)+(8000*X$22/100)+(($E30-9000)*X$23/100),(1000*X$21/100)+(($E30-1000)*X$22/100)),($E30*$X$21)/100)+IF(B$30&gt;W$18,$X$18*($B$30-W$18),0)+IF(B$30&gt;W$20,$X$20*($B$30-W$20),0),2)+X30</f>
        <v>2279.31</v>
      </c>
      <c r="L30" s="412"/>
      <c r="M30" s="412">
        <f ca="1">ROUND($Y$15+IF($E30&gt;1000,IF($E30&gt;9000,(1000*Y$21/100)+(8000*Y$22/100)+(($E30-9000)*Y$23/100),(1000*Y$21/100)+(($E30-1000)*Y$22/100)),($E30*$Y$21)/100)+IF(B$30&gt;W$18,$Y$18*($B$30-W$18),0)+IF(B$30&gt;W$20,$Y$20*($B$30-W$20),0),2)+X30</f>
        <v>2284.15</v>
      </c>
      <c r="N30" s="393"/>
      <c r="O30" s="413">
        <f t="shared" ref="O30:O32" ca="1" si="5">ROUND(K30/G30-1,4)</f>
        <v>2.9000000000000001E-2</v>
      </c>
      <c r="P30" s="393"/>
      <c r="Q30" s="413">
        <f t="shared" ca="1" si="1"/>
        <v>2.8899999999999999E-2</v>
      </c>
      <c r="R30" s="396"/>
      <c r="S30" s="413"/>
      <c r="V30" s="343" t="s">
        <v>419</v>
      </c>
      <c r="W30" s="363"/>
      <c r="X30" s="366">
        <f>X29</f>
        <v>1.56</v>
      </c>
    </row>
    <row r="31" spans="1:27" ht="15.75">
      <c r="B31" s="393"/>
      <c r="C31" s="393"/>
      <c r="D31" s="393">
        <v>500</v>
      </c>
      <c r="E31" s="410">
        <f>ROUND((B$26*D31),0)</f>
        <v>37500</v>
      </c>
      <c r="F31" s="411">
        <f>E31/($B$30*730)</f>
        <v>0.51369863013698636</v>
      </c>
      <c r="G31" s="412">
        <f>ROUND($U$15+IF($E31&gt;1000,IF($E31&gt;9000,(1000*U$21/100)+(8000*U$22/100)+(($E31-9000)*U$23/100),(1000*U$21/100)+(($E31-1000)*U$22/100)),($E31*$U$21)/100)+IF(B$30&gt;T$18,$U$18*($B$30-T$18),0)+IF(B$30&gt;T$20,$U$20*($B$30-T$20),0),2)+X29</f>
        <v>3069.69</v>
      </c>
      <c r="H31" s="412"/>
      <c r="I31" s="412">
        <f>ROUND($V$15+IF($E31&gt;1000,IF($E31&gt;9000,(1000*V$21/100)+(8000*V$22/100)+(($E31-9000)*V$23/100),(1000*V$21/100)+(($E31-1000)*V$22/100)),($E31*$V$21)/100)+IF(B$30&gt;T$18,$V$18*($B$30-T$18),0)+IF(B$30&gt;T$20,$V$20*($B$30-T$20),0),2)+X29</f>
        <v>3074.5299999999997</v>
      </c>
      <c r="J31" s="428"/>
      <c r="K31" s="412">
        <f ca="1">ROUND($X$15+IF($E31&gt;1000,IF($E31&gt;9000,(1000*X$21/100)+(8000*X$22/100)+(($E31-9000)*X$23/100),(1000*X$21/100)+(($E31-1000)*X$22/100)),($E31*$X$21)/100)+IF(B$30&gt;W$18,$X$18*($B$30-W$18),0)+IF(B$30&gt;W$20,$X$20*($B$30-W$20),0),2)+X30</f>
        <v>3166.06</v>
      </c>
      <c r="L31" s="412"/>
      <c r="M31" s="412">
        <f ca="1">ROUND($Y$15+IF($E31&gt;1000,IF($E31&gt;9000,(1000*Y$21/100)+(8000*Y$22/100)+(($E31-9000)*Y$23/100),(1000*Y$21/100)+(($E31-1000)*Y$22/100)),($E31*$Y$21)/100)+IF(B$30&gt;W$18,$Y$18*($B$30-W$18),0)+IF(B$30&gt;W$20,$Y$20*($B$30-W$20),0),2)+X30</f>
        <v>3170.9</v>
      </c>
      <c r="N31" s="393"/>
      <c r="O31" s="413">
        <f t="shared" ca="1" si="5"/>
        <v>3.1399999999999997E-2</v>
      </c>
      <c r="P31" s="393"/>
      <c r="Q31" s="413">
        <f t="shared" ca="1" si="1"/>
        <v>3.1300000000000001E-2</v>
      </c>
      <c r="R31" s="396"/>
      <c r="S31" s="413"/>
      <c r="V31" s="366"/>
      <c r="W31" s="366"/>
    </row>
    <row r="32" spans="1:27" ht="15.75">
      <c r="A32" s="384"/>
      <c r="B32" s="393"/>
      <c r="C32" s="393"/>
      <c r="D32" s="393">
        <v>666.66600000000005</v>
      </c>
      <c r="E32" s="410">
        <f>ROUND((B$26*D32),0)</f>
        <v>50000</v>
      </c>
      <c r="F32" s="411">
        <f>E32/($B$30*730)</f>
        <v>0.68493150684931503</v>
      </c>
      <c r="G32" s="412">
        <f>ROUND($U$15+IF($E32&gt;1000,IF($E32&gt;9000,(1000*U$21/100)+(8000*U$22/100)+(($E32-9000)*U$23/100),(1000*U$21/100)+(($E32-1000)*U$22/100)),($E32*$U$21)/100)+IF(B$30&gt;T$18,$U$18*($B$30-T$18),0)+IF(B$30&gt;T$20,$U$20*($B$30-T$20),0),2)+X29</f>
        <v>3924.31</v>
      </c>
      <c r="H32" s="412"/>
      <c r="I32" s="412">
        <f>ROUND($V$15+IF($E32&gt;1000,IF($E32&gt;9000,(1000*V$21/100)+(8000*V$22/100)+(($E32-9000)*V$23/100),(1000*V$21/100)+(($E32-1000)*V$22/100)),($E32*$V$21)/100)+IF(B$30&gt;T$18,$V$18*($B$30-T$18),0)+IF(B$30&gt;T$20,$V$20*($B$30-T$20),0),2)+X29</f>
        <v>3929.15</v>
      </c>
      <c r="J32" s="428"/>
      <c r="K32" s="412">
        <f ca="1">ROUND($X$15+IF($E32&gt;1000,IF($E32&gt;9000,(1000*X$21/100)+(8000*X$22/100)+(($E32-9000)*X$23/100),(1000*X$21/100)+(($E32-1000)*X$22/100)),($E32*$X$21)/100)+IF(B$30&gt;W$18,$X$18*($B$30-W$18),0)+IF(B$30&gt;W$20,$X$20*($B$30-W$20),0),2)+X30</f>
        <v>4052.81</v>
      </c>
      <c r="L32" s="412"/>
      <c r="M32" s="412">
        <f ca="1">ROUND($Y$15+IF($E32&gt;1000,IF($E32&gt;9000,(1000*Y$21/100)+(8000*Y$22/100)+(($E32-9000)*Y$23/100),(1000*Y$21/100)+(($E32-1000)*Y$22/100)),($E32*$Y$21)/100)+IF(B$30&gt;W$18,$Y$18*($B$30-W$18),0)+IF(B$30&gt;W$20,$Y$20*($B$30-W$20),0),2)+X30</f>
        <v>4057.65</v>
      </c>
      <c r="N32" s="393"/>
      <c r="O32" s="413">
        <f t="shared" ca="1" si="5"/>
        <v>3.27E-2</v>
      </c>
      <c r="P32" s="393"/>
      <c r="Q32" s="413">
        <f t="shared" ca="1" si="1"/>
        <v>3.27E-2</v>
      </c>
      <c r="R32" s="396"/>
      <c r="S32" s="413"/>
      <c r="V32" s="501" t="s">
        <v>534</v>
      </c>
      <c r="X32" s="427">
        <v>-0.30099999999999999</v>
      </c>
    </row>
    <row r="33" spans="1:24" ht="15.75">
      <c r="A33" s="384"/>
      <c r="B33" s="396"/>
      <c r="C33" s="396"/>
      <c r="D33" s="396"/>
      <c r="E33" s="396"/>
      <c r="F33" s="411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V33" s="501" t="s">
        <v>533</v>
      </c>
      <c r="X33" s="427">
        <v>-0.30099999999999999</v>
      </c>
    </row>
    <row r="34" spans="1:24" ht="15.75">
      <c r="A34" s="384"/>
      <c r="B34" s="396" t="s">
        <v>333</v>
      </c>
      <c r="C34" s="396"/>
      <c r="D34" s="396"/>
      <c r="E34" s="396"/>
      <c r="F34" s="411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V34" s="501"/>
      <c r="X34" s="690"/>
    </row>
    <row r="35" spans="1:24" ht="15.75">
      <c r="B35" s="431" t="s">
        <v>1474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U35" s="620" t="s">
        <v>13</v>
      </c>
      <c r="V35" s="501" t="s">
        <v>1472</v>
      </c>
      <c r="X35" s="343">
        <f ca="1">'Exhibit No.__(RMM-2)pg1'!S22</f>
        <v>-5.0999999999999997E-2</v>
      </c>
    </row>
    <row r="36" spans="1:24">
      <c r="A36" s="384"/>
    </row>
    <row r="37" spans="1:24">
      <c r="A37" s="384"/>
      <c r="T37" s="489" t="s">
        <v>427</v>
      </c>
      <c r="U37" s="630">
        <f ca="1">'Exhibit No.__(RMM-2)pg2'!X24</f>
        <v>2.6802699839269795E-2</v>
      </c>
    </row>
    <row r="38" spans="1:24">
      <c r="A38" s="384"/>
    </row>
    <row r="40" spans="1:24">
      <c r="A40" s="384"/>
    </row>
    <row r="41" spans="1:24">
      <c r="A41" s="384"/>
    </row>
    <row r="42" spans="1:24">
      <c r="A42" s="384"/>
    </row>
    <row r="43" spans="1:24">
      <c r="A43" s="384"/>
    </row>
    <row r="44" spans="1:24">
      <c r="A44" s="384"/>
    </row>
    <row r="45" spans="1:24">
      <c r="A45" s="384"/>
    </row>
    <row r="46" spans="1:24">
      <c r="A46" s="384"/>
    </row>
    <row r="47" spans="1:24">
      <c r="A47" s="384"/>
    </row>
  </sheetData>
  <phoneticPr fontId="0" type="noConversion"/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U57"/>
  <sheetViews>
    <sheetView view="pageBreakPreview" zoomScale="60" zoomScaleNormal="100" workbookViewId="0"/>
  </sheetViews>
  <sheetFormatPr defaultColWidth="8.5" defaultRowHeight="15"/>
  <cols>
    <col min="1" max="1" width="1.625" style="343" customWidth="1"/>
    <col min="2" max="2" width="10.375" style="343" customWidth="1"/>
    <col min="3" max="3" width="2.375" style="343" customWidth="1"/>
    <col min="4" max="4" width="10.875" style="343" hidden="1" customWidth="1"/>
    <col min="5" max="5" width="10.125" style="343" bestFit="1" customWidth="1"/>
    <col min="6" max="6" width="3.5" style="343" customWidth="1"/>
    <col min="7" max="7" width="11.75" style="343" bestFit="1" customWidth="1"/>
    <col min="8" max="8" width="3.625" style="343" customWidth="1"/>
    <col min="9" max="9" width="12.875" style="343" bestFit="1" customWidth="1"/>
    <col min="10" max="10" width="4.5" style="343" customWidth="1"/>
    <col min="11" max="11" width="12.375" style="343" customWidth="1"/>
    <col min="12" max="12" width="3.25" style="343" customWidth="1"/>
    <col min="13" max="13" width="2.375" style="343" customWidth="1"/>
    <col min="14" max="14" width="9.5" style="343" customWidth="1"/>
    <col min="15" max="15" width="10.75" style="343" bestFit="1" customWidth="1"/>
    <col min="16" max="16" width="17.25" style="343" customWidth="1"/>
    <col min="17" max="17" width="9.875" style="343" customWidth="1"/>
    <col min="18" max="18" width="8.5" style="343"/>
    <col min="19" max="19" width="7.75" style="343" customWidth="1"/>
    <col min="20" max="20" width="2.25" style="343" customWidth="1"/>
    <col min="21" max="16384" width="8.5" style="343"/>
  </cols>
  <sheetData>
    <row r="1" spans="1:19">
      <c r="A1" s="382"/>
      <c r="B1" s="382"/>
    </row>
    <row r="2" spans="1:19">
      <c r="A2" s="382"/>
      <c r="B2" s="382"/>
      <c r="C2" s="384"/>
      <c r="D2" s="384"/>
      <c r="E2" s="384"/>
      <c r="F2" s="384"/>
      <c r="G2" s="384"/>
      <c r="H2" s="384"/>
      <c r="I2" s="384"/>
    </row>
    <row r="3" spans="1:19" ht="18.75">
      <c r="A3" s="382"/>
      <c r="B3" s="344"/>
      <c r="C3" s="385"/>
      <c r="D3" s="385"/>
      <c r="E3" s="385"/>
      <c r="F3" s="385"/>
      <c r="G3" s="385"/>
      <c r="H3" s="385"/>
      <c r="I3" s="385"/>
      <c r="J3" s="346" t="s">
        <v>13</v>
      </c>
      <c r="K3" s="432"/>
      <c r="L3" s="432"/>
    </row>
    <row r="4" spans="1:19" ht="20.25">
      <c r="B4" s="387" t="s">
        <v>443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91"/>
    </row>
    <row r="5" spans="1:19" ht="20.25">
      <c r="B5" s="387" t="s">
        <v>324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91"/>
    </row>
    <row r="6" spans="1:19" ht="20.25">
      <c r="B6" s="387" t="s">
        <v>350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91"/>
    </row>
    <row r="7" spans="1:19" ht="20.25">
      <c r="B7" s="387" t="s">
        <v>13</v>
      </c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91"/>
    </row>
    <row r="8" spans="1:19" ht="18.75">
      <c r="A8" s="389"/>
      <c r="B8" s="390"/>
      <c r="C8" s="390"/>
      <c r="D8" s="390"/>
      <c r="E8" s="390"/>
      <c r="F8" s="390"/>
      <c r="G8" s="390"/>
      <c r="H8" s="390"/>
      <c r="I8" s="390"/>
      <c r="J8" s="390"/>
      <c r="K8" s="391"/>
      <c r="L8" s="391"/>
      <c r="M8" s="390"/>
    </row>
    <row r="9" spans="1:19">
      <c r="A9" s="384"/>
      <c r="B9" s="382"/>
    </row>
    <row r="10" spans="1:19" ht="15.75">
      <c r="A10" s="384"/>
      <c r="B10" s="392" t="s">
        <v>335</v>
      </c>
      <c r="C10" s="393"/>
      <c r="D10" s="393"/>
      <c r="E10" s="393"/>
      <c r="F10" s="393"/>
      <c r="G10" s="394" t="s">
        <v>336</v>
      </c>
      <c r="H10" s="394"/>
      <c r="I10" s="394"/>
      <c r="J10" s="393"/>
      <c r="K10" s="396"/>
      <c r="L10" s="396"/>
      <c r="M10" s="384"/>
    </row>
    <row r="11" spans="1:19" ht="16.5" thickBot="1">
      <c r="A11" s="384"/>
      <c r="B11" s="397" t="s">
        <v>337</v>
      </c>
      <c r="C11" s="395"/>
      <c r="D11" s="392" t="s">
        <v>338</v>
      </c>
      <c r="E11" s="393"/>
      <c r="F11" s="393"/>
      <c r="G11" s="433" t="s">
        <v>326</v>
      </c>
      <c r="H11" s="396"/>
      <c r="I11" s="433" t="s">
        <v>120</v>
      </c>
      <c r="J11" s="393"/>
      <c r="K11" s="392" t="s">
        <v>327</v>
      </c>
      <c r="L11" s="395"/>
      <c r="M11" s="384"/>
      <c r="O11" s="434"/>
    </row>
    <row r="12" spans="1:19" ht="15.75">
      <c r="A12" s="384"/>
      <c r="B12" s="400" t="s">
        <v>210</v>
      </c>
      <c r="C12" s="401"/>
      <c r="D12" s="402" t="s">
        <v>340</v>
      </c>
      <c r="E12" s="400" t="s">
        <v>9</v>
      </c>
      <c r="F12" s="393"/>
      <c r="G12" s="400" t="s">
        <v>19</v>
      </c>
      <c r="H12" s="435"/>
      <c r="I12" s="400" t="s">
        <v>351</v>
      </c>
      <c r="J12" s="393"/>
      <c r="K12" s="400" t="s">
        <v>114</v>
      </c>
      <c r="L12" s="691"/>
      <c r="M12" s="384"/>
      <c r="N12" s="436" t="s">
        <v>328</v>
      </c>
      <c r="P12" s="437"/>
      <c r="Q12" s="438"/>
      <c r="R12" s="437" t="s">
        <v>329</v>
      </c>
      <c r="S12" s="438"/>
    </row>
    <row r="13" spans="1:19" ht="15.75">
      <c r="A13" s="384"/>
      <c r="B13" s="393"/>
      <c r="C13" s="393"/>
      <c r="D13" s="393"/>
      <c r="E13" s="393"/>
      <c r="F13" s="393"/>
      <c r="G13" s="401"/>
      <c r="H13" s="401"/>
      <c r="I13" s="401"/>
      <c r="J13" s="396"/>
      <c r="K13" s="396"/>
      <c r="L13" s="396"/>
      <c r="N13" s="408" t="s">
        <v>208</v>
      </c>
      <c r="O13" s="351" t="s">
        <v>75</v>
      </c>
      <c r="P13" s="351" t="s">
        <v>352</v>
      </c>
      <c r="Q13" s="409"/>
      <c r="R13" s="351" t="s">
        <v>75</v>
      </c>
      <c r="S13" s="439" t="s">
        <v>352</v>
      </c>
    </row>
    <row r="14" spans="1:19" ht="15.75">
      <c r="A14" s="384"/>
      <c r="B14" s="393">
        <v>100</v>
      </c>
      <c r="C14" s="393"/>
      <c r="D14" s="393">
        <v>300</v>
      </c>
      <c r="E14" s="410">
        <v>25000</v>
      </c>
      <c r="F14" s="393"/>
      <c r="G14" s="692">
        <f>ROUND(IF($E14&lt;40001,$E14*$O$19/100,40000*$O$19/100+($E14-40000)*$O$20/100)+MAX(100, $B$14)*$O$18+IF($B$14&lt;101,$O$14,IF($B$14&lt;301,$O$15+$B$14*$P$15,$O$16+$B$14*$P$16)),2)+R26</f>
        <v>2350.39</v>
      </c>
      <c r="H14" s="412"/>
      <c r="I14" s="692">
        <f ca="1">ROUND(IF($E14&lt;40001,$E14*$R$19/100,40000*$R$19/100+($E14-40000)*$R$20/100)+MAX(100, $B$14)*$R$18+IF($B$14&lt;101,$R$14,IF($B$14&lt;301,$R$15+$B$14*$S$15,$R$16+$B$14*$S$16)),2)+R27</f>
        <v>2415.14</v>
      </c>
      <c r="J14" s="393"/>
      <c r="K14" s="413">
        <f ca="1">ROUND(I14/G14-1,4)</f>
        <v>2.75E-2</v>
      </c>
      <c r="L14" s="413"/>
      <c r="M14" s="384"/>
      <c r="N14" s="408" t="s">
        <v>353</v>
      </c>
      <c r="O14" s="440">
        <f>'Exhibit No.__(RMM-3)'!D547</f>
        <v>248</v>
      </c>
      <c r="P14" s="415"/>
      <c r="Q14" s="409"/>
      <c r="R14" s="440">
        <f>'Exhibit No.__(RMM-3)'!J585</f>
        <v>248</v>
      </c>
      <c r="S14" s="420"/>
    </row>
    <row r="15" spans="1:19" ht="15.75">
      <c r="A15" s="384"/>
      <c r="B15" s="393"/>
      <c r="C15" s="393"/>
      <c r="D15" s="393">
        <v>500</v>
      </c>
      <c r="E15" s="410">
        <v>37500</v>
      </c>
      <c r="F15" s="393"/>
      <c r="G15" s="412">
        <f>ROUND(IF($E15&lt;40001,$E15*$O$19/100,40000*$O$19/100+($E15-40000)*$O$20/100)+MAX(100, $B$14)*$O$18+IF($B$14&lt;101,$O$14,IF($B$14&lt;301,$O$15+$B$14*$P$15,$O$16+$B$14*$P$16)),2)+R26</f>
        <v>3067.64</v>
      </c>
      <c r="H15" s="412"/>
      <c r="I15" s="412">
        <f ca="1">ROUND(IF($E15&lt;40001,$E15*$R$19/100,40000*$R$19/100+($E15-40000)*$R$20/100)+MAX(100, $B$14)*$R$18+IF($B$14&lt;101,$R$14,IF($B$14&lt;301,$R$15+$B$14*$S$15,$R$16+$B$14*$S$16)),2)+R27</f>
        <v>3164.77</v>
      </c>
      <c r="J15" s="393"/>
      <c r="K15" s="413">
        <f ca="1">ROUND(I15/G15-1,4)</f>
        <v>3.1699999999999999E-2</v>
      </c>
      <c r="L15" s="413"/>
      <c r="M15" s="384"/>
      <c r="N15" s="408" t="s">
        <v>354</v>
      </c>
      <c r="O15" s="440">
        <f>'Exhibit No.__(RMM-3)'!D548</f>
        <v>93</v>
      </c>
      <c r="P15" s="414">
        <f>'Exhibit No.__(RMM-3)'!D551</f>
        <v>1.8</v>
      </c>
      <c r="Q15" s="439"/>
      <c r="R15" s="440">
        <f>'Exhibit No.__(RMM-3)'!J586</f>
        <v>93</v>
      </c>
      <c r="S15" s="360">
        <f>'Exhibit No.__(RMM-3)'!J589</f>
        <v>1.8</v>
      </c>
    </row>
    <row r="16" spans="1:19" ht="15.75">
      <c r="A16" s="384"/>
      <c r="B16" s="393"/>
      <c r="C16" s="393"/>
      <c r="D16" s="393">
        <v>700</v>
      </c>
      <c r="E16" s="410">
        <v>50000</v>
      </c>
      <c r="F16" s="393"/>
      <c r="G16" s="412">
        <f>ROUND(IF($E16&lt;40001,$E16*$O$19/100,40000*$O$19/100+($E16-40000)*$O$20/100)+MAX(100, $B$14)*$O$18+IF($B$14&lt;101,$O$14,IF($B$14&lt;301,$O$15+$B$14*$P$15,$O$16+$B$14*$P$16)),2)+R26</f>
        <v>3734.69</v>
      </c>
      <c r="H16" s="412"/>
      <c r="I16" s="412">
        <f ca="1">ROUND(IF($E16&lt;40001,$E16*$R$19/100,40000*$R$19/100+($E16-40000)*$R$20/100)+MAX(100, $B$14)*$R$18+IF($B$14&lt;101,$R$14,IF($B$14&lt;301,$R$15+$B$14*$S$15,$R$16+$B$14*$S$16)),2)+R27</f>
        <v>3864.19</v>
      </c>
      <c r="J16" s="393"/>
      <c r="K16" s="413">
        <f ca="1">ROUND(I16/G16-1,4)</f>
        <v>3.4700000000000002E-2</v>
      </c>
      <c r="L16" s="413"/>
      <c r="N16" s="408" t="s">
        <v>355</v>
      </c>
      <c r="O16" s="440">
        <f>'Exhibit No.__(RMM-3)'!D549</f>
        <v>185</v>
      </c>
      <c r="P16" s="414">
        <f>'Exhibit No.__(RMM-3)'!D552</f>
        <v>1.48</v>
      </c>
      <c r="Q16" s="409"/>
      <c r="R16" s="440">
        <f>'Exhibit No.__(RMM-3)'!J587</f>
        <v>185</v>
      </c>
      <c r="S16" s="360">
        <f>'Exhibit No.__(RMM-3)'!J590</f>
        <v>1.48</v>
      </c>
    </row>
    <row r="17" spans="1:21" ht="15.75">
      <c r="A17" s="384"/>
      <c r="B17" s="393"/>
      <c r="C17" s="393"/>
      <c r="D17" s="393"/>
      <c r="E17" s="393"/>
      <c r="F17" s="393"/>
      <c r="G17" s="412"/>
      <c r="H17" s="412"/>
      <c r="I17" s="412"/>
      <c r="J17" s="396"/>
      <c r="K17" s="413"/>
      <c r="L17" s="413"/>
      <c r="M17" s="384"/>
      <c r="N17" s="408"/>
      <c r="O17" s="415"/>
      <c r="P17" s="415"/>
      <c r="Q17" s="409"/>
      <c r="R17" s="415"/>
      <c r="S17" s="420"/>
    </row>
    <row r="18" spans="1:21" ht="15.75">
      <c r="A18" s="384"/>
      <c r="B18" s="393">
        <v>200</v>
      </c>
      <c r="C18" s="393"/>
      <c r="D18" s="393">
        <v>300</v>
      </c>
      <c r="E18" s="410">
        <f>ROUND((B$18*D18),0)</f>
        <v>60000</v>
      </c>
      <c r="F18" s="393"/>
      <c r="G18" s="412">
        <f>ROUND(IF($E18&lt;40001,$E18*$O$19/100,40000*$O$19/100+($E18-40000)*$O$20/100)+MAX(100, $B$18)*$O$18+IF($B$18&lt;101,$O$14,IF($B$18&lt;301,$O$15+$B$18*$P$15,$O$16+$B$18*$P$16)),2)+R26</f>
        <v>5093.29</v>
      </c>
      <c r="H18" s="412"/>
      <c r="I18" s="412">
        <f ca="1">ROUND(IF($E18&lt;40001,$E18*$R$19/100,40000*$R$19/100+($E18-40000)*$R$20/100)+MAX(100, $B$18)*$R$18+IF($B$18&lt;101,$R$14,IF($B$18&lt;301,$R$15+$B$18*$S$15,$R$16+$B$18*$S$16)),2)+R27</f>
        <v>5248.6900000000005</v>
      </c>
      <c r="J18" s="393"/>
      <c r="K18" s="413">
        <f ca="1">ROUND(I18/G18-1,4)</f>
        <v>3.0499999999999999E-2</v>
      </c>
      <c r="L18" s="413"/>
      <c r="M18" s="384"/>
      <c r="N18" s="408" t="s">
        <v>210</v>
      </c>
      <c r="O18" s="414">
        <f>'Exhibit No.__(RMM-3)'!D554</f>
        <v>6.3</v>
      </c>
      <c r="P18" s="415"/>
      <c r="Q18" s="409"/>
      <c r="R18" s="414">
        <f>'Exhibit No.__(RMM-3)'!J592</f>
        <v>6.3</v>
      </c>
      <c r="S18" s="420"/>
      <c r="U18" s="535">
        <f>(R18-O18)/O18</f>
        <v>0</v>
      </c>
    </row>
    <row r="19" spans="1:21" ht="15.75">
      <c r="A19" s="384"/>
      <c r="B19" s="393"/>
      <c r="C19" s="393"/>
      <c r="D19" s="393">
        <v>500</v>
      </c>
      <c r="E19" s="410">
        <f>ROUND((B$18*D19),0)</f>
        <v>100000</v>
      </c>
      <c r="F19" s="393"/>
      <c r="G19" s="412">
        <f>ROUND(IF($E19&lt;40001,$E19*$O$19/100,40000*$O$19/100+($E19-40000)*$O$20/100)+MAX(100, $B$18)*$O$18+IF($B$18&lt;101,$O$14,IF($B$18&lt;301,$O$15+$B$18*$P$15,$O$16+$B$18*$P$16)),2)+R26</f>
        <v>7187.6900000000005</v>
      </c>
      <c r="H19" s="412"/>
      <c r="I19" s="412">
        <f ca="1">ROUND(IF($E19&lt;40001,$E19*$R$19/100,40000*$R$19/100+($E19-40000)*$R$20/100)+MAX(100, $B$18)*$R$18+IF($B$18&lt;101,$R$14,IF($B$18&lt;301,$R$15+$B$18*$S$15,$R$16+$B$18*$S$16)),2)+R27</f>
        <v>7446.6900000000005</v>
      </c>
      <c r="J19" s="393"/>
      <c r="K19" s="413">
        <f ca="1">ROUND(I19/G19-1,4)</f>
        <v>3.5999999999999997E-2</v>
      </c>
      <c r="L19" s="413"/>
      <c r="M19" s="384"/>
      <c r="N19" s="408" t="s">
        <v>356</v>
      </c>
      <c r="O19" s="441">
        <f>'Exhibit No.__(RMM-3)'!D557+R22+R29</f>
        <v>5.7380000000000004</v>
      </c>
      <c r="P19" s="441"/>
      <c r="Q19" s="442"/>
      <c r="R19" s="441">
        <f ca="1">'Exhibit No.__(RMM-3)'!J595+R23+R30+R32</f>
        <v>5.9970000000000008</v>
      </c>
      <c r="S19" s="420"/>
      <c r="U19" s="535">
        <f ca="1">(R19-O19)/O19</f>
        <v>4.5137678633670325E-2</v>
      </c>
    </row>
    <row r="20" spans="1:21" ht="15.75">
      <c r="A20" s="384"/>
      <c r="B20" s="393"/>
      <c r="C20" s="393"/>
      <c r="D20" s="393">
        <v>700</v>
      </c>
      <c r="E20" s="410">
        <f>ROUND((B$18*D20),0)</f>
        <v>140000</v>
      </c>
      <c r="F20" s="393"/>
      <c r="G20" s="412">
        <f>ROUND(IF($E20&lt;40001,$E20*$O$19/100,40000*$O$19/100+($E20-40000)*$O$20/100)+MAX(100, $B$18)*$O$18+IF($B$18&lt;101,$O$14,IF($B$18&lt;301,$O$15+$B$18*$P$15,$O$16+$B$18*$P$16)),2)+R26</f>
        <v>9282.09</v>
      </c>
      <c r="H20" s="412"/>
      <c r="I20" s="412">
        <f ca="1">ROUND(IF($E20&lt;40001,$E20*$R$19/100,40000*$R$19/100+($E20-40000)*$R$20/100)+MAX(100, $B$18)*$R$18+IF($B$18&lt;101,$R$14,IF($B$18&lt;301,$R$15+$B$18*$S$15,$R$16+$B$18*$S$16)),2)+R27</f>
        <v>9644.6899999999987</v>
      </c>
      <c r="J20" s="393"/>
      <c r="K20" s="413">
        <f ca="1">ROUND(I20/G20-1,4)</f>
        <v>3.9100000000000003E-2</v>
      </c>
      <c r="L20" s="413"/>
      <c r="N20" s="408" t="s">
        <v>357</v>
      </c>
      <c r="O20" s="441">
        <f>'Exhibit No.__(RMM-3)'!D558+R22+R29</f>
        <v>5.2360000000000007</v>
      </c>
      <c r="P20" s="441"/>
      <c r="Q20" s="442"/>
      <c r="R20" s="441">
        <f ca="1">'Exhibit No.__(RMM-3)'!J596+R23+R30+R32</f>
        <v>5.4950000000000001</v>
      </c>
      <c r="S20" s="420"/>
      <c r="U20" s="535">
        <f ca="1">(R20-O20)/O20</f>
        <v>4.9465240641711122E-2</v>
      </c>
    </row>
    <row r="21" spans="1:21" ht="16.5" thickBot="1">
      <c r="A21" s="384"/>
      <c r="B21" s="393"/>
      <c r="C21" s="393"/>
      <c r="D21" s="393"/>
      <c r="E21" s="393"/>
      <c r="F21" s="393"/>
      <c r="G21" s="412"/>
      <c r="H21" s="412"/>
      <c r="I21" s="412"/>
      <c r="J21" s="396"/>
      <c r="K21" s="413"/>
      <c r="L21" s="413"/>
      <c r="M21" s="384"/>
      <c r="N21" s="443" t="s">
        <v>13</v>
      </c>
      <c r="O21" s="444" t="s">
        <v>13</v>
      </c>
      <c r="P21" s="425" t="s">
        <v>13</v>
      </c>
      <c r="Q21" s="426"/>
      <c r="R21" s="444" t="s">
        <v>13</v>
      </c>
      <c r="S21" s="445"/>
    </row>
    <row r="22" spans="1:21" ht="15.75">
      <c r="A22" s="384"/>
      <c r="B22" s="393">
        <v>300</v>
      </c>
      <c r="C22" s="393"/>
      <c r="D22" s="393">
        <v>300</v>
      </c>
      <c r="E22" s="410">
        <f>ROUND((B$22*D22),0)</f>
        <v>90000</v>
      </c>
      <c r="F22" s="393"/>
      <c r="G22" s="412">
        <f>ROUND(IF($E22&lt;40001,$E22*$O$19/100,40000*$O$19/100+($E22-40000)*$O$20/100)+MAX(100, $B$22)*$O$18+IF($B$22&lt;101,$O$14,IF($B$22&lt;301,$O$15+$B$22*$P$15,$O$16+$B$22*$P$16)),2)+R26</f>
        <v>7474.09</v>
      </c>
      <c r="H22" s="412"/>
      <c r="I22" s="412">
        <f ca="1">ROUND(IF($E22&lt;40001,$E22*$R$19/100,40000*$R$19/100+($E22-40000)*$R$20/100)+MAX(100, $B$22)*$R$18+IF($B$22&lt;101,$R$14,IF($B$22&lt;301,$R$15+$B$22*$S$15,$R$16+$B$22*$S$16)),2)+R27</f>
        <v>7707.1900000000005</v>
      </c>
      <c r="J22" s="393"/>
      <c r="K22" s="413">
        <f ca="1">ROUND(I22/G22-1,4)</f>
        <v>3.1199999999999999E-2</v>
      </c>
      <c r="L22" s="413"/>
      <c r="M22" s="384"/>
      <c r="P22" s="370" t="s">
        <v>88</v>
      </c>
      <c r="Q22" s="370"/>
      <c r="R22" s="371">
        <v>0.245</v>
      </c>
      <c r="U22" s="501" t="s">
        <v>13</v>
      </c>
    </row>
    <row r="23" spans="1:21" ht="15.75">
      <c r="A23" s="384"/>
      <c r="B23" s="393"/>
      <c r="C23" s="393"/>
      <c r="D23" s="393">
        <v>500</v>
      </c>
      <c r="E23" s="410">
        <f>ROUND((B$22*D23),0)</f>
        <v>150000</v>
      </c>
      <c r="F23" s="393"/>
      <c r="G23" s="412">
        <f>ROUND(IF($E23&lt;40001,$E23*$O$19/100,40000*$O$19/100+($E23-40000)*$O$20/100)+MAX(100, $B$22)*$O$18+IF($B$22&lt;101,$O$14,IF($B$22&lt;301,$O$15+$B$22*$P$15,$O$16+$B$22*$P$16)),2)+R26</f>
        <v>10615.689999999999</v>
      </c>
      <c r="H23" s="412"/>
      <c r="I23" s="412">
        <f ca="1">ROUND(IF($E23&lt;40001,$E23*$R$19/100,40000*$R$19/100+($E23-40000)*$R$20/100)+MAX(100, $B$22)*$R$18+IF($B$22&lt;101,$R$14,IF($B$22&lt;301,$R$15+$B$22*$S$15,$R$16+$B$22*$S$16)),2)+R27</f>
        <v>11004.189999999999</v>
      </c>
      <c r="J23" s="393"/>
      <c r="K23" s="413">
        <f ca="1">ROUND(I23/G23-1,4)</f>
        <v>3.6600000000000001E-2</v>
      </c>
      <c r="L23" s="413"/>
      <c r="M23" s="384"/>
      <c r="P23" s="370"/>
      <c r="Q23" s="370"/>
      <c r="R23" s="371">
        <v>0.245</v>
      </c>
    </row>
    <row r="24" spans="1:21" ht="15.75">
      <c r="A24" s="384"/>
      <c r="B24" s="393"/>
      <c r="C24" s="393"/>
      <c r="D24" s="393">
        <v>700</v>
      </c>
      <c r="E24" s="410">
        <f>ROUND((B$22*D24),0)</f>
        <v>210000</v>
      </c>
      <c r="F24" s="393"/>
      <c r="G24" s="412">
        <f>ROUND(IF($E24&lt;40001,$E24*$O$19/100,40000*$O$19/100+($E24-40000)*$O$20/100)+MAX(100, $B$22)*$O$18+IF($B$22&lt;101,$O$14,IF($B$22&lt;301,$O$15+$B$22*$P$15,$O$16+$B$22*$P$16)),2)+R26</f>
        <v>13757.289999999999</v>
      </c>
      <c r="H24" s="412"/>
      <c r="I24" s="412">
        <f ca="1">ROUND(IF($E24&lt;40001,$E24*$R$19/100,40000*$R$19/100+($E24-40000)*$R$20/100)+MAX(100, $B$22)*$R$18+IF($B$22&lt;101,$R$14,IF($B$22&lt;301,$R$15+$B$22*$S$15,$R$16+$B$22*$S$16)),2)+R27</f>
        <v>14301.189999999999</v>
      </c>
      <c r="J24" s="393"/>
      <c r="K24" s="413">
        <f ca="1">ROUND(I24/G24-1,4)</f>
        <v>3.95E-2</v>
      </c>
      <c r="L24" s="413"/>
      <c r="P24" s="370"/>
      <c r="Q24" s="370"/>
      <c r="R24" s="374"/>
    </row>
    <row r="25" spans="1:21" ht="15.75">
      <c r="A25" s="384"/>
      <c r="B25" s="393"/>
      <c r="C25" s="393"/>
      <c r="D25" s="393"/>
      <c r="E25" s="393"/>
      <c r="F25" s="393"/>
      <c r="G25" s="412"/>
      <c r="H25" s="412"/>
      <c r="I25" s="412"/>
      <c r="J25" s="396"/>
      <c r="K25" s="413"/>
      <c r="L25" s="413"/>
      <c r="M25" s="384"/>
      <c r="P25" s="343" t="s">
        <v>13</v>
      </c>
      <c r="Q25" s="343" t="s">
        <v>13</v>
      </c>
      <c r="R25" s="343" t="s">
        <v>13</v>
      </c>
    </row>
    <row r="26" spans="1:21" ht="15.75">
      <c r="A26" s="384"/>
      <c r="B26" s="393">
        <v>400</v>
      </c>
      <c r="C26" s="393"/>
      <c r="D26" s="393">
        <v>300</v>
      </c>
      <c r="E26" s="410">
        <f>ROUND((B$26*D26),0)</f>
        <v>120000</v>
      </c>
      <c r="F26" s="393"/>
      <c r="G26" s="412">
        <f>ROUND(IF($E26&lt;40001,$E26*$O$19/100,40000*$O$19/100+($E26-40000)*$O$20/100)+MAX(100, $B$26)*$O$18+IF($B$26&lt;101,$O$14,IF($B$26&lt;301,$O$15+$B$26*$P$15,$O$16+$B$26*$P$16)),2)+R26</f>
        <v>9818.89</v>
      </c>
      <c r="H26" s="412"/>
      <c r="I26" s="412">
        <f ca="1">ROUND(IF($E26&lt;40001,$E26*$R$19/100,40000*$R$19/100+($E26-40000)*$R$20/100)+MAX(100, $B$26)*$R$18+IF($B$26&lt;101,$R$14,IF($B$26&lt;301,$R$15+$B$26*$S$15,$R$16+$B$26*$S$16)),2)+R27</f>
        <v>10129.689999999999</v>
      </c>
      <c r="J26" s="393"/>
      <c r="K26" s="413">
        <f ca="1">ROUND(I26/G26-1,4)</f>
        <v>3.1699999999999999E-2</v>
      </c>
      <c r="L26" s="413"/>
      <c r="M26" s="384"/>
      <c r="P26" s="343" t="s">
        <v>420</v>
      </c>
      <c r="R26" s="416">
        <v>37.89</v>
      </c>
      <c r="S26" s="343" t="s">
        <v>13</v>
      </c>
    </row>
    <row r="27" spans="1:21" ht="15.75">
      <c r="A27" s="384"/>
      <c r="B27" s="393"/>
      <c r="C27" s="393"/>
      <c r="D27" s="393">
        <v>500</v>
      </c>
      <c r="E27" s="410">
        <f>ROUND((B$26*D27),0)</f>
        <v>200000</v>
      </c>
      <c r="F27" s="393"/>
      <c r="G27" s="412">
        <f>ROUND(IF($E27&lt;40001,$E27*$O$19/100,40000*$O$19/100+($E27-40000)*$O$20/100)+MAX(100, $B$26)*$O$18+IF($B$26&lt;101,$O$14,IF($B$26&lt;301,$O$15+$B$26*$P$15,$O$16+$B$26*$P$16)),2)+R26</f>
        <v>14007.689999999999</v>
      </c>
      <c r="H27" s="412"/>
      <c r="I27" s="412">
        <f ca="1">ROUND(IF($E27&lt;40001,$E27*$R$19/100,40000*$R$19/100+($E27-40000)*$R$20/100)+MAX(100, $B$26)*$R$18+IF($B$26&lt;101,$R$14,IF($B$26&lt;301,$R$15+$B$26*$S$15,$R$16+$B$26*$S$16)),2)+R27</f>
        <v>14525.689999999999</v>
      </c>
      <c r="J27" s="393"/>
      <c r="K27" s="413">
        <f ca="1">ROUND(I27/G27-1,4)</f>
        <v>3.6999999999999998E-2</v>
      </c>
      <c r="L27" s="413"/>
      <c r="M27" s="384"/>
      <c r="P27" s="343" t="s">
        <v>419</v>
      </c>
      <c r="R27" s="416">
        <f>R26</f>
        <v>37.89</v>
      </c>
    </row>
    <row r="28" spans="1:21" ht="15.75">
      <c r="A28" s="384"/>
      <c r="B28" s="393"/>
      <c r="C28" s="393"/>
      <c r="D28" s="393">
        <v>700</v>
      </c>
      <c r="E28" s="410">
        <f>ROUND((B$26*D28),0)</f>
        <v>280000</v>
      </c>
      <c r="F28" s="393"/>
      <c r="G28" s="412">
        <f>ROUND(IF($E28&lt;40001,$E28*$O$19/100,40000*$O$19/100+($E28-40000)*$O$20/100)+MAX(100, $B$26)*$O$18+IF($B$26&lt;101,$O$14,IF($B$26&lt;301,$O$15+$B$26*$P$15,$O$16+$B$26*$P$16)),2)+R26</f>
        <v>18196.489999999998</v>
      </c>
      <c r="H28" s="412"/>
      <c r="I28" s="412">
        <f ca="1">ROUND(IF($E28&lt;40001,$E28*$R$19/100,40000*$R$19/100+($E28-40000)*$R$20/100)+MAX(100, $B$26)*$R$18+IF($B$26&lt;101,$R$14,IF($B$26&lt;301,$R$15+$B$26*$S$15,$R$16+$B$26*$S$16)),2)+R27</f>
        <v>18921.689999999999</v>
      </c>
      <c r="J28" s="393"/>
      <c r="K28" s="413">
        <f ca="1">ROUND(I28/G28-1,4)</f>
        <v>3.9899999999999998E-2</v>
      </c>
      <c r="L28" s="413"/>
    </row>
    <row r="29" spans="1:21" ht="15.75">
      <c r="A29" s="384"/>
      <c r="B29" s="393"/>
      <c r="C29" s="393"/>
      <c r="D29" s="393"/>
      <c r="E29" s="393"/>
      <c r="F29" s="393"/>
      <c r="G29" s="412"/>
      <c r="H29" s="412"/>
      <c r="I29" s="412"/>
      <c r="J29" s="396"/>
      <c r="K29" s="413"/>
      <c r="L29" s="413"/>
      <c r="M29" s="384"/>
      <c r="P29" s="501" t="s">
        <v>534</v>
      </c>
      <c r="R29" s="501">
        <v>-0.255</v>
      </c>
    </row>
    <row r="30" spans="1:21" ht="15.75">
      <c r="A30" s="384"/>
      <c r="B30" s="393">
        <v>600</v>
      </c>
      <c r="C30" s="393"/>
      <c r="D30" s="393">
        <v>300</v>
      </c>
      <c r="E30" s="410">
        <f>ROUND((B$30*D30),0)</f>
        <v>180000</v>
      </c>
      <c r="F30" s="393"/>
      <c r="G30" s="412">
        <f>ROUND(IF($E30&lt;40001,$E30*$O$19/100,40000*$O$19/100+($E30-40000)*$O$20/100)+MAX(100, $B$30)*$O$18+IF($B$30&lt;101,$O$14,IF($B$30&lt;301,$O$15+$B$30*$P$15,$O$16+$B$30*$P$16)),2)+R26</f>
        <v>14516.49</v>
      </c>
      <c r="H30" s="412"/>
      <c r="I30" s="412">
        <f ca="1">ROUND(IF($E30&lt;40001,$E30*$R$19/100,40000*$R$19/100+($E30-40000)*$R$20/100)+MAX(100, $B$30)*$R$18+IF($B$30&lt;101,$R$14,IF($B$30&lt;301,$R$15+$B$30*$S$15,$R$16+$B$30*$S$16)),2)+R27</f>
        <v>14982.689999999999</v>
      </c>
      <c r="J30" s="393"/>
      <c r="K30" s="413">
        <f ca="1">ROUND(I30/G30-1,4)</f>
        <v>3.2099999999999997E-2</v>
      </c>
      <c r="L30" s="413"/>
      <c r="M30" s="384"/>
      <c r="P30" s="501" t="s">
        <v>533</v>
      </c>
      <c r="R30" s="501">
        <v>-0.255</v>
      </c>
    </row>
    <row r="31" spans="1:21" ht="15.75">
      <c r="A31" s="384"/>
      <c r="B31" s="393"/>
      <c r="C31" s="393"/>
      <c r="D31" s="393">
        <v>500</v>
      </c>
      <c r="E31" s="410">
        <f>ROUND((B$30*D31),0)</f>
        <v>300000</v>
      </c>
      <c r="F31" s="393"/>
      <c r="G31" s="412">
        <f>ROUND(IF($E31&lt;40001,$E31*$O$19/100,40000*$O$19/100+($E31-40000)*$O$20/100)+MAX(100, $B$30)*$O$18+IF($B$30&lt;101,$O$14,IF($B$30&lt;301,$O$15+$B$30*$P$15,$O$16+$B$30*$P$16)),2)+R26</f>
        <v>20799.689999999999</v>
      </c>
      <c r="H31" s="412"/>
      <c r="I31" s="412">
        <f ca="1">ROUND(IF($E31&lt;40001,$E31*$R$19/100,40000*$R$19/100+($E31-40000)*$R$20/100)+MAX(100, $B$30)*$R$18+IF($B$30&lt;101,$R$14,IF($B$30&lt;301,$R$15+$B$30*$S$15,$R$16+$B$30*$S$16)),2)+R27</f>
        <v>21576.69</v>
      </c>
      <c r="J31" s="393"/>
      <c r="K31" s="413">
        <f ca="1">ROUND(I31/G31-1,4)</f>
        <v>3.7400000000000003E-2</v>
      </c>
      <c r="L31" s="413"/>
      <c r="M31" s="384"/>
      <c r="P31" s="501"/>
      <c r="R31" s="690"/>
    </row>
    <row r="32" spans="1:21" ht="15.75">
      <c r="A32" s="384"/>
      <c r="B32" s="393"/>
      <c r="C32" s="393"/>
      <c r="D32" s="393">
        <v>700</v>
      </c>
      <c r="E32" s="410">
        <f>ROUND((B$30*D32),0)</f>
        <v>420000</v>
      </c>
      <c r="F32" s="393"/>
      <c r="G32" s="412">
        <f>ROUND(IF($E32&lt;40001,$E32*$O$19/100,40000*$O$19/100+($E32-40000)*$O$20/100)+MAX(100, $B$30)*$O$18+IF($B$30&lt;101,$O$14,IF($B$30&lt;301,$O$15+$B$30*$P$15,$O$16+$B$30*$P$16)),2)+R26</f>
        <v>27082.89</v>
      </c>
      <c r="H32" s="412"/>
      <c r="I32" s="412">
        <f ca="1">ROUND(IF($E32&lt;40001,$E32*$R$19/100,40000*$R$19/100+($E32-40000)*$R$20/100)+MAX(100, $B$30)*$R$18+IF($B$30&lt;101,$R$14,IF($B$30&lt;301,$R$15+$B$30*$S$15,$R$16+$B$30*$S$16)),2)+R27</f>
        <v>28170.69</v>
      </c>
      <c r="J32" s="393"/>
      <c r="K32" s="413">
        <f ca="1">ROUND(I32/G32-1,4)</f>
        <v>4.02E-2</v>
      </c>
      <c r="L32" s="413"/>
      <c r="P32" s="501" t="s">
        <v>1472</v>
      </c>
      <c r="R32" s="343">
        <f ca="1">'Exhibit No.__(RMM-2)pg1'!S24</f>
        <v>-0.05</v>
      </c>
    </row>
    <row r="33" spans="1:18" ht="15.75">
      <c r="A33" s="384"/>
      <c r="B33" s="393"/>
      <c r="C33" s="393"/>
      <c r="D33" s="393"/>
      <c r="E33" s="393"/>
      <c r="F33" s="393"/>
      <c r="G33" s="412"/>
      <c r="H33" s="412"/>
      <c r="I33" s="412"/>
      <c r="J33" s="396"/>
      <c r="K33" s="413"/>
      <c r="L33" s="413"/>
      <c r="M33" s="384"/>
      <c r="R33" s="343" t="s">
        <v>13</v>
      </c>
    </row>
    <row r="34" spans="1:18" ht="15.75">
      <c r="A34" s="384"/>
      <c r="B34" s="393">
        <v>800</v>
      </c>
      <c r="C34" s="393"/>
      <c r="D34" s="393">
        <v>300</v>
      </c>
      <c r="E34" s="410">
        <f>ROUND((B$34*D34),0)</f>
        <v>240000</v>
      </c>
      <c r="F34" s="393"/>
      <c r="G34" s="412">
        <f>ROUND(IF($E34&lt;40001,$E34*$O$19/100,40000*$O$19/100+($E34-40000)*$O$20/100)+MAX(100, $B$34)*$O$18+IF($B$34&lt;101,$O$14,IF($B$34&lt;301,$O$15+$B$34*$P$15,$O$16+$B$34*$P$16)),2)+R26</f>
        <v>19214.09</v>
      </c>
      <c r="H34" s="412"/>
      <c r="I34" s="412">
        <f ca="1">ROUND(IF($E34&lt;40001,$E34*$R$19/100,40000*$R$19/100+($E34-40000)*$R$20/100)+MAX(100, $B$34)*$R$18+IF($B$34&lt;101,$R$14,IF($B$34&lt;301,$R$15+$B$34*$S$15,$R$16+$B$34*$S$16)),2)+R27</f>
        <v>19835.689999999999</v>
      </c>
      <c r="J34" s="393"/>
      <c r="K34" s="413">
        <f ca="1">ROUND(I34/G34-1,4)</f>
        <v>3.2399999999999998E-2</v>
      </c>
      <c r="L34" s="413"/>
      <c r="M34" s="384"/>
      <c r="N34" s="489" t="s">
        <v>427</v>
      </c>
      <c r="O34" s="469">
        <f ca="1">'Exhibit No.__(RMM-2)pg2'!X26</f>
        <v>3.1913666336480184E-2</v>
      </c>
    </row>
    <row r="35" spans="1:18" ht="15.75">
      <c r="A35" s="384"/>
      <c r="B35" s="393"/>
      <c r="C35" s="393"/>
      <c r="D35" s="393">
        <v>500</v>
      </c>
      <c r="E35" s="410">
        <f>ROUND((B$34*D35),0)</f>
        <v>400000</v>
      </c>
      <c r="F35" s="393"/>
      <c r="G35" s="412">
        <f>ROUND(IF($E35&lt;40001,$E35*$O$19/100,40000*$O$19/100+($E35-40000)*$O$20/100)+MAX(100, $B$34)*$O$18+IF($B$34&lt;101,$O$14,IF($B$34&lt;301,$O$15+$B$34*$P$15,$O$16+$B$34*$P$16)),2)+R26</f>
        <v>27591.69</v>
      </c>
      <c r="H35" s="412"/>
      <c r="I35" s="412">
        <f ca="1">ROUND(IF($E35&lt;40001,$E35*$R$19/100,40000*$R$19/100+($E35-40000)*$R$20/100)+MAX(100, $B$34)*$R$18+IF($B$34&lt;101,$R$14,IF($B$34&lt;301,$R$15+$B$34*$S$15,$R$16+$B$34*$S$16)),2)+R27</f>
        <v>28627.69</v>
      </c>
      <c r="J35" s="393"/>
      <c r="K35" s="413">
        <f ca="1">ROUND(I35/G35-1,4)</f>
        <v>3.7499999999999999E-2</v>
      </c>
      <c r="L35" s="413"/>
      <c r="M35" s="384"/>
    </row>
    <row r="36" spans="1:18" ht="15.75">
      <c r="A36" s="384"/>
      <c r="B36" s="393"/>
      <c r="C36" s="393"/>
      <c r="D36" s="393">
        <v>700</v>
      </c>
      <c r="E36" s="410">
        <f>ROUND((B$34*D36),0)</f>
        <v>560000</v>
      </c>
      <c r="F36" s="393"/>
      <c r="G36" s="412">
        <f>ROUND(IF($E36&lt;40001,$E36*$O$19/100,40000*$O$19/100+($E36-40000)*$O$20/100)+MAX(100, $B$34)*$O$18+IF($B$34&lt;101,$O$14,IF($B$34&lt;301,$O$15+$B$34*$P$15,$O$16+$B$34*$P$16)),2)+R26</f>
        <v>35969.29</v>
      </c>
      <c r="H36" s="412"/>
      <c r="I36" s="412">
        <f ca="1">ROUND(IF($E36&lt;40001,$E36*$R$19/100,40000*$R$19/100+($E36-40000)*$R$20/100)+MAX(100, $B$34)*$R$18+IF($B$34&lt;101,$R$14,IF($B$34&lt;301,$R$15+$B$34*$S$15,$R$16+$B$34*$S$16)),2)+R27</f>
        <v>37419.69</v>
      </c>
      <c r="J36" s="393"/>
      <c r="K36" s="413">
        <f ca="1">ROUND(I36/G36-1,4)</f>
        <v>4.0300000000000002E-2</v>
      </c>
      <c r="L36" s="413"/>
    </row>
    <row r="37" spans="1:18" ht="15.75">
      <c r="A37" s="384"/>
      <c r="B37" s="393"/>
      <c r="C37" s="393"/>
      <c r="D37" s="393"/>
      <c r="E37" s="393"/>
      <c r="F37" s="393"/>
      <c r="G37" s="412"/>
      <c r="H37" s="412"/>
      <c r="I37" s="412"/>
      <c r="J37" s="396"/>
      <c r="K37" s="413"/>
      <c r="L37" s="413"/>
      <c r="M37" s="384"/>
    </row>
    <row r="38" spans="1:18" ht="15.75">
      <c r="A38" s="384"/>
      <c r="B38" s="393">
        <v>1000</v>
      </c>
      <c r="C38" s="393"/>
      <c r="D38" s="393">
        <v>300</v>
      </c>
      <c r="E38" s="410">
        <f>ROUND((B$38*D38),0)</f>
        <v>300000</v>
      </c>
      <c r="F38" s="393"/>
      <c r="G38" s="412">
        <f>ROUND(IF($E38&lt;40001,$E38*$O$19/100,40000*$O$19/100+($E38-40000)*$O$20/100)+MAX(100, $B$38)*$O$18+IF($B$38&lt;101,$O$14,IF($B$38&lt;301,$O$15+$B$38*$P$15,$O$16+$B$38*$P$16)),2)+R26</f>
        <v>23911.69</v>
      </c>
      <c r="H38" s="412"/>
      <c r="I38" s="412">
        <f ca="1">ROUND(IF($E38&lt;40001,$E38*$R$19/100,40000*$R$19/100+($E38-40000)*$R$20/100)+MAX(100, $B$38)*$R$18+IF($B$38&lt;101,$R$14,IF($B$38&lt;301,$R$15+$B$38*$S$15,$R$16+$B$38*$S$16)),2)+R27</f>
        <v>24688.69</v>
      </c>
      <c r="J38" s="393"/>
      <c r="K38" s="413">
        <f ca="1">ROUND(I38/G38-1,4)</f>
        <v>3.2500000000000001E-2</v>
      </c>
      <c r="L38" s="413"/>
      <c r="M38" s="384"/>
    </row>
    <row r="39" spans="1:18" ht="15.75">
      <c r="A39" s="384"/>
      <c r="B39" s="393"/>
      <c r="C39" s="393"/>
      <c r="D39" s="393">
        <v>500</v>
      </c>
      <c r="E39" s="410">
        <f>ROUND((B$38*D39),0)</f>
        <v>500000</v>
      </c>
      <c r="F39" s="393"/>
      <c r="G39" s="412">
        <f>ROUND(IF($E39&lt;40001,$E39*$O$19/100,40000*$O$19/100+($E39-40000)*$O$20/100)+MAX(100, $B$38)*$O$18+IF($B$38&lt;101,$O$14,IF($B$38&lt;301,$O$15+$B$38*$P$15,$O$16+$B$38*$P$16)),2)+R26</f>
        <v>34383.69</v>
      </c>
      <c r="H39" s="412"/>
      <c r="I39" s="412">
        <f ca="1">ROUND(IF($E39&lt;40001,$E39*$R$19/100,40000*$R$19/100+($E39-40000)*$R$20/100)+MAX(100, $B$38)*$R$18+IF($B$38&lt;101,$R$14,IF($B$38&lt;301,$R$15+$B$38*$S$15,$R$16+$B$38*$S$16)),2)+R27</f>
        <v>35678.69</v>
      </c>
      <c r="J39" s="393"/>
      <c r="K39" s="413">
        <f ca="1">ROUND(I39/G39-1,4)</f>
        <v>3.7699999999999997E-2</v>
      </c>
      <c r="L39" s="413"/>
      <c r="M39" s="384"/>
    </row>
    <row r="40" spans="1:18" ht="15.75">
      <c r="A40" s="384"/>
      <c r="B40" s="393"/>
      <c r="C40" s="393"/>
      <c r="D40" s="393">
        <v>700</v>
      </c>
      <c r="E40" s="410">
        <f>ROUND((B$38*D40),0)</f>
        <v>700000</v>
      </c>
      <c r="F40" s="393"/>
      <c r="G40" s="412">
        <f>ROUND(IF($E40&lt;40001,$E40*$O$19/100,40000*$O$19/100+($E40-40000)*$O$20/100)+MAX(100, $B$38)*$O$18+IF($B$38&lt;101,$O$14,IF($B$38&lt;301,$O$15+$B$38*$P$15,$O$16+$B$38*$P$16)),2)+R26</f>
        <v>44855.69</v>
      </c>
      <c r="H40" s="412"/>
      <c r="I40" s="412">
        <f ca="1">ROUND(IF($E40&lt;40001,$E40*$R$19/100,40000*$R$19/100+($E40-40000)*$R$20/100)+MAX(100, $B$38)*$R$18+IF($B$38&lt;101,$R$14,IF($B$38&lt;301,$R$15+$B$38*$S$15,$R$16+$B$38*$S$16)),2)+R27</f>
        <v>46668.69</v>
      </c>
      <c r="J40" s="393"/>
      <c r="K40" s="413">
        <f ca="1">ROUND(I40/G40-1,4)</f>
        <v>4.0399999999999998E-2</v>
      </c>
      <c r="L40" s="413"/>
    </row>
    <row r="41" spans="1:18" ht="15.75">
      <c r="A41" s="384"/>
      <c r="B41" s="446"/>
      <c r="C41" s="446"/>
      <c r="D41" s="446"/>
      <c r="E41" s="446"/>
      <c r="F41" s="446"/>
      <c r="G41" s="446"/>
      <c r="H41" s="446"/>
      <c r="I41" s="446"/>
      <c r="J41" s="447"/>
      <c r="K41" s="447"/>
      <c r="L41" s="447"/>
      <c r="M41" s="384"/>
    </row>
    <row r="42" spans="1:18" ht="15.75">
      <c r="A42" s="384"/>
      <c r="B42" s="396"/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84"/>
    </row>
    <row r="43" spans="1:18" ht="15.75">
      <c r="A43" s="384"/>
      <c r="B43" s="396" t="s">
        <v>333</v>
      </c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84"/>
    </row>
    <row r="44" spans="1:18" ht="15.75">
      <c r="A44" s="384"/>
      <c r="B44" s="431" t="s">
        <v>1474</v>
      </c>
      <c r="C44" s="396"/>
      <c r="D44" s="396"/>
      <c r="E44" s="396"/>
      <c r="F44" s="396"/>
      <c r="G44" s="396"/>
      <c r="H44" s="396"/>
      <c r="I44" s="396"/>
      <c r="J44" s="396"/>
      <c r="K44" s="396"/>
      <c r="L44" s="396"/>
    </row>
    <row r="45" spans="1:18" ht="15.75">
      <c r="A45" s="384"/>
      <c r="B45" s="393"/>
      <c r="M45" s="384"/>
    </row>
    <row r="46" spans="1:18" ht="15.75">
      <c r="A46" s="384"/>
      <c r="B46" s="393"/>
    </row>
    <row r="47" spans="1:18" ht="15.75">
      <c r="B47" s="393"/>
    </row>
    <row r="48" spans="1:18" ht="15.75">
      <c r="B48" s="393"/>
      <c r="P48" s="381"/>
    </row>
    <row r="49" spans="1:2" ht="15.75">
      <c r="A49" s="384"/>
      <c r="B49" s="393"/>
    </row>
    <row r="50" spans="1:2" ht="15.75">
      <c r="A50" s="384"/>
      <c r="B50" s="393"/>
    </row>
    <row r="51" spans="1:2">
      <c r="A51" s="384"/>
    </row>
    <row r="52" spans="1:2">
      <c r="A52" s="384"/>
    </row>
    <row r="53" spans="1:2">
      <c r="A53" s="384"/>
    </row>
    <row r="54" spans="1:2">
      <c r="A54" s="384"/>
    </row>
    <row r="55" spans="1:2">
      <c r="A55" s="384"/>
    </row>
    <row r="56" spans="1:2">
      <c r="A56" s="384"/>
    </row>
    <row r="57" spans="1:2">
      <c r="A57" s="384"/>
    </row>
  </sheetData>
  <phoneticPr fontId="0" type="noConversion"/>
  <printOptions horizontalCentered="1"/>
  <pageMargins left="0.5" right="0.5" top="0.5" bottom="0.5" header="0.5" footer="0.5"/>
  <pageSetup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pageSetUpPr fitToPage="1"/>
  </sheetPr>
  <dimension ref="B2:AD51"/>
  <sheetViews>
    <sheetView view="pageBreakPreview" zoomScale="60" zoomScaleNormal="100" workbookViewId="0"/>
  </sheetViews>
  <sheetFormatPr defaultColWidth="8.5" defaultRowHeight="15"/>
  <cols>
    <col min="1" max="1" width="1.875" style="343" customWidth="1"/>
    <col min="2" max="2" width="10.875" style="343" customWidth="1"/>
    <col min="3" max="3" width="1.75" style="343" customWidth="1"/>
    <col min="4" max="4" width="11.25" style="343" hidden="1" customWidth="1"/>
    <col min="5" max="5" width="8.25" style="343" bestFit="1" customWidth="1"/>
    <col min="6" max="6" width="3.25" style="343" customWidth="1"/>
    <col min="7" max="7" width="13.75" style="343" bestFit="1" customWidth="1"/>
    <col min="8" max="8" width="2.125" style="343" customWidth="1"/>
    <col min="9" max="9" width="8.5" style="343" bestFit="1" customWidth="1"/>
    <col min="10" max="10" width="2.125" style="343" customWidth="1"/>
    <col min="11" max="11" width="12.625" style="343" bestFit="1" customWidth="1"/>
    <col min="12" max="12" width="1.75" style="343" customWidth="1"/>
    <col min="13" max="13" width="8.5" style="343" bestFit="1" customWidth="1"/>
    <col min="14" max="14" width="2" style="343" customWidth="1"/>
    <col min="15" max="15" width="10.5" style="343" bestFit="1" customWidth="1"/>
    <col min="16" max="16" width="1.875" style="343" customWidth="1"/>
    <col min="17" max="17" width="8.5" style="343" bestFit="1" customWidth="1"/>
    <col min="18" max="19" width="3" style="343" customWidth="1"/>
    <col min="20" max="20" width="16.125" style="343" customWidth="1"/>
    <col min="21" max="21" width="15.875" style="343" customWidth="1"/>
    <col min="22" max="22" width="10" style="343" customWidth="1"/>
    <col min="23" max="23" width="8.375" style="343" customWidth="1"/>
    <col min="24" max="24" width="2.25" style="343" customWidth="1"/>
    <col min="25" max="16384" width="8.5" style="343"/>
  </cols>
  <sheetData>
    <row r="2" spans="2:23" ht="18.75">
      <c r="B2" s="350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448"/>
      <c r="P2" s="346" t="s">
        <v>13</v>
      </c>
      <c r="Q2" s="448"/>
      <c r="R2" s="448"/>
    </row>
    <row r="3" spans="2:23" ht="18.75">
      <c r="B3" s="347" t="s">
        <v>443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</row>
    <row r="4" spans="2:23" ht="18.75">
      <c r="B4" s="347" t="s">
        <v>358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</row>
    <row r="5" spans="2:23" ht="18.75">
      <c r="B5" s="347" t="s">
        <v>359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</row>
    <row r="6" spans="2:23" ht="18.75">
      <c r="B6" s="347" t="s">
        <v>13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</row>
    <row r="7" spans="2:23">
      <c r="B7" s="348"/>
      <c r="C7" s="348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</row>
    <row r="8" spans="2:23"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</row>
    <row r="9" spans="2:23">
      <c r="G9" s="350"/>
      <c r="H9" s="350"/>
      <c r="I9" s="350"/>
      <c r="J9" s="350"/>
      <c r="K9" s="350"/>
      <c r="L9" s="350"/>
      <c r="M9" s="350"/>
    </row>
    <row r="10" spans="2:23">
      <c r="B10" s="350"/>
      <c r="C10" s="350"/>
      <c r="D10" s="350"/>
      <c r="E10" s="350"/>
      <c r="G10" s="350"/>
      <c r="H10" s="350"/>
      <c r="I10" s="350"/>
      <c r="J10" s="350"/>
      <c r="K10" s="350"/>
      <c r="L10" s="350"/>
      <c r="M10" s="350"/>
    </row>
    <row r="11" spans="2:23">
      <c r="B11" s="350"/>
      <c r="C11" s="350"/>
      <c r="D11" s="350"/>
      <c r="E11" s="350"/>
      <c r="G11" s="352"/>
      <c r="H11" s="352"/>
      <c r="I11" s="352"/>
      <c r="J11" s="352"/>
      <c r="K11" s="352"/>
      <c r="L11" s="352"/>
      <c r="M11" s="352"/>
      <c r="O11" s="348"/>
      <c r="P11" s="348"/>
      <c r="Q11" s="348"/>
      <c r="R11" s="348"/>
    </row>
    <row r="12" spans="2:23" ht="15.75" thickBot="1">
      <c r="G12" s="869" t="s">
        <v>360</v>
      </c>
      <c r="H12" s="869"/>
      <c r="I12" s="869"/>
      <c r="K12" s="869" t="s">
        <v>413</v>
      </c>
      <c r="L12" s="869"/>
      <c r="M12" s="869"/>
      <c r="O12" s="869" t="s">
        <v>361</v>
      </c>
      <c r="P12" s="869"/>
      <c r="Q12" s="869"/>
      <c r="R12" s="351"/>
    </row>
    <row r="13" spans="2:23">
      <c r="B13" s="449" t="s">
        <v>335</v>
      </c>
      <c r="G13" s="450" t="s">
        <v>326</v>
      </c>
      <c r="H13" s="351"/>
      <c r="I13" s="351" t="s">
        <v>362</v>
      </c>
      <c r="J13" s="361"/>
      <c r="K13" s="450" t="s">
        <v>120</v>
      </c>
      <c r="L13" s="351"/>
      <c r="M13" s="351" t="s">
        <v>362</v>
      </c>
      <c r="O13" s="351"/>
      <c r="P13" s="351"/>
      <c r="Q13" s="351" t="s">
        <v>362</v>
      </c>
      <c r="R13" s="351"/>
      <c r="T13" s="451" t="s">
        <v>328</v>
      </c>
      <c r="U13" s="407"/>
      <c r="V13" s="406" t="s">
        <v>329</v>
      </c>
      <c r="W13" s="407"/>
    </row>
    <row r="14" spans="2:23">
      <c r="B14" s="452" t="s">
        <v>337</v>
      </c>
      <c r="C14" s="450"/>
      <c r="D14" s="450" t="s">
        <v>338</v>
      </c>
      <c r="G14" s="624" t="s">
        <v>414</v>
      </c>
      <c r="H14" s="351" t="s">
        <v>13</v>
      </c>
      <c r="I14" s="351" t="s">
        <v>208</v>
      </c>
      <c r="J14" s="361"/>
      <c r="K14" s="453" t="s">
        <v>414</v>
      </c>
      <c r="L14" s="351" t="s">
        <v>13</v>
      </c>
      <c r="M14" s="351" t="s">
        <v>208</v>
      </c>
      <c r="O14" s="351" t="s">
        <v>415</v>
      </c>
      <c r="P14" s="351" t="s">
        <v>13</v>
      </c>
      <c r="Q14" s="351" t="s">
        <v>208</v>
      </c>
      <c r="R14" s="351"/>
      <c r="T14" s="408" t="s">
        <v>363</v>
      </c>
      <c r="U14" s="362">
        <f>'Exhibit No.__(RMM-3)'!D674+W22+W30</f>
        <v>6.8470000000000004</v>
      </c>
      <c r="V14" s="415"/>
      <c r="W14" s="362">
        <f ca="1">'Exhibit No.__(RMM-3)'!J674+W23+W31+W33</f>
        <v>7.1050000000000004</v>
      </c>
    </row>
    <row r="15" spans="2:23">
      <c r="B15" s="453" t="s">
        <v>210</v>
      </c>
      <c r="C15" s="450"/>
      <c r="D15" s="454" t="s">
        <v>340</v>
      </c>
      <c r="E15" s="355" t="s">
        <v>9</v>
      </c>
      <c r="G15" s="355" t="s">
        <v>364</v>
      </c>
      <c r="H15" s="351"/>
      <c r="I15" s="355" t="s">
        <v>365</v>
      </c>
      <c r="J15" s="361"/>
      <c r="K15" s="355" t="s">
        <v>364</v>
      </c>
      <c r="L15" s="351"/>
      <c r="M15" s="355" t="s">
        <v>365</v>
      </c>
      <c r="O15" s="355" t="s">
        <v>366</v>
      </c>
      <c r="P15" s="351"/>
      <c r="Q15" s="355" t="s">
        <v>365</v>
      </c>
      <c r="R15" s="351"/>
      <c r="T15" s="408" t="s">
        <v>13</v>
      </c>
      <c r="U15" s="455" t="s">
        <v>13</v>
      </c>
      <c r="V15" s="456" t="s">
        <v>13</v>
      </c>
      <c r="W15" s="455" t="s">
        <v>13</v>
      </c>
    </row>
    <row r="16" spans="2:23">
      <c r="B16" s="351"/>
      <c r="C16" s="450"/>
      <c r="D16" s="454"/>
      <c r="E16" s="351"/>
      <c r="G16" s="351"/>
      <c r="H16" s="351"/>
      <c r="I16" s="351"/>
      <c r="J16" s="361"/>
      <c r="K16" s="351"/>
      <c r="L16" s="351"/>
      <c r="M16" s="351"/>
      <c r="O16" s="351"/>
      <c r="P16" s="351"/>
      <c r="Q16" s="351"/>
      <c r="R16" s="351"/>
      <c r="T16" s="457" t="s">
        <v>208</v>
      </c>
      <c r="U16" s="673"/>
      <c r="V16" s="458"/>
      <c r="W16" s="459"/>
    </row>
    <row r="17" spans="2:30">
      <c r="B17" s="460" t="s">
        <v>341</v>
      </c>
      <c r="C17" s="361"/>
      <c r="G17" s="361"/>
      <c r="H17" s="361"/>
      <c r="I17" s="361"/>
      <c r="J17" s="361"/>
      <c r="T17" s="461" t="s">
        <v>367</v>
      </c>
      <c r="U17" s="360">
        <f>'Exhibit No.__(RMM-3)'!D663</f>
        <v>31.58</v>
      </c>
      <c r="V17" s="415"/>
      <c r="W17" s="462">
        <f>'Exhibit No.__(RMM-3)'!J663</f>
        <v>31.58</v>
      </c>
    </row>
    <row r="18" spans="2:30">
      <c r="B18" s="343">
        <v>10</v>
      </c>
      <c r="D18" s="364">
        <v>200</v>
      </c>
      <c r="E18" s="364">
        <f>ROUND((B$18*D18),0)</f>
        <v>2000</v>
      </c>
      <c r="G18" s="373">
        <f>ROUND(((E18*$U$14/100))+(E18*$W$25/100),2)</f>
        <v>122.38</v>
      </c>
      <c r="H18" s="463"/>
      <c r="I18" s="463">
        <f>$B$18*$U$17+W27</f>
        <v>331.44999999999993</v>
      </c>
      <c r="J18" s="381"/>
      <c r="K18" s="373">
        <f ca="1">ROUND((($E18*$W$14/100))+(($E18*$W$26)/100),2)</f>
        <v>127.54</v>
      </c>
      <c r="L18" s="463"/>
      <c r="M18" s="463">
        <f>$B$18*$W$17+W28</f>
        <v>331.44999999999993</v>
      </c>
      <c r="O18" s="367">
        <f ca="1">ROUND((K18-G18)/G18,4)</f>
        <v>4.2200000000000001E-2</v>
      </c>
      <c r="P18" s="367"/>
      <c r="Q18" s="367">
        <f>ROUND((M18-I18)/I18,4)</f>
        <v>0</v>
      </c>
      <c r="R18" s="367"/>
      <c r="T18" s="461" t="s">
        <v>368</v>
      </c>
      <c r="U18" s="360">
        <f>'Exhibit No.__(RMM-3)'!D666</f>
        <v>21.97</v>
      </c>
      <c r="V18" s="415"/>
      <c r="W18" s="462">
        <f>'Exhibit No.__(RMM-3)'!J666</f>
        <v>21.97</v>
      </c>
    </row>
    <row r="19" spans="2:30">
      <c r="D19" s="364">
        <v>300</v>
      </c>
      <c r="E19" s="364">
        <f>ROUND((B$18*D19),0)</f>
        <v>3000</v>
      </c>
      <c r="G19" s="463">
        <f>ROUND(((E19*$U$14/100))+(E19*$W$25/100),2)</f>
        <v>183.57</v>
      </c>
      <c r="H19" s="463"/>
      <c r="I19" s="463">
        <f>$B$18*$U$17+W27</f>
        <v>331.44999999999993</v>
      </c>
      <c r="J19" s="381"/>
      <c r="K19" s="463">
        <f ca="1">ROUND((($E19*$W$14/100))+(($E19*$W$26)/100),2)</f>
        <v>191.31</v>
      </c>
      <c r="L19" s="463"/>
      <c r="M19" s="463">
        <f>$B$18*$W$17+W28</f>
        <v>331.44999999999993</v>
      </c>
      <c r="O19" s="367">
        <f ca="1">ROUND((K19-G19)/G19,4)</f>
        <v>4.2200000000000001E-2</v>
      </c>
      <c r="P19" s="367"/>
      <c r="Q19" s="367">
        <f>ROUND((M19-I19)/I19,4)</f>
        <v>0</v>
      </c>
      <c r="R19" s="367"/>
      <c r="T19" s="461" t="s">
        <v>369</v>
      </c>
      <c r="U19" s="360">
        <f>'Exhibit No.__(RMM-3)'!D667</f>
        <v>17.18</v>
      </c>
      <c r="V19" s="415"/>
      <c r="W19" s="462">
        <f>'Exhibit No.__(RMM-3)'!J667</f>
        <v>17.18</v>
      </c>
    </row>
    <row r="20" spans="2:30">
      <c r="D20" s="364">
        <v>500</v>
      </c>
      <c r="E20" s="364">
        <f>ROUND((B$18*D20),0)</f>
        <v>5000</v>
      </c>
      <c r="G20" s="463">
        <f>ROUND(((E20*$U$14/100))+(E20*$W$25/100),2)</f>
        <v>305.95</v>
      </c>
      <c r="H20" s="463"/>
      <c r="I20" s="463">
        <f>$B$18*$U$17+W27</f>
        <v>331.44999999999993</v>
      </c>
      <c r="J20" s="381"/>
      <c r="K20" s="463">
        <f ca="1">ROUND((($E20*$W$14/100))+(($E20*$W$26)/100),2)</f>
        <v>318.85000000000002</v>
      </c>
      <c r="L20" s="463"/>
      <c r="M20" s="463">
        <f>$B$18*$W$17+W28</f>
        <v>331.44999999999993</v>
      </c>
      <c r="O20" s="367">
        <f ca="1">ROUND((K20-G20)/G20,4)</f>
        <v>4.2200000000000001E-2</v>
      </c>
      <c r="P20" s="367"/>
      <c r="Q20" s="367">
        <f>ROUND((M20-I20)/I20,4)</f>
        <v>0</v>
      </c>
      <c r="R20" s="367"/>
      <c r="T20" s="461" t="s">
        <v>368</v>
      </c>
      <c r="U20" s="674">
        <f>'Exhibit No.__(RMM-3)'!D657</f>
        <v>449</v>
      </c>
      <c r="V20" s="415"/>
      <c r="W20" s="464">
        <f>'Exhibit No.__(RMM-3)'!J657</f>
        <v>449</v>
      </c>
    </row>
    <row r="21" spans="2:30">
      <c r="G21" s="463"/>
      <c r="H21" s="463"/>
      <c r="I21" s="463"/>
      <c r="J21" s="381"/>
      <c r="K21" s="463"/>
      <c r="L21" s="463"/>
      <c r="M21" s="463"/>
      <c r="T21" s="465" t="s">
        <v>369</v>
      </c>
      <c r="U21" s="675">
        <f>'Exhibit No.__(RMM-3)'!D658</f>
        <v>1825</v>
      </c>
      <c r="V21" s="466"/>
      <c r="W21" s="467">
        <f>'Exhibit No.__(RMM-3)'!J658</f>
        <v>1825</v>
      </c>
      <c r="AD21" s="501" t="s">
        <v>13</v>
      </c>
    </row>
    <row r="22" spans="2:30">
      <c r="B22" s="460" t="s">
        <v>342</v>
      </c>
      <c r="C22" s="361"/>
      <c r="G22" s="463"/>
      <c r="H22" s="463"/>
      <c r="I22" s="463"/>
      <c r="J22" s="381"/>
      <c r="K22" s="463"/>
      <c r="L22" s="463"/>
      <c r="M22" s="463"/>
      <c r="U22" s="370" t="s">
        <v>88</v>
      </c>
      <c r="V22" s="370"/>
      <c r="W22" s="371">
        <v>0.26400000000000001</v>
      </c>
    </row>
    <row r="23" spans="2:30">
      <c r="B23" s="343">
        <v>20</v>
      </c>
      <c r="D23" s="364">
        <v>200</v>
      </c>
      <c r="E23" s="364">
        <f>ROUND((B$23*D23),0)</f>
        <v>4000</v>
      </c>
      <c r="G23" s="463">
        <f>ROUND(((E23*$U$14/100))+(E23*$W$25/100),2)</f>
        <v>244.76</v>
      </c>
      <c r="H23" s="463"/>
      <c r="I23" s="463">
        <f>IF($B$23&lt;51,$B$23*$U$17,IF($B$23&lt;301,$B$23*$U$18+$U$20,$U$21+$U$19*$B$23))+W27</f>
        <v>647.24999999999989</v>
      </c>
      <c r="J23" s="381"/>
      <c r="K23" s="463">
        <f ca="1">ROUND((($E23*$W$14/100))+(($E23*$W$26)/100),2)</f>
        <v>255.08</v>
      </c>
      <c r="L23" s="463"/>
      <c r="M23" s="463">
        <f>IF($B$23&lt;51,$B$23*$W$17,IF($B$23&lt;301,$B$23*$W$18+$W$20,$W$21+$W$19*$B$23))+W28</f>
        <v>647.24999999999989</v>
      </c>
      <c r="O23" s="367">
        <f ca="1">ROUND((K23-G23)/G23,4)</f>
        <v>4.2200000000000001E-2</v>
      </c>
      <c r="P23" s="367"/>
      <c r="Q23" s="367">
        <f>ROUND((M23-I23)/I23,4)</f>
        <v>0</v>
      </c>
      <c r="R23" s="367"/>
      <c r="U23" s="370"/>
      <c r="V23" s="370"/>
      <c r="W23" s="371">
        <v>0.26400000000000001</v>
      </c>
    </row>
    <row r="24" spans="2:30">
      <c r="D24" s="364">
        <v>300</v>
      </c>
      <c r="E24" s="364">
        <f>ROUND((B$23*D24),0)</f>
        <v>6000</v>
      </c>
      <c r="G24" s="463">
        <f>ROUND(((E24*$U$14/100))+(E24*$W$25/100),2)</f>
        <v>367.14</v>
      </c>
      <c r="H24" s="463"/>
      <c r="I24" s="463">
        <f>IF($B$23&lt;51,$B$23*$U$17,IF($B$23&lt;301,$B$23*$U$18+$U$20,$U$21+$U$19*$B$23))+W27</f>
        <v>647.24999999999989</v>
      </c>
      <c r="J24" s="381"/>
      <c r="K24" s="463">
        <f ca="1">ROUND((($E24*$W$14/100))+(($E24*$W$26)/100),2)</f>
        <v>382.62</v>
      </c>
      <c r="L24" s="463"/>
      <c r="M24" s="463">
        <f>IF($B$23&lt;51,$B$23*$W$17,IF($B$23&lt;301,$B$23*$W$18+$W$20,$W$21+$W$19*$B$23))+W28</f>
        <v>647.24999999999989</v>
      </c>
      <c r="O24" s="367">
        <f ca="1">ROUND((K24-G24)/G24,4)</f>
        <v>4.2200000000000001E-2</v>
      </c>
      <c r="P24" s="367"/>
      <c r="Q24" s="367">
        <f>ROUND((M24-I24)/I24,4)</f>
        <v>0</v>
      </c>
      <c r="R24" s="367"/>
      <c r="U24" s="370"/>
      <c r="V24" s="370"/>
      <c r="W24" s="374"/>
    </row>
    <row r="25" spans="2:30">
      <c r="D25" s="364">
        <v>500</v>
      </c>
      <c r="E25" s="364">
        <f>ROUND((B$23*D25),0)</f>
        <v>10000</v>
      </c>
      <c r="G25" s="463">
        <f>ROUND(((E25*$U$14/100))+(E25*$W$25/100),2)</f>
        <v>611.9</v>
      </c>
      <c r="H25" s="463"/>
      <c r="I25" s="463">
        <f>IF($B$23&lt;51,$B$23*$U$17,IF($B$23&lt;301,$B$23*$U$18+$U$20,$U$21+$U$19*$B$23))+W27</f>
        <v>647.24999999999989</v>
      </c>
      <c r="J25" s="381"/>
      <c r="K25" s="463">
        <f ca="1">ROUND((($E25*$W$14/100))+(($E25*$W$26)/100),2)</f>
        <v>637.70000000000005</v>
      </c>
      <c r="L25" s="463"/>
      <c r="M25" s="463">
        <f>IF($B$23&lt;51,$B$23*$W$17,IF($B$23&lt;301,$B$23*$W$18+$W$20,$W$21+$W$19*$B$23))+W28</f>
        <v>647.24999999999989</v>
      </c>
      <c r="O25" s="367">
        <f ca="1">ROUND((K25-G25)/G25,4)</f>
        <v>4.2200000000000001E-2</v>
      </c>
      <c r="P25" s="367"/>
      <c r="Q25" s="367">
        <f>ROUND((M25-I25)/I25,4)</f>
        <v>0</v>
      </c>
      <c r="R25" s="367"/>
      <c r="U25" s="370" t="s">
        <v>332</v>
      </c>
      <c r="V25" s="370"/>
      <c r="W25" s="371">
        <v>-0.72799999999999998</v>
      </c>
    </row>
    <row r="26" spans="2:30">
      <c r="G26" s="463"/>
      <c r="H26" s="463"/>
      <c r="I26" s="463"/>
      <c r="J26" s="381"/>
      <c r="K26" s="463"/>
      <c r="L26" s="463"/>
      <c r="M26" s="463"/>
      <c r="U26" s="343" t="s">
        <v>13</v>
      </c>
      <c r="V26" s="343" t="s">
        <v>13</v>
      </c>
      <c r="W26" s="427">
        <v>-0.72799999999999998</v>
      </c>
    </row>
    <row r="27" spans="2:30">
      <c r="B27" s="343">
        <v>100</v>
      </c>
      <c r="D27" s="364">
        <v>200</v>
      </c>
      <c r="E27" s="364">
        <f>ROUND((B$27*D27),0)</f>
        <v>20000</v>
      </c>
      <c r="G27" s="463">
        <f>ROUND(((E27*$U$14/100))+(E27*$W$25/100),2)</f>
        <v>1223.8</v>
      </c>
      <c r="H27" s="463"/>
      <c r="I27" s="463">
        <f>IF($B$27&lt;51,$B$27*$U$17,IF($B$27&lt;301,$B$27*$U$18+$U$20,$U$21+$U$19*$B$27))+W27</f>
        <v>2661.65</v>
      </c>
      <c r="J27" s="381"/>
      <c r="K27" s="463">
        <f ca="1">ROUND((($E27*$W$14/100))+(($E27*$W$26)/100),2)</f>
        <v>1275.4000000000001</v>
      </c>
      <c r="L27" s="463"/>
      <c r="M27" s="463">
        <f>IF($B$27&lt;51,$B$27*$W$17,IF($B$27&lt;301,$B$27*$W$18+$W$20,$W$21+$W$19*$B$27))+W28</f>
        <v>2661.65</v>
      </c>
      <c r="O27" s="367">
        <f ca="1">ROUND((K27-G27)/G27,4)</f>
        <v>4.2200000000000001E-2</v>
      </c>
      <c r="P27" s="367"/>
      <c r="Q27" s="367">
        <f>ROUND((M27-I27)/I27,4)</f>
        <v>0</v>
      </c>
      <c r="R27" s="367"/>
      <c r="U27" s="343" t="s">
        <v>420</v>
      </c>
      <c r="W27" s="416">
        <v>15.65</v>
      </c>
      <c r="X27" s="343" t="s">
        <v>13</v>
      </c>
    </row>
    <row r="28" spans="2:30">
      <c r="D28" s="364">
        <v>300</v>
      </c>
      <c r="E28" s="364">
        <f>ROUND((B$27*D28),0)</f>
        <v>30000</v>
      </c>
      <c r="G28" s="463">
        <f>ROUND(((E28*$U$14/100))+(E28*$W$25/100),2)</f>
        <v>1835.7</v>
      </c>
      <c r="H28" s="463"/>
      <c r="I28" s="463">
        <f>IF($B$27&lt;51,$B$27*$U$17,IF($B$27&lt;301,$B$27*$U$18+$U$20,$U$21+$U$19*$B$27))+W27</f>
        <v>2661.65</v>
      </c>
      <c r="J28" s="381"/>
      <c r="K28" s="463">
        <f ca="1">ROUND((($E28*$W$14/100))+(($E28*$W$26)/100),2)</f>
        <v>1913.1</v>
      </c>
      <c r="L28" s="463"/>
      <c r="M28" s="463">
        <f>IF($B$27&lt;51,$B$27*$W$17,IF($B$27&lt;301,$B$27*$W$18+$W$20,$W$21+$W$19*$B$27))+W28</f>
        <v>2661.65</v>
      </c>
      <c r="O28" s="367">
        <f ca="1">ROUND((K28-G28)/G28,4)</f>
        <v>4.2200000000000001E-2</v>
      </c>
      <c r="P28" s="367"/>
      <c r="Q28" s="367">
        <f>ROUND((M28-I28)/I28,4)</f>
        <v>0</v>
      </c>
      <c r="R28" s="367"/>
      <c r="U28" s="343" t="s">
        <v>419</v>
      </c>
      <c r="W28" s="416">
        <f>W27</f>
        <v>15.65</v>
      </c>
    </row>
    <row r="29" spans="2:30">
      <c r="D29" s="364">
        <v>500</v>
      </c>
      <c r="E29" s="364">
        <f>ROUND((B$27*D29),0)</f>
        <v>50000</v>
      </c>
      <c r="G29" s="463">
        <f>ROUND(((E29*$U$14/100))+(E29*$W$25/100),2)</f>
        <v>3059.5</v>
      </c>
      <c r="H29" s="463"/>
      <c r="I29" s="463">
        <f>IF($B$27&lt;51,$B$27*$U$17,IF($B$27&lt;301,$B$27*$U$18+$U$20,$U$21+$U$19*$B$27))+W27</f>
        <v>2661.65</v>
      </c>
      <c r="J29" s="381"/>
      <c r="K29" s="463">
        <f ca="1">ROUND((($E29*$W$14/100))+(($E29*$W$26)/100),2)</f>
        <v>3188.5</v>
      </c>
      <c r="L29" s="463"/>
      <c r="M29" s="463">
        <f>IF($B$27&lt;51,$B$27*$W$17,IF($B$27&lt;301,$B$27*$W$18+$W$20,$W$21+$W$19*$B$27))+W28</f>
        <v>2661.65</v>
      </c>
      <c r="O29" s="367">
        <f ca="1">ROUND((K29-G29)/G29,4)</f>
        <v>4.2200000000000001E-2</v>
      </c>
      <c r="P29" s="367"/>
      <c r="Q29" s="367">
        <f>ROUND((M29-I29)/I29,4)</f>
        <v>0</v>
      </c>
      <c r="R29" s="367"/>
    </row>
    <row r="30" spans="2:30">
      <c r="G30" s="463"/>
      <c r="H30" s="463"/>
      <c r="I30" s="463"/>
      <c r="J30" s="381"/>
      <c r="K30" s="463"/>
      <c r="L30" s="463"/>
      <c r="M30" s="463"/>
      <c r="U30" s="501" t="s">
        <v>534</v>
      </c>
      <c r="W30" s="501">
        <v>-0.308</v>
      </c>
    </row>
    <row r="31" spans="2:30">
      <c r="B31" s="343">
        <v>300</v>
      </c>
      <c r="D31" s="364">
        <v>200</v>
      </c>
      <c r="E31" s="364">
        <f>ROUND((B$31*D31),0)</f>
        <v>60000</v>
      </c>
      <c r="G31" s="463">
        <f>ROUND(((E31*$U$14/100))+(E31*$W$25/100),2)</f>
        <v>3671.4</v>
      </c>
      <c r="H31" s="463"/>
      <c r="I31" s="463">
        <f>IF($B$31&lt;51,$B$31*$U$17,IF($B$31&lt;301,$B$31*$U$18+$U$20,$U$21+$U$19*$B$31))+W27</f>
        <v>7055.65</v>
      </c>
      <c r="J31" s="381"/>
      <c r="K31" s="463">
        <f ca="1">ROUND((($E31*$W$14/100))+(($E31*$W$26)/100),2)</f>
        <v>3826.2</v>
      </c>
      <c r="L31" s="463"/>
      <c r="M31" s="463">
        <f>IF($B$31&lt;51,$B$31*$W$17,IF($B$31&lt;301,$B$31*$W$18+$W$20,$W$21+$W$19*$B$31))+W28</f>
        <v>7055.65</v>
      </c>
      <c r="O31" s="367">
        <f ca="1">ROUND((K31-G31)/G31,4)</f>
        <v>4.2200000000000001E-2</v>
      </c>
      <c r="P31" s="367"/>
      <c r="Q31" s="367">
        <f>ROUND((M31-I31)/I31,4)</f>
        <v>0</v>
      </c>
      <c r="R31" s="367"/>
      <c r="U31" s="501" t="s">
        <v>533</v>
      </c>
      <c r="W31" s="669">
        <v>-0.308</v>
      </c>
    </row>
    <row r="32" spans="2:30">
      <c r="D32" s="364">
        <v>300</v>
      </c>
      <c r="E32" s="364">
        <f>ROUND((B$31*D32),0)</f>
        <v>90000</v>
      </c>
      <c r="G32" s="463">
        <f>ROUND(((E32*$U$14/100))+(E32*$W$25/100),2)</f>
        <v>5507.1</v>
      </c>
      <c r="H32" s="463"/>
      <c r="I32" s="463">
        <f>IF($B$31&lt;51,$B$31*$U$17,IF($B$31&lt;301,$B$31*$U$18+$U$20,$U$21+$U$19*$B$31))+W27</f>
        <v>7055.65</v>
      </c>
      <c r="J32" s="381"/>
      <c r="K32" s="463">
        <f ca="1">ROUND((($E32*$W$14/100))+(($E32*$W$26)/100),2)</f>
        <v>5739.3</v>
      </c>
      <c r="L32" s="463"/>
      <c r="M32" s="463">
        <f>IF($B$31&lt;51,$B$31*$W$17,IF($B$31&lt;301,$B$31*$W$18+$W$20,$W$21+$W$19*$B$31))+W28</f>
        <v>7055.65</v>
      </c>
      <c r="O32" s="367">
        <f ca="1">ROUND((K32-G32)/G32,4)</f>
        <v>4.2200000000000001E-2</v>
      </c>
      <c r="P32" s="367"/>
      <c r="Q32" s="367">
        <f>ROUND((M32-I32)/I32,4)</f>
        <v>0</v>
      </c>
      <c r="R32" s="367"/>
      <c r="U32" s="501"/>
      <c r="W32" s="690"/>
    </row>
    <row r="33" spans="2:23">
      <c r="D33" s="364">
        <v>500</v>
      </c>
      <c r="E33" s="364">
        <f>ROUND((B$31*D33),0)</f>
        <v>150000</v>
      </c>
      <c r="G33" s="463">
        <f>ROUND(((E33*$U$14/100))+(E33*$W$25/100),2)</f>
        <v>9178.5</v>
      </c>
      <c r="H33" s="463"/>
      <c r="I33" s="463">
        <f>IF($B$31&lt;51,$B$31*$U$17,IF($B$31&lt;301,$B$31*$U$18+$U$20,$U$21+$U$19*$B$31))+W27</f>
        <v>7055.65</v>
      </c>
      <c r="J33" s="381"/>
      <c r="K33" s="463">
        <f ca="1">ROUND((($E33*$W$14/100))+(($E33*$W$26)/100),2)</f>
        <v>9565.5</v>
      </c>
      <c r="L33" s="463"/>
      <c r="M33" s="463">
        <f>IF($B$31&lt;51,$B$31*$W$17,IF($B$31&lt;301,$B$31*$W$18+$W$20,$W$21+$W$19*$B$31))+W28</f>
        <v>7055.65</v>
      </c>
      <c r="O33" s="367">
        <f ca="1">ROUND((K33-G33)/G33,4)</f>
        <v>4.2200000000000001E-2</v>
      </c>
      <c r="P33" s="367"/>
      <c r="Q33" s="367">
        <f>ROUND((M33-I33)/I33,4)</f>
        <v>0</v>
      </c>
      <c r="R33" s="367"/>
      <c r="U33" s="501" t="s">
        <v>1472</v>
      </c>
      <c r="W33" s="343">
        <f ca="1">'Exhibit No.__(RMM-2)pg1'!S25</f>
        <v>-0.05</v>
      </c>
    </row>
    <row r="34" spans="2:23"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</row>
    <row r="35" spans="2:23">
      <c r="T35" s="489" t="s">
        <v>427</v>
      </c>
      <c r="U35" s="469">
        <f ca="1">'Exhibit No.__(RMM-2)pg2'!X27</f>
        <v>2.6226668379763639E-2</v>
      </c>
    </row>
    <row r="36" spans="2:23">
      <c r="C36" s="379"/>
    </row>
    <row r="37" spans="2:23">
      <c r="B37" s="343" t="s">
        <v>333</v>
      </c>
      <c r="C37" s="379"/>
    </row>
    <row r="38" spans="2:23">
      <c r="B38" s="468" t="s">
        <v>1475</v>
      </c>
      <c r="C38" s="379"/>
    </row>
    <row r="39" spans="2:23">
      <c r="B39" s="379" t="s">
        <v>446</v>
      </c>
      <c r="C39" s="379"/>
    </row>
    <row r="40" spans="2:23">
      <c r="B40" s="379"/>
      <c r="C40" s="379"/>
    </row>
    <row r="41" spans="2:23">
      <c r="B41" s="379"/>
      <c r="C41" s="379"/>
    </row>
    <row r="42" spans="2:23">
      <c r="B42" s="379"/>
      <c r="C42" s="379"/>
    </row>
    <row r="43" spans="2:23">
      <c r="B43" s="379"/>
      <c r="C43" s="379"/>
    </row>
    <row r="44" spans="2:23">
      <c r="B44" s="379"/>
      <c r="C44" s="379"/>
    </row>
    <row r="45" spans="2:23">
      <c r="B45" s="379"/>
      <c r="C45" s="379"/>
    </row>
    <row r="46" spans="2:23">
      <c r="B46" s="379"/>
      <c r="C46" s="379"/>
    </row>
    <row r="47" spans="2:23">
      <c r="B47" s="379"/>
      <c r="C47" s="379"/>
    </row>
    <row r="48" spans="2:23">
      <c r="B48" s="379"/>
      <c r="C48" s="379"/>
      <c r="P48" s="381"/>
    </row>
    <row r="49" spans="2:3">
      <c r="B49" s="379"/>
      <c r="C49" s="379"/>
    </row>
    <row r="50" spans="2:3">
      <c r="B50" s="379"/>
      <c r="C50" s="379"/>
    </row>
    <row r="51" spans="2:3">
      <c r="B51" s="379"/>
      <c r="C51" s="379"/>
    </row>
  </sheetData>
  <mergeCells count="3">
    <mergeCell ref="G12:I12"/>
    <mergeCell ref="K12:M12"/>
    <mergeCell ref="O12:Q12"/>
  </mergeCells>
  <phoneticPr fontId="0" type="noConversion"/>
  <printOptions horizontalCentered="1"/>
  <pageMargins left="0.5" right="0.5" top="0.5" bottom="0.5" header="0.5" footer="0.5"/>
  <pageSetup scale="9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pageSetUpPr fitToPage="1"/>
  </sheetPr>
  <dimension ref="A2:X48"/>
  <sheetViews>
    <sheetView view="pageBreakPreview" zoomScale="60" zoomScaleNormal="100" workbookViewId="0"/>
  </sheetViews>
  <sheetFormatPr defaultColWidth="8.5" defaultRowHeight="15"/>
  <cols>
    <col min="1" max="1" width="2" style="343" customWidth="1"/>
    <col min="2" max="2" width="8.5" style="343"/>
    <col min="3" max="3" width="8.5" style="343" hidden="1" customWidth="1"/>
    <col min="4" max="4" width="3.25" style="343" customWidth="1"/>
    <col min="5" max="5" width="9.75" style="343" customWidth="1"/>
    <col min="6" max="6" width="3.75" style="343" customWidth="1"/>
    <col min="7" max="7" width="19.875" style="343" customWidth="1"/>
    <col min="8" max="8" width="3.5" style="343" customWidth="1"/>
    <col min="9" max="9" width="19.5" style="343" customWidth="1"/>
    <col min="10" max="10" width="2.875" style="343" customWidth="1"/>
    <col min="11" max="11" width="12.125" style="343" customWidth="1"/>
    <col min="12" max="13" width="2.375" style="343" customWidth="1"/>
    <col min="14" max="14" width="20.25" style="343" customWidth="1"/>
    <col min="15" max="15" width="11" style="343" bestFit="1" customWidth="1"/>
    <col min="16" max="16" width="17.25" style="343" customWidth="1"/>
    <col min="17" max="17" width="8.875" style="343" customWidth="1"/>
    <col min="18" max="18" width="10.25" style="343" customWidth="1"/>
    <col min="19" max="19" width="7.375" style="343" customWidth="1"/>
    <col min="20" max="20" width="3.125" style="343" customWidth="1"/>
    <col min="21" max="16384" width="8.5" style="343"/>
  </cols>
  <sheetData>
    <row r="2" spans="1:23" ht="18.75">
      <c r="B2" s="350"/>
      <c r="C2" s="348"/>
      <c r="D2" s="348"/>
      <c r="E2" s="348"/>
      <c r="F2" s="348"/>
      <c r="G2" s="348"/>
      <c r="H2" s="348"/>
      <c r="I2" s="348"/>
      <c r="J2" s="346" t="s">
        <v>13</v>
      </c>
      <c r="K2" s="448"/>
      <c r="L2" s="448"/>
      <c r="M2" s="448"/>
    </row>
    <row r="3" spans="1:23" ht="18.75">
      <c r="B3" s="347" t="s">
        <v>443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</row>
    <row r="4" spans="1:23" ht="18.75">
      <c r="B4" s="347" t="s">
        <v>324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</row>
    <row r="5" spans="1:23" ht="18.75">
      <c r="B5" s="347" t="s">
        <v>370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</row>
    <row r="6" spans="1:23" ht="18.75">
      <c r="B6" s="347" t="s">
        <v>371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</row>
    <row r="7" spans="1:23" ht="18.75">
      <c r="B7" s="347" t="s">
        <v>13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</row>
    <row r="8" spans="1:23" ht="18.75">
      <c r="A8" s="470"/>
      <c r="B8" s="348"/>
      <c r="C8" s="348"/>
      <c r="D8" s="348"/>
      <c r="E8" s="348"/>
      <c r="F8" s="348"/>
      <c r="G8" s="348"/>
      <c r="H8" s="348"/>
      <c r="I8" s="348"/>
      <c r="J8" s="348"/>
    </row>
    <row r="9" spans="1:23" ht="18.75">
      <c r="A9" s="470"/>
      <c r="B9" s="348"/>
      <c r="C9" s="348"/>
      <c r="D9" s="348"/>
      <c r="E9" s="348"/>
      <c r="F9" s="348"/>
      <c r="G9" s="348"/>
      <c r="H9" s="348"/>
      <c r="I9" s="348"/>
      <c r="J9" s="348"/>
    </row>
    <row r="11" spans="1:23">
      <c r="B11" s="449" t="s">
        <v>335</v>
      </c>
      <c r="G11" s="356" t="s">
        <v>336</v>
      </c>
      <c r="H11" s="356"/>
      <c r="I11" s="356"/>
    </row>
    <row r="12" spans="1:23" ht="15.75" thickBot="1">
      <c r="B12" s="452" t="s">
        <v>337</v>
      </c>
      <c r="C12" s="450" t="s">
        <v>338</v>
      </c>
      <c r="G12" s="348" t="s">
        <v>85</v>
      </c>
      <c r="I12" s="348" t="s">
        <v>121</v>
      </c>
      <c r="K12" s="348" t="s">
        <v>327</v>
      </c>
      <c r="L12" s="348"/>
      <c r="M12" s="348"/>
    </row>
    <row r="13" spans="1:23">
      <c r="B13" s="453" t="s">
        <v>210</v>
      </c>
      <c r="C13" s="454" t="s">
        <v>340</v>
      </c>
      <c r="D13" s="361"/>
      <c r="E13" s="355" t="s">
        <v>9</v>
      </c>
      <c r="F13" s="361"/>
      <c r="G13" s="356" t="s">
        <v>372</v>
      </c>
      <c r="I13" s="356" t="s">
        <v>373</v>
      </c>
      <c r="K13" s="349" t="s">
        <v>114</v>
      </c>
      <c r="L13" s="352"/>
      <c r="M13" s="352"/>
      <c r="N13" s="471" t="s">
        <v>328</v>
      </c>
      <c r="O13" s="437"/>
      <c r="P13" s="438"/>
      <c r="Q13" s="406"/>
      <c r="R13" s="437" t="s">
        <v>329</v>
      </c>
      <c r="S13" s="438"/>
    </row>
    <row r="14" spans="1:23">
      <c r="G14" s="454"/>
      <c r="H14" s="361"/>
      <c r="I14" s="454"/>
      <c r="N14" s="408" t="s">
        <v>208</v>
      </c>
      <c r="O14" s="372"/>
      <c r="P14" s="409"/>
      <c r="Q14" s="372"/>
      <c r="R14" s="372"/>
      <c r="S14" s="409"/>
    </row>
    <row r="15" spans="1:23">
      <c r="B15" s="364">
        <v>1000</v>
      </c>
      <c r="C15" s="343">
        <v>300</v>
      </c>
      <c r="E15" s="364">
        <f>ROUND((B$15*C15),0)</f>
        <v>300000</v>
      </c>
      <c r="F15" s="364"/>
      <c r="G15" s="463">
        <f>ROUND($E15*$P$18*O$18/100+$E15*$P$19*O$19/100+$B$15*O$17+IF($B$15&lt;3001,$B$15*P$15+O$15,$B$15*P$16+O$16),2)+$R$24</f>
        <v>25731.75</v>
      </c>
      <c r="H15" s="463"/>
      <c r="I15" s="463">
        <f ca="1">ROUND($E15*$S$18*R$18/100+$E15*$S$19*R$19/100+$B$15*R$17+IF($B$15&lt;3001,$B$15*S$15+R$15,$B$15*S$16+R$16),2)+$R$25</f>
        <v>26514.75</v>
      </c>
      <c r="K15" s="367">
        <f ca="1">(I15-G15)/G15</f>
        <v>3.0429333411058322E-2</v>
      </c>
      <c r="L15" s="367"/>
      <c r="M15" s="367"/>
      <c r="N15" s="408" t="s">
        <v>374</v>
      </c>
      <c r="O15" s="414">
        <f>'Exhibit No.__(RMM-3)'!D875</f>
        <v>1313</v>
      </c>
      <c r="P15" s="360">
        <f>'Exhibit No.__(RMM-3)'!D878</f>
        <v>1.22</v>
      </c>
      <c r="Q15" s="415"/>
      <c r="R15" s="414">
        <f>'Exhibit No.__(RMM-3)'!J875</f>
        <v>1313</v>
      </c>
      <c r="S15" s="360">
        <f>'Exhibit No.__(RMM-3)'!J878</f>
        <v>1.22</v>
      </c>
      <c r="W15" s="502" t="s">
        <v>13</v>
      </c>
    </row>
    <row r="16" spans="1:23">
      <c r="C16" s="343">
        <v>500</v>
      </c>
      <c r="E16" s="364">
        <f>ROUND((B$15*C16),0)</f>
        <v>500000</v>
      </c>
      <c r="F16" s="364"/>
      <c r="G16" s="463">
        <f>ROUND($E16*$P$18*O$18/100+$E16*$P$19*O$19/100+$B$15*O$17+IF($B$15&lt;3001,$B$15*P$15+O$15,$B$15*P$16+O$16),2)+$R$24</f>
        <v>35205.910000000003</v>
      </c>
      <c r="H16" s="463"/>
      <c r="I16" s="463">
        <f ca="1">ROUND($E16*$S$18*R$18/100+$E16*$S$19*R$19/100+$B$15*R$17+IF($B$15&lt;3001,$B$15*S$15+R$15,$B$15*S$16+R$16),2)+$R$25</f>
        <v>36510.910000000003</v>
      </c>
      <c r="K16" s="367">
        <f ca="1">(I16-G16)/G16</f>
        <v>3.7067640063841549E-2</v>
      </c>
      <c r="L16" s="367"/>
      <c r="M16" s="367"/>
      <c r="N16" s="408" t="s">
        <v>375</v>
      </c>
      <c r="O16" s="414">
        <f>'Exhibit No.__(RMM-3)'!D876</f>
        <v>1587</v>
      </c>
      <c r="P16" s="360">
        <f>'Exhibit No.__(RMM-3)'!D879</f>
        <v>1.0900000000000001</v>
      </c>
      <c r="Q16" s="415"/>
      <c r="R16" s="414">
        <f>'Exhibit No.__(RMM-3)'!J876</f>
        <v>1587</v>
      </c>
      <c r="S16" s="360">
        <f>'Exhibit No.__(RMM-3)'!J879</f>
        <v>1.0900000000000001</v>
      </c>
    </row>
    <row r="17" spans="2:24">
      <c r="C17" s="343">
        <v>700</v>
      </c>
      <c r="E17" s="364">
        <f>ROUND((B$15*C17),0)</f>
        <v>700000</v>
      </c>
      <c r="F17" s="364"/>
      <c r="G17" s="463">
        <f>ROUND($E17*$P$18*O$18/100+$E17*$P$19*O$19/100+$B$15*O$17+IF($B$15&lt;3001,$B$15*P$15+O$15,$B$15*P$16+O$16),2)+$R$24</f>
        <v>44680.08</v>
      </c>
      <c r="H17" s="463"/>
      <c r="I17" s="463">
        <f ca="1">ROUND($E17*$S$18*R$18/100+$E17*$S$19*R$19/100+$B$15*R$17+IF($B$15&lt;3001,$B$15*S$15+R$15,$B$15*S$16+R$16),2)+$R$25</f>
        <v>46507.08</v>
      </c>
      <c r="K17" s="367">
        <f ca="1">(I17-G17)/G17</f>
        <v>4.0890705656749043E-2</v>
      </c>
      <c r="L17" s="367"/>
      <c r="M17" s="367"/>
      <c r="N17" s="408" t="s">
        <v>210</v>
      </c>
      <c r="O17" s="414">
        <f>'Exhibit No.__(RMM-3)'!D880</f>
        <v>8.73</v>
      </c>
      <c r="P17" s="420"/>
      <c r="Q17" s="415"/>
      <c r="R17" s="414">
        <f>'Exhibit No.__(RMM-3)'!J880</f>
        <v>8.73</v>
      </c>
      <c r="S17" s="420"/>
      <c r="U17" s="535">
        <f>(R17-O17)/O17</f>
        <v>0</v>
      </c>
    </row>
    <row r="18" spans="2:24">
      <c r="G18" s="463"/>
      <c r="H18" s="463"/>
      <c r="I18" s="463"/>
      <c r="K18" s="367"/>
      <c r="L18" s="367"/>
      <c r="M18" s="367"/>
      <c r="N18" s="721" t="s">
        <v>531</v>
      </c>
      <c r="O18" s="423">
        <f>('Exhibit No.__(RMM-3)'!D883)+R20+R27</f>
        <v>5.3029999999999999</v>
      </c>
      <c r="P18" s="681">
        <v>0.39344309562646129</v>
      </c>
      <c r="Q18" s="415" t="s">
        <v>531</v>
      </c>
      <c r="R18" s="423">
        <f ca="1">('Exhibit No.__(RMM-3)'!J883)+R21+R28+R30</f>
        <v>5.5640000000000001</v>
      </c>
      <c r="S18" s="681">
        <v>0.39344309562646129</v>
      </c>
      <c r="U18" s="535">
        <f>(('Exhibit No.__(RMM-3)'!G882+R20)-O18)/O18</f>
        <v>-0.96171978125589286</v>
      </c>
      <c r="W18" s="423" t="s">
        <v>13</v>
      </c>
      <c r="X18" s="669" t="s">
        <v>13</v>
      </c>
    </row>
    <row r="19" spans="2:24" ht="15.75" thickBot="1">
      <c r="B19" s="364">
        <v>2000</v>
      </c>
      <c r="C19" s="343">
        <v>300</v>
      </c>
      <c r="E19" s="364">
        <f>ROUND((B$19*C19),0)</f>
        <v>600000</v>
      </c>
      <c r="F19" s="364"/>
      <c r="G19" s="463">
        <f>ROUND($E19*$P$18*O$18/100+$E19*$P$19*O$19/100+$B$19*O$17+IF($B$19&lt;3001,$B$19*P$15+O$15,$B$19*P$16+O$16),2)+$R$24</f>
        <v>49892.99</v>
      </c>
      <c r="H19" s="463"/>
      <c r="I19" s="463">
        <f ca="1">ROUND($E19*$S$18*R$18/100+$E19*$S$19*R$19/100+$B$19*R$17+IF($B$19&lt;3001,$B$19*S$15+R$15,$B$19*S$16+R$16),2)+$R$25</f>
        <v>51458.99</v>
      </c>
      <c r="K19" s="367">
        <f ca="1">(I19-G19)/G19</f>
        <v>3.1387174831574535E-2</v>
      </c>
      <c r="L19" s="367"/>
      <c r="M19" s="367"/>
      <c r="N19" s="680" t="s">
        <v>529</v>
      </c>
      <c r="O19" s="722">
        <f>('Exhibit No.__(RMM-3)'!D884)+R20+R27</f>
        <v>4.37</v>
      </c>
      <c r="P19" s="682">
        <f>1-P18</f>
        <v>0.60655690437353871</v>
      </c>
      <c r="Q19" s="680" t="s">
        <v>529</v>
      </c>
      <c r="R19" s="722">
        <f ca="1">('Exhibit No.__(RMM-3)'!J884)+R21+R28+R30</f>
        <v>4.6310000000000002</v>
      </c>
      <c r="S19" s="682">
        <f>1-S18</f>
        <v>0.60655690437353871</v>
      </c>
      <c r="X19" s="669" t="s">
        <v>13</v>
      </c>
    </row>
    <row r="20" spans="2:24">
      <c r="C20" s="343">
        <v>500</v>
      </c>
      <c r="E20" s="364">
        <f>ROUND((B$19*C20),0)</f>
        <v>1000000</v>
      </c>
      <c r="F20" s="364"/>
      <c r="G20" s="463">
        <f t="shared" ref="G20:G21" si="0">ROUND($E20*$P$18*O$18/100+$E20*$P$19*O$19/100+$B$19*O$17+IF($B$19&lt;3001,$B$19*P$15+O$15,$B$19*P$16+O$16),2)+$R$24</f>
        <v>68841.320000000007</v>
      </c>
      <c r="H20" s="463"/>
      <c r="I20" s="463">
        <f ca="1">ROUND($E20*$S$18*R$18/100+$E20*$S$19*R$19/100+$B$19*R$17+IF($B$19&lt;3001,$B$19*S$15+R$15,$B$19*S$16+R$16),2)+$R$25</f>
        <v>71451.320000000007</v>
      </c>
      <c r="K20" s="367">
        <f ca="1">(I20-G20)/G20</f>
        <v>3.7913276503123414E-2</v>
      </c>
      <c r="L20" s="367"/>
      <c r="M20" s="367"/>
      <c r="P20" s="370" t="s">
        <v>88</v>
      </c>
      <c r="Q20" s="370"/>
      <c r="R20" s="371">
        <v>0.20300000000000001</v>
      </c>
      <c r="U20" s="423" t="s">
        <v>13</v>
      </c>
    </row>
    <row r="21" spans="2:24">
      <c r="C21" s="343">
        <v>700</v>
      </c>
      <c r="E21" s="364">
        <f>ROUND((B$19*C21),0)</f>
        <v>1400000</v>
      </c>
      <c r="F21" s="364"/>
      <c r="G21" s="463">
        <f t="shared" si="0"/>
        <v>87789.65</v>
      </c>
      <c r="H21" s="463"/>
      <c r="I21" s="463">
        <f ca="1">ROUND($E21*$S$18*R$18/100+$E21*$S$19*R$19/100+$B$19*R$17+IF($B$19&lt;3001,$B$19*S$15+R$15,$B$19*S$16+R$16),2)+$R$25</f>
        <v>91443.65</v>
      </c>
      <c r="K21" s="367">
        <f ca="1">(I21-G21)/G21</f>
        <v>4.1622218564489097E-2</v>
      </c>
      <c r="L21" s="367"/>
      <c r="M21" s="367"/>
      <c r="P21" s="370"/>
      <c r="Q21" s="370"/>
      <c r="R21" s="371">
        <v>0.20300000000000001</v>
      </c>
    </row>
    <row r="22" spans="2:24">
      <c r="G22" s="463"/>
      <c r="H22" s="463"/>
      <c r="I22" s="463"/>
      <c r="K22" s="367"/>
      <c r="L22" s="367"/>
      <c r="M22" s="367"/>
      <c r="P22" s="370"/>
      <c r="Q22" s="370"/>
      <c r="R22" s="374"/>
    </row>
    <row r="23" spans="2:24">
      <c r="B23" s="364">
        <v>4000</v>
      </c>
      <c r="C23" s="343">
        <v>300</v>
      </c>
      <c r="E23" s="364">
        <f>ROUND((B$23*C23),0)</f>
        <v>1200000</v>
      </c>
      <c r="F23" s="364"/>
      <c r="G23" s="463">
        <f>ROUND($E23*$P$18*O$18/100+$E23*$P$19*O$19/100+$B$23*O$17+IF($B$23&lt;3001,$B$23*P$15+O$15,$B$23*P$16+O$16),2)+$R$24</f>
        <v>97969.49</v>
      </c>
      <c r="H23" s="463"/>
      <c r="I23" s="463">
        <f ca="1">ROUND($E23*$S$18*R$18/100+$E23*$S$19*R$19/100+$B$23*R$17+IF($B$23&lt;3001,$B$23*S$15+R$15,$B$23*S$16+R$16),2)+$R$25</f>
        <v>101101.49</v>
      </c>
      <c r="K23" s="367">
        <f ca="1">(I23-G23)/G23</f>
        <v>3.1969136513826907E-2</v>
      </c>
      <c r="L23" s="367"/>
      <c r="M23" s="367"/>
      <c r="P23" s="343" t="s">
        <v>13</v>
      </c>
      <c r="Q23" s="343" t="s">
        <v>13</v>
      </c>
      <c r="R23" s="343" t="s">
        <v>13</v>
      </c>
      <c r="U23" s="501" t="s">
        <v>13</v>
      </c>
    </row>
    <row r="24" spans="2:24">
      <c r="C24" s="343">
        <v>500</v>
      </c>
      <c r="E24" s="364">
        <f>ROUND((B$23*C24),0)</f>
        <v>2000000</v>
      </c>
      <c r="F24" s="364"/>
      <c r="G24" s="463">
        <f t="shared" ref="G24:G25" si="1">ROUND($E24*$P$18*O$18/100+$E24*$P$19*O$19/100+$B$23*O$17+IF($B$23&lt;3001,$B$23*P$15+O$15,$B$23*P$16+O$16),2)+$R$24</f>
        <v>135866.15</v>
      </c>
      <c r="H24" s="463"/>
      <c r="I24" s="463">
        <f ca="1">ROUND($E24*$S$18*R$18/100+$E24*$S$19*R$19/100+$B$23*R$17+IF($B$23&lt;3001,$B$23*S$15+R$15,$B$23*S$16+R$16),2)+$R$25</f>
        <v>141086.15</v>
      </c>
      <c r="K24" s="367">
        <f ca="1">(I24-G24)/G24</f>
        <v>3.842016572928577E-2</v>
      </c>
      <c r="L24" s="367"/>
      <c r="M24" s="367"/>
      <c r="P24" s="343" t="s">
        <v>420</v>
      </c>
      <c r="R24" s="416">
        <v>257.5</v>
      </c>
      <c r="S24" s="343" t="s">
        <v>13</v>
      </c>
    </row>
    <row r="25" spans="2:24">
      <c r="C25" s="343">
        <v>700</v>
      </c>
      <c r="E25" s="364">
        <f>ROUND((B$23*C25),0)</f>
        <v>2800000</v>
      </c>
      <c r="F25" s="364"/>
      <c r="G25" s="463">
        <f t="shared" si="1"/>
        <v>173762.81</v>
      </c>
      <c r="H25" s="463"/>
      <c r="I25" s="463">
        <f ca="1">ROUND($E25*$S$18*R$18/100+$E25*$S$19*R$19/100+$B$23*R$17+IF($B$23&lt;3001,$B$23*S$15+R$15,$B$23*S$16+R$16),2)+$R$25</f>
        <v>181070.81</v>
      </c>
      <c r="K25" s="367">
        <f ca="1">(I25-G25)/G25</f>
        <v>4.2057330909876518E-2</v>
      </c>
      <c r="L25" s="367"/>
      <c r="M25" s="367"/>
      <c r="P25" s="343" t="s">
        <v>419</v>
      </c>
      <c r="R25" s="416">
        <f>R24</f>
        <v>257.5</v>
      </c>
    </row>
    <row r="26" spans="2:24">
      <c r="G26" s="463"/>
      <c r="H26" s="463"/>
      <c r="I26" s="463"/>
      <c r="K26" s="367"/>
      <c r="L26" s="367"/>
      <c r="M26" s="367"/>
      <c r="X26" s="501" t="s">
        <v>13</v>
      </c>
    </row>
    <row r="27" spans="2:24">
      <c r="B27" s="364">
        <v>6000</v>
      </c>
      <c r="C27" s="343">
        <v>300</v>
      </c>
      <c r="E27" s="364">
        <f>ROUND((B$27*C27),0)</f>
        <v>1800000</v>
      </c>
      <c r="F27" s="364"/>
      <c r="G27" s="463">
        <f>ROUND($E27*$P$18*O$18/100+$E27*$P$19*O$19/100+$B$27*O$17+IF($B$27&lt;3001,$B$27*P$15+O$15,$B$27*P$16+O$16),2)+$R$24</f>
        <v>146031.98000000001</v>
      </c>
      <c r="H27" s="463"/>
      <c r="I27" s="463">
        <f ca="1">ROUND($E27*$S$18*R$18/100+$E27*$S$19*R$19/100+$B$27*R$17+IF($B$27&lt;3001,$B$27*S$15+R$15,$B$27*S$16+R$16),2)+$R$25</f>
        <v>150729.98000000001</v>
      </c>
      <c r="K27" s="367">
        <f ca="1">(I27-G27)/G27</f>
        <v>3.217103541292804E-2</v>
      </c>
      <c r="L27" s="367"/>
      <c r="M27" s="367"/>
      <c r="P27" s="501" t="s">
        <v>534</v>
      </c>
      <c r="R27" s="427">
        <v>-0.20799999999999999</v>
      </c>
    </row>
    <row r="28" spans="2:24">
      <c r="C28" s="343">
        <v>500</v>
      </c>
      <c r="E28" s="364">
        <f>ROUND((B$27*C28),0)</f>
        <v>3000000</v>
      </c>
      <c r="F28" s="364"/>
      <c r="G28" s="463">
        <f t="shared" ref="G28:G29" si="2">ROUND($E28*$P$18*O$18/100+$E28*$P$19*O$19/100+$B$27*O$17+IF($B$27&lt;3001,$B$27*P$15+O$15,$B$27*P$16+O$16),2)+$R$24</f>
        <v>202876.97</v>
      </c>
      <c r="H28" s="463"/>
      <c r="I28" s="463">
        <f ca="1">ROUND($E28*$S$18*R$18/100+$E28*$S$19*R$19/100+$B$27*R$17+IF($B$27&lt;3001,$B$27*S$15+R$15,$B$27*S$16+R$16),2)+$R$25</f>
        <v>210706.97</v>
      </c>
      <c r="K28" s="367">
        <f ca="1">(I28-G28)/G28</f>
        <v>3.8594819313399642E-2</v>
      </c>
      <c r="L28" s="367"/>
      <c r="M28" s="367"/>
      <c r="P28" s="501" t="s">
        <v>533</v>
      </c>
      <c r="R28" s="427">
        <v>-0.20799999999999999</v>
      </c>
      <c r="W28" s="501" t="s">
        <v>13</v>
      </c>
    </row>
    <row r="29" spans="2:24">
      <c r="C29" s="343">
        <v>700</v>
      </c>
      <c r="E29" s="364">
        <f>ROUND((B$27*C29),0)</f>
        <v>4200000</v>
      </c>
      <c r="F29" s="364"/>
      <c r="G29" s="463">
        <f t="shared" si="2"/>
        <v>259721.96</v>
      </c>
      <c r="H29" s="463"/>
      <c r="I29" s="463">
        <f ca="1">ROUND($E29*$S$18*R$18/100+$E29*$S$19*R$19/100+$B$27*R$17+IF($B$27&lt;3001,$B$27*S$15+R$15,$B$27*S$16+R$16),2)+$R$25</f>
        <v>270683.96000000002</v>
      </c>
      <c r="K29" s="367">
        <f ca="1">(I29-G29)/G29</f>
        <v>4.2206673628983969E-2</v>
      </c>
      <c r="L29" s="367"/>
      <c r="M29" s="367"/>
      <c r="P29" s="501"/>
      <c r="R29" s="690"/>
    </row>
    <row r="30" spans="2:24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72"/>
      <c r="P30" s="501" t="s">
        <v>1472</v>
      </c>
      <c r="R30" s="343">
        <f ca="1">'Exhibit No.__(RMM-2)pg1'!S27</f>
        <v>-4.8000000000000001E-2</v>
      </c>
    </row>
    <row r="31" spans="2:24">
      <c r="O31" s="620" t="s">
        <v>13</v>
      </c>
    </row>
    <row r="32" spans="2:24">
      <c r="N32" s="619" t="s">
        <v>492</v>
      </c>
      <c r="O32" s="469">
        <f ca="1">'Exhibit No.__(RMM-2)pg2'!X29</f>
        <v>3.5200888903957887E-2</v>
      </c>
    </row>
    <row r="33" spans="2:17">
      <c r="B33" s="343" t="s">
        <v>333</v>
      </c>
      <c r="N33" s="501" t="s">
        <v>13</v>
      </c>
    </row>
    <row r="34" spans="2:17">
      <c r="B34" s="431" t="s">
        <v>1474</v>
      </c>
    </row>
    <row r="35" spans="2:17">
      <c r="B35" s="379"/>
    </row>
    <row r="36" spans="2:17">
      <c r="B36" s="379"/>
    </row>
    <row r="37" spans="2:17">
      <c r="B37" s="379"/>
    </row>
    <row r="38" spans="2:17">
      <c r="B38" s="379"/>
    </row>
    <row r="39" spans="2:17">
      <c r="B39" s="379"/>
    </row>
    <row r="40" spans="2:17">
      <c r="B40" s="379"/>
    </row>
    <row r="41" spans="2:17">
      <c r="B41" s="379"/>
    </row>
    <row r="42" spans="2:17">
      <c r="B42" s="379"/>
    </row>
    <row r="43" spans="2:17">
      <c r="B43" s="379"/>
    </row>
    <row r="44" spans="2:17">
      <c r="B44" s="379"/>
    </row>
    <row r="45" spans="2:17">
      <c r="B45" s="379"/>
    </row>
    <row r="46" spans="2:17">
      <c r="B46" s="379"/>
    </row>
    <row r="48" spans="2:17">
      <c r="Q48" s="381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X48"/>
  <sheetViews>
    <sheetView view="pageBreakPreview" zoomScale="60" zoomScaleNormal="100" workbookViewId="0"/>
  </sheetViews>
  <sheetFormatPr defaultColWidth="8.5" defaultRowHeight="15"/>
  <cols>
    <col min="1" max="1" width="2" style="343" customWidth="1"/>
    <col min="2" max="2" width="8.5" style="343"/>
    <col min="3" max="3" width="8.5" style="343" hidden="1" customWidth="1"/>
    <col min="4" max="4" width="3.25" style="343" customWidth="1"/>
    <col min="5" max="5" width="9.75" style="343" customWidth="1"/>
    <col min="6" max="6" width="3.75" style="343" customWidth="1"/>
    <col min="7" max="7" width="19.875" style="343" customWidth="1"/>
    <col min="8" max="8" width="3.5" style="343" customWidth="1"/>
    <col min="9" max="9" width="19.5" style="343" customWidth="1"/>
    <col min="10" max="10" width="2.875" style="343" customWidth="1"/>
    <col min="11" max="11" width="12.125" style="343" customWidth="1"/>
    <col min="12" max="12" width="3.625" style="343" customWidth="1"/>
    <col min="13" max="13" width="3.5" style="469" customWidth="1"/>
    <col min="14" max="14" width="16" style="343" customWidth="1"/>
    <col min="15" max="15" width="11" style="343" bestFit="1" customWidth="1"/>
    <col min="16" max="16" width="17.25" style="343" customWidth="1"/>
    <col min="17" max="17" width="10" style="343" customWidth="1"/>
    <col min="18" max="18" width="10.25" style="343" customWidth="1"/>
    <col min="19" max="19" width="7.375" style="343" customWidth="1"/>
    <col min="20" max="20" width="3.125" style="343" customWidth="1"/>
    <col min="21" max="16384" width="8.5" style="343"/>
  </cols>
  <sheetData>
    <row r="2" spans="1:23" ht="18.75">
      <c r="B2" s="350"/>
      <c r="C2" s="348"/>
      <c r="D2" s="348"/>
      <c r="E2" s="348"/>
      <c r="F2" s="348"/>
      <c r="G2" s="348"/>
      <c r="H2" s="348"/>
      <c r="I2" s="348"/>
      <c r="J2" s="346" t="s">
        <v>13</v>
      </c>
      <c r="K2" s="448"/>
      <c r="L2" s="448"/>
    </row>
    <row r="3" spans="1:23" ht="18.75">
      <c r="B3" s="347" t="s">
        <v>443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23" ht="18.75">
      <c r="B4" s="347" t="s">
        <v>324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1:23" ht="18.75">
      <c r="B5" s="347" t="s">
        <v>376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</row>
    <row r="6" spans="1:23" ht="18.75">
      <c r="B6" s="347" t="s">
        <v>371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3" ht="18.75">
      <c r="B7" s="347" t="s">
        <v>13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</row>
    <row r="8" spans="1:23" ht="18.75">
      <c r="A8" s="470"/>
      <c r="B8" s="348"/>
      <c r="C8" s="348"/>
      <c r="D8" s="348"/>
      <c r="E8" s="348"/>
      <c r="F8" s="348"/>
      <c r="G8" s="348"/>
      <c r="H8" s="348"/>
      <c r="I8" s="348"/>
      <c r="J8" s="348"/>
    </row>
    <row r="9" spans="1:23" ht="18.75">
      <c r="A9" s="470"/>
      <c r="B9" s="348"/>
      <c r="C9" s="348"/>
      <c r="D9" s="348"/>
      <c r="E9" s="348"/>
      <c r="F9" s="348"/>
      <c r="G9" s="348"/>
      <c r="H9" s="348"/>
      <c r="I9" s="348"/>
      <c r="J9" s="348"/>
    </row>
    <row r="11" spans="1:23">
      <c r="B11" s="449" t="s">
        <v>335</v>
      </c>
      <c r="G11" s="356" t="s">
        <v>336</v>
      </c>
      <c r="H11" s="356"/>
      <c r="I11" s="356"/>
    </row>
    <row r="12" spans="1:23" ht="15.75" thickBot="1">
      <c r="B12" s="452" t="s">
        <v>337</v>
      </c>
      <c r="C12" s="450" t="s">
        <v>338</v>
      </c>
      <c r="G12" s="348" t="s">
        <v>85</v>
      </c>
      <c r="I12" s="348" t="s">
        <v>121</v>
      </c>
      <c r="K12" s="450" t="s">
        <v>327</v>
      </c>
      <c r="L12" s="348"/>
    </row>
    <row r="13" spans="1:23">
      <c r="B13" s="453" t="s">
        <v>210</v>
      </c>
      <c r="C13" s="454" t="s">
        <v>340</v>
      </c>
      <c r="D13" s="361"/>
      <c r="E13" s="678" t="s">
        <v>9</v>
      </c>
      <c r="F13" s="361"/>
      <c r="G13" s="356" t="s">
        <v>372</v>
      </c>
      <c r="I13" s="356" t="s">
        <v>373</v>
      </c>
      <c r="K13" s="689" t="s">
        <v>114</v>
      </c>
      <c r="L13" s="352"/>
      <c r="N13" s="471" t="s">
        <v>328</v>
      </c>
      <c r="O13" s="437"/>
      <c r="P13" s="438"/>
      <c r="Q13" s="406"/>
      <c r="R13" s="437" t="s">
        <v>329</v>
      </c>
      <c r="S13" s="438"/>
    </row>
    <row r="14" spans="1:23">
      <c r="G14" s="454"/>
      <c r="H14" s="361"/>
      <c r="I14" s="454"/>
      <c r="N14" s="408" t="s">
        <v>208</v>
      </c>
      <c r="O14" s="372"/>
      <c r="P14" s="409"/>
      <c r="Q14" s="372"/>
      <c r="R14" s="372"/>
      <c r="S14" s="409"/>
    </row>
    <row r="15" spans="1:23">
      <c r="B15" s="364">
        <v>1000</v>
      </c>
      <c r="C15" s="343">
        <v>300</v>
      </c>
      <c r="E15" s="364">
        <f>ROUND((B$15*C15),0)</f>
        <v>300000</v>
      </c>
      <c r="F15" s="364"/>
      <c r="G15" s="463">
        <f>ROUND($E15*$P$18*O$18/100+$E15*$P$19*O$19/100+$B$15*O$17+IF($B$15&lt;3001,$B$15*P$15+O$15,$B$15*P$16+O$16),2)+$R$24</f>
        <v>25063.3</v>
      </c>
      <c r="H15" s="463"/>
      <c r="I15" s="463">
        <f ca="1">ROUND($E15*$S$18*R$18/100+$E15*$S$19*R$19/100+$B$15*R$17+IF($B$15&lt;3001,$B$15*S$15+R$15,$B$15*S$16+R$16),2)+$R$25</f>
        <v>25846.3</v>
      </c>
      <c r="K15" s="367">
        <f ca="1">(I15-G15)/G15</f>
        <v>3.1240898046147155E-2</v>
      </c>
      <c r="L15" s="367"/>
      <c r="N15" s="408" t="s">
        <v>374</v>
      </c>
      <c r="O15" s="414">
        <f>'Exhibit No.__(RMM-3)'!D934</f>
        <v>1344</v>
      </c>
      <c r="P15" s="360">
        <f>'Exhibit No.__(RMM-3)'!D937</f>
        <v>0.61</v>
      </c>
      <c r="Q15" s="415"/>
      <c r="R15" s="414">
        <f>'Exhibit No.__(RMM-3)'!J934</f>
        <v>1344</v>
      </c>
      <c r="S15" s="360">
        <f>'Exhibit No.__(RMM-3)'!J937</f>
        <v>0.61</v>
      </c>
      <c r="W15" s="502" t="s">
        <v>13</v>
      </c>
    </row>
    <row r="16" spans="1:23">
      <c r="C16" s="343">
        <v>500</v>
      </c>
      <c r="E16" s="364">
        <f>ROUND((B$15*C16),0)</f>
        <v>500000</v>
      </c>
      <c r="F16" s="364"/>
      <c r="G16" s="463">
        <f t="shared" ref="G16:G17" si="0">ROUND($E16*$P$18*O$18/100+$E16*$P$19*O$19/100+$B$15*O$17+IF($B$15&lt;3001,$B$15*P$15+O$15,$B$15*P$16+O$16),2)+$R$24</f>
        <v>34431.160000000003</v>
      </c>
      <c r="H16" s="463"/>
      <c r="I16" s="463">
        <f ca="1">ROUND($E16*$S$18*R$18/100+$E16*$S$19*R$19/100+$B$15*R$17+IF($B$15&lt;3001,$B$15*S$15+R$15,$B$15*S$16+R$16),2)+$R$25</f>
        <v>35736.160000000003</v>
      </c>
      <c r="K16" s="367">
        <f ca="1">(I16-G16)/G16</f>
        <v>3.7901714609673329E-2</v>
      </c>
      <c r="L16" s="367"/>
      <c r="N16" s="408" t="s">
        <v>375</v>
      </c>
      <c r="O16" s="414">
        <f>'Exhibit No.__(RMM-3)'!D935</f>
        <v>1618</v>
      </c>
      <c r="P16" s="360">
        <f>'Exhibit No.__(RMM-3)'!D938</f>
        <v>0.5</v>
      </c>
      <c r="Q16" s="415"/>
      <c r="R16" s="414">
        <f>'Exhibit No.__(RMM-3)'!J935</f>
        <v>1618</v>
      </c>
      <c r="S16" s="360">
        <f>'Exhibit No.__(RMM-3)'!J938</f>
        <v>0.5</v>
      </c>
    </row>
    <row r="17" spans="2:24">
      <c r="C17" s="343">
        <v>700</v>
      </c>
      <c r="E17" s="364">
        <f>ROUND((B$15*C17),0)</f>
        <v>700000</v>
      </c>
      <c r="F17" s="364"/>
      <c r="G17" s="463">
        <f t="shared" si="0"/>
        <v>43799.03</v>
      </c>
      <c r="H17" s="463"/>
      <c r="I17" s="463">
        <f ca="1">ROUND($E17*$S$18*R$18/100+$E17*$S$19*R$19/100+$B$15*R$17+IF($B$15&lt;3001,$B$15*S$15+R$15,$B$15*S$16+R$16),2)+$R$25</f>
        <v>45626.03</v>
      </c>
      <c r="K17" s="367">
        <f ca="1">(I17-G17)/G17</f>
        <v>4.1713252553766601E-2</v>
      </c>
      <c r="L17" s="367"/>
      <c r="N17" s="408" t="s">
        <v>210</v>
      </c>
      <c r="O17" s="414">
        <f>'Exhibit No.__(RMM-3)'!D939</f>
        <v>8.8000000000000007</v>
      </c>
      <c r="P17" s="420"/>
      <c r="Q17" s="415"/>
      <c r="R17" s="414">
        <f>'Exhibit No.__(RMM-3)'!J939</f>
        <v>8.8000000000000007</v>
      </c>
      <c r="S17" s="420"/>
      <c r="U17" s="535">
        <f>(R17-O17)/O17</f>
        <v>0</v>
      </c>
      <c r="W17" s="343">
        <v>9.08</v>
      </c>
      <c r="X17" s="501" t="s">
        <v>532</v>
      </c>
    </row>
    <row r="18" spans="2:24">
      <c r="G18" s="463"/>
      <c r="H18" s="463"/>
      <c r="I18" s="463"/>
      <c r="K18" s="367"/>
      <c r="L18" s="367"/>
      <c r="N18" s="721" t="s">
        <v>531</v>
      </c>
      <c r="O18" s="423">
        <f>('Exhibit No.__(RMM-3)'!D942)+R20+R27</f>
        <v>5.2430000000000003</v>
      </c>
      <c r="P18" s="681">
        <v>0.40078497262736629</v>
      </c>
      <c r="Q18" s="415" t="s">
        <v>531</v>
      </c>
      <c r="R18" s="423">
        <f ca="1">('Exhibit No.__(RMM-3)'!J942)+R21+R28+R30</f>
        <v>5.5040000000000004</v>
      </c>
      <c r="S18" s="681">
        <v>0.40078497262736629</v>
      </c>
      <c r="U18" s="535">
        <f>(('Exhibit No.__(RMM-3)'!G882+R20)-O18)/O18</f>
        <v>-0.96128170894526033</v>
      </c>
      <c r="W18" s="423" t="s">
        <v>13</v>
      </c>
      <c r="X18" s="669" t="s">
        <v>13</v>
      </c>
    </row>
    <row r="19" spans="2:24" ht="15.75" thickBot="1">
      <c r="B19" s="364">
        <v>2000</v>
      </c>
      <c r="C19" s="343">
        <v>300</v>
      </c>
      <c r="E19" s="364">
        <f>ROUND((B$19*C19),0)</f>
        <v>600000</v>
      </c>
      <c r="F19" s="364"/>
      <c r="G19" s="463">
        <f>ROUND($E19*$P$18*O$18/100+$E19*$P$19*O$19/100+$B$19*O$17+IF($B$19&lt;3001,$B$19*P$15+O$15,$B$19*P$16+O$16),2)+$R$24</f>
        <v>48525.09</v>
      </c>
      <c r="H19" s="463"/>
      <c r="I19" s="463">
        <f ca="1">ROUND($E19*$S$18*R$18/100+$E19*$S$19*R$19/100+$B$19*R$17+IF($B$19&lt;3001,$B$19*S$15+R$15,$B$19*S$16+R$16),2)+$R$25</f>
        <v>50091.09</v>
      </c>
      <c r="K19" s="367">
        <f ca="1">(I19-G19)/G19</f>
        <v>3.2271964874253711E-2</v>
      </c>
      <c r="L19" s="367"/>
      <c r="N19" s="680" t="s">
        <v>529</v>
      </c>
      <c r="O19" s="722">
        <f>('Exhibit No.__(RMM-3)'!D943)+R20+R27</f>
        <v>4.3100000000000005</v>
      </c>
      <c r="P19" s="682">
        <f>1-P18</f>
        <v>0.59921502737263377</v>
      </c>
      <c r="Q19" s="680" t="s">
        <v>529</v>
      </c>
      <c r="R19" s="722">
        <f ca="1">('Exhibit No.__(RMM-3)'!J943)+R21+R28+R30</f>
        <v>4.5709999999999997</v>
      </c>
      <c r="S19" s="682">
        <f>1-S18</f>
        <v>0.59921502737263377</v>
      </c>
      <c r="X19" s="669" t="s">
        <v>13</v>
      </c>
    </row>
    <row r="20" spans="2:24">
      <c r="C20" s="343">
        <v>500</v>
      </c>
      <c r="E20" s="364">
        <f>ROUND((B$19*C20),0)</f>
        <v>1000000</v>
      </c>
      <c r="F20" s="364"/>
      <c r="G20" s="463">
        <f>ROUND($E20*$P$18*O$18/100+$E20*$P$19*O$19/100+$B$19*O$17+IF($B$19&lt;3001,$B$19*P$15+O$15,$B$19*P$16+O$16),2)+$R$24</f>
        <v>67260.820000000007</v>
      </c>
      <c r="H20" s="463"/>
      <c r="I20" s="463">
        <f ca="1">ROUND($E20*$S$18*R$18/100+$E20*$S$19*R$19/100+$B$19*R$17+IF($B$19&lt;3001,$B$19*S$15+R$15,$B$19*S$16+R$16),2)+$R$25</f>
        <v>69870.820000000007</v>
      </c>
      <c r="K20" s="367">
        <f ca="1">(I20-G20)/G20</f>
        <v>3.8804165634614619E-2</v>
      </c>
      <c r="L20" s="367"/>
      <c r="P20" s="370" t="s">
        <v>88</v>
      </c>
      <c r="Q20" s="370"/>
      <c r="R20" s="371">
        <v>0.20300000000000001</v>
      </c>
      <c r="U20" s="423" t="s">
        <v>13</v>
      </c>
    </row>
    <row r="21" spans="2:24">
      <c r="C21" s="343">
        <v>700</v>
      </c>
      <c r="E21" s="364">
        <f>ROUND((B$19*C21),0)</f>
        <v>1400000</v>
      </c>
      <c r="F21" s="364"/>
      <c r="G21" s="463">
        <f>ROUND($E21*$P$18*O$18/100+$E21*$P$19*O$19/100+$B$19*O$17+IF($B$19&lt;3001,$B$19*P$15+O$15,$B$19*P$16+O$16),2)+$R$24</f>
        <v>85996.55</v>
      </c>
      <c r="H21" s="463"/>
      <c r="I21" s="463">
        <f ca="1">ROUND($E21*$S$18*R$18/100+$E21*$S$19*R$19/100+$B$19*R$17+IF($B$19&lt;3001,$B$19*S$15+R$15,$B$19*S$16+R$16),2)+$R$25</f>
        <v>89650.55</v>
      </c>
      <c r="K21" s="367">
        <f ca="1">(I21-G21)/G21</f>
        <v>4.2490076636795313E-2</v>
      </c>
      <c r="L21" s="367"/>
      <c r="P21" s="370"/>
      <c r="Q21" s="370"/>
      <c r="R21" s="371">
        <v>0.20300000000000001</v>
      </c>
    </row>
    <row r="22" spans="2:24">
      <c r="G22" s="463"/>
      <c r="H22" s="463"/>
      <c r="I22" s="463"/>
      <c r="K22" s="367"/>
      <c r="L22" s="367"/>
      <c r="P22" s="370"/>
      <c r="Q22" s="370"/>
      <c r="R22" s="374"/>
    </row>
    <row r="23" spans="2:24">
      <c r="B23" s="364">
        <v>4000</v>
      </c>
      <c r="C23" s="343">
        <v>300</v>
      </c>
      <c r="E23" s="364">
        <f>ROUND((B$23*C23),0)</f>
        <v>1200000</v>
      </c>
      <c r="F23" s="364"/>
      <c r="G23" s="463">
        <f>ROUND($E23*$P$18*O$18/100+$E23*$P$19*O$19/100+$B$23*O$17+IF($B$23&lt;3001,$B$23*P$15+O$15,$B$23*P$16+O$16),2)+$R$24</f>
        <v>95282.69</v>
      </c>
      <c r="H23" s="463"/>
      <c r="I23" s="463">
        <f ca="1">ROUND($E23*$S$18*R$18/100+$E23*$S$19*R$19/100+$B$23*R$17+IF($B$23&lt;3001,$B$23*S$15+R$15,$B$23*S$16+R$16),2)+$R$25</f>
        <v>98414.69</v>
      </c>
      <c r="K23" s="367">
        <f ca="1">(I23-G23)/G23</f>
        <v>3.2870608501922013E-2</v>
      </c>
      <c r="L23" s="367"/>
      <c r="P23" s="343" t="s">
        <v>13</v>
      </c>
      <c r="Q23" s="343" t="s">
        <v>13</v>
      </c>
      <c r="R23" s="343" t="s">
        <v>13</v>
      </c>
      <c r="U23" s="501" t="s">
        <v>13</v>
      </c>
    </row>
    <row r="24" spans="2:24">
      <c r="C24" s="343">
        <v>500</v>
      </c>
      <c r="E24" s="364">
        <f>ROUND((B$23*C24),0)</f>
        <v>2000000</v>
      </c>
      <c r="F24" s="364"/>
      <c r="G24" s="463">
        <f>ROUND($E24*$P$18*O$18/100+$E24*$P$19*O$19/100+$B$23*O$17+IF($B$23&lt;3001,$B$23*P$15+O$15,$B$23*P$16+O$16),2)+$R$24</f>
        <v>132754.15</v>
      </c>
      <c r="H24" s="463"/>
      <c r="I24" s="463">
        <f ca="1">ROUND($E24*$S$18*R$18/100+$E24*$S$19*R$19/100+$B$23*R$17+IF($B$23&lt;3001,$B$23*S$15+R$15,$B$23*S$16+R$16),2)+$R$25</f>
        <v>137974.15</v>
      </c>
      <c r="K24" s="367">
        <f ca="1">(I24-G24)/G24</f>
        <v>3.9320804660343954E-2</v>
      </c>
      <c r="L24" s="367"/>
      <c r="P24" s="343" t="s">
        <v>420</v>
      </c>
      <c r="R24" s="416">
        <v>257.5</v>
      </c>
      <c r="S24" s="343" t="s">
        <v>13</v>
      </c>
    </row>
    <row r="25" spans="2:24">
      <c r="C25" s="343">
        <v>700</v>
      </c>
      <c r="E25" s="364">
        <f>ROUND((B$23*C25),0)</f>
        <v>2800000</v>
      </c>
      <c r="F25" s="364"/>
      <c r="G25" s="463">
        <f>ROUND($E25*$P$18*O$18/100+$E25*$P$19*O$19/100+$B$23*O$17+IF($B$23&lt;3001,$B$23*P$15+O$15,$B$23*P$16+O$16),2)+$R$24</f>
        <v>170225.61</v>
      </c>
      <c r="H25" s="463"/>
      <c r="I25" s="463">
        <f ca="1">ROUND($E25*$S$18*R$18/100+$E25*$S$19*R$19/100+$B$23*R$17+IF($B$23&lt;3001,$B$23*S$15+R$15,$B$23*S$16+R$16),2)+$R$25</f>
        <v>177533.61</v>
      </c>
      <c r="K25" s="367">
        <f ca="1">(I25-G25)/G25</f>
        <v>4.2931260460749708E-2</v>
      </c>
      <c r="L25" s="367"/>
      <c r="P25" s="343" t="s">
        <v>419</v>
      </c>
      <c r="R25" s="416">
        <f>R24</f>
        <v>257.5</v>
      </c>
    </row>
    <row r="26" spans="2:24">
      <c r="G26" s="463"/>
      <c r="H26" s="463"/>
      <c r="I26" s="463"/>
      <c r="K26" s="367"/>
      <c r="L26" s="367"/>
      <c r="X26" s="501" t="s">
        <v>13</v>
      </c>
    </row>
    <row r="27" spans="2:24">
      <c r="B27" s="364">
        <v>6000</v>
      </c>
      <c r="C27" s="343">
        <v>300</v>
      </c>
      <c r="E27" s="364">
        <f>ROUND((B$27*C27),0)</f>
        <v>1800000</v>
      </c>
      <c r="F27" s="364"/>
      <c r="G27" s="463">
        <f>ROUND($E27*$P$18*O$18/100+$E27*$P$19*O$19/100+$B$27*O$17+IF($B$27&lt;3001,$B$27*P$15+O$15,$B$27*P$16+O$16),2)+$R$24</f>
        <v>141986.28</v>
      </c>
      <c r="H27" s="463"/>
      <c r="I27" s="463">
        <f ca="1">ROUND($E27*$S$18*R$18/100+$E27*$S$19*R$19/100+$B$27*R$17+IF($B$27&lt;3001,$B$27*S$15+R$15,$B$27*S$16+R$16),2)+$R$25</f>
        <v>146684.28</v>
      </c>
      <c r="K27" s="367">
        <f ca="1">(I27-G27)/G27</f>
        <v>3.3087703966890321E-2</v>
      </c>
      <c r="L27" s="367"/>
      <c r="P27" s="501" t="s">
        <v>533</v>
      </c>
      <c r="R27" s="427">
        <v>-0.20799999999999999</v>
      </c>
    </row>
    <row r="28" spans="2:24">
      <c r="C28" s="343">
        <v>500</v>
      </c>
      <c r="E28" s="364">
        <f>ROUND((B$27*C28),0)</f>
        <v>3000000</v>
      </c>
      <c r="F28" s="364"/>
      <c r="G28" s="463">
        <f>ROUND($E28*$P$18*O$18/100+$E28*$P$19*O$19/100+$B$27*O$17+IF($B$27&lt;3001,$B$27*P$15+O$15,$B$27*P$16+O$16),2)+$R$24</f>
        <v>198193.47</v>
      </c>
      <c r="H28" s="463"/>
      <c r="I28" s="463">
        <f ca="1">ROUND($E28*$S$18*R$18/100+$E28*$S$19*R$19/100+$B$27*R$17+IF($B$27&lt;3001,$B$27*S$15+R$15,$B$27*S$16+R$16),2)+$R$25</f>
        <v>206023.47</v>
      </c>
      <c r="K28" s="367">
        <f ca="1">(I28-G28)/G28</f>
        <v>3.9506851562768439E-2</v>
      </c>
      <c r="L28" s="367"/>
      <c r="P28" s="501" t="s">
        <v>533</v>
      </c>
      <c r="R28" s="427">
        <v>-0.20799999999999999</v>
      </c>
      <c r="W28" s="501" t="s">
        <v>13</v>
      </c>
    </row>
    <row r="29" spans="2:24">
      <c r="C29" s="343">
        <v>700</v>
      </c>
      <c r="E29" s="364">
        <f>ROUND((B$27*C29),0)</f>
        <v>4200000</v>
      </c>
      <c r="F29" s="364"/>
      <c r="G29" s="463">
        <f>ROUND($E29*$P$18*O$18/100+$E29*$P$19*O$19/100+$B$27*O$17+IF($B$27&lt;3001,$B$27*P$15+O$15,$B$27*P$16+O$16),2)+$R$24</f>
        <v>254400.66</v>
      </c>
      <c r="H29" s="463"/>
      <c r="I29" s="463">
        <f ca="1">ROUND($E29*$S$18*R$18/100+$E29*$S$19*R$19/100+$B$27*R$17+IF($B$27&lt;3001,$B$27*S$15+R$15,$B$27*S$16+R$16),2)+$R$25</f>
        <v>265362.65999999997</v>
      </c>
      <c r="K29" s="367">
        <f ca="1">(I29-G29)/G29</f>
        <v>4.308951085268399E-2</v>
      </c>
      <c r="L29" s="367"/>
      <c r="P29" s="501"/>
      <c r="R29" s="690"/>
    </row>
    <row r="30" spans="2:24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P30" s="501" t="s">
        <v>1472</v>
      </c>
      <c r="R30" s="343">
        <f ca="1">'Exhibit No.__(RMM-2)pg1'!S27</f>
        <v>-4.8000000000000001E-2</v>
      </c>
    </row>
    <row r="32" spans="2:24">
      <c r="N32" s="619" t="s">
        <v>492</v>
      </c>
      <c r="O32" s="469">
        <f ca="1">'Exhibit No.__(RMM-2)pg2'!X29</f>
        <v>3.5200888903957887E-2</v>
      </c>
    </row>
    <row r="33" spans="2:17">
      <c r="B33" s="343" t="s">
        <v>333</v>
      </c>
      <c r="N33" s="501" t="s">
        <v>13</v>
      </c>
    </row>
    <row r="34" spans="2:17">
      <c r="B34" s="431" t="s">
        <v>1474</v>
      </c>
    </row>
    <row r="35" spans="2:17">
      <c r="B35" s="379"/>
    </row>
    <row r="36" spans="2:17">
      <c r="B36" s="379"/>
    </row>
    <row r="37" spans="2:17">
      <c r="B37" s="379"/>
    </row>
    <row r="38" spans="2:17">
      <c r="B38" s="379"/>
    </row>
    <row r="39" spans="2:17">
      <c r="B39" s="379"/>
    </row>
    <row r="40" spans="2:17">
      <c r="B40" s="379"/>
    </row>
    <row r="41" spans="2:17">
      <c r="B41" s="379"/>
    </row>
    <row r="42" spans="2:17">
      <c r="B42" s="379"/>
    </row>
    <row r="43" spans="2:17">
      <c r="B43" s="379"/>
    </row>
    <row r="44" spans="2:17">
      <c r="B44" s="379"/>
    </row>
    <row r="45" spans="2:17">
      <c r="B45" s="379"/>
    </row>
    <row r="46" spans="2:17">
      <c r="B46" s="379"/>
    </row>
    <row r="48" spans="2:17">
      <c r="Q48" s="381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1">
    <pageSetUpPr fitToPage="1"/>
  </sheetPr>
  <dimension ref="A2:W49"/>
  <sheetViews>
    <sheetView view="pageBreakPreview" zoomScale="60" zoomScaleNormal="100" workbookViewId="0"/>
  </sheetViews>
  <sheetFormatPr defaultColWidth="8.5" defaultRowHeight="15"/>
  <cols>
    <col min="1" max="1" width="2" style="343" customWidth="1"/>
    <col min="2" max="2" width="8.5" style="343"/>
    <col min="3" max="3" width="8.5" style="343" hidden="1" customWidth="1"/>
    <col min="4" max="4" width="3.25" style="343" customWidth="1"/>
    <col min="5" max="5" width="10.75" style="343" bestFit="1" customWidth="1"/>
    <col min="6" max="6" width="3.75" style="343" customWidth="1"/>
    <col min="7" max="7" width="19.875" style="343" customWidth="1"/>
    <col min="8" max="8" width="3.5" style="343" customWidth="1"/>
    <col min="9" max="9" width="19.5" style="343" customWidth="1"/>
    <col min="10" max="10" width="2.875" style="343" customWidth="1"/>
    <col min="11" max="11" width="12.125" style="343" customWidth="1"/>
    <col min="12" max="12" width="3.25" style="343" customWidth="1"/>
    <col min="13" max="13" width="3.5" style="469" customWidth="1"/>
    <col min="14" max="14" width="15.125" style="343" customWidth="1"/>
    <col min="15" max="15" width="12.25" style="343" customWidth="1"/>
    <col min="16" max="16" width="20.375" style="343" customWidth="1"/>
    <col min="17" max="17" width="2.5" style="343" customWidth="1"/>
    <col min="18" max="18" width="8.25" style="343" customWidth="1"/>
    <col min="19" max="19" width="10.375" style="343" bestFit="1" customWidth="1"/>
    <col min="20" max="20" width="8.625" style="343" bestFit="1" customWidth="1"/>
    <col min="21" max="21" width="2.5" style="343" customWidth="1"/>
    <col min="22" max="16384" width="8.5" style="343"/>
  </cols>
  <sheetData>
    <row r="2" spans="1:23" ht="18.75">
      <c r="B2" s="350"/>
      <c r="C2" s="348"/>
      <c r="D2" s="348"/>
      <c r="E2" s="348"/>
      <c r="F2" s="348"/>
      <c r="G2" s="348"/>
      <c r="H2" s="348"/>
      <c r="I2" s="348"/>
      <c r="J2" s="346" t="s">
        <v>13</v>
      </c>
      <c r="K2" s="448"/>
      <c r="L2" s="448"/>
    </row>
    <row r="3" spans="1:23" ht="18.75">
      <c r="B3" s="347" t="s">
        <v>443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</row>
    <row r="4" spans="1:23" ht="18.75">
      <c r="B4" s="347" t="s">
        <v>324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</row>
    <row r="5" spans="1:23" ht="18.75">
      <c r="B5" s="347" t="s">
        <v>376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</row>
    <row r="6" spans="1:23" ht="18.75">
      <c r="B6" s="347" t="s">
        <v>428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</row>
    <row r="7" spans="1:23" ht="18.75">
      <c r="B7" s="347" t="s">
        <v>429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W7" s="501" t="s">
        <v>13</v>
      </c>
    </row>
    <row r="8" spans="1:23" ht="18.75">
      <c r="A8" s="470"/>
      <c r="B8" s="347" t="s">
        <v>13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</row>
    <row r="9" spans="1:23" ht="18.75">
      <c r="A9" s="470"/>
      <c r="B9" s="348"/>
      <c r="C9" s="348"/>
      <c r="D9" s="348"/>
      <c r="E9" s="348"/>
      <c r="F9" s="348"/>
      <c r="G9" s="348"/>
      <c r="H9" s="348"/>
      <c r="I9" s="348"/>
      <c r="J9" s="348"/>
    </row>
    <row r="11" spans="1:23">
      <c r="B11" s="449" t="s">
        <v>335</v>
      </c>
      <c r="G11" s="356" t="s">
        <v>336</v>
      </c>
      <c r="H11" s="356"/>
      <c r="I11" s="356"/>
    </row>
    <row r="12" spans="1:23" ht="15.75" thickBot="1">
      <c r="B12" s="452" t="s">
        <v>337</v>
      </c>
      <c r="C12" s="450" t="s">
        <v>338</v>
      </c>
      <c r="G12" s="348" t="s">
        <v>85</v>
      </c>
      <c r="I12" s="530" t="s">
        <v>121</v>
      </c>
      <c r="K12" s="450" t="s">
        <v>327</v>
      </c>
      <c r="L12" s="348"/>
    </row>
    <row r="13" spans="1:23">
      <c r="B13" s="453" t="s">
        <v>210</v>
      </c>
      <c r="C13" s="454" t="s">
        <v>340</v>
      </c>
      <c r="D13" s="361"/>
      <c r="E13" s="355" t="s">
        <v>9</v>
      </c>
      <c r="F13" s="361"/>
      <c r="G13" s="356" t="s">
        <v>372</v>
      </c>
      <c r="I13" s="356" t="s">
        <v>373</v>
      </c>
      <c r="K13" s="689" t="s">
        <v>114</v>
      </c>
      <c r="L13" s="352"/>
      <c r="N13" s="471" t="s">
        <v>328</v>
      </c>
      <c r="O13" s="437"/>
      <c r="P13" s="438"/>
      <c r="Q13" s="406"/>
      <c r="R13" s="406"/>
      <c r="S13" s="437" t="s">
        <v>329</v>
      </c>
      <c r="T13" s="438"/>
    </row>
    <row r="14" spans="1:23">
      <c r="G14" s="454"/>
      <c r="H14" s="361"/>
      <c r="I14" s="454"/>
      <c r="N14" s="408" t="s">
        <v>208</v>
      </c>
      <c r="O14" s="372"/>
      <c r="P14" s="409"/>
      <c r="Q14" s="372"/>
      <c r="R14" s="372"/>
      <c r="S14" s="372"/>
      <c r="T14" s="409"/>
    </row>
    <row r="15" spans="1:23">
      <c r="B15" s="364">
        <v>30000</v>
      </c>
      <c r="C15" s="343">
        <v>300</v>
      </c>
      <c r="E15" s="364">
        <f>ROUND((B$15*C15),0)</f>
        <v>9000000</v>
      </c>
      <c r="F15" s="364"/>
      <c r="G15" s="463">
        <f>ROUND($E15*$P$18*O$18/100+$E15*$P$19*O$19/100+$B$15*O$17+$B$15*P$16+O$16,2)+$S$24</f>
        <v>693366.58</v>
      </c>
      <c r="H15" s="463"/>
      <c r="I15" s="463">
        <f ca="1">ROUND($E15*$T$18*S$18/100+$E15*$T$19*S$19/100+$B$15*S$17+$B$15*T$16+S$16,2)+$S$25</f>
        <v>717936.58</v>
      </c>
      <c r="K15" s="367">
        <f ca="1">(I15-G15)/G15</f>
        <v>3.5435800785206584E-2</v>
      </c>
      <c r="L15" s="367"/>
      <c r="N15" s="625" t="s">
        <v>13</v>
      </c>
      <c r="O15" s="414" t="str">
        <f>'Exhibit No.__(RMM-3)'!D1032</f>
        <v xml:space="preserve"> </v>
      </c>
      <c r="P15" s="360" t="s">
        <v>13</v>
      </c>
      <c r="Q15" s="415"/>
      <c r="R15" s="372" t="s">
        <v>13</v>
      </c>
      <c r="S15" s="414" t="s">
        <v>13</v>
      </c>
      <c r="T15" s="360" t="s">
        <v>13</v>
      </c>
    </row>
    <row r="16" spans="1:23">
      <c r="C16" s="343">
        <v>500</v>
      </c>
      <c r="E16" s="364">
        <f>ROUND((B$15*C16),0)</f>
        <v>15000000</v>
      </c>
      <c r="F16" s="364"/>
      <c r="G16" s="463">
        <f t="shared" ref="G16:G17" si="0">ROUND($E16*$P$18*O$18/100+$E16*$P$19*O$19/100+$B$15*O$17+$B$15*P$16+O$16,2)+$S$24</f>
        <v>969639.96</v>
      </c>
      <c r="H16" s="463"/>
      <c r="I16" s="463">
        <f ca="1">ROUND($E16*$T$18*S$18/100+$E16*$T$19*S$19/100+$B$15*S$17+$B$15*T$16+S$16,2)+$S$25</f>
        <v>1010589.96</v>
      </c>
      <c r="K16" s="367">
        <f ca="1">(I16-G16)/G16</f>
        <v>4.223217038208698E-2</v>
      </c>
      <c r="L16" s="367"/>
      <c r="N16" s="625" t="s">
        <v>426</v>
      </c>
      <c r="O16" s="414">
        <f>'Exhibit No.__(RMM-3)'!D1033</f>
        <v>2999</v>
      </c>
      <c r="P16" s="360">
        <f>'Exhibit No.__(RMM-3)'!D1036</f>
        <v>0.26</v>
      </c>
      <c r="Q16" s="415"/>
      <c r="R16" s="372" t="s">
        <v>426</v>
      </c>
      <c r="S16" s="414">
        <f>'Exhibit No.__(RMM-3)'!J1033</f>
        <v>2999</v>
      </c>
      <c r="T16" s="360">
        <f>'Exhibit No.__(RMM-3)'!J1036</f>
        <v>0.26</v>
      </c>
    </row>
    <row r="17" spans="2:22">
      <c r="C17" s="343">
        <v>700</v>
      </c>
      <c r="E17" s="364">
        <f>ROUND((B$15*C17),0)</f>
        <v>21000000</v>
      </c>
      <c r="F17" s="364"/>
      <c r="G17" s="463">
        <f t="shared" si="0"/>
        <v>1245913.3400000001</v>
      </c>
      <c r="H17" s="463"/>
      <c r="I17" s="463">
        <f ca="1">ROUND($E17*$T$18*S$18/100+$E17*$T$19*S$19/100+$B$15*S$17+$B$15*T$16+S$16,2)+$S$25</f>
        <v>1303243.3400000001</v>
      </c>
      <c r="K17" s="367">
        <f ca="1">(I17-G17)/G17</f>
        <v>4.6014436284950604E-2</v>
      </c>
      <c r="L17" s="367"/>
      <c r="N17" s="408" t="s">
        <v>210</v>
      </c>
      <c r="O17" s="414">
        <f>'Exhibit No.__(RMM-3)'!D1037</f>
        <v>8.93</v>
      </c>
      <c r="P17" s="420"/>
      <c r="Q17" s="415"/>
      <c r="R17" s="415"/>
      <c r="S17" s="414">
        <f>'Exhibit No.__(RMM-3)'!J1037</f>
        <v>8.93</v>
      </c>
      <c r="T17" s="420"/>
      <c r="V17" s="535">
        <f>(S17-O17)/O17</f>
        <v>0</v>
      </c>
    </row>
    <row r="18" spans="2:22">
      <c r="G18" s="463"/>
      <c r="H18" s="463"/>
      <c r="I18" s="463"/>
      <c r="K18" s="367"/>
      <c r="L18" s="367"/>
      <c r="N18" s="721" t="s">
        <v>531</v>
      </c>
      <c r="O18" s="423">
        <f>'Exhibit No.__(RMM-3)'!D1040+S20+S27</f>
        <v>5.1749999999999998</v>
      </c>
      <c r="P18" s="681">
        <v>0.38859207013266178</v>
      </c>
      <c r="Q18" s="415"/>
      <c r="R18" s="415" t="s">
        <v>531</v>
      </c>
      <c r="S18" s="423">
        <f ca="1">'Exhibit No.__(RMM-3)'!J1040+S21+S28+S30</f>
        <v>5.4480000000000004</v>
      </c>
      <c r="T18" s="681">
        <v>0.38859207013266178</v>
      </c>
      <c r="V18" s="535">
        <f>(('Exhibit No.__(RMM-3)'!G1039+S20)-O18)/O18</f>
        <v>-0.96077294685990333</v>
      </c>
    </row>
    <row r="19" spans="2:22" ht="15.75" thickBot="1">
      <c r="B19" s="364">
        <v>40000</v>
      </c>
      <c r="C19" s="343">
        <v>300</v>
      </c>
      <c r="E19" s="364">
        <f>ROUND((B$19*C19),0)</f>
        <v>12000000</v>
      </c>
      <c r="F19" s="364"/>
      <c r="G19" s="463">
        <f>ROUND($E19*$P$18*O$18/100+$E19*$P$19*O$19/100+$B$19*O$17+$B$19*P$16+O$16,2)+$S$24</f>
        <v>923403.27</v>
      </c>
      <c r="H19" s="463"/>
      <c r="I19" s="463">
        <f ca="1">ROUND($E19*$T$18*S$18/100+$E19*$T$19*S$19/100+$B$19*S$17+$B$19*T$16+S$16,2)+$S$25</f>
        <v>956163.27</v>
      </c>
      <c r="K19" s="367">
        <f ca="1">(I19-G19)/G19</f>
        <v>3.5477457211083953E-2</v>
      </c>
      <c r="L19" s="367"/>
      <c r="N19" s="680" t="s">
        <v>529</v>
      </c>
      <c r="O19" s="722">
        <f>'Exhibit No.__(RMM-3)'!D1041+S20+S27</f>
        <v>4.242</v>
      </c>
      <c r="P19" s="682">
        <f>1-P18</f>
        <v>0.61140792986733827</v>
      </c>
      <c r="Q19" s="723"/>
      <c r="R19" s="724" t="s">
        <v>529</v>
      </c>
      <c r="S19" s="722">
        <f ca="1">'Exhibit No.__(RMM-3)'!J1041+S21+S28+S30</f>
        <v>4.5150000000000006</v>
      </c>
      <c r="T19" s="682">
        <f>1-T18</f>
        <v>0.61140792986733827</v>
      </c>
    </row>
    <row r="20" spans="2:22">
      <c r="C20" s="343">
        <v>500</v>
      </c>
      <c r="E20" s="364">
        <f>ROUND((B$19*C20),0)</f>
        <v>20000000</v>
      </c>
      <c r="F20" s="364"/>
      <c r="G20" s="463">
        <f t="shared" ref="G20:G21" si="1">ROUND($E20*$P$18*O$18/100+$E20*$P$19*O$19/100+$B$19*O$17+$B$19*P$16+O$16,2)+$S$24</f>
        <v>1291767.78</v>
      </c>
      <c r="H20" s="463"/>
      <c r="I20" s="463">
        <f ca="1">ROUND($E20*$T$18*S$18/100+$E20*$T$19*S$19/100+$B$19*S$17+$B$19*T$16+S$16,2)+$S$25</f>
        <v>1346367.78</v>
      </c>
      <c r="K20" s="367">
        <f ca="1">(I20-G20)/G20</f>
        <v>4.2267658975052004E-2</v>
      </c>
      <c r="L20" s="367"/>
      <c r="P20" s="370" t="s">
        <v>88</v>
      </c>
      <c r="Q20" s="370"/>
      <c r="R20" s="370"/>
      <c r="S20" s="371">
        <v>0.20300000000000001</v>
      </c>
    </row>
    <row r="21" spans="2:22">
      <c r="C21" s="343">
        <v>700</v>
      </c>
      <c r="E21" s="364">
        <f>ROUND((B$19*C21),0)</f>
        <v>28000000</v>
      </c>
      <c r="F21" s="364"/>
      <c r="G21" s="463">
        <f t="shared" si="1"/>
        <v>1660132.29</v>
      </c>
      <c r="H21" s="463"/>
      <c r="I21" s="463">
        <f ca="1">ROUND($E21*$T$18*S$18/100+$E21*$T$19*S$19/100+$B$19*S$17+$B$19*T$16+S$16,2)+$S$25</f>
        <v>1736572.29</v>
      </c>
      <c r="K21" s="367">
        <f ca="1">(I21-G21)/G21</f>
        <v>4.6044523355424888E-2</v>
      </c>
      <c r="L21" s="367"/>
      <c r="P21" s="370"/>
      <c r="Q21" s="370"/>
      <c r="R21" s="370"/>
      <c r="S21" s="371">
        <v>0.20300000000000001</v>
      </c>
    </row>
    <row r="22" spans="2:22">
      <c r="G22" s="463"/>
      <c r="H22" s="463"/>
      <c r="I22" s="463"/>
      <c r="K22" s="367"/>
      <c r="L22" s="367"/>
      <c r="P22" s="370"/>
      <c r="Q22" s="370"/>
      <c r="R22" s="370"/>
      <c r="S22" s="374"/>
    </row>
    <row r="23" spans="2:22">
      <c r="B23" s="364">
        <v>50000</v>
      </c>
      <c r="C23" s="343">
        <v>300</v>
      </c>
      <c r="E23" s="364">
        <f>ROUND((B$23*C23),0)</f>
        <v>15000000</v>
      </c>
      <c r="F23" s="364"/>
      <c r="G23" s="463">
        <f>ROUND($E23*$P$18*O$18/100+$E23*$P$19*O$19/100+$B$23*O$17+$B$23*P$16+O$16,2)+$S$24</f>
        <v>1153439.96</v>
      </c>
      <c r="H23" s="463"/>
      <c r="I23" s="463">
        <f ca="1">ROUND($E23*$T$18*S$18/100+$E23*$T$19*S$19/100+$B$23*S$17+$B$23*T$16+S$16,2)+$S$25</f>
        <v>1194389.96</v>
      </c>
      <c r="K23" s="367">
        <f ca="1">(I23-G23)/G23</f>
        <v>3.5502498110088022E-2</v>
      </c>
      <c r="L23" s="367"/>
      <c r="P23" s="343" t="s">
        <v>13</v>
      </c>
      <c r="Q23" s="343" t="s">
        <v>13</v>
      </c>
      <c r="S23" s="343" t="s">
        <v>13</v>
      </c>
    </row>
    <row r="24" spans="2:22">
      <c r="C24" s="343">
        <v>500</v>
      </c>
      <c r="E24" s="364">
        <f>ROUND((B$23*C24),0)</f>
        <v>25000000</v>
      </c>
      <c r="F24" s="364"/>
      <c r="G24" s="463">
        <f>ROUND($E24*$P$18*O$18/100+$E24*$P$19*O$19/100+$B$23*O$17+$B$23*P$16+O$16,2)+$S$24</f>
        <v>1613895.6</v>
      </c>
      <c r="H24" s="463"/>
      <c r="I24" s="463">
        <f ca="1">ROUND($E24*$T$18*S$18/100+$E24*$T$19*S$19/100+$B$23*S$17+$B$23*T$16+S$16,2)+$S$25</f>
        <v>1682145.6</v>
      </c>
      <c r="K24" s="367">
        <f ca="1">(I24-G24)/G24</f>
        <v>4.228898077422108E-2</v>
      </c>
      <c r="L24" s="367"/>
      <c r="P24" s="343" t="s">
        <v>420</v>
      </c>
      <c r="S24" s="416">
        <v>257.5</v>
      </c>
      <c r="T24" s="343" t="s">
        <v>13</v>
      </c>
    </row>
    <row r="25" spans="2:22">
      <c r="C25" s="343">
        <v>700</v>
      </c>
      <c r="E25" s="364">
        <f>ROUND((B$23*C25),0)</f>
        <v>35000000</v>
      </c>
      <c r="F25" s="364"/>
      <c r="G25" s="463">
        <f>ROUND($E25*$P$18*O$18/100+$E25*$P$19*O$19/100+$B$23*O$17+$B$23*P$16+O$16,2)+$S$24</f>
        <v>2074351.24</v>
      </c>
      <c r="H25" s="463"/>
      <c r="I25" s="463">
        <f ca="1">ROUND($E25*$T$18*S$18/100+$E25*$T$19*S$19/100+$B$23*S$17+$B$23*T$16+S$16,2)+$S$25</f>
        <v>2169901.2400000002</v>
      </c>
      <c r="K25" s="367">
        <f ca="1">(I25-G25)/G25</f>
        <v>4.6062594490989019E-2</v>
      </c>
      <c r="L25" s="367"/>
      <c r="P25" s="343" t="s">
        <v>419</v>
      </c>
      <c r="Q25" s="383"/>
      <c r="R25" s="383"/>
      <c r="S25" s="416">
        <f>S24</f>
        <v>257.5</v>
      </c>
    </row>
    <row r="26" spans="2:22">
      <c r="G26" s="463"/>
      <c r="H26" s="463"/>
      <c r="I26" s="463"/>
      <c r="K26" s="367"/>
      <c r="L26" s="367"/>
    </row>
    <row r="27" spans="2:22">
      <c r="B27" s="364">
        <v>60000</v>
      </c>
      <c r="C27" s="343">
        <v>300</v>
      </c>
      <c r="E27" s="364">
        <f>ROUND((B$27*C27),0)</f>
        <v>18000000</v>
      </c>
      <c r="F27" s="364"/>
      <c r="G27" s="463">
        <f>ROUND($E27*$P$18*O$18/100+$E27*$P$19*O$19/100+$B$27*O$17+$B$27*P$16+O$16,2)+$S$24</f>
        <v>1383476.65</v>
      </c>
      <c r="H27" s="463"/>
      <c r="I27" s="463">
        <f ca="1">ROUND($E27*$T$18*S$18/100+$E27*$T$19*S$19/100+$B$27*S$17+$B$27*T$16+S$16,2)+$S$25</f>
        <v>1432616.65</v>
      </c>
      <c r="K27" s="367">
        <f ca="1">(I27-G27)/G27</f>
        <v>3.5519211690345484E-2</v>
      </c>
      <c r="L27" s="367"/>
      <c r="P27" s="501" t="s">
        <v>534</v>
      </c>
      <c r="S27" s="343">
        <v>-0.20799999999999999</v>
      </c>
    </row>
    <row r="28" spans="2:22">
      <c r="C28" s="343">
        <v>500</v>
      </c>
      <c r="E28" s="364">
        <f>ROUND((B$27*C28),0)</f>
        <v>30000000</v>
      </c>
      <c r="F28" s="364"/>
      <c r="G28" s="463">
        <f>ROUND($E28*$P$18*O$18/100+$E28*$P$19*O$19/100+$B$27*O$17+$B$27*P$16+O$16,2)+$S$24</f>
        <v>1936023.42</v>
      </c>
      <c r="H28" s="463"/>
      <c r="I28" s="463">
        <f ca="1">ROUND($E28*$T$18*S$18/100+$E28*$T$19*S$19/100+$B$27*S$17+$B$27*T$16+S$16,2)+$S$25</f>
        <v>2017923.42</v>
      </c>
      <c r="K28" s="367">
        <f ca="1">(I28-G28)/G28</f>
        <v>4.2303207261821248E-2</v>
      </c>
      <c r="L28" s="367"/>
      <c r="P28" s="501" t="s">
        <v>533</v>
      </c>
      <c r="S28" s="343">
        <v>-0.20799999999999999</v>
      </c>
    </row>
    <row r="29" spans="2:22">
      <c r="C29" s="343">
        <v>700</v>
      </c>
      <c r="E29" s="364">
        <f>ROUND((B$27*C29),0)</f>
        <v>42000000</v>
      </c>
      <c r="F29" s="364"/>
      <c r="G29" s="463">
        <f>ROUND($E29*$P$18*O$18/100+$E29*$P$19*O$19/100+$B$27*O$17+$B$27*P$16+O$16,2)+$S$24</f>
        <v>2488570.19</v>
      </c>
      <c r="H29" s="463"/>
      <c r="I29" s="463">
        <f ca="1">ROUND($E29*$T$18*S$18/100+$E29*$T$19*S$19/100+$B$27*S$17+$B$27*T$16+S$16,2)+$S$25</f>
        <v>2603230.19</v>
      </c>
      <c r="K29" s="367">
        <f ca="1">(I29-G29)/G29</f>
        <v>4.6074649797199413E-2</v>
      </c>
      <c r="L29" s="367"/>
      <c r="P29" s="501"/>
      <c r="S29" s="690"/>
    </row>
    <row r="30" spans="2:22"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P30" s="501" t="s">
        <v>1472</v>
      </c>
      <c r="S30" s="343">
        <f ca="1">'Exhibit No.__(RMM-2)pg1'!S28</f>
        <v>-3.9E-2</v>
      </c>
    </row>
    <row r="31" spans="2:22">
      <c r="O31" s="620" t="s">
        <v>13</v>
      </c>
    </row>
    <row r="32" spans="2:22">
      <c r="K32" s="501" t="s">
        <v>13</v>
      </c>
      <c r="L32" s="501"/>
      <c r="N32" s="619" t="s">
        <v>492</v>
      </c>
      <c r="O32" s="469">
        <f ca="1">'Exhibit No.__(RMM-2)pg2'!X30</f>
        <v>4.5266395241174366E-2</v>
      </c>
      <c r="P32" s="501" t="s">
        <v>13</v>
      </c>
      <c r="S32" s="501" t="s">
        <v>13</v>
      </c>
    </row>
    <row r="33" spans="2:20">
      <c r="B33" s="343" t="s">
        <v>333</v>
      </c>
      <c r="T33" s="501" t="s">
        <v>13</v>
      </c>
    </row>
    <row r="34" spans="2:20">
      <c r="B34" s="431" t="s">
        <v>1474</v>
      </c>
    </row>
    <row r="35" spans="2:20">
      <c r="B35" s="431"/>
    </row>
    <row r="36" spans="2:20">
      <c r="B36" s="379"/>
    </row>
    <row r="37" spans="2:20">
      <c r="B37" s="379"/>
    </row>
    <row r="38" spans="2:20">
      <c r="B38" s="379"/>
    </row>
    <row r="39" spans="2:20">
      <c r="B39" s="379"/>
    </row>
    <row r="40" spans="2:20">
      <c r="B40" s="379"/>
    </row>
    <row r="41" spans="2:20">
      <c r="B41" s="379"/>
    </row>
    <row r="42" spans="2:20">
      <c r="B42" s="379"/>
    </row>
    <row r="43" spans="2:20">
      <c r="B43" s="379"/>
      <c r="K43" s="501" t="s">
        <v>13</v>
      </c>
      <c r="L43" s="501"/>
    </row>
    <row r="44" spans="2:20">
      <c r="B44" s="379"/>
    </row>
    <row r="45" spans="2:20">
      <c r="B45" s="379"/>
    </row>
    <row r="46" spans="2:20">
      <c r="B46" s="379"/>
    </row>
    <row r="47" spans="2:20">
      <c r="B47" s="379"/>
    </row>
    <row r="49" spans="17:18">
      <c r="Q49" s="381"/>
      <c r="R49" s="381"/>
    </row>
  </sheetData>
  <phoneticPr fontId="0" type="noConversion"/>
  <printOptions horizontalCentered="1"/>
  <pageMargins left="0.5" right="0.5" top="0.5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AFEFD-8DF9-4881-A1A1-19D6F3CD7E77}">
  <sheetPr>
    <tabColor rgb="FFFFFF00"/>
  </sheetPr>
  <dimension ref="A1"/>
  <sheetViews>
    <sheetView topLeftCell="A2" workbookViewId="0">
      <selection activeCell="A2" sqref="A2"/>
    </sheetView>
  </sheetViews>
  <sheetFormatPr defaultRowHeight="15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A7D09-47CC-4D5B-BCD3-818B11919760}">
  <sheetPr>
    <tabColor rgb="FFFFFF00"/>
  </sheetPr>
  <dimension ref="A1:V1453"/>
  <sheetViews>
    <sheetView topLeftCell="A9" zoomScale="85" zoomScaleNormal="85" workbookViewId="0">
      <pane xSplit="5" ySplit="2" topLeftCell="F11" activePane="bottomRight" state="frozen"/>
      <selection activeCell="A9" sqref="A9"/>
      <selection pane="topRight" activeCell="F9" sqref="F9"/>
      <selection pane="bottomLeft" activeCell="A11" sqref="A11"/>
      <selection pane="bottomRight" activeCell="H1426" sqref="H1426"/>
    </sheetView>
  </sheetViews>
  <sheetFormatPr defaultColWidth="7" defaultRowHeight="12.75"/>
  <cols>
    <col min="1" max="1" width="6.125" style="763" customWidth="1"/>
    <col min="2" max="2" width="2.25" style="763" customWidth="1"/>
    <col min="3" max="3" width="11.5" style="763" customWidth="1"/>
    <col min="4" max="4" width="2.5" style="763" customWidth="1"/>
    <col min="5" max="5" width="34.875" style="763" customWidth="1"/>
    <col min="6" max="6" width="14.875" style="763" customWidth="1"/>
    <col min="7" max="7" width="9.25" style="765" bestFit="1" customWidth="1"/>
    <col min="8" max="8" width="20.25" style="763" bestFit="1" customWidth="1"/>
    <col min="9" max="9" width="20.5" style="763" bestFit="1" customWidth="1"/>
    <col min="10" max="10" width="19.625" style="763" bestFit="1" customWidth="1"/>
    <col min="11" max="12" width="20.75" style="763" bestFit="1" customWidth="1"/>
    <col min="13" max="13" width="21.75" style="763" bestFit="1" customWidth="1"/>
    <col min="14" max="14" width="19.375" style="763" bestFit="1" customWidth="1"/>
    <col min="15" max="15" width="18.5" style="763" bestFit="1" customWidth="1"/>
    <col min="16" max="16" width="13.25" style="813" bestFit="1" customWidth="1"/>
    <col min="17" max="18" width="7" style="763" customWidth="1"/>
    <col min="19" max="19" width="12.25" style="763" bestFit="1" customWidth="1"/>
    <col min="20" max="20" width="12.125" style="763" customWidth="1"/>
    <col min="21" max="21" width="12.25" style="763" bestFit="1" customWidth="1"/>
    <col min="22" max="22" width="12.625" style="763" customWidth="1"/>
    <col min="23" max="16384" width="7" style="763"/>
  </cols>
  <sheetData>
    <row r="1" spans="1:22">
      <c r="A1" s="762" t="s">
        <v>571</v>
      </c>
      <c r="D1" s="763" t="s">
        <v>572</v>
      </c>
      <c r="E1" s="764" t="s">
        <v>573</v>
      </c>
      <c r="P1" s="766"/>
    </row>
    <row r="2" spans="1:22">
      <c r="A2" s="767"/>
      <c r="B2" s="768" t="s">
        <v>443</v>
      </c>
      <c r="C2" s="769"/>
      <c r="D2" s="768"/>
      <c r="E2" s="768"/>
      <c r="F2" s="769"/>
      <c r="G2" s="770"/>
      <c r="H2" s="769"/>
      <c r="I2" s="771"/>
      <c r="J2" s="769"/>
      <c r="K2" s="769"/>
      <c r="L2" s="769"/>
      <c r="M2" s="769"/>
      <c r="N2" s="771"/>
      <c r="O2" s="771"/>
      <c r="P2" s="772"/>
    </row>
    <row r="3" spans="1:22">
      <c r="A3" s="773">
        <v>3</v>
      </c>
      <c r="B3" s="768" t="s">
        <v>574</v>
      </c>
      <c r="C3" s="769"/>
      <c r="D3" s="769"/>
      <c r="E3" s="769"/>
      <c r="F3" s="769"/>
      <c r="G3" s="770"/>
      <c r="H3" s="769"/>
      <c r="I3" s="771"/>
      <c r="J3" s="769"/>
      <c r="K3" s="769"/>
      <c r="L3" s="771"/>
      <c r="M3" s="771"/>
      <c r="N3" s="771"/>
      <c r="O3" s="771"/>
      <c r="P3" s="772"/>
    </row>
    <row r="4" spans="1:22">
      <c r="A4" s="773">
        <v>4</v>
      </c>
      <c r="B4" s="768" t="s">
        <v>1387</v>
      </c>
      <c r="C4" s="769"/>
      <c r="D4" s="769"/>
      <c r="E4" s="769"/>
      <c r="F4" s="769"/>
      <c r="G4" s="770"/>
      <c r="H4" s="769"/>
      <c r="I4" s="771"/>
      <c r="J4" s="769"/>
      <c r="K4" s="769"/>
      <c r="L4" s="771"/>
      <c r="M4" s="771"/>
      <c r="N4" s="771"/>
      <c r="O4" s="771"/>
      <c r="P4" s="772"/>
    </row>
    <row r="5" spans="1:22">
      <c r="A5" s="773">
        <v>5</v>
      </c>
      <c r="B5" s="768" t="s">
        <v>1388</v>
      </c>
      <c r="C5" s="769"/>
      <c r="D5" s="769"/>
      <c r="E5" s="769"/>
      <c r="F5" s="769"/>
      <c r="G5" s="770"/>
      <c r="H5" s="769"/>
      <c r="I5" s="771"/>
      <c r="J5" s="769"/>
      <c r="K5" s="769"/>
      <c r="L5" s="771"/>
      <c r="M5" s="771"/>
      <c r="N5" s="771"/>
      <c r="O5" s="771"/>
      <c r="P5" s="772"/>
      <c r="Q5" s="774"/>
      <c r="R5" s="774"/>
      <c r="S5" s="774"/>
      <c r="T5" s="774"/>
      <c r="U5" s="774"/>
      <c r="V5" s="774"/>
    </row>
    <row r="6" spans="1:22">
      <c r="A6" s="773">
        <v>6</v>
      </c>
      <c r="B6" s="768" t="s">
        <v>1389</v>
      </c>
      <c r="C6" s="769"/>
      <c r="D6" s="769"/>
      <c r="E6" s="768"/>
      <c r="F6" s="769"/>
      <c r="G6" s="770"/>
      <c r="H6" s="769"/>
      <c r="I6" s="771"/>
      <c r="J6" s="769"/>
      <c r="K6" s="769"/>
      <c r="L6" s="771"/>
      <c r="M6" s="771"/>
      <c r="N6" s="771"/>
      <c r="O6" s="771"/>
      <c r="P6" s="772"/>
      <c r="Q6" s="774"/>
      <c r="R6" s="774"/>
      <c r="S6" s="774"/>
      <c r="T6" s="774"/>
      <c r="U6" s="774"/>
      <c r="V6" s="774"/>
    </row>
    <row r="7" spans="1:22">
      <c r="A7" s="773">
        <v>7</v>
      </c>
      <c r="B7" s="775"/>
      <c r="H7" s="776"/>
      <c r="I7" s="776"/>
      <c r="J7" s="776"/>
      <c r="K7" s="776"/>
      <c r="L7" s="776"/>
      <c r="M7" s="776"/>
      <c r="N7" s="776"/>
      <c r="O7" s="776"/>
      <c r="P7" s="772"/>
    </row>
    <row r="8" spans="1:22">
      <c r="A8" s="773">
        <v>8</v>
      </c>
      <c r="H8" s="776"/>
      <c r="I8" s="776"/>
      <c r="J8" s="776"/>
      <c r="K8" s="776"/>
      <c r="L8" s="776"/>
      <c r="M8" s="776"/>
      <c r="N8" s="776"/>
      <c r="O8" s="776"/>
      <c r="P8" s="772"/>
    </row>
    <row r="9" spans="1:22">
      <c r="A9" s="773">
        <v>9</v>
      </c>
      <c r="C9" s="777" t="s">
        <v>575</v>
      </c>
      <c r="D9" s="767"/>
      <c r="E9" s="777" t="s">
        <v>576</v>
      </c>
      <c r="F9" s="777" t="s">
        <v>577</v>
      </c>
      <c r="G9" s="778"/>
      <c r="H9" s="777" t="s">
        <v>578</v>
      </c>
      <c r="I9" s="779" t="s">
        <v>579</v>
      </c>
      <c r="J9" s="777" t="s">
        <v>580</v>
      </c>
      <c r="K9" s="779" t="s">
        <v>581</v>
      </c>
      <c r="L9" s="777" t="s">
        <v>582</v>
      </c>
      <c r="M9" s="779" t="s">
        <v>583</v>
      </c>
      <c r="N9" s="777" t="s">
        <v>584</v>
      </c>
      <c r="O9" s="779" t="s">
        <v>585</v>
      </c>
      <c r="P9" s="780" t="s">
        <v>586</v>
      </c>
    </row>
    <row r="10" spans="1:22" ht="38.25">
      <c r="A10" s="773">
        <v>12</v>
      </c>
      <c r="B10" s="781"/>
      <c r="D10" s="781"/>
      <c r="E10" s="782" t="s">
        <v>587</v>
      </c>
      <c r="F10" s="782"/>
      <c r="G10" s="783"/>
      <c r="H10" s="784" t="s">
        <v>588</v>
      </c>
      <c r="I10" s="784" t="s">
        <v>589</v>
      </c>
      <c r="J10" s="784" t="s">
        <v>590</v>
      </c>
      <c r="K10" s="784" t="s">
        <v>591</v>
      </c>
      <c r="L10" s="784" t="s">
        <v>592</v>
      </c>
      <c r="M10" s="784" t="s">
        <v>593</v>
      </c>
      <c r="N10" s="784" t="s">
        <v>594</v>
      </c>
      <c r="O10" s="784" t="s">
        <v>595</v>
      </c>
      <c r="P10" s="785">
        <v>0</v>
      </c>
    </row>
    <row r="11" spans="1:22">
      <c r="A11" s="773">
        <v>13</v>
      </c>
      <c r="C11" s="767"/>
      <c r="D11" s="767"/>
      <c r="E11" s="767"/>
      <c r="F11" s="767"/>
      <c r="G11" s="778"/>
      <c r="H11" s="775"/>
      <c r="I11" s="775"/>
      <c r="J11" s="775"/>
      <c r="K11" s="775"/>
      <c r="L11" s="775"/>
      <c r="M11" s="775"/>
      <c r="N11" s="775"/>
      <c r="O11" s="775"/>
      <c r="P11" s="772"/>
    </row>
    <row r="12" spans="1:22" hidden="1">
      <c r="A12" s="786">
        <v>12</v>
      </c>
      <c r="C12" s="767"/>
      <c r="D12" s="767"/>
      <c r="E12" s="767" t="s">
        <v>596</v>
      </c>
      <c r="F12" s="767"/>
      <c r="G12" s="778"/>
      <c r="H12" s="787">
        <v>382591356.44323879</v>
      </c>
      <c r="I12" s="788">
        <v>163537832.47862095</v>
      </c>
      <c r="J12" s="788">
        <v>57175679.305342674</v>
      </c>
      <c r="K12" s="788">
        <v>83491539.997424841</v>
      </c>
      <c r="L12" s="788">
        <v>32052657.495718129</v>
      </c>
      <c r="M12" s="788">
        <v>27770699.798476037</v>
      </c>
      <c r="N12" s="788">
        <v>16676662.981543552</v>
      </c>
      <c r="O12" s="788">
        <v>1886284.3861126152</v>
      </c>
      <c r="P12" s="772">
        <v>0</v>
      </c>
      <c r="Q12" s="774"/>
      <c r="R12" s="774"/>
      <c r="S12" s="774"/>
      <c r="T12" s="774"/>
      <c r="U12" s="774"/>
      <c r="V12" s="774"/>
    </row>
    <row r="13" spans="1:22" hidden="1">
      <c r="A13" s="786">
        <v>13</v>
      </c>
      <c r="C13" s="767"/>
      <c r="D13" s="767"/>
      <c r="E13" s="767"/>
      <c r="F13" s="767"/>
      <c r="G13" s="778"/>
      <c r="H13" s="775"/>
      <c r="I13" s="775"/>
      <c r="J13" s="775"/>
      <c r="K13" s="775"/>
      <c r="L13" s="775"/>
      <c r="M13" s="775"/>
      <c r="N13" s="775"/>
      <c r="O13" s="775"/>
      <c r="P13" s="772"/>
    </row>
    <row r="14" spans="1:22" hidden="1">
      <c r="A14" s="786">
        <v>14</v>
      </c>
      <c r="C14" s="767"/>
      <c r="D14" s="767"/>
      <c r="E14" s="767" t="s">
        <v>597</v>
      </c>
      <c r="F14" s="767"/>
      <c r="G14" s="778"/>
      <c r="H14" s="775"/>
      <c r="I14" s="775"/>
      <c r="J14" s="775"/>
      <c r="K14" s="775"/>
      <c r="L14" s="775"/>
      <c r="M14" s="775"/>
      <c r="N14" s="775"/>
      <c r="O14" s="775"/>
      <c r="P14" s="772"/>
    </row>
    <row r="15" spans="1:22" hidden="1">
      <c r="A15" s="786">
        <v>15</v>
      </c>
      <c r="C15" s="767"/>
      <c r="D15" s="767"/>
      <c r="E15" s="767" t="s">
        <v>598</v>
      </c>
      <c r="F15" s="767"/>
      <c r="G15" s="778"/>
      <c r="H15" s="787">
        <v>167580764.75903344</v>
      </c>
      <c r="I15" s="788">
        <v>75285956.901894167</v>
      </c>
      <c r="J15" s="788">
        <v>22620147.642693497</v>
      </c>
      <c r="K15" s="788">
        <v>35193817.722888887</v>
      </c>
      <c r="L15" s="788">
        <v>14335647.268913005</v>
      </c>
      <c r="M15" s="788">
        <v>13044391.894951452</v>
      </c>
      <c r="N15" s="788">
        <v>6529809.0947091198</v>
      </c>
      <c r="O15" s="788">
        <v>570994.23298328172</v>
      </c>
      <c r="P15" s="772">
        <v>0</v>
      </c>
      <c r="Q15" s="774"/>
      <c r="R15" s="774"/>
      <c r="S15" s="774"/>
      <c r="T15" s="774"/>
      <c r="U15" s="774"/>
      <c r="V15" s="774"/>
    </row>
    <row r="16" spans="1:22" hidden="1">
      <c r="A16" s="786">
        <v>16</v>
      </c>
      <c r="C16" s="767"/>
      <c r="D16" s="767"/>
      <c r="E16" s="767" t="s">
        <v>599</v>
      </c>
      <c r="F16" s="767"/>
      <c r="G16" s="778"/>
      <c r="H16" s="787">
        <v>117309607.36845623</v>
      </c>
      <c r="I16" s="788">
        <v>51339764.967835687</v>
      </c>
      <c r="J16" s="788">
        <v>16178312.501946941</v>
      </c>
      <c r="K16" s="788">
        <v>25244963.592537418</v>
      </c>
      <c r="L16" s="788">
        <v>10213863.316718927</v>
      </c>
      <c r="M16" s="788">
        <v>9063817.9489638619</v>
      </c>
      <c r="N16" s="788">
        <v>4936626.4918527426</v>
      </c>
      <c r="O16" s="788">
        <v>332258.54860065493</v>
      </c>
      <c r="P16" s="772">
        <v>0</v>
      </c>
      <c r="Q16" s="774"/>
      <c r="R16" s="774"/>
      <c r="S16" s="774"/>
      <c r="T16" s="774"/>
      <c r="U16" s="774"/>
      <c r="V16" s="774"/>
    </row>
    <row r="17" spans="1:22" hidden="1">
      <c r="A17" s="786">
        <v>17</v>
      </c>
      <c r="C17" s="767"/>
      <c r="D17" s="767"/>
      <c r="E17" s="767" t="s">
        <v>600</v>
      </c>
      <c r="F17" s="767"/>
      <c r="G17" s="778"/>
      <c r="H17" s="787">
        <v>7134745.3027785588</v>
      </c>
      <c r="I17" s="788">
        <v>3647044.4418289089</v>
      </c>
      <c r="J17" s="788">
        <v>987591.54259629198</v>
      </c>
      <c r="K17" s="788">
        <v>1247398.3067816189</v>
      </c>
      <c r="L17" s="788">
        <v>502860.48551732342</v>
      </c>
      <c r="M17" s="788">
        <v>449284.32138792309</v>
      </c>
      <c r="N17" s="788">
        <v>258935.37608399632</v>
      </c>
      <c r="O17" s="788">
        <v>41630.828582496426</v>
      </c>
      <c r="P17" s="772">
        <v>0</v>
      </c>
      <c r="Q17" s="774"/>
      <c r="R17" s="774"/>
      <c r="S17" s="774"/>
      <c r="T17" s="774"/>
      <c r="U17" s="774"/>
      <c r="V17" s="774"/>
    </row>
    <row r="18" spans="1:22" hidden="1">
      <c r="A18" s="786">
        <v>18</v>
      </c>
      <c r="C18" s="767"/>
      <c r="D18" s="767"/>
      <c r="E18" s="767" t="s">
        <v>601</v>
      </c>
      <c r="F18" s="767"/>
      <c r="G18" s="778"/>
      <c r="H18" s="787">
        <v>24634547.458652236</v>
      </c>
      <c r="I18" s="788">
        <v>11462723.525937947</v>
      </c>
      <c r="J18" s="788">
        <v>3480165.3976608487</v>
      </c>
      <c r="K18" s="788">
        <v>4906632.285933746</v>
      </c>
      <c r="L18" s="788">
        <v>1962287.4728191437</v>
      </c>
      <c r="M18" s="788">
        <v>1634344.14362378</v>
      </c>
      <c r="N18" s="788">
        <v>1084056.0841745278</v>
      </c>
      <c r="O18" s="788">
        <v>104338.54850223867</v>
      </c>
      <c r="P18" s="772">
        <v>0</v>
      </c>
      <c r="Q18" s="774"/>
      <c r="R18" s="774"/>
      <c r="S18" s="774"/>
      <c r="T18" s="774"/>
      <c r="U18" s="774"/>
      <c r="V18" s="774"/>
    </row>
    <row r="19" spans="1:22" hidden="1">
      <c r="A19" s="786">
        <v>19</v>
      </c>
      <c r="C19" s="767"/>
      <c r="D19" s="767"/>
      <c r="E19" s="767" t="s">
        <v>602</v>
      </c>
      <c r="F19" s="767"/>
      <c r="G19" s="778"/>
      <c r="H19" s="787">
        <v>3728126.51344821</v>
      </c>
      <c r="I19" s="788">
        <v>1517203.6165807017</v>
      </c>
      <c r="J19" s="788">
        <v>493380.9529268216</v>
      </c>
      <c r="K19" s="788">
        <v>864568.03298505128</v>
      </c>
      <c r="L19" s="788">
        <v>356167.87343910942</v>
      </c>
      <c r="M19" s="788">
        <v>364210.331526978</v>
      </c>
      <c r="N19" s="788">
        <v>129589.22637265443</v>
      </c>
      <c r="O19" s="788">
        <v>3006.4796168935641</v>
      </c>
      <c r="P19" s="772">
        <v>0</v>
      </c>
      <c r="Q19" s="774"/>
      <c r="R19" s="774"/>
      <c r="S19" s="774"/>
      <c r="T19" s="774"/>
      <c r="U19" s="774"/>
      <c r="V19" s="774"/>
    </row>
    <row r="20" spans="1:22" hidden="1">
      <c r="A20" s="786">
        <v>20</v>
      </c>
      <c r="C20" s="767"/>
      <c r="D20" s="767"/>
      <c r="E20" s="767" t="s">
        <v>603</v>
      </c>
      <c r="F20" s="767"/>
      <c r="G20" s="778"/>
      <c r="H20" s="787">
        <v>0</v>
      </c>
      <c r="I20" s="788">
        <v>0</v>
      </c>
      <c r="J20" s="788">
        <v>0</v>
      </c>
      <c r="K20" s="788">
        <v>0</v>
      </c>
      <c r="L20" s="788">
        <v>0</v>
      </c>
      <c r="M20" s="788">
        <v>0</v>
      </c>
      <c r="N20" s="788">
        <v>0</v>
      </c>
      <c r="O20" s="788">
        <v>0</v>
      </c>
      <c r="P20" s="772">
        <v>0</v>
      </c>
      <c r="Q20" s="774"/>
      <c r="R20" s="774"/>
      <c r="S20" s="774"/>
      <c r="T20" s="774"/>
      <c r="U20" s="774"/>
      <c r="V20" s="774"/>
    </row>
    <row r="21" spans="1:22" hidden="1">
      <c r="A21" s="786">
        <v>21</v>
      </c>
      <c r="C21" s="767"/>
      <c r="D21" s="767"/>
      <c r="E21" s="767" t="s">
        <v>604</v>
      </c>
      <c r="F21" s="767"/>
      <c r="G21" s="778"/>
      <c r="H21" s="787">
        <v>-15956248.941915475</v>
      </c>
      <c r="I21" s="788">
        <v>-7160897.0307019483</v>
      </c>
      <c r="J21" s="788">
        <v>-2236611.5531025366</v>
      </c>
      <c r="K21" s="788">
        <v>-3321425.4831965645</v>
      </c>
      <c r="L21" s="788">
        <v>-1337296.7517992675</v>
      </c>
      <c r="M21" s="788">
        <v>-1138613.9060988259</v>
      </c>
      <c r="N21" s="788">
        <v>-699524.78786223417</v>
      </c>
      <c r="O21" s="788">
        <v>-61879.42915410018</v>
      </c>
      <c r="P21" s="772">
        <v>0</v>
      </c>
      <c r="Q21" s="774"/>
      <c r="R21" s="774"/>
      <c r="S21" s="774"/>
      <c r="T21" s="774"/>
      <c r="U21" s="774"/>
      <c r="V21" s="774"/>
    </row>
    <row r="22" spans="1:22" hidden="1">
      <c r="A22" s="786">
        <v>22</v>
      </c>
      <c r="C22" s="767"/>
      <c r="D22" s="767"/>
      <c r="E22" s="767" t="s">
        <v>605</v>
      </c>
      <c r="G22" s="778"/>
      <c r="H22" s="787">
        <v>0</v>
      </c>
      <c r="I22" s="788">
        <v>0</v>
      </c>
      <c r="J22" s="788">
        <v>0</v>
      </c>
      <c r="K22" s="788">
        <v>0</v>
      </c>
      <c r="L22" s="788">
        <v>0</v>
      </c>
      <c r="M22" s="788">
        <v>0</v>
      </c>
      <c r="N22" s="788">
        <v>0</v>
      </c>
      <c r="O22" s="788">
        <v>0</v>
      </c>
      <c r="P22" s="772">
        <v>0</v>
      </c>
      <c r="Q22" s="774"/>
      <c r="R22" s="774"/>
      <c r="S22" s="774"/>
      <c r="T22" s="774"/>
      <c r="U22" s="774"/>
      <c r="V22" s="774"/>
    </row>
    <row r="23" spans="1:22" hidden="1">
      <c r="A23" s="786">
        <v>23</v>
      </c>
      <c r="C23" s="767"/>
      <c r="D23" s="767"/>
      <c r="E23" s="767" t="s">
        <v>606</v>
      </c>
      <c r="G23" s="778"/>
      <c r="H23" s="787">
        <v>65435.101564292781</v>
      </c>
      <c r="I23" s="788">
        <v>48615.29560010432</v>
      </c>
      <c r="J23" s="788">
        <v>4979.5429207386069</v>
      </c>
      <c r="K23" s="788">
        <v>6442.1313847481179</v>
      </c>
      <c r="L23" s="788">
        <v>2491.2862998084847</v>
      </c>
      <c r="M23" s="788">
        <v>2198.1241011285088</v>
      </c>
      <c r="N23" s="788">
        <v>702.88730182467475</v>
      </c>
      <c r="O23" s="788">
        <v>5.8339559400683569</v>
      </c>
      <c r="P23" s="772">
        <v>0</v>
      </c>
      <c r="Q23" s="774"/>
      <c r="R23" s="774"/>
      <c r="S23" s="774"/>
      <c r="T23" s="774"/>
      <c r="U23" s="774"/>
      <c r="V23" s="774"/>
    </row>
    <row r="24" spans="1:22" hidden="1">
      <c r="A24" s="786">
        <v>24</v>
      </c>
      <c r="C24" s="767"/>
      <c r="D24" s="767"/>
      <c r="F24" s="767"/>
      <c r="G24" s="778"/>
      <c r="H24" s="775"/>
      <c r="I24" s="775"/>
      <c r="J24" s="775"/>
      <c r="K24" s="775"/>
      <c r="L24" s="775"/>
      <c r="M24" s="775"/>
      <c r="N24" s="775"/>
      <c r="O24" s="775"/>
      <c r="P24" s="772"/>
    </row>
    <row r="25" spans="1:22" hidden="1">
      <c r="A25" s="786">
        <v>25</v>
      </c>
      <c r="C25" s="767"/>
      <c r="D25" s="767"/>
      <c r="E25" s="767" t="s">
        <v>607</v>
      </c>
      <c r="F25" s="767"/>
      <c r="G25" s="778"/>
      <c r="H25" s="789">
        <v>304496977.56201756</v>
      </c>
      <c r="I25" s="789">
        <v>136140411.71897557</v>
      </c>
      <c r="J25" s="789">
        <v>41527966.0276426</v>
      </c>
      <c r="K25" s="789">
        <v>64142396.5893149</v>
      </c>
      <c r="L25" s="789">
        <v>26036020.951908052</v>
      </c>
      <c r="M25" s="789">
        <v>23419632.858456295</v>
      </c>
      <c r="N25" s="789">
        <v>12240194.37263263</v>
      </c>
      <c r="O25" s="789">
        <v>990355.04308740527</v>
      </c>
      <c r="P25" s="772">
        <v>0</v>
      </c>
      <c r="Q25" s="774"/>
      <c r="R25" s="774"/>
      <c r="S25" s="774"/>
      <c r="T25" s="774"/>
      <c r="U25" s="774"/>
      <c r="V25" s="774"/>
    </row>
    <row r="26" spans="1:22" hidden="1">
      <c r="A26" s="786">
        <v>26</v>
      </c>
      <c r="C26" s="767"/>
      <c r="D26" s="767"/>
      <c r="E26" s="767"/>
      <c r="F26" s="767"/>
      <c r="G26" s="778"/>
      <c r="H26" s="775"/>
      <c r="I26" s="775"/>
      <c r="J26" s="775"/>
      <c r="K26" s="775"/>
      <c r="L26" s="775"/>
      <c r="M26" s="775"/>
      <c r="N26" s="775"/>
      <c r="O26" s="775"/>
      <c r="P26" s="772"/>
    </row>
    <row r="27" spans="1:22" ht="13.5" hidden="1" thickBot="1">
      <c r="A27" s="786">
        <v>27</v>
      </c>
      <c r="C27" s="767"/>
      <c r="D27" s="767"/>
      <c r="E27" s="767" t="s">
        <v>608</v>
      </c>
      <c r="F27" s="767"/>
      <c r="G27" s="778"/>
      <c r="H27" s="790">
        <v>78094378.881221235</v>
      </c>
      <c r="I27" s="790">
        <v>27397420.759645373</v>
      </c>
      <c r="J27" s="790">
        <v>15647713.277700074</v>
      </c>
      <c r="K27" s="790">
        <v>19349143.408109941</v>
      </c>
      <c r="L27" s="790">
        <v>6016636.543810077</v>
      </c>
      <c r="M27" s="790">
        <v>4351066.9400197417</v>
      </c>
      <c r="N27" s="790">
        <v>4436468.608910922</v>
      </c>
      <c r="O27" s="790">
        <v>895929.34302520996</v>
      </c>
      <c r="P27" s="772">
        <v>0</v>
      </c>
      <c r="Q27" s="774"/>
      <c r="R27" s="774"/>
      <c r="S27" s="774"/>
      <c r="T27" s="774"/>
      <c r="U27" s="774"/>
      <c r="V27" s="774"/>
    </row>
    <row r="28" spans="1:22" ht="13.5" hidden="1" thickTop="1">
      <c r="A28" s="786">
        <v>28</v>
      </c>
      <c r="C28" s="767"/>
      <c r="D28" s="767"/>
      <c r="E28" s="767"/>
      <c r="F28" s="767"/>
      <c r="G28" s="778"/>
      <c r="H28" s="775"/>
      <c r="I28" s="775"/>
      <c r="J28" s="775"/>
      <c r="K28" s="775"/>
      <c r="L28" s="775"/>
      <c r="M28" s="775"/>
      <c r="N28" s="775"/>
      <c r="O28" s="775"/>
      <c r="P28" s="772"/>
    </row>
    <row r="29" spans="1:22" hidden="1">
      <c r="A29" s="786">
        <v>29</v>
      </c>
      <c r="C29" s="767"/>
      <c r="D29" s="767"/>
      <c r="E29" s="767"/>
      <c r="F29" s="767"/>
      <c r="G29" s="778"/>
      <c r="H29" s="775"/>
      <c r="I29" s="775"/>
      <c r="J29" s="775"/>
      <c r="K29" s="775"/>
      <c r="L29" s="775"/>
      <c r="M29" s="775"/>
      <c r="N29" s="775"/>
      <c r="O29" s="775"/>
      <c r="P29" s="772"/>
    </row>
    <row r="30" spans="1:22" hidden="1">
      <c r="A30" s="786">
        <v>30</v>
      </c>
      <c r="C30" s="767"/>
      <c r="D30" s="767"/>
      <c r="E30" s="767" t="s">
        <v>609</v>
      </c>
      <c r="F30" s="767"/>
      <c r="G30" s="778"/>
      <c r="H30" s="775"/>
      <c r="I30" s="775"/>
      <c r="J30" s="775"/>
      <c r="K30" s="775"/>
      <c r="L30" s="775"/>
      <c r="M30" s="775"/>
      <c r="N30" s="775"/>
      <c r="O30" s="775"/>
      <c r="P30" s="772"/>
    </row>
    <row r="31" spans="1:22" hidden="1">
      <c r="A31" s="786">
        <v>31</v>
      </c>
      <c r="C31" s="767"/>
      <c r="D31" s="767"/>
      <c r="E31" s="767" t="s">
        <v>610</v>
      </c>
      <c r="F31" s="767"/>
      <c r="G31" s="778"/>
      <c r="H31" s="787">
        <v>2182560253.9609895</v>
      </c>
      <c r="I31" s="788">
        <v>1017357406.1314496</v>
      </c>
      <c r="J31" s="788">
        <v>312575306.70041984</v>
      </c>
      <c r="K31" s="788">
        <v>432074335.87809575</v>
      </c>
      <c r="L31" s="788">
        <v>172767738.06052732</v>
      </c>
      <c r="M31" s="788">
        <v>141860864.53772703</v>
      </c>
      <c r="N31" s="788">
        <v>96326750.190390944</v>
      </c>
      <c r="O31" s="788">
        <v>9597852.4623791091</v>
      </c>
      <c r="P31" s="772">
        <v>0</v>
      </c>
      <c r="Q31" s="774"/>
      <c r="R31" s="774"/>
      <c r="S31" s="774"/>
      <c r="T31" s="774"/>
      <c r="U31" s="774"/>
      <c r="V31" s="774"/>
    </row>
    <row r="32" spans="1:22" hidden="1">
      <c r="A32" s="786">
        <v>32</v>
      </c>
      <c r="C32" s="767"/>
      <c r="D32" s="767"/>
      <c r="E32" s="767" t="s">
        <v>611</v>
      </c>
      <c r="F32" s="767"/>
      <c r="G32" s="778"/>
      <c r="H32" s="787">
        <v>34942.962564657762</v>
      </c>
      <c r="I32" s="788">
        <v>14614.884502933528</v>
      </c>
      <c r="J32" s="788">
        <v>4669.6590696189296</v>
      </c>
      <c r="K32" s="788">
        <v>7924.4946364219568</v>
      </c>
      <c r="L32" s="788">
        <v>3230.4585077964093</v>
      </c>
      <c r="M32" s="788">
        <v>3055.1338947901627</v>
      </c>
      <c r="N32" s="788">
        <v>1392.099580626249</v>
      </c>
      <c r="O32" s="788">
        <v>56.232372470524027</v>
      </c>
      <c r="P32" s="772">
        <v>0</v>
      </c>
      <c r="Q32" s="774"/>
      <c r="R32" s="774"/>
      <c r="S32" s="774"/>
      <c r="T32" s="774"/>
      <c r="U32" s="774"/>
      <c r="V32" s="774"/>
    </row>
    <row r="33" spans="1:22" hidden="1">
      <c r="A33" s="786">
        <v>33</v>
      </c>
      <c r="C33" s="767"/>
      <c r="D33" s="767"/>
      <c r="E33" s="767" t="s">
        <v>612</v>
      </c>
      <c r="F33" s="767"/>
      <c r="G33" s="778"/>
      <c r="H33" s="787">
        <v>0</v>
      </c>
      <c r="I33" s="788">
        <v>0</v>
      </c>
      <c r="J33" s="788">
        <v>0</v>
      </c>
      <c r="K33" s="788">
        <v>0</v>
      </c>
      <c r="L33" s="788">
        <v>0</v>
      </c>
      <c r="M33" s="788">
        <v>0</v>
      </c>
      <c r="N33" s="788">
        <v>0</v>
      </c>
      <c r="O33" s="788">
        <v>0</v>
      </c>
      <c r="P33" s="772">
        <v>0</v>
      </c>
      <c r="Q33" s="774"/>
      <c r="R33" s="774"/>
      <c r="S33" s="774"/>
      <c r="T33" s="774"/>
      <c r="U33" s="774"/>
      <c r="V33" s="774"/>
    </row>
    <row r="34" spans="1:22" hidden="1">
      <c r="A34" s="786">
        <v>34</v>
      </c>
      <c r="C34" s="767"/>
      <c r="D34" s="767"/>
      <c r="E34" s="767" t="s">
        <v>613</v>
      </c>
      <c r="F34" s="767"/>
      <c r="G34" s="778"/>
      <c r="H34" s="787">
        <v>0</v>
      </c>
      <c r="I34" s="788">
        <v>0</v>
      </c>
      <c r="J34" s="788">
        <v>0</v>
      </c>
      <c r="K34" s="788">
        <v>0</v>
      </c>
      <c r="L34" s="788">
        <v>0</v>
      </c>
      <c r="M34" s="788">
        <v>0</v>
      </c>
      <c r="N34" s="788">
        <v>0</v>
      </c>
      <c r="O34" s="788">
        <v>0</v>
      </c>
      <c r="P34" s="772">
        <v>0</v>
      </c>
      <c r="Q34" s="774"/>
      <c r="R34" s="774"/>
      <c r="S34" s="774"/>
      <c r="T34" s="774"/>
      <c r="U34" s="774"/>
      <c r="V34" s="774"/>
    </row>
    <row r="35" spans="1:22" hidden="1">
      <c r="A35" s="786">
        <v>35</v>
      </c>
      <c r="C35" s="767"/>
      <c r="D35" s="767"/>
      <c r="E35" s="767" t="s">
        <v>614</v>
      </c>
      <c r="F35" s="767"/>
      <c r="G35" s="778"/>
      <c r="H35" s="787">
        <v>-3.0559021979570384E-10</v>
      </c>
      <c r="I35" s="788">
        <v>-1.3032351997902491E-10</v>
      </c>
      <c r="J35" s="788">
        <v>-4.0756952388866674E-11</v>
      </c>
      <c r="K35" s="788">
        <v>-6.8022889964883096E-11</v>
      </c>
      <c r="L35" s="788">
        <v>-2.7677708935626411E-11</v>
      </c>
      <c r="M35" s="788">
        <v>-2.6449091693918806E-11</v>
      </c>
      <c r="N35" s="788">
        <v>-1.1908289870213309E-11</v>
      </c>
      <c r="O35" s="788">
        <v>-4.51766963170699E-13</v>
      </c>
      <c r="P35" s="772">
        <v>0</v>
      </c>
      <c r="Q35" s="774"/>
      <c r="R35" s="774"/>
      <c r="S35" s="774"/>
      <c r="T35" s="774"/>
      <c r="U35" s="774"/>
      <c r="V35" s="774"/>
    </row>
    <row r="36" spans="1:22" hidden="1">
      <c r="A36" s="786">
        <v>36</v>
      </c>
      <c r="C36" s="767"/>
      <c r="D36" s="767"/>
      <c r="E36" s="767" t="s">
        <v>615</v>
      </c>
      <c r="F36" s="767"/>
      <c r="G36" s="778"/>
      <c r="H36" s="787">
        <v>0</v>
      </c>
      <c r="I36" s="788">
        <v>0</v>
      </c>
      <c r="J36" s="788">
        <v>0</v>
      </c>
      <c r="K36" s="788">
        <v>0</v>
      </c>
      <c r="L36" s="788">
        <v>0</v>
      </c>
      <c r="M36" s="788">
        <v>0</v>
      </c>
      <c r="N36" s="788">
        <v>0</v>
      </c>
      <c r="O36" s="788">
        <v>0</v>
      </c>
      <c r="P36" s="772">
        <v>0</v>
      </c>
      <c r="Q36" s="774"/>
      <c r="R36" s="774"/>
      <c r="S36" s="774"/>
      <c r="T36" s="774"/>
      <c r="U36" s="774"/>
      <c r="V36" s="774"/>
    </row>
    <row r="37" spans="1:22" hidden="1">
      <c r="A37" s="786">
        <v>37</v>
      </c>
      <c r="C37" s="767"/>
      <c r="D37" s="767"/>
      <c r="E37" s="767" t="s">
        <v>616</v>
      </c>
      <c r="F37" s="767"/>
      <c r="G37" s="778"/>
      <c r="H37" s="787">
        <v>-2.1827872842550278E-11</v>
      </c>
      <c r="I37" s="788">
        <v>-9.5111634538394598E-12</v>
      </c>
      <c r="J37" s="788">
        <v>-3.0162725053409419E-12</v>
      </c>
      <c r="K37" s="788">
        <v>-4.7119095341773867E-12</v>
      </c>
      <c r="L37" s="788">
        <v>-1.9069040053550212E-12</v>
      </c>
      <c r="M37" s="788">
        <v>-1.6947587424747575E-12</v>
      </c>
      <c r="N37" s="788">
        <v>-9.2323543148047219E-13</v>
      </c>
      <c r="O37" s="788">
        <v>-6.3629169882235727E-14</v>
      </c>
      <c r="P37" s="772">
        <v>0</v>
      </c>
      <c r="Q37" s="774"/>
      <c r="R37" s="774"/>
      <c r="S37" s="774"/>
      <c r="T37" s="774"/>
      <c r="U37" s="774"/>
      <c r="V37" s="774"/>
    </row>
    <row r="38" spans="1:22" hidden="1">
      <c r="A38" s="786">
        <v>38</v>
      </c>
      <c r="C38" s="767"/>
      <c r="D38" s="767"/>
      <c r="E38" s="767" t="s">
        <v>617</v>
      </c>
      <c r="F38" s="767"/>
      <c r="G38" s="778"/>
      <c r="H38" s="787">
        <v>680572.05631388363</v>
      </c>
      <c r="I38" s="788">
        <v>284649.0757773217</v>
      </c>
      <c r="J38" s="788">
        <v>90949.34264416623</v>
      </c>
      <c r="K38" s="788">
        <v>154342.65483296051</v>
      </c>
      <c r="L38" s="788">
        <v>62918.528599843572</v>
      </c>
      <c r="M38" s="788">
        <v>59503.791449972312</v>
      </c>
      <c r="N38" s="788">
        <v>27113.444443281158</v>
      </c>
      <c r="O38" s="788">
        <v>1095.2185663381688</v>
      </c>
      <c r="P38" s="772">
        <v>0</v>
      </c>
      <c r="Q38" s="774"/>
      <c r="R38" s="774"/>
      <c r="S38" s="774"/>
      <c r="T38" s="774"/>
      <c r="U38" s="774"/>
      <c r="V38" s="774"/>
    </row>
    <row r="39" spans="1:22" hidden="1">
      <c r="A39" s="786">
        <v>39</v>
      </c>
      <c r="C39" s="767"/>
      <c r="D39" s="767"/>
      <c r="E39" s="767" t="s">
        <v>618</v>
      </c>
      <c r="G39" s="778"/>
      <c r="H39" s="787">
        <v>23459504.952025536</v>
      </c>
      <c r="I39" s="788">
        <v>10808173.72926438</v>
      </c>
      <c r="J39" s="788">
        <v>3391080.2854290367</v>
      </c>
      <c r="K39" s="788">
        <v>4707936.33746746</v>
      </c>
      <c r="L39" s="788">
        <v>1867259.7340414857</v>
      </c>
      <c r="M39" s="788">
        <v>1543324.9439017831</v>
      </c>
      <c r="N39" s="788">
        <v>1033810.2613386221</v>
      </c>
      <c r="O39" s="788">
        <v>107919.66058276601</v>
      </c>
      <c r="P39" s="772">
        <v>0</v>
      </c>
      <c r="Q39" s="774"/>
      <c r="R39" s="774"/>
      <c r="S39" s="774"/>
      <c r="T39" s="774"/>
      <c r="U39" s="774"/>
      <c r="V39" s="774"/>
    </row>
    <row r="40" spans="1:22" hidden="1">
      <c r="A40" s="786">
        <v>40</v>
      </c>
      <c r="C40" s="767"/>
      <c r="D40" s="767"/>
      <c r="E40" s="767" t="s">
        <v>619</v>
      </c>
      <c r="F40" s="767"/>
      <c r="G40" s="778"/>
      <c r="H40" s="787">
        <v>5092.6441051398042</v>
      </c>
      <c r="I40" s="788">
        <v>2129.9969993512332</v>
      </c>
      <c r="J40" s="788">
        <v>680.56369547669976</v>
      </c>
      <c r="K40" s="788">
        <v>1154.9287162389614</v>
      </c>
      <c r="L40" s="788">
        <v>470.81226859876131</v>
      </c>
      <c r="M40" s="788">
        <v>445.26017480419432</v>
      </c>
      <c r="N40" s="788">
        <v>202.88685339503343</v>
      </c>
      <c r="O40" s="788">
        <v>8.1953972749203494</v>
      </c>
      <c r="P40" s="772">
        <v>0</v>
      </c>
      <c r="Q40" s="774"/>
      <c r="R40" s="774"/>
      <c r="S40" s="774"/>
      <c r="T40" s="774"/>
      <c r="U40" s="774"/>
      <c r="V40" s="774"/>
    </row>
    <row r="41" spans="1:22" hidden="1">
      <c r="A41" s="786">
        <v>41</v>
      </c>
      <c r="C41" s="767"/>
      <c r="D41" s="767"/>
      <c r="E41" s="767" t="s">
        <v>620</v>
      </c>
      <c r="F41" s="767"/>
      <c r="G41" s="778"/>
      <c r="H41" s="787">
        <v>0</v>
      </c>
      <c r="I41" s="788">
        <v>0</v>
      </c>
      <c r="J41" s="788">
        <v>0</v>
      </c>
      <c r="K41" s="788">
        <v>0</v>
      </c>
      <c r="L41" s="788">
        <v>0</v>
      </c>
      <c r="M41" s="788">
        <v>0</v>
      </c>
      <c r="N41" s="788">
        <v>0</v>
      </c>
      <c r="O41" s="788">
        <v>0</v>
      </c>
      <c r="P41" s="772">
        <v>0</v>
      </c>
      <c r="Q41" s="774"/>
      <c r="R41" s="774"/>
      <c r="S41" s="774"/>
      <c r="T41" s="774"/>
      <c r="U41" s="774"/>
      <c r="V41" s="774"/>
    </row>
    <row r="42" spans="1:22" hidden="1">
      <c r="A42" s="786">
        <v>42</v>
      </c>
      <c r="C42" s="767"/>
      <c r="D42" s="767"/>
      <c r="E42" s="767"/>
      <c r="F42" s="767"/>
      <c r="G42" s="778"/>
      <c r="H42" s="775"/>
      <c r="I42" s="775"/>
      <c r="J42" s="775"/>
      <c r="K42" s="775"/>
      <c r="L42" s="775"/>
      <c r="M42" s="775"/>
      <c r="N42" s="775"/>
      <c r="O42" s="775"/>
      <c r="P42" s="772"/>
    </row>
    <row r="43" spans="1:22" hidden="1">
      <c r="A43" s="786">
        <v>43</v>
      </c>
      <c r="C43" s="767"/>
      <c r="D43" s="767"/>
      <c r="E43" s="767" t="s">
        <v>621</v>
      </c>
      <c r="F43" s="767"/>
      <c r="G43" s="778"/>
      <c r="H43" s="789">
        <v>2206740366.5759988</v>
      </c>
      <c r="I43" s="789">
        <v>1028466973.8179935</v>
      </c>
      <c r="J43" s="789">
        <v>316062686.55125815</v>
      </c>
      <c r="K43" s="789">
        <v>436945694.2937488</v>
      </c>
      <c r="L43" s="789">
        <v>174701617.59394506</v>
      </c>
      <c r="M43" s="789">
        <v>143467193.66714838</v>
      </c>
      <c r="N43" s="789">
        <v>97389268.882606864</v>
      </c>
      <c r="O43" s="789">
        <v>9706931.7692979574</v>
      </c>
      <c r="P43" s="772">
        <v>0</v>
      </c>
      <c r="Q43" s="774"/>
      <c r="R43" s="774"/>
      <c r="S43" s="774"/>
      <c r="T43" s="774"/>
      <c r="U43" s="774"/>
      <c r="V43" s="774"/>
    </row>
    <row r="44" spans="1:22" hidden="1">
      <c r="A44" s="786">
        <v>44</v>
      </c>
      <c r="C44" s="767"/>
      <c r="D44" s="767"/>
      <c r="E44" s="767"/>
      <c r="F44" s="767"/>
      <c r="G44" s="778"/>
      <c r="H44" s="775"/>
      <c r="I44" s="775"/>
      <c r="J44" s="775"/>
      <c r="K44" s="775"/>
      <c r="L44" s="775"/>
      <c r="M44" s="775"/>
      <c r="N44" s="775"/>
      <c r="O44" s="775"/>
      <c r="P44" s="772"/>
    </row>
    <row r="45" spans="1:22" hidden="1">
      <c r="A45" s="786">
        <v>45</v>
      </c>
      <c r="C45" s="767"/>
      <c r="D45" s="767"/>
      <c r="E45" s="767" t="s">
        <v>622</v>
      </c>
      <c r="F45" s="767"/>
      <c r="G45" s="778"/>
      <c r="H45" s="775"/>
      <c r="I45" s="775"/>
      <c r="J45" s="775"/>
      <c r="K45" s="775"/>
      <c r="L45" s="775"/>
      <c r="M45" s="775"/>
      <c r="N45" s="775"/>
      <c r="O45" s="775"/>
      <c r="P45" s="772"/>
    </row>
    <row r="46" spans="1:22" hidden="1">
      <c r="A46" s="786">
        <v>46</v>
      </c>
      <c r="C46" s="767"/>
      <c r="D46" s="767"/>
      <c r="E46" s="767" t="s">
        <v>623</v>
      </c>
      <c r="F46" s="778"/>
      <c r="G46" s="778"/>
      <c r="H46" s="791">
        <v>-764511699.83147633</v>
      </c>
      <c r="I46" s="791">
        <v>-363278266.01523256</v>
      </c>
      <c r="J46" s="791">
        <v>-112815856.58103614</v>
      </c>
      <c r="K46" s="791">
        <v>-146823592.01539832</v>
      </c>
      <c r="L46" s="791">
        <v>-58234090.530791335</v>
      </c>
      <c r="M46" s="791">
        <v>-42972027.1423309</v>
      </c>
      <c r="N46" s="791">
        <v>-36243918.005090669</v>
      </c>
      <c r="O46" s="791">
        <v>-4143949.5415964555</v>
      </c>
      <c r="P46" s="772">
        <v>0</v>
      </c>
      <c r="Q46" s="774"/>
      <c r="R46" s="774"/>
      <c r="S46" s="774"/>
      <c r="T46" s="774"/>
      <c r="U46" s="774"/>
      <c r="V46" s="774"/>
    </row>
    <row r="47" spans="1:22" hidden="1">
      <c r="A47" s="786">
        <v>47</v>
      </c>
      <c r="C47" s="767"/>
      <c r="D47" s="767"/>
      <c r="E47" s="767" t="s">
        <v>624</v>
      </c>
      <c r="F47" s="778"/>
      <c r="G47" s="778"/>
      <c r="H47" s="791">
        <v>-61873796.61360047</v>
      </c>
      <c r="I47" s="791">
        <v>-31236367.659644533</v>
      </c>
      <c r="J47" s="791">
        <v>-8578574.1190555152</v>
      </c>
      <c r="K47" s="791">
        <v>-11026966.741413103</v>
      </c>
      <c r="L47" s="791">
        <v>-4443824.7051907945</v>
      </c>
      <c r="M47" s="791">
        <v>-3952563.7317766347</v>
      </c>
      <c r="N47" s="791">
        <v>-2289924.7477948512</v>
      </c>
      <c r="O47" s="791">
        <v>-345574.90872504323</v>
      </c>
      <c r="P47" s="772">
        <v>0</v>
      </c>
      <c r="Q47" s="774"/>
      <c r="R47" s="774"/>
      <c r="S47" s="774"/>
      <c r="T47" s="774"/>
      <c r="U47" s="774"/>
      <c r="V47" s="774"/>
    </row>
    <row r="48" spans="1:22" hidden="1">
      <c r="A48" s="786">
        <v>48</v>
      </c>
      <c r="C48" s="767"/>
      <c r="D48" s="767"/>
      <c r="E48" s="767" t="s">
        <v>625</v>
      </c>
      <c r="F48" s="778"/>
      <c r="G48" s="778"/>
      <c r="H48" s="791">
        <v>-235998947.53391173</v>
      </c>
      <c r="I48" s="791">
        <v>-110396860.69519579</v>
      </c>
      <c r="J48" s="791">
        <v>-33823745.236109339</v>
      </c>
      <c r="K48" s="791">
        <v>-46424484.666610472</v>
      </c>
      <c r="L48" s="791">
        <v>-18564985.342234373</v>
      </c>
      <c r="M48" s="791">
        <v>-15367671.826462163</v>
      </c>
      <c r="N48" s="791">
        <v>-10351421.776273519</v>
      </c>
      <c r="O48" s="791">
        <v>-1069777.991026083</v>
      </c>
      <c r="P48" s="772">
        <v>0</v>
      </c>
      <c r="Q48" s="774"/>
      <c r="R48" s="774"/>
      <c r="S48" s="774"/>
      <c r="T48" s="774"/>
      <c r="U48" s="774"/>
      <c r="V48" s="774"/>
    </row>
    <row r="49" spans="1:22" hidden="1">
      <c r="A49" s="786">
        <v>49</v>
      </c>
      <c r="C49" s="767"/>
      <c r="D49" s="767"/>
      <c r="E49" s="767" t="s">
        <v>626</v>
      </c>
      <c r="F49" s="778"/>
      <c r="G49" s="778"/>
      <c r="H49" s="791">
        <v>-19597.460327859608</v>
      </c>
      <c r="I49" s="791">
        <v>-9145.8388786992164</v>
      </c>
      <c r="J49" s="791">
        <v>-2821.8351662939917</v>
      </c>
      <c r="K49" s="791">
        <v>-3861.8139525449733</v>
      </c>
      <c r="L49" s="791">
        <v>-1543.401130874531</v>
      </c>
      <c r="M49" s="791">
        <v>-1260.7927167349692</v>
      </c>
      <c r="N49" s="791">
        <v>-872.3088448825464</v>
      </c>
      <c r="O49" s="791">
        <v>-91.46963782937749</v>
      </c>
      <c r="P49" s="772">
        <v>0</v>
      </c>
      <c r="Q49" s="774"/>
      <c r="R49" s="774"/>
      <c r="S49" s="774"/>
      <c r="T49" s="774"/>
      <c r="U49" s="774"/>
      <c r="V49" s="774"/>
    </row>
    <row r="50" spans="1:22" hidden="1">
      <c r="A50" s="786">
        <v>50</v>
      </c>
      <c r="C50" s="767"/>
      <c r="D50" s="767"/>
      <c r="E50" s="767" t="s">
        <v>627</v>
      </c>
      <c r="F50" s="778"/>
      <c r="G50" s="778"/>
      <c r="H50" s="791">
        <v>-2479813.3255259153</v>
      </c>
      <c r="I50" s="791">
        <v>-1008690.5233405686</v>
      </c>
      <c r="J50" s="791">
        <v>-1401465.3432780139</v>
      </c>
      <c r="K50" s="791">
        <v>-50326.843745292994</v>
      </c>
      <c r="L50" s="791">
        <v>0</v>
      </c>
      <c r="M50" s="791">
        <v>0</v>
      </c>
      <c r="N50" s="791">
        <v>-19330.615162039812</v>
      </c>
      <c r="O50" s="791">
        <v>0</v>
      </c>
      <c r="P50" s="772">
        <v>0</v>
      </c>
      <c r="Q50" s="774"/>
      <c r="R50" s="774"/>
      <c r="S50" s="774"/>
      <c r="T50" s="774"/>
      <c r="U50" s="774"/>
      <c r="V50" s="774"/>
    </row>
    <row r="51" spans="1:22" hidden="1">
      <c r="A51" s="786">
        <v>51</v>
      </c>
      <c r="C51" s="767"/>
      <c r="D51" s="767"/>
      <c r="E51" s="767" t="s">
        <v>628</v>
      </c>
      <c r="F51" s="778"/>
      <c r="G51" s="778"/>
      <c r="H51" s="791">
        <v>-2829106.1541666668</v>
      </c>
      <c r="I51" s="791">
        <v>-2146221.9351850785</v>
      </c>
      <c r="J51" s="791">
        <v>-312193.1450698041</v>
      </c>
      <c r="K51" s="791">
        <v>-203626.28617497726</v>
      </c>
      <c r="L51" s="791">
        <v>-47613.321431950346</v>
      </c>
      <c r="M51" s="791">
        <v>0</v>
      </c>
      <c r="N51" s="791">
        <v>-118377.18085117653</v>
      </c>
      <c r="O51" s="791">
        <v>-1074.2854536802402</v>
      </c>
      <c r="P51" s="772">
        <v>0</v>
      </c>
      <c r="Q51" s="774"/>
      <c r="R51" s="774"/>
      <c r="S51" s="774"/>
      <c r="T51" s="774"/>
      <c r="U51" s="774"/>
      <c r="V51" s="774"/>
    </row>
    <row r="52" spans="1:22" hidden="1">
      <c r="A52" s="786">
        <v>52</v>
      </c>
      <c r="C52" s="767"/>
      <c r="D52" s="767"/>
      <c r="E52" s="767" t="s">
        <v>629</v>
      </c>
      <c r="F52" s="778"/>
      <c r="G52" s="778"/>
      <c r="H52" s="791">
        <v>-51955666.231506482</v>
      </c>
      <c r="I52" s="791">
        <v>-21730443.142632488</v>
      </c>
      <c r="J52" s="791">
        <v>-6943179.119031989</v>
      </c>
      <c r="K52" s="791">
        <v>-11782698.665617136</v>
      </c>
      <c r="L52" s="791">
        <v>-4803274.0124776717</v>
      </c>
      <c r="M52" s="791">
        <v>-4542588.9873122955</v>
      </c>
      <c r="N52" s="791">
        <v>-2069872.0389893749</v>
      </c>
      <c r="O52" s="791">
        <v>-83610.265445531346</v>
      </c>
      <c r="P52" s="772">
        <v>0</v>
      </c>
      <c r="Q52" s="774"/>
      <c r="R52" s="774"/>
      <c r="S52" s="774"/>
      <c r="T52" s="774"/>
      <c r="U52" s="774"/>
      <c r="V52" s="774"/>
    </row>
    <row r="53" spans="1:22" hidden="1">
      <c r="A53" s="786">
        <v>53</v>
      </c>
      <c r="C53" s="767"/>
      <c r="D53" s="767"/>
      <c r="E53" s="767"/>
      <c r="F53" s="767"/>
      <c r="G53" s="778"/>
      <c r="H53" s="791">
        <v>0</v>
      </c>
      <c r="I53" s="791">
        <v>0</v>
      </c>
      <c r="J53" s="791">
        <v>0</v>
      </c>
      <c r="K53" s="791">
        <v>0</v>
      </c>
      <c r="L53" s="791">
        <v>0</v>
      </c>
      <c r="M53" s="791">
        <v>0</v>
      </c>
      <c r="N53" s="791">
        <v>0</v>
      </c>
      <c r="O53" s="791">
        <v>0</v>
      </c>
      <c r="P53" s="772">
        <v>0</v>
      </c>
    </row>
    <row r="54" spans="1:22" hidden="1">
      <c r="A54" s="786">
        <v>54</v>
      </c>
      <c r="C54" s="767"/>
      <c r="D54" s="767"/>
      <c r="E54" s="767" t="s">
        <v>630</v>
      </c>
      <c r="F54" s="767"/>
      <c r="G54" s="778"/>
      <c r="H54" s="789">
        <v>-1119668627.1505156</v>
      </c>
      <c r="I54" s="789">
        <v>-529805995.81010973</v>
      </c>
      <c r="J54" s="789">
        <v>-163877835.37874711</v>
      </c>
      <c r="K54" s="789">
        <v>-216315557.03291181</v>
      </c>
      <c r="L54" s="789">
        <v>-86095331.313256994</v>
      </c>
      <c r="M54" s="789">
        <v>-66836112.480598733</v>
      </c>
      <c r="N54" s="789">
        <v>-51093716.673006512</v>
      </c>
      <c r="O54" s="789">
        <v>-5644078.4618846225</v>
      </c>
      <c r="P54" s="772">
        <v>0</v>
      </c>
      <c r="Q54" s="774"/>
      <c r="R54" s="774"/>
      <c r="S54" s="774"/>
      <c r="T54" s="774"/>
      <c r="U54" s="774"/>
      <c r="V54" s="774"/>
    </row>
    <row r="55" spans="1:22" hidden="1">
      <c r="A55" s="786">
        <v>55</v>
      </c>
      <c r="C55" s="767"/>
      <c r="D55" s="767"/>
      <c r="E55" s="767"/>
      <c r="F55" s="767"/>
      <c r="G55" s="778"/>
      <c r="H55" s="775"/>
      <c r="I55" s="775"/>
      <c r="J55" s="775"/>
      <c r="K55" s="775"/>
      <c r="L55" s="775"/>
      <c r="M55" s="775"/>
      <c r="N55" s="775"/>
      <c r="O55" s="775"/>
      <c r="P55" s="772">
        <v>0</v>
      </c>
    </row>
    <row r="56" spans="1:22" ht="13.5" hidden="1" thickBot="1">
      <c r="A56" s="786">
        <v>56</v>
      </c>
      <c r="C56" s="767"/>
      <c r="D56" s="767"/>
      <c r="E56" s="767" t="s">
        <v>631</v>
      </c>
      <c r="F56" s="767"/>
      <c r="G56" s="778"/>
      <c r="H56" s="790">
        <v>1087071739.4254832</v>
      </c>
      <c r="I56" s="790">
        <v>498660978.00788391</v>
      </c>
      <c r="J56" s="790">
        <v>152184851.17251104</v>
      </c>
      <c r="K56" s="790">
        <v>220630137.26083696</v>
      </c>
      <c r="L56" s="790">
        <v>88606286.280688047</v>
      </c>
      <c r="M56" s="790">
        <v>76631081.186549634</v>
      </c>
      <c r="N56" s="790">
        <v>46295552.209600359</v>
      </c>
      <c r="O56" s="790">
        <v>4062853.3074133359</v>
      </c>
      <c r="P56" s="772">
        <v>0</v>
      </c>
      <c r="Q56" s="774"/>
      <c r="R56" s="774"/>
      <c r="S56" s="774"/>
      <c r="T56" s="774"/>
      <c r="U56" s="774"/>
      <c r="V56" s="774"/>
    </row>
    <row r="57" spans="1:22" ht="13.5" hidden="1" thickTop="1">
      <c r="A57" s="786">
        <v>57</v>
      </c>
      <c r="C57" s="767"/>
      <c r="D57" s="767"/>
      <c r="E57" s="767"/>
      <c r="F57" s="767"/>
      <c r="G57" s="778"/>
      <c r="H57" s="775"/>
      <c r="I57" s="792"/>
      <c r="J57" s="775"/>
      <c r="K57" s="775"/>
      <c r="L57" s="775"/>
      <c r="M57" s="775"/>
      <c r="N57" s="775"/>
      <c r="O57" s="775"/>
      <c r="P57" s="772"/>
    </row>
    <row r="58" spans="1:22" hidden="1">
      <c r="A58" s="786">
        <v>58</v>
      </c>
      <c r="C58" s="767"/>
      <c r="D58" s="767"/>
      <c r="H58" s="793"/>
      <c r="P58" s="772"/>
    </row>
    <row r="59" spans="1:22" hidden="1">
      <c r="A59" s="786">
        <v>59</v>
      </c>
      <c r="C59" s="767"/>
      <c r="D59" s="767"/>
      <c r="E59" s="767" t="s">
        <v>632</v>
      </c>
      <c r="F59" s="767"/>
      <c r="G59" s="778"/>
      <c r="H59" s="794">
        <v>7.1839213594582146E-2</v>
      </c>
      <c r="I59" s="794">
        <v>5.4941978554440281E-2</v>
      </c>
      <c r="J59" s="794">
        <v>0.10282043946649073</v>
      </c>
      <c r="K59" s="794">
        <v>8.7699457781847276E-2</v>
      </c>
      <c r="L59" s="794">
        <v>6.7903043862491921E-2</v>
      </c>
      <c r="M59" s="794">
        <v>5.6779401682035061E-2</v>
      </c>
      <c r="N59" s="794">
        <v>9.582926214650328E-2</v>
      </c>
      <c r="O59" s="794">
        <v>0.22051727572601287</v>
      </c>
      <c r="P59" s="772"/>
      <c r="R59" s="774"/>
      <c r="S59" s="774"/>
      <c r="T59" s="774"/>
      <c r="U59" s="774"/>
      <c r="V59" s="774"/>
    </row>
    <row r="60" spans="1:22" hidden="1">
      <c r="A60" s="786">
        <v>60</v>
      </c>
      <c r="C60" s="767"/>
      <c r="D60" s="767"/>
      <c r="E60" s="767"/>
      <c r="F60" s="767"/>
      <c r="G60" s="778"/>
      <c r="P60" s="772"/>
    </row>
    <row r="61" spans="1:22" hidden="1">
      <c r="A61" s="786">
        <v>61</v>
      </c>
      <c r="C61" s="767"/>
      <c r="D61" s="767"/>
      <c r="E61" s="767" t="s">
        <v>633</v>
      </c>
      <c r="F61" s="767"/>
      <c r="G61" s="778"/>
      <c r="H61" s="794">
        <v>9.5300923817886227E-2</v>
      </c>
      <c r="I61" s="794">
        <v>6.0887003165866149E-2</v>
      </c>
      <c r="J61" s="794">
        <v>0.1583991435162744</v>
      </c>
      <c r="K61" s="794">
        <v>0.12760284680620626</v>
      </c>
      <c r="L61" s="794">
        <v>8.72842848523257E-2</v>
      </c>
      <c r="M61" s="794">
        <v>6.4629209128380966E-2</v>
      </c>
      <c r="N61" s="794">
        <v>0.14416049317006777</v>
      </c>
      <c r="O61" s="794">
        <v>0.39810756767008731</v>
      </c>
      <c r="P61" s="772"/>
      <c r="R61" s="774"/>
      <c r="S61" s="774"/>
      <c r="T61" s="774"/>
      <c r="U61" s="774"/>
      <c r="V61" s="774"/>
    </row>
    <row r="62" spans="1:22" hidden="1">
      <c r="A62" s="786"/>
      <c r="H62" s="775"/>
      <c r="J62" s="775"/>
      <c r="K62" s="775"/>
      <c r="L62" s="775"/>
      <c r="M62" s="775"/>
      <c r="N62" s="775"/>
      <c r="O62" s="775"/>
      <c r="P62" s="772"/>
    </row>
    <row r="63" spans="1:22" hidden="1">
      <c r="A63" s="786"/>
      <c r="E63" s="767"/>
      <c r="H63" s="794"/>
      <c r="I63" s="793"/>
      <c r="J63" s="775"/>
      <c r="K63" s="775"/>
      <c r="L63" s="775"/>
      <c r="M63" s="775"/>
      <c r="N63" s="775"/>
      <c r="O63" s="775"/>
      <c r="P63" s="772"/>
    </row>
    <row r="64" spans="1:22" hidden="1">
      <c r="A64" s="786"/>
      <c r="H64" s="775"/>
      <c r="J64" s="775"/>
      <c r="K64" s="775"/>
      <c r="L64" s="775"/>
      <c r="M64" s="775"/>
      <c r="N64" s="775"/>
      <c r="O64" s="775"/>
      <c r="P64" s="772"/>
    </row>
    <row r="65" spans="1:22" hidden="1">
      <c r="A65" s="786"/>
      <c r="H65" s="775"/>
      <c r="J65" s="775"/>
      <c r="K65" s="775"/>
      <c r="L65" s="775"/>
      <c r="M65" s="775"/>
      <c r="N65" s="775"/>
      <c r="O65" s="775"/>
      <c r="P65" s="772"/>
    </row>
    <row r="66" spans="1:22" hidden="1">
      <c r="A66" s="786"/>
      <c r="H66" s="775"/>
      <c r="J66" s="775"/>
      <c r="K66" s="775"/>
      <c r="L66" s="775"/>
      <c r="M66" s="775"/>
      <c r="N66" s="775"/>
      <c r="O66" s="775"/>
      <c r="P66" s="772"/>
    </row>
    <row r="67" spans="1:22" hidden="1">
      <c r="A67" s="786"/>
      <c r="H67" s="775"/>
      <c r="J67" s="775"/>
      <c r="K67" s="775"/>
      <c r="L67" s="775"/>
      <c r="M67" s="775"/>
      <c r="N67" s="775"/>
      <c r="O67" s="775"/>
      <c r="P67" s="772"/>
    </row>
    <row r="68" spans="1:22" hidden="1">
      <c r="A68" s="786"/>
      <c r="H68" s="767"/>
      <c r="J68" s="767"/>
      <c r="K68" s="767"/>
      <c r="L68" s="767"/>
      <c r="M68" s="767"/>
      <c r="N68" s="767"/>
      <c r="O68" s="767"/>
      <c r="P68" s="772"/>
    </row>
    <row r="69" spans="1:22" hidden="1">
      <c r="A69" s="786"/>
      <c r="B69" s="768" t="s">
        <v>443</v>
      </c>
      <c r="C69" s="795"/>
      <c r="D69" s="795"/>
      <c r="E69" s="795"/>
      <c r="F69" s="795"/>
      <c r="G69" s="796"/>
      <c r="H69" s="769"/>
      <c r="I69" s="795"/>
      <c r="J69" s="769"/>
      <c r="K69" s="769"/>
      <c r="L69" s="771"/>
      <c r="M69" s="771"/>
      <c r="N69" s="771"/>
      <c r="O69" s="771"/>
      <c r="P69" s="772"/>
    </row>
    <row r="70" spans="1:22" hidden="1">
      <c r="A70" s="786"/>
      <c r="B70" s="768" t="s">
        <v>574</v>
      </c>
      <c r="C70" s="795"/>
      <c r="D70" s="795"/>
      <c r="E70" s="795"/>
      <c r="F70" s="795"/>
      <c r="G70" s="796"/>
      <c r="H70" s="769"/>
      <c r="I70" s="795"/>
      <c r="J70" s="769"/>
      <c r="K70" s="769"/>
      <c r="L70" s="771"/>
      <c r="M70" s="771"/>
      <c r="N70" s="771"/>
      <c r="O70" s="771"/>
      <c r="P70" s="772"/>
    </row>
    <row r="71" spans="1:22" hidden="1">
      <c r="A71" s="786"/>
      <c r="B71" s="768" t="s">
        <v>1387</v>
      </c>
      <c r="C71" s="795"/>
      <c r="D71" s="795"/>
      <c r="E71" s="769"/>
      <c r="F71" s="795"/>
      <c r="G71" s="796"/>
      <c r="H71" s="769"/>
      <c r="I71" s="795"/>
      <c r="J71" s="769"/>
      <c r="K71" s="769"/>
      <c r="L71" s="771"/>
      <c r="M71" s="771"/>
      <c r="N71" s="771"/>
      <c r="O71" s="771"/>
      <c r="P71" s="772"/>
    </row>
    <row r="72" spans="1:22" hidden="1">
      <c r="A72" s="786"/>
      <c r="B72" s="768" t="s">
        <v>1388</v>
      </c>
      <c r="C72" s="795"/>
      <c r="D72" s="795"/>
      <c r="E72" s="795"/>
      <c r="F72" s="795"/>
      <c r="G72" s="796"/>
      <c r="H72" s="769"/>
      <c r="I72" s="795"/>
      <c r="J72" s="769"/>
      <c r="K72" s="769"/>
      <c r="L72" s="771"/>
      <c r="M72" s="771"/>
      <c r="N72" s="771"/>
      <c r="O72" s="771"/>
      <c r="P72" s="772"/>
    </row>
    <row r="73" spans="1:22" hidden="1">
      <c r="A73" s="786"/>
      <c r="B73" s="768" t="s">
        <v>1389</v>
      </c>
      <c r="C73" s="795"/>
      <c r="D73" s="795"/>
      <c r="E73" s="795"/>
      <c r="F73" s="795"/>
      <c r="G73" s="796"/>
      <c r="H73" s="769"/>
      <c r="I73" s="795"/>
      <c r="J73" s="769"/>
      <c r="K73" s="769"/>
      <c r="L73" s="771"/>
      <c r="M73" s="771"/>
      <c r="N73" s="771"/>
      <c r="O73" s="771"/>
      <c r="P73" s="772"/>
    </row>
    <row r="74" spans="1:22" hidden="1">
      <c r="A74" s="786"/>
      <c r="B74" s="769"/>
      <c r="C74" s="795"/>
      <c r="D74" s="795"/>
      <c r="E74" s="795"/>
      <c r="F74" s="795"/>
      <c r="G74" s="796"/>
      <c r="H74" s="795"/>
      <c r="I74" s="795"/>
      <c r="J74" s="795"/>
      <c r="K74" s="795"/>
      <c r="L74" s="795"/>
      <c r="M74" s="795"/>
      <c r="N74" s="795"/>
      <c r="O74" s="795"/>
      <c r="P74" s="772"/>
    </row>
    <row r="75" spans="1:22" hidden="1">
      <c r="A75" s="786"/>
      <c r="C75" s="767"/>
      <c r="D75" s="767"/>
      <c r="E75" s="767"/>
      <c r="F75" s="767"/>
      <c r="G75" s="778"/>
      <c r="H75" s="767"/>
      <c r="I75" s="767"/>
      <c r="J75" s="767"/>
      <c r="K75" s="767"/>
      <c r="L75" s="767"/>
      <c r="M75" s="767"/>
      <c r="N75" s="767"/>
      <c r="O75" s="767"/>
      <c r="P75" s="772"/>
    </row>
    <row r="76" spans="1:22" hidden="1">
      <c r="A76" s="786"/>
      <c r="C76" s="777" t="s">
        <v>575</v>
      </c>
      <c r="D76" s="767"/>
      <c r="E76" s="777" t="s">
        <v>576</v>
      </c>
      <c r="F76" s="777" t="s">
        <v>577</v>
      </c>
      <c r="G76" s="778"/>
      <c r="H76" s="777" t="s">
        <v>578</v>
      </c>
      <c r="I76" s="777" t="s">
        <v>579</v>
      </c>
      <c r="J76" s="777" t="s">
        <v>580</v>
      </c>
      <c r="K76" s="777" t="s">
        <v>581</v>
      </c>
      <c r="L76" s="777" t="s">
        <v>582</v>
      </c>
      <c r="M76" s="777" t="s">
        <v>583</v>
      </c>
      <c r="N76" s="777" t="s">
        <v>584</v>
      </c>
      <c r="O76" s="777" t="s">
        <v>585</v>
      </c>
      <c r="P76" s="772"/>
    </row>
    <row r="77" spans="1:22" ht="38.25" hidden="1">
      <c r="A77" s="786"/>
      <c r="D77" s="781"/>
      <c r="E77" s="782" t="s">
        <v>587</v>
      </c>
      <c r="F77" s="797" t="s">
        <v>634</v>
      </c>
      <c r="G77" s="783"/>
      <c r="H77" s="784" t="s">
        <v>588</v>
      </c>
      <c r="I77" s="784" t="s">
        <v>589</v>
      </c>
      <c r="J77" s="784" t="s">
        <v>590</v>
      </c>
      <c r="K77" s="784" t="s">
        <v>591</v>
      </c>
      <c r="L77" s="784" t="s">
        <v>592</v>
      </c>
      <c r="M77" s="784" t="s">
        <v>593</v>
      </c>
      <c r="N77" s="784" t="s">
        <v>594</v>
      </c>
      <c r="O77" s="784" t="s">
        <v>595</v>
      </c>
      <c r="P77" s="772"/>
    </row>
    <row r="78" spans="1:22" hidden="1">
      <c r="A78" s="786"/>
      <c r="C78" s="767"/>
      <c r="D78" s="767"/>
      <c r="E78" s="767"/>
      <c r="F78" s="767"/>
      <c r="G78" s="778"/>
      <c r="H78" s="775"/>
      <c r="I78" s="775"/>
      <c r="J78" s="775"/>
      <c r="K78" s="775"/>
      <c r="L78" s="775"/>
      <c r="M78" s="775"/>
      <c r="N78" s="775"/>
      <c r="O78" s="775"/>
      <c r="P78" s="772"/>
    </row>
    <row r="79" spans="1:22" hidden="1">
      <c r="A79" s="786">
        <v>79</v>
      </c>
      <c r="C79" s="767"/>
      <c r="D79" s="767"/>
      <c r="E79" s="767" t="s">
        <v>631</v>
      </c>
      <c r="F79" s="767"/>
      <c r="G79" s="778"/>
      <c r="H79" s="787">
        <v>1087071739.4254832</v>
      </c>
      <c r="I79" s="787">
        <v>498660978.00788391</v>
      </c>
      <c r="J79" s="787">
        <v>152184851.17251104</v>
      </c>
      <c r="K79" s="787">
        <v>220630137.26083696</v>
      </c>
      <c r="L79" s="787">
        <v>88606286.280688047</v>
      </c>
      <c r="M79" s="787">
        <v>76631081.186549634</v>
      </c>
      <c r="N79" s="787">
        <v>46295552.209600359</v>
      </c>
      <c r="O79" s="787">
        <v>4062853.3074133359</v>
      </c>
      <c r="P79" s="772">
        <v>0</v>
      </c>
      <c r="R79" s="774"/>
      <c r="S79" s="774"/>
      <c r="T79" s="774"/>
      <c r="U79" s="774"/>
      <c r="V79" s="774"/>
    </row>
    <row r="80" spans="1:22" hidden="1">
      <c r="A80" s="786">
        <v>80</v>
      </c>
      <c r="C80" s="767"/>
      <c r="D80" s="767"/>
      <c r="E80" s="767"/>
      <c r="F80" s="767"/>
      <c r="G80" s="778"/>
      <c r="H80" s="787"/>
      <c r="I80" s="787"/>
      <c r="J80" s="787"/>
      <c r="K80" s="787"/>
      <c r="L80" s="787"/>
      <c r="M80" s="787"/>
      <c r="N80" s="787"/>
      <c r="O80" s="787"/>
      <c r="P80" s="772"/>
    </row>
    <row r="81" spans="1:22" hidden="1">
      <c r="A81" s="786">
        <v>81</v>
      </c>
      <c r="C81" s="767"/>
      <c r="D81" s="767"/>
      <c r="F81" s="767"/>
      <c r="G81" s="778"/>
      <c r="H81" s="775"/>
      <c r="I81" s="775"/>
      <c r="J81" s="775"/>
      <c r="K81" s="775"/>
      <c r="L81" s="775"/>
      <c r="M81" s="775"/>
      <c r="N81" s="775"/>
      <c r="O81" s="775"/>
      <c r="P81" s="772"/>
    </row>
    <row r="82" spans="1:22" hidden="1">
      <c r="A82" s="786">
        <v>82</v>
      </c>
      <c r="C82" s="767"/>
      <c r="D82" s="767"/>
      <c r="E82" s="767" t="s">
        <v>635</v>
      </c>
      <c r="F82" s="798">
        <v>7.1839213594582146E-2</v>
      </c>
      <c r="G82" s="778"/>
      <c r="H82" s="787">
        <v>78094378.881221235</v>
      </c>
      <c r="I82" s="787">
        <v>35823412.5103916</v>
      </c>
      <c r="J82" s="787">
        <v>10932840.029241716</v>
      </c>
      <c r="K82" s="787">
        <v>15849895.556083247</v>
      </c>
      <c r="L82" s="787">
        <v>6365405.9259410426</v>
      </c>
      <c r="M82" s="787">
        <v>5505116.6093443045</v>
      </c>
      <c r="N82" s="787">
        <v>3325836.0636646096</v>
      </c>
      <c r="O82" s="787">
        <v>291872.18655472115</v>
      </c>
      <c r="P82" s="772">
        <v>0</v>
      </c>
      <c r="R82" s="774"/>
      <c r="S82" s="774"/>
      <c r="T82" s="774"/>
      <c r="U82" s="774"/>
      <c r="V82" s="774"/>
    </row>
    <row r="83" spans="1:22" hidden="1">
      <c r="A83" s="786">
        <v>83</v>
      </c>
      <c r="C83" s="767"/>
      <c r="D83" s="767"/>
      <c r="E83" s="767" t="s">
        <v>636</v>
      </c>
      <c r="F83" s="767"/>
      <c r="G83" s="778"/>
      <c r="H83" s="787">
        <v>167580764.75903341</v>
      </c>
      <c r="I83" s="787">
        <v>75285956.901894167</v>
      </c>
      <c r="J83" s="787">
        <v>22620147.642693497</v>
      </c>
      <c r="K83" s="787">
        <v>35193817.722888887</v>
      </c>
      <c r="L83" s="787">
        <v>14335647.268913005</v>
      </c>
      <c r="M83" s="787">
        <v>13044391.894951452</v>
      </c>
      <c r="N83" s="787">
        <v>6529809.0947091198</v>
      </c>
      <c r="O83" s="787">
        <v>570994.23298328172</v>
      </c>
      <c r="P83" s="772">
        <v>0</v>
      </c>
      <c r="R83" s="774"/>
      <c r="S83" s="774"/>
      <c r="T83" s="774"/>
      <c r="U83" s="774"/>
      <c r="V83" s="774"/>
    </row>
    <row r="84" spans="1:22" hidden="1">
      <c r="A84" s="786">
        <v>84</v>
      </c>
      <c r="C84" s="767"/>
      <c r="D84" s="767"/>
      <c r="E84" s="767" t="s">
        <v>637</v>
      </c>
      <c r="F84" s="777" t="s">
        <v>638</v>
      </c>
      <c r="G84" s="778"/>
      <c r="H84" s="787">
        <v>0</v>
      </c>
      <c r="I84" s="787">
        <v>0</v>
      </c>
      <c r="J84" s="787">
        <v>0</v>
      </c>
      <c r="K84" s="787">
        <v>0</v>
      </c>
      <c r="L84" s="787">
        <v>0</v>
      </c>
      <c r="M84" s="787">
        <v>0</v>
      </c>
      <c r="N84" s="787">
        <v>0</v>
      </c>
      <c r="O84" s="787">
        <v>0</v>
      </c>
      <c r="P84" s="772">
        <v>0</v>
      </c>
      <c r="R84" s="774"/>
      <c r="S84" s="774"/>
      <c r="T84" s="774"/>
      <c r="U84" s="774"/>
      <c r="V84" s="774"/>
    </row>
    <row r="85" spans="1:22" hidden="1">
      <c r="A85" s="786">
        <v>85</v>
      </c>
      <c r="C85" s="767"/>
      <c r="D85" s="767"/>
      <c r="E85" s="767" t="s">
        <v>599</v>
      </c>
      <c r="F85" s="767"/>
      <c r="G85" s="778"/>
      <c r="H85" s="787">
        <v>117309607.36845624</v>
      </c>
      <c r="I85" s="787">
        <v>51339764.967835687</v>
      </c>
      <c r="J85" s="787">
        <v>16178312.501946941</v>
      </c>
      <c r="K85" s="787">
        <v>25244963.592537418</v>
      </c>
      <c r="L85" s="787">
        <v>10213863.316718927</v>
      </c>
      <c r="M85" s="787">
        <v>9063817.9489638619</v>
      </c>
      <c r="N85" s="787">
        <v>4936626.4918527426</v>
      </c>
      <c r="O85" s="787">
        <v>332258.54860065493</v>
      </c>
      <c r="P85" s="772">
        <v>0</v>
      </c>
      <c r="R85" s="774"/>
      <c r="S85" s="774"/>
      <c r="T85" s="774"/>
      <c r="U85" s="774"/>
      <c r="V85" s="774"/>
    </row>
    <row r="86" spans="1:22" hidden="1">
      <c r="A86" s="786">
        <v>86</v>
      </c>
      <c r="C86" s="767"/>
      <c r="D86" s="767"/>
      <c r="E86" s="767" t="s">
        <v>600</v>
      </c>
      <c r="F86" s="767"/>
      <c r="G86" s="778"/>
      <c r="H86" s="787">
        <v>7134745.3027785588</v>
      </c>
      <c r="I86" s="787">
        <v>3647044.4418289089</v>
      </c>
      <c r="J86" s="787">
        <v>987591.54259629198</v>
      </c>
      <c r="K86" s="787">
        <v>1247398.3067816189</v>
      </c>
      <c r="L86" s="787">
        <v>502860.48551732342</v>
      </c>
      <c r="M86" s="787">
        <v>449284.32138792309</v>
      </c>
      <c r="N86" s="787">
        <v>258935.37608399632</v>
      </c>
      <c r="O86" s="787">
        <v>41630.828582496426</v>
      </c>
      <c r="P86" s="772">
        <v>0</v>
      </c>
      <c r="R86" s="774"/>
      <c r="S86" s="774"/>
      <c r="T86" s="774"/>
      <c r="U86" s="774"/>
      <c r="V86" s="774"/>
    </row>
    <row r="87" spans="1:22" hidden="1">
      <c r="A87" s="786">
        <v>87</v>
      </c>
      <c r="C87" s="767"/>
      <c r="D87" s="767"/>
      <c r="E87" s="767" t="s">
        <v>601</v>
      </c>
      <c r="F87" s="767"/>
      <c r="G87" s="778"/>
      <c r="H87" s="787">
        <v>24634547.458652236</v>
      </c>
      <c r="I87" s="787">
        <v>11462723.525937947</v>
      </c>
      <c r="J87" s="787">
        <v>3480165.3976608487</v>
      </c>
      <c r="K87" s="787">
        <v>4906632.285933746</v>
      </c>
      <c r="L87" s="787">
        <v>1962287.4728191437</v>
      </c>
      <c r="M87" s="787">
        <v>1634344.14362378</v>
      </c>
      <c r="N87" s="787">
        <v>1084056.0841745278</v>
      </c>
      <c r="O87" s="787">
        <v>104338.54850223867</v>
      </c>
      <c r="P87" s="772">
        <v>0</v>
      </c>
      <c r="R87" s="774"/>
      <c r="S87" s="774"/>
      <c r="T87" s="774"/>
      <c r="U87" s="774"/>
      <c r="V87" s="774"/>
    </row>
    <row r="88" spans="1:22" hidden="1">
      <c r="A88" s="786">
        <v>88</v>
      </c>
      <c r="C88" s="767"/>
      <c r="D88" s="767"/>
      <c r="E88" s="767" t="s">
        <v>639</v>
      </c>
      <c r="F88" s="767"/>
      <c r="G88" s="778"/>
      <c r="H88" s="787">
        <v>3728126.5134482095</v>
      </c>
      <c r="I88" s="787">
        <v>1517203.6165807017</v>
      </c>
      <c r="J88" s="787">
        <v>493380.9529268216</v>
      </c>
      <c r="K88" s="787">
        <v>864568.03298505128</v>
      </c>
      <c r="L88" s="787">
        <v>356167.87343910942</v>
      </c>
      <c r="M88" s="787">
        <v>364210.331526978</v>
      </c>
      <c r="N88" s="787">
        <v>129589.22637265443</v>
      </c>
      <c r="O88" s="787">
        <v>3006.4796168935641</v>
      </c>
      <c r="P88" s="772">
        <v>0</v>
      </c>
      <c r="R88" s="774"/>
      <c r="S88" s="774"/>
      <c r="T88" s="774"/>
      <c r="U88" s="774"/>
      <c r="V88" s="774"/>
    </row>
    <row r="89" spans="1:22" hidden="1">
      <c r="A89" s="786">
        <v>89</v>
      </c>
      <c r="C89" s="767"/>
      <c r="D89" s="767"/>
      <c r="E89" s="767" t="s">
        <v>640</v>
      </c>
      <c r="F89" s="799" t="s">
        <v>641</v>
      </c>
      <c r="G89" s="778"/>
      <c r="H89" s="787">
        <v>0</v>
      </c>
      <c r="I89" s="787">
        <v>0</v>
      </c>
      <c r="J89" s="787">
        <v>0</v>
      </c>
      <c r="K89" s="787">
        <v>0</v>
      </c>
      <c r="L89" s="787">
        <v>0</v>
      </c>
      <c r="M89" s="787">
        <v>0</v>
      </c>
      <c r="N89" s="787">
        <v>0</v>
      </c>
      <c r="O89" s="787">
        <v>0</v>
      </c>
      <c r="P89" s="772">
        <v>0</v>
      </c>
      <c r="R89" s="774"/>
      <c r="S89" s="774"/>
      <c r="T89" s="774"/>
      <c r="U89" s="774"/>
      <c r="V89" s="774"/>
    </row>
    <row r="90" spans="1:22" hidden="1">
      <c r="A90" s="786">
        <v>90</v>
      </c>
      <c r="C90" s="767"/>
      <c r="D90" s="767"/>
      <c r="E90" s="767" t="s">
        <v>642</v>
      </c>
      <c r="F90" s="767"/>
      <c r="G90" s="778"/>
      <c r="H90" s="787">
        <v>0</v>
      </c>
      <c r="I90" s="787">
        <v>0</v>
      </c>
      <c r="J90" s="787">
        <v>0</v>
      </c>
      <c r="K90" s="787">
        <v>0</v>
      </c>
      <c r="L90" s="787">
        <v>0</v>
      </c>
      <c r="M90" s="787">
        <v>0</v>
      </c>
      <c r="N90" s="787">
        <v>0</v>
      </c>
      <c r="O90" s="787">
        <v>0</v>
      </c>
      <c r="P90" s="772">
        <v>0</v>
      </c>
      <c r="R90" s="774"/>
      <c r="S90" s="774"/>
      <c r="T90" s="774"/>
      <c r="U90" s="774"/>
      <c r="V90" s="774"/>
    </row>
    <row r="91" spans="1:22" hidden="1">
      <c r="A91" s="786">
        <v>91</v>
      </c>
      <c r="C91" s="767"/>
      <c r="D91" s="767"/>
      <c r="E91" s="767" t="s">
        <v>643</v>
      </c>
      <c r="F91" s="799" t="s">
        <v>641</v>
      </c>
      <c r="G91" s="778"/>
      <c r="H91" s="787">
        <v>0</v>
      </c>
      <c r="I91" s="787">
        <v>0</v>
      </c>
      <c r="J91" s="787">
        <v>0</v>
      </c>
      <c r="K91" s="787">
        <v>0</v>
      </c>
      <c r="L91" s="787">
        <v>0</v>
      </c>
      <c r="M91" s="787">
        <v>0</v>
      </c>
      <c r="N91" s="787">
        <v>0</v>
      </c>
      <c r="O91" s="787">
        <v>0</v>
      </c>
      <c r="P91" s="772">
        <v>0</v>
      </c>
      <c r="R91" s="774"/>
      <c r="S91" s="774"/>
      <c r="T91" s="774"/>
      <c r="U91" s="774"/>
      <c r="V91" s="774"/>
    </row>
    <row r="92" spans="1:22" hidden="1">
      <c r="A92" s="786">
        <v>92</v>
      </c>
      <c r="C92" s="767"/>
      <c r="D92" s="767"/>
      <c r="E92" s="767" t="s">
        <v>644</v>
      </c>
      <c r="F92" s="767"/>
      <c r="G92" s="778"/>
      <c r="H92" s="787">
        <v>-15956248.941915479</v>
      </c>
      <c r="I92" s="787">
        <v>-7160897.0307019483</v>
      </c>
      <c r="J92" s="787">
        <v>-2236611.5531025366</v>
      </c>
      <c r="K92" s="787">
        <v>-3321425.4831965645</v>
      </c>
      <c r="L92" s="787">
        <v>-1337296.7517992675</v>
      </c>
      <c r="M92" s="787">
        <v>-1138613.9060988259</v>
      </c>
      <c r="N92" s="787">
        <v>-699524.78786223417</v>
      </c>
      <c r="O92" s="787">
        <v>-61879.42915410018</v>
      </c>
      <c r="P92" s="772">
        <v>0</v>
      </c>
      <c r="R92" s="774"/>
      <c r="S92" s="774"/>
      <c r="T92" s="774"/>
      <c r="U92" s="774"/>
      <c r="V92" s="774"/>
    </row>
    <row r="93" spans="1:22" hidden="1">
      <c r="A93" s="786">
        <v>93</v>
      </c>
      <c r="C93" s="767"/>
      <c r="D93" s="767"/>
      <c r="E93" s="767" t="s">
        <v>645</v>
      </c>
      <c r="F93" s="767"/>
      <c r="G93" s="778"/>
      <c r="H93" s="787">
        <v>0</v>
      </c>
      <c r="I93" s="787">
        <v>0</v>
      </c>
      <c r="J93" s="787">
        <v>0</v>
      </c>
      <c r="K93" s="787">
        <v>0</v>
      </c>
      <c r="L93" s="787">
        <v>0</v>
      </c>
      <c r="M93" s="787">
        <v>0</v>
      </c>
      <c r="N93" s="787">
        <v>0</v>
      </c>
      <c r="O93" s="787">
        <v>0</v>
      </c>
      <c r="P93" s="772">
        <v>0</v>
      </c>
      <c r="R93" s="774"/>
      <c r="S93" s="774"/>
      <c r="T93" s="774"/>
      <c r="U93" s="774"/>
      <c r="V93" s="774"/>
    </row>
    <row r="94" spans="1:22" hidden="1">
      <c r="A94" s="786">
        <v>94</v>
      </c>
      <c r="C94" s="767"/>
      <c r="D94" s="767"/>
      <c r="E94" s="767" t="s">
        <v>646</v>
      </c>
      <c r="F94" s="767"/>
      <c r="G94" s="778"/>
      <c r="H94" s="787">
        <v>65435.101564292774</v>
      </c>
      <c r="I94" s="787">
        <v>48615.29560010432</v>
      </c>
      <c r="J94" s="787">
        <v>4979.5429207386069</v>
      </c>
      <c r="K94" s="787">
        <v>6442.1313847481179</v>
      </c>
      <c r="L94" s="787">
        <v>2491.2862998084847</v>
      </c>
      <c r="M94" s="787">
        <v>2198.1241011285088</v>
      </c>
      <c r="N94" s="787">
        <v>702.88730182467475</v>
      </c>
      <c r="O94" s="787">
        <v>5.8339559400683569</v>
      </c>
      <c r="P94" s="772">
        <v>0</v>
      </c>
      <c r="R94" s="774"/>
      <c r="S94" s="774"/>
      <c r="T94" s="774"/>
      <c r="U94" s="774"/>
      <c r="V94" s="774"/>
    </row>
    <row r="95" spans="1:22" hidden="1">
      <c r="A95" s="786">
        <v>95</v>
      </c>
      <c r="C95" s="767"/>
      <c r="D95" s="767"/>
      <c r="E95" s="767" t="s">
        <v>647</v>
      </c>
      <c r="F95" s="767"/>
      <c r="G95" s="778"/>
      <c r="H95" s="787">
        <v>-34297556.288450368</v>
      </c>
      <c r="I95" s="787">
        <v>-15252867.178620964</v>
      </c>
      <c r="J95" s="787">
        <v>-4674615.1897633011</v>
      </c>
      <c r="K95" s="787">
        <v>-7243909.5652797325</v>
      </c>
      <c r="L95" s="787">
        <v>-2887140.8992778189</v>
      </c>
      <c r="M95" s="787">
        <v>-2641293.0578732444</v>
      </c>
      <c r="N95" s="787">
        <v>-1511813.9815435519</v>
      </c>
      <c r="O95" s="787">
        <v>-85916.416091754436</v>
      </c>
      <c r="P95" s="772">
        <v>0</v>
      </c>
      <c r="R95" s="774"/>
      <c r="S95" s="774"/>
      <c r="T95" s="774"/>
      <c r="U95" s="774"/>
      <c r="V95" s="774"/>
    </row>
    <row r="96" spans="1:22" hidden="1">
      <c r="A96" s="786">
        <v>96</v>
      </c>
      <c r="C96" s="767"/>
      <c r="D96" s="767"/>
      <c r="E96" s="767"/>
      <c r="F96" s="767"/>
      <c r="G96" s="778"/>
      <c r="H96" s="787"/>
      <c r="I96" s="787"/>
      <c r="J96" s="787"/>
      <c r="K96" s="787"/>
      <c r="L96" s="787"/>
      <c r="M96" s="787"/>
      <c r="N96" s="787"/>
      <c r="O96" s="787"/>
      <c r="P96" s="772"/>
    </row>
    <row r="97" spans="1:22" hidden="1">
      <c r="A97" s="786">
        <v>97</v>
      </c>
      <c r="C97" s="767"/>
      <c r="D97" s="767"/>
      <c r="E97" s="767" t="s">
        <v>648</v>
      </c>
      <c r="F97" s="767"/>
      <c r="G97" s="778"/>
      <c r="H97" s="787">
        <v>348293800.15478837</v>
      </c>
      <c r="I97" s="787">
        <v>156710957.05074617</v>
      </c>
      <c r="J97" s="787">
        <v>47786190.867121011</v>
      </c>
      <c r="K97" s="787">
        <v>72748382.580118418</v>
      </c>
      <c r="L97" s="787">
        <v>29514285.978571277</v>
      </c>
      <c r="M97" s="787">
        <v>26283456.409927353</v>
      </c>
      <c r="N97" s="787">
        <v>14054216.454753688</v>
      </c>
      <c r="O97" s="787">
        <v>1196310.8135503721</v>
      </c>
      <c r="P97" s="772">
        <v>0</v>
      </c>
      <c r="R97" s="774"/>
      <c r="S97" s="774"/>
      <c r="T97" s="774"/>
      <c r="U97" s="774"/>
      <c r="V97" s="774"/>
    </row>
    <row r="98" spans="1:22" hidden="1">
      <c r="A98" s="786">
        <v>98</v>
      </c>
      <c r="C98" s="767"/>
      <c r="D98" s="767"/>
      <c r="E98" s="767" t="s">
        <v>596</v>
      </c>
      <c r="F98" s="767"/>
      <c r="G98" s="778"/>
      <c r="H98" s="800">
        <v>348293800.15478849</v>
      </c>
      <c r="I98" s="800">
        <v>148284965.30000001</v>
      </c>
      <c r="J98" s="800">
        <v>52501064.115579374</v>
      </c>
      <c r="K98" s="800">
        <v>76247630.432145104</v>
      </c>
      <c r="L98" s="800">
        <v>29165516.596440308</v>
      </c>
      <c r="M98" s="800">
        <v>25129406.740602795</v>
      </c>
      <c r="N98" s="800">
        <v>15164849</v>
      </c>
      <c r="O98" s="800">
        <v>1800367.9700208607</v>
      </c>
      <c r="P98" s="772">
        <v>0</v>
      </c>
      <c r="R98" s="774"/>
      <c r="S98" s="774"/>
      <c r="T98" s="774"/>
      <c r="U98" s="774"/>
      <c r="V98" s="774"/>
    </row>
    <row r="99" spans="1:22" hidden="1">
      <c r="A99" s="786">
        <v>99</v>
      </c>
      <c r="C99" s="767"/>
      <c r="D99" s="767"/>
      <c r="E99" s="767"/>
      <c r="F99" s="767"/>
      <c r="G99" s="778"/>
      <c r="H99" s="775"/>
      <c r="I99" s="775"/>
      <c r="J99" s="775"/>
      <c r="K99" s="775"/>
      <c r="L99" s="775"/>
      <c r="M99" s="775"/>
      <c r="N99" s="775"/>
      <c r="O99" s="775"/>
      <c r="P99" s="772"/>
    </row>
    <row r="100" spans="1:22" hidden="1">
      <c r="A100" s="786">
        <v>100</v>
      </c>
      <c r="C100" s="767"/>
      <c r="D100" s="767"/>
      <c r="E100" s="767" t="s">
        <v>649</v>
      </c>
      <c r="F100" s="767"/>
      <c r="G100" s="778"/>
      <c r="H100" s="774"/>
      <c r="I100" s="774"/>
      <c r="J100" s="774"/>
      <c r="K100" s="774"/>
      <c r="L100" s="774"/>
      <c r="M100" s="774"/>
      <c r="N100" s="774"/>
      <c r="O100" s="774"/>
      <c r="P100" s="772"/>
      <c r="R100" s="774"/>
      <c r="S100" s="774"/>
      <c r="T100" s="774"/>
      <c r="U100" s="774"/>
      <c r="V100" s="774"/>
    </row>
    <row r="101" spans="1:22" hidden="1">
      <c r="A101" s="786">
        <v>101</v>
      </c>
      <c r="C101" s="767"/>
      <c r="D101" s="767"/>
      <c r="E101" s="767" t="s">
        <v>650</v>
      </c>
      <c r="F101" s="767"/>
      <c r="G101" s="778"/>
      <c r="H101" s="787">
        <v>0</v>
      </c>
      <c r="I101" s="787">
        <v>8425991.7507461607</v>
      </c>
      <c r="J101" s="787">
        <v>-4714873.2484583631</v>
      </c>
      <c r="K101" s="787">
        <v>-3499247.8520266861</v>
      </c>
      <c r="L101" s="787">
        <v>348769.38213096932</v>
      </c>
      <c r="M101" s="787">
        <v>1154049.6693245582</v>
      </c>
      <c r="N101" s="787">
        <v>-1110632.5452463124</v>
      </c>
      <c r="O101" s="787">
        <v>-604057.15647048852</v>
      </c>
      <c r="P101" s="772">
        <v>0</v>
      </c>
      <c r="R101" s="774"/>
      <c r="S101" s="774"/>
      <c r="T101" s="774"/>
      <c r="U101" s="774"/>
      <c r="V101" s="774"/>
    </row>
    <row r="102" spans="1:22" hidden="1">
      <c r="A102" s="786">
        <v>102</v>
      </c>
      <c r="C102" s="767"/>
      <c r="D102" s="767"/>
      <c r="E102" s="767"/>
      <c r="F102" s="767"/>
      <c r="G102" s="778"/>
      <c r="H102" s="775"/>
      <c r="I102" s="775"/>
      <c r="J102" s="775"/>
      <c r="K102" s="775"/>
      <c r="L102" s="775"/>
      <c r="M102" s="775"/>
      <c r="N102" s="775"/>
      <c r="O102" s="775"/>
      <c r="P102" s="772"/>
    </row>
    <row r="103" spans="1:22" hidden="1">
      <c r="A103" s="786">
        <v>103</v>
      </c>
      <c r="C103" s="767"/>
      <c r="D103" s="767"/>
      <c r="E103" s="767" t="s">
        <v>651</v>
      </c>
      <c r="F103" s="767"/>
      <c r="G103" s="778"/>
      <c r="H103" s="787">
        <v>348293800.15478843</v>
      </c>
      <c r="I103" s="787">
        <v>148284965.29999998</v>
      </c>
      <c r="J103" s="787">
        <v>52501064.115579374</v>
      </c>
      <c r="K103" s="787">
        <v>76247630.432145104</v>
      </c>
      <c r="L103" s="787">
        <v>29165516.596440312</v>
      </c>
      <c r="M103" s="787">
        <v>25129406.740602791</v>
      </c>
      <c r="N103" s="787">
        <v>15164849</v>
      </c>
      <c r="O103" s="787">
        <v>1800367.9700208609</v>
      </c>
      <c r="P103" s="772">
        <v>0</v>
      </c>
      <c r="R103" s="774"/>
      <c r="S103" s="774"/>
      <c r="T103" s="774"/>
      <c r="U103" s="774"/>
      <c r="V103" s="774"/>
    </row>
    <row r="104" spans="1:22" hidden="1">
      <c r="A104" s="786">
        <v>104</v>
      </c>
      <c r="C104" s="767"/>
      <c r="D104" s="767"/>
      <c r="E104" s="801"/>
      <c r="F104" s="802"/>
      <c r="G104" s="803"/>
      <c r="H104" s="804"/>
      <c r="I104" s="804"/>
      <c r="J104" s="804"/>
      <c r="K104" s="804"/>
      <c r="L104" s="804"/>
      <c r="M104" s="804"/>
      <c r="N104" s="804"/>
      <c r="O104" s="804"/>
      <c r="P104" s="772"/>
    </row>
    <row r="105" spans="1:22" hidden="1">
      <c r="A105" s="786">
        <v>105</v>
      </c>
      <c r="C105" s="767"/>
      <c r="D105" s="767"/>
      <c r="E105" s="767" t="s">
        <v>652</v>
      </c>
      <c r="F105" s="767"/>
      <c r="G105" s="778"/>
      <c r="H105" s="775"/>
      <c r="I105" s="775"/>
      <c r="J105" s="775"/>
      <c r="K105" s="775"/>
      <c r="L105" s="775"/>
      <c r="M105" s="775"/>
      <c r="N105" s="775"/>
      <c r="O105" s="775"/>
      <c r="P105" s="772"/>
    </row>
    <row r="106" spans="1:22" hidden="1">
      <c r="A106" s="786">
        <v>106</v>
      </c>
      <c r="C106" s="767"/>
      <c r="D106" s="767"/>
      <c r="E106" s="767" t="s">
        <v>653</v>
      </c>
      <c r="F106" s="767"/>
      <c r="G106" s="778"/>
      <c r="H106" s="767"/>
      <c r="I106" s="767"/>
      <c r="J106" s="767"/>
      <c r="K106" s="767"/>
      <c r="L106" s="767"/>
      <c r="M106" s="767"/>
      <c r="N106" s="767"/>
      <c r="O106" s="767"/>
      <c r="P106" s="772"/>
    </row>
    <row r="107" spans="1:22" hidden="1">
      <c r="A107" s="786">
        <v>107</v>
      </c>
      <c r="C107" s="767"/>
      <c r="D107" s="767"/>
      <c r="E107" s="767" t="s">
        <v>654</v>
      </c>
      <c r="F107" s="767"/>
      <c r="G107" s="778"/>
      <c r="H107" s="794">
        <v>0</v>
      </c>
      <c r="I107" s="794">
        <v>5.682296741075045E-2</v>
      </c>
      <c r="J107" s="794">
        <v>-8.9805289242875605E-2</v>
      </c>
      <c r="K107" s="794">
        <v>-4.5893201299426145E-2</v>
      </c>
      <c r="L107" s="794">
        <v>1.1958278913994516E-2</v>
      </c>
      <c r="M107" s="794">
        <v>4.5924270367270738E-2</v>
      </c>
      <c r="N107" s="794">
        <v>-7.323729667511443E-2</v>
      </c>
      <c r="O107" s="794">
        <v>-0.33551871980009135</v>
      </c>
      <c r="P107" s="772"/>
      <c r="R107" s="774"/>
      <c r="S107" s="774"/>
      <c r="T107" s="774"/>
      <c r="U107" s="774"/>
      <c r="V107" s="774"/>
    </row>
    <row r="108" spans="1:22" hidden="1">
      <c r="A108" s="786"/>
      <c r="C108" s="767"/>
      <c r="D108" s="767"/>
      <c r="F108" s="767"/>
      <c r="G108" s="778"/>
      <c r="I108" s="775"/>
      <c r="M108" s="775"/>
      <c r="N108" s="775"/>
      <c r="O108" s="775"/>
      <c r="P108" s="772"/>
    </row>
    <row r="109" spans="1:22" hidden="1">
      <c r="A109" s="786"/>
      <c r="C109" s="767"/>
      <c r="D109" s="767"/>
      <c r="F109" s="767"/>
      <c r="G109" s="778"/>
      <c r="I109" s="775"/>
      <c r="M109" s="775"/>
      <c r="N109" s="775"/>
      <c r="O109" s="775"/>
      <c r="P109" s="772"/>
    </row>
    <row r="110" spans="1:22" hidden="1">
      <c r="A110" s="786"/>
      <c r="C110" s="767"/>
      <c r="D110" s="767"/>
      <c r="F110" s="767"/>
      <c r="G110" s="778"/>
      <c r="H110" s="793"/>
      <c r="I110" s="794"/>
      <c r="J110" s="793"/>
      <c r="K110" s="793"/>
      <c r="L110" s="793"/>
      <c r="M110" s="793"/>
      <c r="N110" s="794"/>
      <c r="O110" s="794"/>
      <c r="P110" s="772"/>
      <c r="R110" s="774"/>
      <c r="S110" s="774"/>
      <c r="T110" s="774"/>
      <c r="U110" s="774"/>
      <c r="V110" s="774"/>
    </row>
    <row r="111" spans="1:22" hidden="1">
      <c r="A111" s="786"/>
      <c r="C111" s="767"/>
      <c r="D111" s="767"/>
      <c r="F111" s="767"/>
      <c r="G111" s="778"/>
      <c r="I111" s="775"/>
      <c r="N111" s="775"/>
      <c r="O111" s="775"/>
      <c r="P111" s="772"/>
    </row>
    <row r="112" spans="1:22" hidden="1">
      <c r="A112" s="786"/>
      <c r="C112" s="767"/>
      <c r="D112" s="767"/>
      <c r="E112" s="767"/>
      <c r="F112" s="767"/>
      <c r="G112" s="778"/>
      <c r="I112" s="775"/>
      <c r="N112" s="775"/>
      <c r="O112" s="775"/>
      <c r="P112" s="772"/>
    </row>
    <row r="113" spans="1:22" hidden="1">
      <c r="A113" s="786"/>
      <c r="C113" s="767"/>
      <c r="D113" s="767"/>
      <c r="E113" s="767"/>
      <c r="F113" s="767"/>
      <c r="G113" s="778"/>
      <c r="I113" s="775"/>
      <c r="N113" s="775"/>
      <c r="O113" s="775"/>
      <c r="P113" s="772"/>
    </row>
    <row r="114" spans="1:22" hidden="1">
      <c r="A114" s="786"/>
      <c r="C114" s="767"/>
      <c r="D114" s="767"/>
      <c r="E114" s="767"/>
      <c r="F114" s="767"/>
      <c r="G114" s="778"/>
      <c r="H114" s="775"/>
      <c r="I114" s="775"/>
      <c r="J114" s="775"/>
      <c r="K114" s="775"/>
      <c r="L114" s="775"/>
      <c r="M114" s="775"/>
      <c r="N114" s="775"/>
      <c r="O114" s="775"/>
      <c r="P114" s="772"/>
    </row>
    <row r="115" spans="1:22" hidden="1">
      <c r="A115" s="786"/>
      <c r="C115" s="767"/>
      <c r="D115" s="767"/>
      <c r="E115" s="767"/>
      <c r="F115" s="767"/>
      <c r="G115" s="778"/>
      <c r="H115" s="775"/>
      <c r="I115" s="775"/>
      <c r="J115" s="775"/>
      <c r="K115" s="775"/>
      <c r="L115" s="775"/>
      <c r="M115" s="775"/>
      <c r="N115" s="775"/>
      <c r="O115" s="775"/>
      <c r="P115" s="772"/>
    </row>
    <row r="116" spans="1:22" hidden="1">
      <c r="A116" s="786"/>
      <c r="C116" s="764"/>
      <c r="D116" s="767"/>
      <c r="E116" s="767"/>
      <c r="F116" s="805" t="s">
        <v>1388</v>
      </c>
      <c r="H116" s="768"/>
      <c r="I116" s="768" t="s">
        <v>655</v>
      </c>
      <c r="J116" s="768"/>
      <c r="K116" s="768"/>
      <c r="L116" s="769"/>
      <c r="M116" s="769"/>
      <c r="N116" s="768"/>
      <c r="O116" s="768"/>
      <c r="P116" s="772"/>
    </row>
    <row r="117" spans="1:22" hidden="1">
      <c r="A117" s="786"/>
      <c r="B117" s="767"/>
      <c r="C117" s="781" t="s">
        <v>573</v>
      </c>
      <c r="D117" s="767"/>
      <c r="E117" s="767"/>
      <c r="F117" s="806" t="s">
        <v>1390</v>
      </c>
      <c r="G117" s="778"/>
      <c r="H117" s="775"/>
      <c r="I117" s="781"/>
      <c r="J117" s="775"/>
      <c r="K117" s="775"/>
      <c r="L117" s="775"/>
      <c r="M117" s="775"/>
      <c r="N117" s="775"/>
      <c r="O117" s="775"/>
      <c r="P117" s="772"/>
    </row>
    <row r="118" spans="1:22" hidden="1">
      <c r="A118" s="786"/>
      <c r="B118" s="767"/>
      <c r="C118" s="777" t="s">
        <v>575</v>
      </c>
      <c r="D118" s="767"/>
      <c r="E118" s="777" t="s">
        <v>576</v>
      </c>
      <c r="F118" s="806">
        <v>0</v>
      </c>
      <c r="G118" s="778"/>
      <c r="H118" s="777" t="s">
        <v>578</v>
      </c>
      <c r="I118" s="777" t="s">
        <v>579</v>
      </c>
      <c r="J118" s="777" t="s">
        <v>580</v>
      </c>
      <c r="K118" s="777" t="s">
        <v>581</v>
      </c>
      <c r="L118" s="777" t="s">
        <v>582</v>
      </c>
      <c r="M118" s="777" t="s">
        <v>583</v>
      </c>
      <c r="N118" s="777" t="s">
        <v>584</v>
      </c>
      <c r="O118" s="777" t="s">
        <v>585</v>
      </c>
      <c r="P118" s="772"/>
    </row>
    <row r="119" spans="1:22" ht="38.25" hidden="1">
      <c r="A119" s="786"/>
      <c r="B119" s="767"/>
      <c r="C119" s="797" t="s">
        <v>656</v>
      </c>
      <c r="D119" s="781"/>
      <c r="E119" s="782" t="s">
        <v>587</v>
      </c>
      <c r="F119" s="807" t="s">
        <v>1391</v>
      </c>
      <c r="G119" s="783"/>
      <c r="H119" s="784" t="s">
        <v>588</v>
      </c>
      <c r="I119" s="784" t="s">
        <v>589</v>
      </c>
      <c r="J119" s="784" t="s">
        <v>590</v>
      </c>
      <c r="K119" s="784" t="s">
        <v>591</v>
      </c>
      <c r="L119" s="784" t="s">
        <v>592</v>
      </c>
      <c r="M119" s="784" t="s">
        <v>593</v>
      </c>
      <c r="N119" s="784" t="s">
        <v>594</v>
      </c>
      <c r="O119" s="784" t="s">
        <v>595</v>
      </c>
      <c r="P119" s="772"/>
      <c r="R119" s="781" t="s">
        <v>657</v>
      </c>
    </row>
    <row r="120" spans="1:22" hidden="1">
      <c r="A120" s="786">
        <v>120</v>
      </c>
      <c r="B120" s="767"/>
      <c r="C120" s="767" t="s">
        <v>658</v>
      </c>
      <c r="D120" s="775" t="s">
        <v>659</v>
      </c>
      <c r="E120" s="767"/>
      <c r="F120" s="806" t="s">
        <v>575</v>
      </c>
      <c r="G120" s="778"/>
      <c r="H120" s="788">
        <v>148284965.30000001</v>
      </c>
      <c r="I120" s="788">
        <v>148284965.30000001</v>
      </c>
      <c r="J120" s="788">
        <v>0</v>
      </c>
      <c r="K120" s="788">
        <v>0</v>
      </c>
      <c r="L120" s="788">
        <v>0</v>
      </c>
      <c r="M120" s="788">
        <v>0</v>
      </c>
      <c r="N120" s="788">
        <v>0</v>
      </c>
      <c r="O120" s="788">
        <v>0</v>
      </c>
      <c r="P120" s="772">
        <v>0</v>
      </c>
      <c r="Q120" s="774"/>
      <c r="R120" s="774"/>
      <c r="S120" s="774"/>
      <c r="T120" s="774"/>
      <c r="U120" s="774"/>
      <c r="V120" s="774"/>
    </row>
    <row r="121" spans="1:22" hidden="1">
      <c r="A121" s="786">
        <v>121</v>
      </c>
      <c r="B121" s="767"/>
      <c r="C121" s="767"/>
      <c r="D121" s="767"/>
      <c r="E121" s="767"/>
      <c r="F121" s="806"/>
      <c r="G121" s="778"/>
      <c r="H121" s="788"/>
      <c r="I121" s="788"/>
      <c r="J121" s="788"/>
      <c r="K121" s="788"/>
      <c r="L121" s="788"/>
      <c r="M121" s="788"/>
      <c r="N121" s="788"/>
      <c r="O121" s="788"/>
      <c r="P121" s="772"/>
    </row>
    <row r="122" spans="1:22" hidden="1">
      <c r="A122" s="786">
        <v>122</v>
      </c>
      <c r="B122" s="767"/>
      <c r="C122" s="767" t="s">
        <v>660</v>
      </c>
      <c r="D122" s="775" t="s">
        <v>661</v>
      </c>
      <c r="E122" s="767"/>
      <c r="F122" s="806" t="s">
        <v>575</v>
      </c>
      <c r="G122" s="778"/>
      <c r="H122" s="788">
        <v>198208466.88476759</v>
      </c>
      <c r="I122" s="788">
        <v>0</v>
      </c>
      <c r="J122" s="788">
        <v>52501064.115579374</v>
      </c>
      <c r="K122" s="788">
        <v>76247630.432145104</v>
      </c>
      <c r="L122" s="788">
        <v>29165516.596440308</v>
      </c>
      <c r="M122" s="788">
        <v>25129406.740602795</v>
      </c>
      <c r="N122" s="788">
        <v>15164849</v>
      </c>
      <c r="O122" s="788">
        <v>0</v>
      </c>
      <c r="P122" s="772">
        <v>0</v>
      </c>
      <c r="Q122" s="774"/>
      <c r="R122" s="774"/>
      <c r="S122" s="774"/>
      <c r="T122" s="774"/>
      <c r="U122" s="774"/>
      <c r="V122" s="774"/>
    </row>
    <row r="123" spans="1:22" hidden="1">
      <c r="A123" s="786">
        <v>123</v>
      </c>
      <c r="B123" s="767"/>
      <c r="C123" s="767"/>
      <c r="D123" s="767"/>
      <c r="E123" s="767" t="s">
        <v>662</v>
      </c>
      <c r="F123" s="806" t="s">
        <v>1392</v>
      </c>
      <c r="G123" s="778"/>
      <c r="H123" s="788">
        <v>0</v>
      </c>
      <c r="I123" s="788">
        <v>0</v>
      </c>
      <c r="J123" s="788">
        <v>0</v>
      </c>
      <c r="K123" s="788">
        <v>0</v>
      </c>
      <c r="L123" s="788">
        <v>0</v>
      </c>
      <c r="M123" s="788">
        <v>0</v>
      </c>
      <c r="N123" s="788">
        <v>0</v>
      </c>
      <c r="O123" s="788">
        <v>0</v>
      </c>
      <c r="P123" s="772">
        <v>0</v>
      </c>
      <c r="Q123" s="774"/>
      <c r="R123" s="774">
        <v>100</v>
      </c>
      <c r="S123" s="774"/>
      <c r="T123" s="774"/>
      <c r="U123" s="774"/>
      <c r="V123" s="774"/>
    </row>
    <row r="124" spans="1:22" hidden="1">
      <c r="A124" s="786">
        <v>124</v>
      </c>
      <c r="B124" s="767"/>
      <c r="C124" s="767"/>
      <c r="D124" s="767"/>
      <c r="E124" s="767" t="s">
        <v>663</v>
      </c>
      <c r="F124" s="806" t="s">
        <v>1392</v>
      </c>
      <c r="G124" s="778"/>
      <c r="H124" s="808">
        <v>0</v>
      </c>
      <c r="I124" s="808">
        <v>0</v>
      </c>
      <c r="J124" s="808">
        <v>0</v>
      </c>
      <c r="K124" s="808">
        <v>0</v>
      </c>
      <c r="L124" s="808">
        <v>0</v>
      </c>
      <c r="M124" s="808">
        <v>0</v>
      </c>
      <c r="N124" s="808">
        <v>0</v>
      </c>
      <c r="O124" s="808">
        <v>0</v>
      </c>
      <c r="P124" s="772">
        <v>0</v>
      </c>
      <c r="Q124" s="774"/>
      <c r="R124" s="774">
        <v>101</v>
      </c>
      <c r="S124" s="774"/>
      <c r="T124" s="774"/>
      <c r="U124" s="774"/>
      <c r="V124" s="774"/>
    </row>
    <row r="125" spans="1:22" hidden="1">
      <c r="A125" s="786">
        <v>125</v>
      </c>
      <c r="B125" s="767"/>
      <c r="C125" s="767"/>
      <c r="D125" s="767"/>
      <c r="E125" s="767"/>
      <c r="F125" s="806"/>
      <c r="G125" s="778"/>
      <c r="H125" s="788">
        <v>198208466.88476759</v>
      </c>
      <c r="I125" s="788">
        <v>0</v>
      </c>
      <c r="J125" s="788">
        <v>52501064.115579374</v>
      </c>
      <c r="K125" s="788">
        <v>76247630.432145104</v>
      </c>
      <c r="L125" s="788">
        <v>29165516.596440308</v>
      </c>
      <c r="M125" s="788">
        <v>25129406.740602795</v>
      </c>
      <c r="N125" s="788">
        <v>15164849</v>
      </c>
      <c r="O125" s="788">
        <v>0</v>
      </c>
      <c r="P125" s="772">
        <v>0</v>
      </c>
      <c r="Q125" s="774"/>
      <c r="R125" s="774"/>
      <c r="S125" s="774"/>
      <c r="T125" s="774"/>
      <c r="U125" s="774"/>
      <c r="V125" s="774"/>
    </row>
    <row r="126" spans="1:22" hidden="1">
      <c r="A126" s="786">
        <v>126</v>
      </c>
      <c r="B126" s="767"/>
      <c r="C126" s="767"/>
      <c r="D126" s="767"/>
      <c r="E126" s="767"/>
      <c r="F126" s="806"/>
      <c r="G126" s="778"/>
      <c r="H126" s="788"/>
      <c r="I126" s="809"/>
      <c r="J126" s="788"/>
      <c r="K126" s="788"/>
      <c r="L126" s="788"/>
      <c r="M126" s="788"/>
      <c r="N126" s="788"/>
      <c r="O126" s="788"/>
      <c r="P126" s="772"/>
    </row>
    <row r="127" spans="1:22" hidden="1">
      <c r="A127" s="786">
        <v>127</v>
      </c>
      <c r="B127" s="767"/>
      <c r="C127" s="767" t="s">
        <v>664</v>
      </c>
      <c r="D127" s="775" t="s">
        <v>665</v>
      </c>
      <c r="E127" s="767"/>
      <c r="F127" s="806" t="s">
        <v>575</v>
      </c>
      <c r="G127" s="778"/>
      <c r="H127" s="788">
        <v>1800367.9700208607</v>
      </c>
      <c r="I127" s="788">
        <v>0</v>
      </c>
      <c r="J127" s="788">
        <v>0</v>
      </c>
      <c r="K127" s="788">
        <v>0</v>
      </c>
      <c r="L127" s="788">
        <v>0</v>
      </c>
      <c r="M127" s="788">
        <v>0</v>
      </c>
      <c r="N127" s="788">
        <v>0</v>
      </c>
      <c r="O127" s="788">
        <v>1800367.9700208607</v>
      </c>
      <c r="P127" s="772">
        <v>0</v>
      </c>
      <c r="Q127" s="774"/>
      <c r="R127" s="774"/>
      <c r="S127" s="774"/>
      <c r="T127" s="774"/>
      <c r="U127" s="774"/>
      <c r="V127" s="774"/>
    </row>
    <row r="128" spans="1:22" hidden="1">
      <c r="A128" s="786">
        <v>128</v>
      </c>
      <c r="B128" s="767"/>
      <c r="C128" s="767"/>
      <c r="D128" s="767"/>
      <c r="E128" s="767"/>
      <c r="F128" s="806"/>
      <c r="G128" s="778"/>
      <c r="H128" s="788"/>
      <c r="I128" s="788"/>
      <c r="J128" s="788"/>
      <c r="K128" s="788"/>
      <c r="L128" s="788"/>
      <c r="M128" s="788"/>
      <c r="N128" s="788"/>
      <c r="O128" s="788"/>
      <c r="P128" s="772"/>
    </row>
    <row r="129" spans="1:22" hidden="1">
      <c r="A129" s="786">
        <v>129</v>
      </c>
      <c r="B129" s="767"/>
      <c r="C129" s="767" t="s">
        <v>666</v>
      </c>
      <c r="D129" s="775" t="s">
        <v>667</v>
      </c>
      <c r="E129" s="767"/>
      <c r="F129" s="806" t="s">
        <v>575</v>
      </c>
      <c r="G129" s="778"/>
      <c r="H129" s="788">
        <v>0</v>
      </c>
      <c r="I129" s="788">
        <v>0</v>
      </c>
      <c r="J129" s="788">
        <v>0</v>
      </c>
      <c r="K129" s="788">
        <v>0</v>
      </c>
      <c r="L129" s="788">
        <v>0</v>
      </c>
      <c r="M129" s="788">
        <v>0</v>
      </c>
      <c r="N129" s="788">
        <v>0</v>
      </c>
      <c r="O129" s="788">
        <v>0</v>
      </c>
      <c r="P129" s="772">
        <v>0</v>
      </c>
      <c r="Q129" s="774"/>
      <c r="R129" s="774"/>
      <c r="S129" s="774"/>
      <c r="T129" s="774"/>
      <c r="U129" s="774"/>
      <c r="V129" s="774"/>
    </row>
    <row r="130" spans="1:22" hidden="1">
      <c r="A130" s="786">
        <v>130</v>
      </c>
      <c r="B130" s="767"/>
      <c r="C130" s="767"/>
      <c r="D130" s="767"/>
      <c r="E130" s="767"/>
      <c r="F130" s="806"/>
      <c r="G130" s="778"/>
      <c r="H130" s="788"/>
      <c r="I130" s="788"/>
      <c r="J130" s="788"/>
      <c r="K130" s="788"/>
      <c r="L130" s="788"/>
      <c r="M130" s="788"/>
      <c r="N130" s="788"/>
      <c r="O130" s="788"/>
      <c r="P130" s="772"/>
    </row>
    <row r="131" spans="1:22" hidden="1">
      <c r="A131" s="786">
        <v>131</v>
      </c>
      <c r="B131" s="767"/>
      <c r="C131" s="767" t="s">
        <v>668</v>
      </c>
      <c r="D131" s="775" t="s">
        <v>669</v>
      </c>
      <c r="E131" s="767"/>
      <c r="F131" s="806" t="s">
        <v>575</v>
      </c>
      <c r="G131" s="778"/>
      <c r="H131" s="788">
        <v>0</v>
      </c>
      <c r="I131" s="788">
        <v>0</v>
      </c>
      <c r="J131" s="788">
        <v>0</v>
      </c>
      <c r="K131" s="788">
        <v>0</v>
      </c>
      <c r="L131" s="788">
        <v>0</v>
      </c>
      <c r="M131" s="788">
        <v>0</v>
      </c>
      <c r="N131" s="788">
        <v>0</v>
      </c>
      <c r="O131" s="788">
        <v>0</v>
      </c>
      <c r="P131" s="772">
        <v>0</v>
      </c>
      <c r="Q131" s="774"/>
      <c r="R131" s="774">
        <v>114</v>
      </c>
      <c r="S131" s="774"/>
      <c r="T131" s="774"/>
      <c r="U131" s="774"/>
      <c r="V131" s="774"/>
    </row>
    <row r="132" spans="1:22" hidden="1">
      <c r="A132" s="786">
        <v>132</v>
      </c>
      <c r="B132" s="767"/>
      <c r="C132" s="767"/>
      <c r="D132" s="767"/>
      <c r="E132" s="767" t="s">
        <v>210</v>
      </c>
      <c r="F132" s="806" t="s">
        <v>1392</v>
      </c>
      <c r="G132" s="778"/>
      <c r="H132" s="788">
        <v>0</v>
      </c>
      <c r="I132" s="788">
        <v>0</v>
      </c>
      <c r="J132" s="788">
        <v>0</v>
      </c>
      <c r="K132" s="788">
        <v>0</v>
      </c>
      <c r="L132" s="788">
        <v>0</v>
      </c>
      <c r="M132" s="788">
        <v>0</v>
      </c>
      <c r="N132" s="788">
        <v>0</v>
      </c>
      <c r="O132" s="788">
        <v>0</v>
      </c>
      <c r="P132" s="772">
        <v>0</v>
      </c>
      <c r="Q132" s="774"/>
      <c r="R132" s="774">
        <v>115</v>
      </c>
      <c r="S132" s="774"/>
      <c r="T132" s="774"/>
      <c r="U132" s="774"/>
      <c r="V132" s="774"/>
    </row>
    <row r="133" spans="1:22" hidden="1">
      <c r="A133" s="786">
        <v>133</v>
      </c>
      <c r="B133" s="767"/>
      <c r="C133" s="767"/>
      <c r="D133" s="767"/>
      <c r="E133" s="767"/>
      <c r="F133" s="806"/>
      <c r="G133" s="778"/>
      <c r="H133" s="788">
        <v>0</v>
      </c>
      <c r="I133" s="788">
        <v>0</v>
      </c>
      <c r="J133" s="788">
        <v>0</v>
      </c>
      <c r="K133" s="788">
        <v>0</v>
      </c>
      <c r="L133" s="788">
        <v>0</v>
      </c>
      <c r="M133" s="788">
        <v>0</v>
      </c>
      <c r="N133" s="788">
        <v>0</v>
      </c>
      <c r="O133" s="788">
        <v>0</v>
      </c>
      <c r="P133" s="772">
        <v>0</v>
      </c>
      <c r="Q133" s="774"/>
      <c r="R133" s="774"/>
      <c r="S133" s="774"/>
      <c r="T133" s="774"/>
      <c r="U133" s="774"/>
      <c r="V133" s="774"/>
    </row>
    <row r="134" spans="1:22" hidden="1">
      <c r="A134" s="786">
        <v>134</v>
      </c>
      <c r="B134" s="767"/>
      <c r="C134" s="767"/>
      <c r="D134" s="767"/>
      <c r="E134" s="767"/>
      <c r="F134" s="806"/>
      <c r="G134" s="778"/>
      <c r="H134" s="788"/>
      <c r="I134" s="788"/>
      <c r="J134" s="788"/>
      <c r="K134" s="788"/>
      <c r="L134" s="788"/>
      <c r="M134" s="788"/>
      <c r="N134" s="788"/>
      <c r="O134" s="788"/>
      <c r="P134" s="772"/>
    </row>
    <row r="135" spans="1:22" hidden="1">
      <c r="A135" s="786">
        <v>135</v>
      </c>
      <c r="B135" s="767"/>
      <c r="C135" s="767" t="s">
        <v>670</v>
      </c>
      <c r="D135" s="767"/>
      <c r="E135" s="767"/>
      <c r="F135" s="806"/>
      <c r="G135" s="778"/>
      <c r="H135" s="788">
        <v>348293800.15478849</v>
      </c>
      <c r="I135" s="788">
        <v>148284965.30000001</v>
      </c>
      <c r="J135" s="788">
        <v>52501064.115579374</v>
      </c>
      <c r="K135" s="788">
        <v>76247630.432145104</v>
      </c>
      <c r="L135" s="788">
        <v>29165516.596440308</v>
      </c>
      <c r="M135" s="788">
        <v>25129406.740602795</v>
      </c>
      <c r="N135" s="788">
        <v>15164849</v>
      </c>
      <c r="O135" s="788">
        <v>1800367.9700208607</v>
      </c>
      <c r="P135" s="772">
        <v>0</v>
      </c>
      <c r="Q135" s="774"/>
      <c r="R135" s="774"/>
      <c r="S135" s="774"/>
      <c r="T135" s="774"/>
      <c r="U135" s="774"/>
      <c r="V135" s="774"/>
    </row>
    <row r="136" spans="1:22" hidden="1">
      <c r="A136" s="786">
        <v>136</v>
      </c>
      <c r="B136" s="767"/>
      <c r="C136" s="767"/>
      <c r="D136" s="767"/>
      <c r="E136" s="767"/>
      <c r="F136" s="806"/>
      <c r="G136" s="778"/>
      <c r="H136" s="788"/>
      <c r="I136" s="788"/>
      <c r="J136" s="788"/>
      <c r="K136" s="788"/>
      <c r="L136" s="788"/>
      <c r="M136" s="788"/>
      <c r="N136" s="788"/>
      <c r="O136" s="788"/>
      <c r="P136" s="772"/>
      <c r="Q136" s="774"/>
      <c r="R136" s="774"/>
      <c r="S136" s="774"/>
      <c r="T136" s="774"/>
      <c r="U136" s="774"/>
      <c r="V136" s="774"/>
    </row>
    <row r="137" spans="1:22" hidden="1">
      <c r="A137" s="786">
        <v>137</v>
      </c>
      <c r="B137" s="767"/>
      <c r="C137" s="767" t="s">
        <v>671</v>
      </c>
      <c r="D137" s="767" t="s">
        <v>672</v>
      </c>
      <c r="E137" s="767"/>
      <c r="F137" s="806" t="s">
        <v>1392</v>
      </c>
      <c r="G137" s="778"/>
      <c r="H137" s="788">
        <v>0</v>
      </c>
      <c r="I137" s="788">
        <v>0</v>
      </c>
      <c r="J137" s="788">
        <v>0</v>
      </c>
      <c r="K137" s="788">
        <v>0</v>
      </c>
      <c r="L137" s="788">
        <v>0</v>
      </c>
      <c r="M137" s="788">
        <v>0</v>
      </c>
      <c r="N137" s="788">
        <v>0</v>
      </c>
      <c r="O137" s="788">
        <v>0</v>
      </c>
      <c r="P137" s="772">
        <v>0</v>
      </c>
      <c r="Q137" s="774"/>
      <c r="R137" s="774">
        <v>121</v>
      </c>
      <c r="S137" s="774"/>
      <c r="T137" s="774"/>
      <c r="U137" s="774"/>
      <c r="V137" s="774"/>
    </row>
    <row r="138" spans="1:22" hidden="1">
      <c r="A138" s="786">
        <v>138</v>
      </c>
      <c r="B138" s="767"/>
      <c r="C138" s="767"/>
      <c r="D138" s="767"/>
      <c r="E138" s="767"/>
      <c r="F138" s="806"/>
      <c r="G138" s="778"/>
      <c r="H138" s="788">
        <v>0</v>
      </c>
      <c r="I138" s="788">
        <v>0</v>
      </c>
      <c r="J138" s="788">
        <v>0</v>
      </c>
      <c r="K138" s="788">
        <v>0</v>
      </c>
      <c r="L138" s="788">
        <v>0</v>
      </c>
      <c r="M138" s="788">
        <v>0</v>
      </c>
      <c r="N138" s="788">
        <v>0</v>
      </c>
      <c r="O138" s="788">
        <v>0</v>
      </c>
      <c r="P138" s="772">
        <v>0</v>
      </c>
      <c r="Q138" s="774"/>
      <c r="R138" s="774"/>
      <c r="S138" s="774"/>
      <c r="T138" s="774"/>
      <c r="U138" s="774"/>
      <c r="V138" s="774"/>
    </row>
    <row r="139" spans="1:22" hidden="1">
      <c r="A139" s="786">
        <v>139</v>
      </c>
      <c r="B139" s="767"/>
      <c r="C139" s="767"/>
      <c r="D139" s="767"/>
      <c r="E139" s="767"/>
      <c r="F139" s="806"/>
      <c r="G139" s="778"/>
      <c r="H139" s="788"/>
      <c r="I139" s="788"/>
      <c r="J139" s="788"/>
      <c r="K139" s="788"/>
      <c r="L139" s="788"/>
      <c r="M139" s="788"/>
      <c r="N139" s="788"/>
      <c r="O139" s="788"/>
      <c r="P139" s="772"/>
      <c r="Q139" s="774"/>
      <c r="R139" s="774"/>
      <c r="S139" s="774"/>
      <c r="T139" s="774"/>
      <c r="U139" s="774"/>
      <c r="V139" s="774"/>
    </row>
    <row r="140" spans="1:22" hidden="1">
      <c r="A140" s="786">
        <v>140</v>
      </c>
      <c r="B140" s="767"/>
      <c r="C140" s="767" t="s">
        <v>673</v>
      </c>
      <c r="D140" s="767" t="s">
        <v>674</v>
      </c>
      <c r="E140" s="767"/>
      <c r="F140" s="806"/>
      <c r="G140" s="778"/>
      <c r="H140" s="788"/>
      <c r="I140" s="788"/>
      <c r="J140" s="788"/>
      <c r="K140" s="788"/>
      <c r="L140" s="788"/>
      <c r="M140" s="788"/>
      <c r="N140" s="788"/>
      <c r="O140" s="788"/>
      <c r="P140" s="772"/>
      <c r="Q140" s="774"/>
      <c r="R140" s="774"/>
      <c r="S140" s="774"/>
      <c r="T140" s="774"/>
      <c r="U140" s="774"/>
      <c r="V140" s="774"/>
    </row>
    <row r="141" spans="1:22" hidden="1">
      <c r="A141" s="786">
        <v>141</v>
      </c>
      <c r="B141" s="767"/>
      <c r="C141" s="767"/>
      <c r="D141" s="767"/>
      <c r="E141" s="767" t="s">
        <v>210</v>
      </c>
      <c r="F141" s="806" t="s">
        <v>1392</v>
      </c>
      <c r="G141" s="778"/>
      <c r="H141" s="788">
        <v>2169634.9191681296</v>
      </c>
      <c r="I141" s="788">
        <v>907449.20950821228</v>
      </c>
      <c r="J141" s="788">
        <v>289942.65610159264</v>
      </c>
      <c r="K141" s="788">
        <v>492037.85306204547</v>
      </c>
      <c r="L141" s="788">
        <v>200581.60696791814</v>
      </c>
      <c r="M141" s="788">
        <v>189695.56941846522</v>
      </c>
      <c r="N141" s="788">
        <v>86436.51366129097</v>
      </c>
      <c r="O141" s="788">
        <v>3491.5104486050468</v>
      </c>
      <c r="P141" s="772"/>
      <c r="Q141" s="774"/>
      <c r="R141" s="774">
        <v>128</v>
      </c>
      <c r="S141" s="774"/>
      <c r="T141" s="774"/>
      <c r="U141" s="774"/>
      <c r="V141" s="774"/>
    </row>
    <row r="142" spans="1:22" hidden="1">
      <c r="A142" s="786">
        <v>142</v>
      </c>
      <c r="B142" s="767"/>
      <c r="C142" s="767"/>
      <c r="D142" s="767"/>
      <c r="E142" s="767" t="s">
        <v>180</v>
      </c>
      <c r="F142" s="806" t="s">
        <v>1392</v>
      </c>
      <c r="G142" s="778"/>
      <c r="H142" s="788">
        <v>0</v>
      </c>
      <c r="I142" s="788">
        <v>0</v>
      </c>
      <c r="J142" s="788">
        <v>0</v>
      </c>
      <c r="K142" s="788">
        <v>0</v>
      </c>
      <c r="L142" s="788">
        <v>0</v>
      </c>
      <c r="M142" s="788">
        <v>0</v>
      </c>
      <c r="N142" s="788">
        <v>0</v>
      </c>
      <c r="O142" s="788">
        <v>0</v>
      </c>
      <c r="P142" s="772">
        <v>0</v>
      </c>
      <c r="Q142" s="774"/>
      <c r="R142" s="774">
        <v>127</v>
      </c>
      <c r="S142" s="774"/>
      <c r="T142" s="774"/>
      <c r="U142" s="774"/>
      <c r="V142" s="774"/>
    </row>
    <row r="143" spans="1:22" hidden="1">
      <c r="A143" s="786">
        <v>143</v>
      </c>
      <c r="B143" s="767"/>
      <c r="C143" s="767"/>
      <c r="D143" s="767"/>
      <c r="E143" s="767"/>
      <c r="F143" s="806"/>
      <c r="G143" s="778"/>
      <c r="H143" s="788">
        <v>2169634.9191681296</v>
      </c>
      <c r="I143" s="788">
        <v>907449.20950821228</v>
      </c>
      <c r="J143" s="788">
        <v>289942.65610159264</v>
      </c>
      <c r="K143" s="788">
        <v>492037.85306204547</v>
      </c>
      <c r="L143" s="788">
        <v>200581.60696791814</v>
      </c>
      <c r="M143" s="788">
        <v>189695.56941846522</v>
      </c>
      <c r="N143" s="788">
        <v>86436.51366129097</v>
      </c>
      <c r="O143" s="788">
        <v>3491.5104486050468</v>
      </c>
      <c r="P143" s="772">
        <v>0</v>
      </c>
      <c r="Q143" s="774"/>
      <c r="R143" s="774"/>
      <c r="S143" s="774"/>
      <c r="T143" s="774"/>
      <c r="U143" s="774"/>
      <c r="V143" s="774"/>
    </row>
    <row r="144" spans="1:22" hidden="1">
      <c r="A144" s="786">
        <v>144</v>
      </c>
      <c r="B144" s="767"/>
      <c r="C144" s="767"/>
      <c r="D144" s="767"/>
      <c r="E144" s="767"/>
      <c r="F144" s="806"/>
      <c r="G144" s="778"/>
      <c r="H144" s="810"/>
      <c r="I144" s="810"/>
      <c r="J144" s="810"/>
      <c r="K144" s="810"/>
      <c r="L144" s="810"/>
      <c r="M144" s="810"/>
      <c r="N144" s="810"/>
      <c r="O144" s="810"/>
      <c r="P144" s="772"/>
      <c r="R144" s="774"/>
    </row>
    <row r="145" spans="1:22" hidden="1">
      <c r="A145" s="786">
        <v>145</v>
      </c>
      <c r="B145" s="767"/>
      <c r="C145" s="767" t="s">
        <v>675</v>
      </c>
      <c r="D145" s="767" t="s">
        <v>676</v>
      </c>
      <c r="E145" s="767"/>
      <c r="F145" s="806" t="s">
        <v>1393</v>
      </c>
      <c r="G145" s="778"/>
      <c r="H145" s="788">
        <v>0</v>
      </c>
      <c r="I145" s="788">
        <v>0</v>
      </c>
      <c r="J145" s="788">
        <v>0</v>
      </c>
      <c r="K145" s="788">
        <v>0</v>
      </c>
      <c r="L145" s="788">
        <v>0</v>
      </c>
      <c r="M145" s="788">
        <v>0</v>
      </c>
      <c r="N145" s="788">
        <v>0</v>
      </c>
      <c r="O145" s="788">
        <v>0</v>
      </c>
      <c r="P145" s="772">
        <v>0</v>
      </c>
      <c r="Q145" s="774"/>
      <c r="R145" s="774">
        <v>133</v>
      </c>
      <c r="S145" s="774"/>
      <c r="T145" s="774"/>
      <c r="U145" s="774"/>
      <c r="V145" s="774"/>
    </row>
    <row r="146" spans="1:22" hidden="1">
      <c r="A146" s="786">
        <v>146</v>
      </c>
      <c r="B146" s="767"/>
      <c r="C146" s="767"/>
      <c r="D146" s="767"/>
      <c r="E146" s="767"/>
      <c r="F146" s="806" t="s">
        <v>1392</v>
      </c>
      <c r="G146" s="778"/>
      <c r="H146" s="788">
        <v>0</v>
      </c>
      <c r="I146" s="788">
        <v>0</v>
      </c>
      <c r="J146" s="788">
        <v>0</v>
      </c>
      <c r="K146" s="788">
        <v>0</v>
      </c>
      <c r="L146" s="788">
        <v>0</v>
      </c>
      <c r="M146" s="788">
        <v>0</v>
      </c>
      <c r="N146" s="788">
        <v>0</v>
      </c>
      <c r="O146" s="788">
        <v>0</v>
      </c>
      <c r="P146" s="772"/>
      <c r="Q146" s="774"/>
      <c r="R146" s="774">
        <v>134</v>
      </c>
      <c r="S146" s="774"/>
      <c r="T146" s="774"/>
      <c r="U146" s="774"/>
      <c r="V146" s="774"/>
    </row>
    <row r="147" spans="1:22" hidden="1">
      <c r="A147" s="786">
        <v>147</v>
      </c>
      <c r="B147" s="767"/>
      <c r="C147" s="767"/>
      <c r="D147" s="767"/>
      <c r="E147" s="767"/>
      <c r="F147" s="806"/>
      <c r="G147" s="778"/>
      <c r="H147" s="788"/>
      <c r="I147" s="788"/>
      <c r="J147" s="788"/>
      <c r="K147" s="788"/>
      <c r="L147" s="788"/>
      <c r="M147" s="788"/>
      <c r="N147" s="788"/>
      <c r="O147" s="788"/>
      <c r="P147" s="772"/>
      <c r="R147" s="774"/>
    </row>
    <row r="148" spans="1:22" hidden="1">
      <c r="A148" s="786">
        <v>148</v>
      </c>
      <c r="B148" s="767"/>
      <c r="C148" s="767" t="s">
        <v>677</v>
      </c>
      <c r="D148" s="767"/>
      <c r="E148" s="767"/>
      <c r="F148" s="806" t="s">
        <v>1394</v>
      </c>
      <c r="G148" s="778"/>
      <c r="H148" s="788">
        <v>17550906.684273135</v>
      </c>
      <c r="I148" s="788">
        <v>7888628.3792942017</v>
      </c>
      <c r="J148" s="788">
        <v>2406574.7858045236</v>
      </c>
      <c r="K148" s="788">
        <v>3669547.7596842088</v>
      </c>
      <c r="L148" s="788">
        <v>1486375.5022068121</v>
      </c>
      <c r="M148" s="788">
        <v>1326887.2132955729</v>
      </c>
      <c r="N148" s="788">
        <v>714072.45100864279</v>
      </c>
      <c r="O148" s="788">
        <v>58820.592979173991</v>
      </c>
      <c r="P148" s="772">
        <v>0</v>
      </c>
      <c r="R148" s="774">
        <v>136</v>
      </c>
      <c r="S148" s="774"/>
      <c r="T148" s="774"/>
      <c r="U148" s="774"/>
      <c r="V148" s="774"/>
    </row>
    <row r="149" spans="1:22" hidden="1">
      <c r="A149" s="786">
        <v>149</v>
      </c>
      <c r="B149" s="767"/>
      <c r="C149" s="767"/>
      <c r="D149" s="767"/>
      <c r="E149" s="767"/>
      <c r="F149" s="806"/>
      <c r="G149" s="778"/>
      <c r="H149" s="810"/>
      <c r="I149" s="810"/>
      <c r="J149" s="810"/>
      <c r="K149" s="810"/>
      <c r="L149" s="810"/>
      <c r="M149" s="810"/>
      <c r="N149" s="810"/>
      <c r="O149" s="810"/>
      <c r="P149" s="772"/>
      <c r="R149" s="774"/>
    </row>
    <row r="150" spans="1:22" hidden="1">
      <c r="A150" s="786">
        <v>150</v>
      </c>
      <c r="B150" s="767"/>
      <c r="C150" s="767" t="s">
        <v>678</v>
      </c>
      <c r="D150" s="767"/>
      <c r="E150" s="767"/>
      <c r="F150" s="806" t="s">
        <v>575</v>
      </c>
      <c r="G150" s="811"/>
      <c r="H150" s="788">
        <v>727804.67</v>
      </c>
      <c r="I150" s="788">
        <v>1788</v>
      </c>
      <c r="J150" s="788">
        <v>179372</v>
      </c>
      <c r="K150" s="788">
        <v>254560</v>
      </c>
      <c r="L150" s="788">
        <v>62974</v>
      </c>
      <c r="M150" s="788">
        <v>16850</v>
      </c>
      <c r="N150" s="788">
        <v>210968.67</v>
      </c>
      <c r="O150" s="788">
        <v>1292</v>
      </c>
      <c r="P150" s="772">
        <v>0</v>
      </c>
      <c r="R150" s="774">
        <v>137</v>
      </c>
    </row>
    <row r="151" spans="1:22" hidden="1">
      <c r="A151" s="786">
        <v>151</v>
      </c>
      <c r="B151" s="767"/>
      <c r="C151" s="767"/>
      <c r="D151" s="767"/>
      <c r="E151" s="767"/>
      <c r="F151" s="806"/>
      <c r="G151" s="778"/>
      <c r="H151" s="810"/>
      <c r="I151" s="810"/>
      <c r="J151" s="810"/>
      <c r="K151" s="810"/>
      <c r="L151" s="810"/>
      <c r="M151" s="810"/>
      <c r="N151" s="810"/>
      <c r="O151" s="810"/>
      <c r="P151" s="772"/>
      <c r="R151" s="774"/>
    </row>
    <row r="152" spans="1:22" hidden="1">
      <c r="A152" s="786">
        <v>152</v>
      </c>
      <c r="B152" s="767"/>
      <c r="C152" s="767" t="s">
        <v>679</v>
      </c>
      <c r="D152" s="767"/>
      <c r="E152" s="767"/>
      <c r="F152" s="806"/>
      <c r="G152" s="778"/>
      <c r="H152" s="788">
        <v>368742146.42822975</v>
      </c>
      <c r="I152" s="788">
        <v>157082830.88880241</v>
      </c>
      <c r="J152" s="788">
        <v>55376953.557485491</v>
      </c>
      <c r="K152" s="788">
        <v>80663776.044891357</v>
      </c>
      <c r="L152" s="788">
        <v>30915447.70561504</v>
      </c>
      <c r="M152" s="788">
        <v>26662839.52331683</v>
      </c>
      <c r="N152" s="788">
        <v>16176326.634669933</v>
      </c>
      <c r="O152" s="788">
        <v>1863972.0734486398</v>
      </c>
      <c r="P152" s="772">
        <v>0</v>
      </c>
      <c r="R152" s="774"/>
      <c r="S152" s="774"/>
      <c r="T152" s="774"/>
      <c r="U152" s="774"/>
      <c r="V152" s="774"/>
    </row>
    <row r="153" spans="1:22" hidden="1">
      <c r="A153" s="786">
        <v>153</v>
      </c>
      <c r="B153" s="767"/>
      <c r="F153" s="806"/>
      <c r="H153" s="812"/>
      <c r="I153" s="812"/>
      <c r="J153" s="812"/>
      <c r="K153" s="812"/>
      <c r="L153" s="812"/>
      <c r="M153" s="812"/>
      <c r="N153" s="812"/>
      <c r="O153" s="812"/>
      <c r="P153" s="772"/>
      <c r="R153" s="774"/>
    </row>
    <row r="154" spans="1:22" hidden="1">
      <c r="A154" s="786">
        <v>154</v>
      </c>
      <c r="B154" s="767"/>
      <c r="C154" s="767" t="s">
        <v>680</v>
      </c>
      <c r="D154" s="767"/>
      <c r="E154" s="767"/>
      <c r="F154" s="806"/>
      <c r="G154" s="778"/>
      <c r="H154" s="812"/>
      <c r="I154" s="812"/>
      <c r="J154" s="812"/>
      <c r="K154" s="812"/>
      <c r="L154" s="812"/>
      <c r="M154" s="812"/>
      <c r="N154" s="812"/>
      <c r="O154" s="812"/>
      <c r="P154" s="772"/>
      <c r="R154" s="774"/>
    </row>
    <row r="155" spans="1:22" hidden="1">
      <c r="A155" s="786">
        <v>155</v>
      </c>
      <c r="B155" s="767"/>
      <c r="C155" s="767" t="s">
        <v>681</v>
      </c>
      <c r="D155" s="767" t="s">
        <v>682</v>
      </c>
      <c r="E155" s="767"/>
      <c r="F155" s="806" t="s">
        <v>575</v>
      </c>
      <c r="G155" s="811"/>
      <c r="H155" s="788">
        <v>742400.88</v>
      </c>
      <c r="I155" s="788">
        <v>583739.09944320482</v>
      </c>
      <c r="J155" s="788">
        <v>58832.783280378128</v>
      </c>
      <c r="K155" s="788">
        <v>69692.231261188572</v>
      </c>
      <c r="L155" s="788">
        <v>17584.411129177926</v>
      </c>
      <c r="M155" s="788">
        <v>5281.6704036536412</v>
      </c>
      <c r="N155" s="788">
        <v>3187.3308815429364</v>
      </c>
      <c r="O155" s="788">
        <v>4083.3536008539536</v>
      </c>
      <c r="P155" s="772">
        <v>0</v>
      </c>
      <c r="Q155" s="774"/>
      <c r="R155" s="774">
        <v>143</v>
      </c>
      <c r="S155" s="774"/>
      <c r="T155" s="774"/>
      <c r="U155" s="774"/>
      <c r="V155" s="774"/>
    </row>
    <row r="156" spans="1:22" hidden="1">
      <c r="A156" s="786">
        <v>156</v>
      </c>
      <c r="B156" s="767"/>
      <c r="C156" s="767"/>
      <c r="D156" s="767"/>
      <c r="E156" s="767" t="s">
        <v>18</v>
      </c>
      <c r="F156" s="806" t="s">
        <v>1395</v>
      </c>
      <c r="G156" s="778"/>
      <c r="H156" s="788">
        <v>0</v>
      </c>
      <c r="I156" s="788">
        <v>0</v>
      </c>
      <c r="J156" s="788">
        <v>0</v>
      </c>
      <c r="K156" s="788">
        <v>0</v>
      </c>
      <c r="L156" s="788">
        <v>0</v>
      </c>
      <c r="M156" s="788">
        <v>0</v>
      </c>
      <c r="N156" s="788">
        <v>0</v>
      </c>
      <c r="O156" s="788">
        <v>0</v>
      </c>
      <c r="P156" s="772">
        <v>0</v>
      </c>
      <c r="Q156" s="774"/>
      <c r="R156" s="774">
        <v>144</v>
      </c>
      <c r="S156" s="774"/>
      <c r="T156" s="774"/>
      <c r="U156" s="774"/>
      <c r="V156" s="774"/>
    </row>
    <row r="157" spans="1:22" hidden="1">
      <c r="A157" s="786">
        <v>157</v>
      </c>
      <c r="B157" s="767"/>
      <c r="C157" s="767"/>
      <c r="D157" s="767"/>
      <c r="E157" s="767"/>
      <c r="F157" s="806"/>
      <c r="G157" s="778"/>
      <c r="H157" s="788">
        <v>742400.88</v>
      </c>
      <c r="I157" s="788">
        <v>583739.09944320482</v>
      </c>
      <c r="J157" s="788">
        <v>58832.783280378128</v>
      </c>
      <c r="K157" s="788">
        <v>69692.231261188572</v>
      </c>
      <c r="L157" s="788">
        <v>17584.411129177926</v>
      </c>
      <c r="M157" s="788">
        <v>5281.6704036536412</v>
      </c>
      <c r="N157" s="788">
        <v>3187.3308815429364</v>
      </c>
      <c r="O157" s="788">
        <v>4083.3536008539536</v>
      </c>
      <c r="P157" s="772">
        <v>0</v>
      </c>
      <c r="Q157" s="774"/>
      <c r="R157" s="774"/>
      <c r="S157" s="774"/>
      <c r="T157" s="774"/>
      <c r="U157" s="774"/>
      <c r="V157" s="774"/>
    </row>
    <row r="158" spans="1:22" hidden="1">
      <c r="A158" s="786">
        <v>158</v>
      </c>
      <c r="B158" s="767"/>
      <c r="C158" s="767"/>
      <c r="D158" s="767"/>
      <c r="E158" s="767"/>
      <c r="F158" s="806"/>
      <c r="G158" s="778"/>
      <c r="H158" s="812"/>
      <c r="I158" s="812"/>
      <c r="J158" s="812"/>
      <c r="K158" s="812"/>
      <c r="L158" s="812"/>
      <c r="M158" s="812"/>
      <c r="N158" s="812"/>
      <c r="O158" s="812"/>
      <c r="P158" s="772"/>
      <c r="R158" s="774"/>
    </row>
    <row r="159" spans="1:22" hidden="1">
      <c r="A159" s="786">
        <v>159</v>
      </c>
      <c r="B159" s="767"/>
      <c r="C159" s="767" t="s">
        <v>683</v>
      </c>
      <c r="D159" s="767" t="s">
        <v>684</v>
      </c>
      <c r="E159" s="767"/>
      <c r="F159" s="806" t="s">
        <v>575</v>
      </c>
      <c r="G159" s="811"/>
      <c r="H159" s="788">
        <v>-267855.57158807392</v>
      </c>
      <c r="I159" s="788">
        <v>-210946.30427412206</v>
      </c>
      <c r="J159" s="788">
        <v>-39000.692150149713</v>
      </c>
      <c r="K159" s="788">
        <v>-2105.9733794715048</v>
      </c>
      <c r="L159" s="788">
        <v>-126.18313112263968</v>
      </c>
      <c r="M159" s="788">
        <v>-1.9570171904815452</v>
      </c>
      <c r="N159" s="788">
        <v>-10050.646569636974</v>
      </c>
      <c r="O159" s="788">
        <v>-5623.815066380469</v>
      </c>
      <c r="P159" s="772">
        <v>0</v>
      </c>
      <c r="Q159" s="774"/>
      <c r="R159" s="774">
        <v>148</v>
      </c>
      <c r="S159" s="774"/>
      <c r="T159" s="774"/>
      <c r="U159" s="774"/>
      <c r="V159" s="774"/>
    </row>
    <row r="160" spans="1:22" hidden="1">
      <c r="A160" s="786">
        <v>160</v>
      </c>
      <c r="B160" s="767"/>
      <c r="C160" s="767"/>
      <c r="D160" s="767"/>
      <c r="E160" s="767" t="s">
        <v>210</v>
      </c>
      <c r="F160" s="806" t="s">
        <v>1392</v>
      </c>
      <c r="G160" s="778"/>
      <c r="H160" s="788">
        <v>0</v>
      </c>
      <c r="I160" s="788">
        <v>0</v>
      </c>
      <c r="J160" s="788">
        <v>0</v>
      </c>
      <c r="K160" s="788">
        <v>0</v>
      </c>
      <c r="L160" s="788">
        <v>0</v>
      </c>
      <c r="M160" s="788">
        <v>0</v>
      </c>
      <c r="N160" s="788">
        <v>0</v>
      </c>
      <c r="O160" s="788">
        <v>0</v>
      </c>
      <c r="P160" s="772">
        <v>0</v>
      </c>
      <c r="Q160" s="774"/>
      <c r="R160" s="774">
        <v>149</v>
      </c>
      <c r="S160" s="774"/>
      <c r="T160" s="774"/>
      <c r="U160" s="774"/>
      <c r="V160" s="774"/>
    </row>
    <row r="161" spans="1:22" hidden="1">
      <c r="A161" s="786">
        <v>161</v>
      </c>
      <c r="B161" s="767"/>
      <c r="C161" s="767"/>
      <c r="D161" s="767"/>
      <c r="E161" s="767" t="s">
        <v>7</v>
      </c>
      <c r="F161" s="806" t="s">
        <v>1395</v>
      </c>
      <c r="G161" s="778"/>
      <c r="H161" s="788">
        <v>2341.0809808290355</v>
      </c>
      <c r="I161" s="788">
        <v>1843.6890372838152</v>
      </c>
      <c r="J161" s="788">
        <v>340.8694397901001</v>
      </c>
      <c r="K161" s="788">
        <v>18.406390412498354</v>
      </c>
      <c r="L161" s="788">
        <v>1.102851535330247</v>
      </c>
      <c r="M161" s="788">
        <v>1.7104500371706331E-2</v>
      </c>
      <c r="N161" s="788">
        <v>87.843524738760181</v>
      </c>
      <c r="O161" s="788">
        <v>49.152632568160094</v>
      </c>
      <c r="P161" s="772">
        <v>0</v>
      </c>
      <c r="Q161" s="774"/>
      <c r="R161" s="774">
        <v>150</v>
      </c>
      <c r="S161" s="774"/>
      <c r="T161" s="774"/>
      <c r="U161" s="774"/>
      <c r="V161" s="774"/>
    </row>
    <row r="162" spans="1:22" hidden="1">
      <c r="A162" s="786">
        <v>162</v>
      </c>
      <c r="B162" s="767"/>
      <c r="C162" s="767"/>
      <c r="D162" s="767"/>
      <c r="E162" s="767"/>
      <c r="F162" s="806"/>
      <c r="G162" s="778"/>
      <c r="H162" s="788">
        <v>-265514.49060724484</v>
      </c>
      <c r="I162" s="788">
        <v>-209102.61523683823</v>
      </c>
      <c r="J162" s="788">
        <v>-38659.822710359615</v>
      </c>
      <c r="K162" s="788">
        <v>-2087.5669890590061</v>
      </c>
      <c r="L162" s="788">
        <v>-125.08027958730943</v>
      </c>
      <c r="M162" s="788">
        <v>-1.9399126901098389</v>
      </c>
      <c r="N162" s="788">
        <v>-9962.8030448982154</v>
      </c>
      <c r="O162" s="788">
        <v>-5574.6624338123092</v>
      </c>
      <c r="P162" s="772">
        <v>0</v>
      </c>
      <c r="Q162" s="774"/>
      <c r="R162" s="774"/>
      <c r="S162" s="774"/>
      <c r="T162" s="774"/>
      <c r="U162" s="774"/>
      <c r="V162" s="774"/>
    </row>
    <row r="163" spans="1:22" hidden="1">
      <c r="A163" s="786">
        <v>163</v>
      </c>
      <c r="B163" s="767"/>
      <c r="C163" s="767"/>
      <c r="D163" s="767"/>
      <c r="E163" s="767"/>
      <c r="F163" s="806"/>
      <c r="G163" s="778"/>
      <c r="H163" s="812"/>
      <c r="I163" s="812"/>
      <c r="J163" s="812"/>
      <c r="K163" s="812"/>
      <c r="L163" s="812"/>
      <c r="M163" s="812"/>
      <c r="N163" s="812"/>
      <c r="O163" s="812"/>
      <c r="P163" s="772"/>
      <c r="R163" s="774"/>
    </row>
    <row r="164" spans="1:22" hidden="1">
      <c r="A164" s="786">
        <v>164</v>
      </c>
      <c r="B164" s="767"/>
      <c r="C164" s="767" t="s">
        <v>685</v>
      </c>
      <c r="D164" s="767" t="s">
        <v>686</v>
      </c>
      <c r="E164" s="767"/>
      <c r="F164" s="806" t="s">
        <v>1396</v>
      </c>
      <c r="G164" s="778"/>
      <c r="H164" s="788">
        <v>2851.8230431369025</v>
      </c>
      <c r="I164" s="788">
        <v>1272.6008816292565</v>
      </c>
      <c r="J164" s="788">
        <v>378.52957104070384</v>
      </c>
      <c r="K164" s="788">
        <v>606.0468092135801</v>
      </c>
      <c r="L164" s="788">
        <v>245.3996639862886</v>
      </c>
      <c r="M164" s="788">
        <v>240.77833005193949</v>
      </c>
      <c r="N164" s="788">
        <v>105.15058956914419</v>
      </c>
      <c r="O164" s="788">
        <v>3.3171976459902335</v>
      </c>
      <c r="P164" s="772">
        <v>0</v>
      </c>
      <c r="Q164" s="774"/>
      <c r="R164" s="774">
        <v>154</v>
      </c>
      <c r="S164" s="774"/>
      <c r="T164" s="774"/>
      <c r="U164" s="774"/>
      <c r="V164" s="774"/>
    </row>
    <row r="165" spans="1:22" hidden="1">
      <c r="A165" s="786">
        <v>165</v>
      </c>
      <c r="B165" s="767"/>
      <c r="F165" s="806"/>
      <c r="G165" s="778"/>
      <c r="H165" s="812"/>
      <c r="I165" s="812"/>
      <c r="J165" s="812"/>
      <c r="K165" s="812"/>
      <c r="L165" s="812"/>
      <c r="M165" s="812"/>
      <c r="N165" s="812"/>
      <c r="O165" s="812"/>
      <c r="P165" s="772"/>
      <c r="R165" s="774"/>
    </row>
    <row r="166" spans="1:22" hidden="1">
      <c r="A166" s="786">
        <v>166</v>
      </c>
      <c r="B166" s="767"/>
      <c r="C166" s="767" t="s">
        <v>687</v>
      </c>
      <c r="D166" s="767" t="s">
        <v>688</v>
      </c>
      <c r="F166" s="806" t="s">
        <v>575</v>
      </c>
      <c r="G166" s="811"/>
      <c r="H166" s="788">
        <v>728890.5</v>
      </c>
      <c r="I166" s="788">
        <v>311645.99405413185</v>
      </c>
      <c r="J166" s="788">
        <v>95175.936856229353</v>
      </c>
      <c r="K166" s="788">
        <v>149767.37046224208</v>
      </c>
      <c r="L166" s="788">
        <v>63678.866975817946</v>
      </c>
      <c r="M166" s="788">
        <v>67249.522319308919</v>
      </c>
      <c r="N166" s="788">
        <v>40065.96661740014</v>
      </c>
      <c r="O166" s="788">
        <v>1306.8427148699404</v>
      </c>
      <c r="P166" s="772">
        <v>0</v>
      </c>
      <c r="Q166" s="774"/>
      <c r="R166" s="774">
        <v>159</v>
      </c>
      <c r="S166" s="774"/>
      <c r="T166" s="774"/>
      <c r="U166" s="774"/>
      <c r="V166" s="774"/>
    </row>
    <row r="167" spans="1:22" hidden="1">
      <c r="A167" s="786">
        <v>167</v>
      </c>
      <c r="B167" s="767"/>
      <c r="D167" s="767"/>
      <c r="E167" s="767" t="s">
        <v>210</v>
      </c>
      <c r="F167" s="806" t="s">
        <v>1392</v>
      </c>
      <c r="G167" s="778"/>
      <c r="H167" s="788">
        <v>99382.929389914934</v>
      </c>
      <c r="I167" s="788">
        <v>41566.882942715099</v>
      </c>
      <c r="J167" s="788">
        <v>13281.197801479526</v>
      </c>
      <c r="K167" s="788">
        <v>22538.429288730131</v>
      </c>
      <c r="L167" s="788">
        <v>9187.8995429569404</v>
      </c>
      <c r="M167" s="788">
        <v>8689.2505345200516</v>
      </c>
      <c r="N167" s="788">
        <v>3959.3361343963584</v>
      </c>
      <c r="O167" s="788">
        <v>159.9331451168334</v>
      </c>
      <c r="P167" s="772">
        <v>0</v>
      </c>
      <c r="Q167" s="774"/>
      <c r="R167" s="774">
        <v>160</v>
      </c>
      <c r="S167" s="774"/>
      <c r="T167" s="774"/>
      <c r="U167" s="774"/>
      <c r="V167" s="774"/>
    </row>
    <row r="168" spans="1:22" hidden="1">
      <c r="A168" s="786">
        <v>168</v>
      </c>
      <c r="B168" s="767"/>
      <c r="D168" s="767"/>
      <c r="E168" s="767" t="s">
        <v>210</v>
      </c>
      <c r="F168" s="806" t="s">
        <v>1392</v>
      </c>
      <c r="G168" s="778"/>
      <c r="H168" s="788">
        <v>109170.14341943202</v>
      </c>
      <c r="I168" s="788">
        <v>45660.382524560984</v>
      </c>
      <c r="J168" s="788">
        <v>14589.127908283384</v>
      </c>
      <c r="K168" s="788">
        <v>24758.009982236264</v>
      </c>
      <c r="L168" s="788">
        <v>10092.722331544886</v>
      </c>
      <c r="M168" s="788">
        <v>9544.9664533353134</v>
      </c>
      <c r="N168" s="788">
        <v>4349.2508853502613</v>
      </c>
      <c r="O168" s="788">
        <v>175.68333412093318</v>
      </c>
      <c r="P168" s="772">
        <v>0</v>
      </c>
      <c r="Q168" s="774"/>
      <c r="R168" s="774">
        <v>161</v>
      </c>
      <c r="S168" s="774"/>
      <c r="T168" s="774"/>
      <c r="U168" s="774"/>
      <c r="V168" s="774"/>
    </row>
    <row r="169" spans="1:22" hidden="1">
      <c r="A169" s="786">
        <v>169</v>
      </c>
      <c r="B169" s="767"/>
      <c r="D169" s="767"/>
      <c r="E169" s="767" t="s">
        <v>689</v>
      </c>
      <c r="F169" s="806" t="s">
        <v>1392</v>
      </c>
      <c r="G169" s="778"/>
      <c r="H169" s="788">
        <v>2206.0349256848262</v>
      </c>
      <c r="I169" s="788">
        <v>922.67350224421546</v>
      </c>
      <c r="J169" s="788">
        <v>294.80702958596339</v>
      </c>
      <c r="K169" s="788">
        <v>500.29278152935967</v>
      </c>
      <c r="L169" s="788">
        <v>203.94676842262089</v>
      </c>
      <c r="M169" s="788">
        <v>192.87809561308791</v>
      </c>
      <c r="N169" s="788">
        <v>87.886660703429214</v>
      </c>
      <c r="O169" s="788">
        <v>3.5500875861499508</v>
      </c>
      <c r="P169" s="772">
        <v>0</v>
      </c>
      <c r="Q169" s="774"/>
      <c r="R169" s="774">
        <v>162</v>
      </c>
      <c r="S169" s="774"/>
      <c r="T169" s="774"/>
      <c r="U169" s="774"/>
      <c r="V169" s="774"/>
    </row>
    <row r="170" spans="1:22" hidden="1">
      <c r="A170" s="786">
        <v>170</v>
      </c>
      <c r="B170" s="767"/>
      <c r="D170" s="767"/>
      <c r="E170" s="767" t="s">
        <v>7</v>
      </c>
      <c r="F170" s="806" t="s">
        <v>1395</v>
      </c>
      <c r="G170" s="778"/>
      <c r="H170" s="788">
        <v>113926.31388550381</v>
      </c>
      <c r="I170" s="788">
        <v>89721.24317309013</v>
      </c>
      <c r="J170" s="788">
        <v>16588.06299718461</v>
      </c>
      <c r="K170" s="788">
        <v>895.7281823249125</v>
      </c>
      <c r="L170" s="788">
        <v>53.669143106126072</v>
      </c>
      <c r="M170" s="788">
        <v>0.83237303372208205</v>
      </c>
      <c r="N170" s="788">
        <v>4274.8153755249577</v>
      </c>
      <c r="O170" s="788">
        <v>2391.9626412393563</v>
      </c>
      <c r="P170" s="772">
        <v>0</v>
      </c>
      <c r="Q170" s="774"/>
      <c r="R170" s="774">
        <v>163</v>
      </c>
      <c r="S170" s="774"/>
      <c r="T170" s="774"/>
      <c r="U170" s="774"/>
      <c r="V170" s="774"/>
    </row>
    <row r="171" spans="1:22" hidden="1">
      <c r="A171" s="786">
        <v>171</v>
      </c>
      <c r="B171" s="767"/>
      <c r="D171" s="767"/>
      <c r="F171" s="806"/>
      <c r="G171" s="778"/>
      <c r="H171" s="788">
        <v>1053575.9216205359</v>
      </c>
      <c r="I171" s="788">
        <v>489517.17619674222</v>
      </c>
      <c r="J171" s="788">
        <v>139929.13259276285</v>
      </c>
      <c r="K171" s="788">
        <v>198459.83069706275</v>
      </c>
      <c r="L171" s="788">
        <v>83217.104761848532</v>
      </c>
      <c r="M171" s="788">
        <v>85677.449775811081</v>
      </c>
      <c r="N171" s="788">
        <v>52737.255673375148</v>
      </c>
      <c r="O171" s="788">
        <v>4037.9719229332136</v>
      </c>
      <c r="P171" s="772">
        <v>0</v>
      </c>
      <c r="Q171" s="774"/>
      <c r="R171" s="774"/>
      <c r="S171" s="774"/>
      <c r="T171" s="774"/>
      <c r="U171" s="774"/>
      <c r="V171" s="774"/>
    </row>
    <row r="172" spans="1:22" hidden="1">
      <c r="A172" s="786">
        <v>172</v>
      </c>
      <c r="B172" s="767"/>
      <c r="D172" s="767"/>
      <c r="E172" s="767"/>
      <c r="F172" s="806"/>
      <c r="G172" s="778"/>
      <c r="H172" s="812"/>
      <c r="I172" s="812"/>
      <c r="J172" s="812"/>
      <c r="K172" s="812"/>
      <c r="L172" s="812"/>
      <c r="M172" s="812"/>
      <c r="N172" s="812"/>
      <c r="O172" s="812"/>
      <c r="P172" s="772"/>
      <c r="R172" s="774"/>
    </row>
    <row r="173" spans="1:22" hidden="1">
      <c r="A173" s="786">
        <v>173</v>
      </c>
      <c r="B173" s="767"/>
      <c r="C173" s="767" t="s">
        <v>690</v>
      </c>
      <c r="D173" s="767" t="s">
        <v>691</v>
      </c>
      <c r="E173" s="767"/>
      <c r="F173" s="806" t="s">
        <v>575</v>
      </c>
      <c r="G173" s="811"/>
      <c r="H173" s="788">
        <v>-4378.7399999999907</v>
      </c>
      <c r="I173" s="788">
        <v>-1831.5155482287523</v>
      </c>
      <c r="J173" s="788">
        <v>-585.19471633305034</v>
      </c>
      <c r="K173" s="788">
        <v>-993.08585952553528</v>
      </c>
      <c r="L173" s="788">
        <v>-404.83624648209701</v>
      </c>
      <c r="M173" s="788">
        <v>-382.86482723183366</v>
      </c>
      <c r="N173" s="788">
        <v>-174.45584507273591</v>
      </c>
      <c r="O173" s="788">
        <v>-7.0469571259959514</v>
      </c>
      <c r="P173" s="772">
        <v>0</v>
      </c>
      <c r="Q173" s="774"/>
      <c r="R173" s="774">
        <v>167</v>
      </c>
      <c r="S173" s="774"/>
      <c r="T173" s="774"/>
      <c r="U173" s="774"/>
      <c r="V173" s="774"/>
    </row>
    <row r="174" spans="1:22" hidden="1">
      <c r="A174" s="786">
        <v>174</v>
      </c>
      <c r="B174" s="767"/>
      <c r="C174" s="767"/>
      <c r="D174" s="767"/>
      <c r="E174" s="767" t="s">
        <v>692</v>
      </c>
      <c r="F174" s="806" t="s">
        <v>1396</v>
      </c>
      <c r="G174" s="778"/>
      <c r="H174" s="788">
        <v>0</v>
      </c>
      <c r="I174" s="788">
        <v>0</v>
      </c>
      <c r="J174" s="788">
        <v>0</v>
      </c>
      <c r="K174" s="788">
        <v>0</v>
      </c>
      <c r="L174" s="788">
        <v>0</v>
      </c>
      <c r="M174" s="788">
        <v>0</v>
      </c>
      <c r="N174" s="788">
        <v>0</v>
      </c>
      <c r="O174" s="788">
        <v>0</v>
      </c>
      <c r="P174" s="772">
        <v>0</v>
      </c>
      <c r="Q174" s="774"/>
      <c r="R174" s="774">
        <v>168</v>
      </c>
      <c r="S174" s="774"/>
      <c r="T174" s="774"/>
      <c r="U174" s="774"/>
      <c r="V174" s="774"/>
    </row>
    <row r="175" spans="1:22" hidden="1">
      <c r="A175" s="786">
        <v>175</v>
      </c>
      <c r="B175" s="767"/>
      <c r="C175" s="767"/>
      <c r="D175" s="767"/>
      <c r="E175" s="767" t="s">
        <v>210</v>
      </c>
      <c r="F175" s="806" t="s">
        <v>1396</v>
      </c>
      <c r="G175" s="778"/>
      <c r="H175" s="788">
        <v>2314755.6314009451</v>
      </c>
      <c r="I175" s="788">
        <v>1032939.285754876</v>
      </c>
      <c r="J175" s="788">
        <v>307243.27665662632</v>
      </c>
      <c r="K175" s="788">
        <v>491913.5035028765</v>
      </c>
      <c r="L175" s="788">
        <v>199184.95838063554</v>
      </c>
      <c r="M175" s="788">
        <v>195433.93365458789</v>
      </c>
      <c r="N175" s="788">
        <v>85348.184536224624</v>
      </c>
      <c r="O175" s="788">
        <v>2692.4889151185821</v>
      </c>
      <c r="P175" s="772">
        <v>0</v>
      </c>
      <c r="Q175" s="774"/>
      <c r="R175" s="774">
        <v>169</v>
      </c>
      <c r="S175" s="774"/>
      <c r="T175" s="774"/>
      <c r="U175" s="774"/>
      <c r="V175" s="774"/>
    </row>
    <row r="176" spans="1:22" hidden="1">
      <c r="A176" s="786">
        <v>176</v>
      </c>
      <c r="B176" s="767"/>
      <c r="C176" s="767"/>
      <c r="D176" s="767"/>
      <c r="E176" s="767" t="s">
        <v>689</v>
      </c>
      <c r="F176" s="806" t="s">
        <v>1396</v>
      </c>
      <c r="G176" s="778"/>
      <c r="H176" s="788">
        <v>502043.64708063437</v>
      </c>
      <c r="I176" s="788">
        <v>224032.54978556253</v>
      </c>
      <c r="J176" s="788">
        <v>66637.502923080276</v>
      </c>
      <c r="K176" s="788">
        <v>106690.33309461233</v>
      </c>
      <c r="L176" s="788">
        <v>43200.907081710611</v>
      </c>
      <c r="M176" s="788">
        <v>42387.353327608798</v>
      </c>
      <c r="N176" s="788">
        <v>18511.03125315404</v>
      </c>
      <c r="O176" s="788">
        <v>583.96961490583089</v>
      </c>
      <c r="P176" s="772">
        <v>0</v>
      </c>
      <c r="Q176" s="774"/>
      <c r="R176" s="774">
        <v>170</v>
      </c>
      <c r="S176" s="774"/>
      <c r="T176" s="774"/>
      <c r="U176" s="774"/>
      <c r="V176" s="774"/>
    </row>
    <row r="177" spans="1:22" hidden="1">
      <c r="A177" s="786">
        <v>177</v>
      </c>
      <c r="B177" s="767"/>
      <c r="C177" s="767"/>
      <c r="D177" s="767"/>
      <c r="E177" s="767" t="s">
        <v>693</v>
      </c>
      <c r="F177" s="806" t="s">
        <v>1395</v>
      </c>
      <c r="G177" s="778"/>
      <c r="H177" s="788">
        <v>274227.50725612795</v>
      </c>
      <c r="I177" s="788">
        <v>215964.44249047234</v>
      </c>
      <c r="J177" s="788">
        <v>39928.467891072185</v>
      </c>
      <c r="K177" s="788">
        <v>2156.0717470845693</v>
      </c>
      <c r="L177" s="788">
        <v>129.18486369493647</v>
      </c>
      <c r="M177" s="788">
        <v>2.0035720840948898</v>
      </c>
      <c r="N177" s="788">
        <v>10289.738379392433</v>
      </c>
      <c r="O177" s="788">
        <v>5757.59831232735</v>
      </c>
      <c r="P177" s="772">
        <v>0</v>
      </c>
      <c r="Q177" s="774"/>
      <c r="R177" s="774">
        <v>171</v>
      </c>
      <c r="S177" s="774"/>
      <c r="T177" s="774"/>
      <c r="U177" s="774"/>
      <c r="V177" s="774"/>
    </row>
    <row r="178" spans="1:22" hidden="1">
      <c r="A178" s="786">
        <v>178</v>
      </c>
      <c r="B178" s="767"/>
      <c r="C178" s="767"/>
      <c r="D178" s="767"/>
      <c r="E178" s="767" t="s">
        <v>210</v>
      </c>
      <c r="F178" s="806" t="s">
        <v>1396</v>
      </c>
      <c r="G178" s="778"/>
      <c r="H178" s="788">
        <v>9229248.0952149648</v>
      </c>
      <c r="I178" s="788">
        <v>4118470.566051132</v>
      </c>
      <c r="J178" s="788">
        <v>1225021.0723689159</v>
      </c>
      <c r="K178" s="788">
        <v>1961326.5882700249</v>
      </c>
      <c r="L178" s="788">
        <v>794177.74074810359</v>
      </c>
      <c r="M178" s="788">
        <v>779221.89083533024</v>
      </c>
      <c r="N178" s="788">
        <v>340294.91445033095</v>
      </c>
      <c r="O178" s="788">
        <v>10735.322491128787</v>
      </c>
      <c r="P178" s="772">
        <v>0</v>
      </c>
      <c r="Q178" s="774"/>
      <c r="R178" s="774">
        <v>172</v>
      </c>
      <c r="S178" s="774"/>
      <c r="T178" s="774"/>
      <c r="U178" s="774"/>
      <c r="V178" s="774"/>
    </row>
    <row r="179" spans="1:22" hidden="1">
      <c r="A179" s="786">
        <v>179</v>
      </c>
      <c r="B179" s="767"/>
      <c r="C179" s="767"/>
      <c r="D179" s="767"/>
      <c r="E179" s="767" t="s">
        <v>694</v>
      </c>
      <c r="F179" s="806" t="s">
        <v>1396</v>
      </c>
      <c r="G179" s="778"/>
      <c r="H179" s="788">
        <v>0</v>
      </c>
      <c r="I179" s="788">
        <v>0</v>
      </c>
      <c r="J179" s="788">
        <v>0</v>
      </c>
      <c r="K179" s="788">
        <v>0</v>
      </c>
      <c r="L179" s="788">
        <v>0</v>
      </c>
      <c r="M179" s="788">
        <v>0</v>
      </c>
      <c r="N179" s="788">
        <v>0</v>
      </c>
      <c r="O179" s="788">
        <v>0</v>
      </c>
      <c r="P179" s="772">
        <v>0</v>
      </c>
      <c r="Q179" s="774"/>
      <c r="R179" s="774">
        <v>173</v>
      </c>
      <c r="S179" s="774"/>
      <c r="T179" s="774"/>
      <c r="U179" s="774"/>
      <c r="V179" s="774"/>
    </row>
    <row r="180" spans="1:22" hidden="1">
      <c r="A180" s="786">
        <v>180</v>
      </c>
      <c r="B180" s="767"/>
      <c r="C180" s="767"/>
      <c r="D180" s="767"/>
      <c r="E180" s="767"/>
      <c r="F180" s="806"/>
      <c r="G180" s="778"/>
      <c r="H180" s="788">
        <v>12315895.880952675</v>
      </c>
      <c r="I180" s="788">
        <v>5589575.3285338134</v>
      </c>
      <c r="J180" s="788">
        <v>1638245.1251233618</v>
      </c>
      <c r="K180" s="788">
        <v>2561093.4107550727</v>
      </c>
      <c r="L180" s="788">
        <v>1036287.9548276626</v>
      </c>
      <c r="M180" s="788">
        <v>1016662.3165623791</v>
      </c>
      <c r="N180" s="788">
        <v>454269.4127740293</v>
      </c>
      <c r="O180" s="788">
        <v>19762.332376354552</v>
      </c>
      <c r="P180" s="772">
        <v>0</v>
      </c>
      <c r="Q180" s="774"/>
      <c r="R180" s="774"/>
      <c r="S180" s="774"/>
      <c r="T180" s="774"/>
      <c r="U180" s="774"/>
      <c r="V180" s="774"/>
    </row>
    <row r="181" spans="1:22" hidden="1">
      <c r="A181" s="786">
        <v>181</v>
      </c>
      <c r="B181" s="767"/>
      <c r="C181" s="767"/>
      <c r="D181" s="767"/>
      <c r="E181" s="767"/>
      <c r="F181" s="806"/>
      <c r="G181" s="778"/>
      <c r="H181" s="810"/>
      <c r="I181" s="810"/>
      <c r="J181" s="810"/>
      <c r="K181" s="810"/>
      <c r="L181" s="810"/>
      <c r="M181" s="810"/>
      <c r="N181" s="810"/>
      <c r="O181" s="810"/>
      <c r="P181" s="772">
        <v>0</v>
      </c>
      <c r="R181" s="774"/>
    </row>
    <row r="182" spans="1:22" hidden="1">
      <c r="A182" s="786">
        <v>182</v>
      </c>
      <c r="B182" s="767"/>
      <c r="C182" s="767" t="s">
        <v>695</v>
      </c>
      <c r="D182" s="767"/>
      <c r="E182" s="767"/>
      <c r="F182" s="806"/>
      <c r="G182" s="778"/>
      <c r="H182" s="788">
        <v>13849210.0150091</v>
      </c>
      <c r="I182" s="788">
        <v>6455001.5898185512</v>
      </c>
      <c r="J182" s="788">
        <v>1798725.7478571841</v>
      </c>
      <c r="K182" s="788">
        <v>2827763.9525334784</v>
      </c>
      <c r="L182" s="788">
        <v>1137209.7901030881</v>
      </c>
      <c r="M182" s="788">
        <v>1107860.275159206</v>
      </c>
      <c r="N182" s="788">
        <v>500336.34687361831</v>
      </c>
      <c r="O182" s="788">
        <v>22312.312663975405</v>
      </c>
      <c r="P182" s="772">
        <v>0</v>
      </c>
      <c r="Q182" s="774"/>
      <c r="R182" s="774"/>
      <c r="S182" s="774"/>
      <c r="T182" s="774"/>
      <c r="U182" s="774"/>
      <c r="V182" s="774"/>
    </row>
    <row r="183" spans="1:22" hidden="1">
      <c r="A183" s="786">
        <v>183</v>
      </c>
      <c r="B183" s="767"/>
      <c r="F183" s="806"/>
      <c r="H183" s="813"/>
      <c r="I183" s="813"/>
      <c r="J183" s="813"/>
      <c r="K183" s="813"/>
      <c r="L183" s="813"/>
      <c r="M183" s="813"/>
      <c r="N183" s="813"/>
      <c r="O183" s="813"/>
      <c r="P183" s="772">
        <v>0</v>
      </c>
      <c r="R183" s="774"/>
    </row>
    <row r="184" spans="1:22" ht="13.5" hidden="1" thickBot="1">
      <c r="A184" s="786">
        <v>184</v>
      </c>
      <c r="B184" s="767"/>
      <c r="C184" s="767" t="s">
        <v>696</v>
      </c>
      <c r="D184" s="767"/>
      <c r="E184" s="767"/>
      <c r="F184" s="806"/>
      <c r="G184" s="778"/>
      <c r="H184" s="814">
        <v>382591356.44323879</v>
      </c>
      <c r="I184" s="814">
        <v>163537832.47862095</v>
      </c>
      <c r="J184" s="814">
        <v>57175679.305342674</v>
      </c>
      <c r="K184" s="814">
        <v>83491539.997424841</v>
      </c>
      <c r="L184" s="814">
        <v>32052657.495718129</v>
      </c>
      <c r="M184" s="814">
        <v>27770699.798476037</v>
      </c>
      <c r="N184" s="814">
        <v>16676662.981543552</v>
      </c>
      <c r="O184" s="814">
        <v>1886284.3861126152</v>
      </c>
      <c r="P184" s="772">
        <v>0</v>
      </c>
      <c r="Q184" s="774"/>
      <c r="R184" s="774"/>
      <c r="S184" s="774"/>
      <c r="T184" s="774"/>
      <c r="U184" s="774"/>
      <c r="V184" s="774"/>
    </row>
    <row r="185" spans="1:22" ht="13.5" hidden="1" thickTop="1">
      <c r="A185" s="786">
        <v>185</v>
      </c>
      <c r="B185" s="767"/>
      <c r="C185" s="767"/>
      <c r="D185" s="767"/>
      <c r="E185" s="767"/>
      <c r="F185" s="806"/>
      <c r="G185" s="778"/>
      <c r="H185" s="815"/>
      <c r="I185" s="815"/>
      <c r="J185" s="815"/>
      <c r="K185" s="815"/>
      <c r="L185" s="815"/>
      <c r="M185" s="815"/>
      <c r="N185" s="815"/>
      <c r="O185" s="815"/>
      <c r="P185" s="772"/>
      <c r="R185" s="774"/>
    </row>
    <row r="186" spans="1:22" hidden="1">
      <c r="A186" s="786">
        <v>186</v>
      </c>
      <c r="B186" s="767"/>
      <c r="C186" s="767" t="s">
        <v>697</v>
      </c>
      <c r="D186" s="767"/>
      <c r="E186" s="767"/>
      <c r="F186" s="806"/>
      <c r="G186" s="778"/>
      <c r="H186" s="812"/>
      <c r="I186" s="812"/>
      <c r="J186" s="812"/>
      <c r="K186" s="812"/>
      <c r="L186" s="812"/>
      <c r="M186" s="812"/>
      <c r="N186" s="812"/>
      <c r="O186" s="812"/>
      <c r="P186" s="772"/>
      <c r="R186" s="774"/>
    </row>
    <row r="187" spans="1:22" hidden="1">
      <c r="A187" s="786">
        <v>187</v>
      </c>
      <c r="B187" s="767"/>
      <c r="C187" s="767" t="s">
        <v>698</v>
      </c>
      <c r="D187" s="767" t="s">
        <v>699</v>
      </c>
      <c r="E187" s="767"/>
      <c r="F187" s="806" t="s">
        <v>1396</v>
      </c>
      <c r="G187" s="778"/>
      <c r="H187" s="788">
        <v>0</v>
      </c>
      <c r="I187" s="788">
        <v>0</v>
      </c>
      <c r="J187" s="788">
        <v>0</v>
      </c>
      <c r="K187" s="788">
        <v>0</v>
      </c>
      <c r="L187" s="788">
        <v>0</v>
      </c>
      <c r="M187" s="788">
        <v>0</v>
      </c>
      <c r="N187" s="788">
        <v>0</v>
      </c>
      <c r="O187" s="788">
        <v>0</v>
      </c>
      <c r="P187" s="772">
        <v>0</v>
      </c>
      <c r="Q187" s="774"/>
      <c r="R187" s="774">
        <v>187</v>
      </c>
      <c r="S187" s="774"/>
      <c r="T187" s="774"/>
      <c r="U187" s="774"/>
      <c r="V187" s="774"/>
    </row>
    <row r="188" spans="1:22" hidden="1">
      <c r="A188" s="786">
        <v>188</v>
      </c>
      <c r="B188" s="767"/>
      <c r="C188" s="767" t="s">
        <v>700</v>
      </c>
      <c r="D188" s="767" t="s">
        <v>701</v>
      </c>
      <c r="E188" s="767"/>
      <c r="F188" s="806" t="s">
        <v>1396</v>
      </c>
      <c r="G188" s="778"/>
      <c r="H188" s="788">
        <v>0</v>
      </c>
      <c r="I188" s="788">
        <v>0</v>
      </c>
      <c r="J188" s="788">
        <v>0</v>
      </c>
      <c r="K188" s="788">
        <v>0</v>
      </c>
      <c r="L188" s="788">
        <v>0</v>
      </c>
      <c r="M188" s="788">
        <v>0</v>
      </c>
      <c r="N188" s="788">
        <v>0</v>
      </c>
      <c r="O188" s="788">
        <v>0</v>
      </c>
      <c r="P188" s="772">
        <v>0</v>
      </c>
      <c r="Q188" s="774"/>
      <c r="R188" s="774">
        <v>192</v>
      </c>
      <c r="S188" s="774"/>
      <c r="T188" s="774"/>
      <c r="U188" s="774"/>
      <c r="V188" s="774"/>
    </row>
    <row r="189" spans="1:22" hidden="1">
      <c r="A189" s="786">
        <v>189</v>
      </c>
      <c r="B189" s="767"/>
      <c r="C189" s="767" t="s">
        <v>702</v>
      </c>
      <c r="D189" s="767" t="s">
        <v>703</v>
      </c>
      <c r="E189" s="767"/>
      <c r="F189" s="806" t="s">
        <v>1396</v>
      </c>
      <c r="G189" s="778"/>
      <c r="H189" s="788">
        <v>-12.892102979296286</v>
      </c>
      <c r="I189" s="788">
        <v>-5.7529872538869231</v>
      </c>
      <c r="J189" s="788">
        <v>-1.7112009184124315</v>
      </c>
      <c r="K189" s="788">
        <v>-2.7397274502912863</v>
      </c>
      <c r="L189" s="788">
        <v>-1.1093667774407081</v>
      </c>
      <c r="M189" s="788">
        <v>-1.0884753293802385</v>
      </c>
      <c r="N189" s="788">
        <v>-0.47534934971561221</v>
      </c>
      <c r="O189" s="788">
        <v>-1.4995900169087854E-2</v>
      </c>
      <c r="P189" s="772">
        <v>0</v>
      </c>
      <c r="Q189" s="774"/>
      <c r="R189" s="774">
        <v>194</v>
      </c>
      <c r="S189" s="774"/>
      <c r="T189" s="774"/>
      <c r="U189" s="774"/>
      <c r="V189" s="774"/>
    </row>
    <row r="190" spans="1:22" hidden="1">
      <c r="A190" s="786">
        <v>190</v>
      </c>
      <c r="B190" s="767"/>
      <c r="C190" s="816">
        <v>41181</v>
      </c>
      <c r="D190" s="767" t="s">
        <v>704</v>
      </c>
      <c r="E190" s="767"/>
      <c r="F190" s="806" t="s">
        <v>1396</v>
      </c>
      <c r="G190" s="778"/>
      <c r="H190" s="788">
        <v>0</v>
      </c>
      <c r="I190" s="788">
        <v>0</v>
      </c>
      <c r="J190" s="788">
        <v>0</v>
      </c>
      <c r="K190" s="788">
        <v>0</v>
      </c>
      <c r="L190" s="788">
        <v>0</v>
      </c>
      <c r="M190" s="788">
        <v>0</v>
      </c>
      <c r="N190" s="788">
        <v>0</v>
      </c>
      <c r="O190" s="788">
        <v>0</v>
      </c>
      <c r="P190" s="772">
        <v>0</v>
      </c>
      <c r="Q190" s="774"/>
      <c r="R190" s="774">
        <v>199</v>
      </c>
      <c r="S190" s="774"/>
      <c r="T190" s="774"/>
      <c r="U190" s="774"/>
      <c r="V190" s="774"/>
    </row>
    <row r="191" spans="1:22" hidden="1">
      <c r="A191" s="786">
        <v>191</v>
      </c>
      <c r="B191" s="767"/>
      <c r="C191" s="767" t="s">
        <v>705</v>
      </c>
      <c r="D191" s="767" t="s">
        <v>706</v>
      </c>
      <c r="E191" s="767"/>
      <c r="F191" s="806" t="s">
        <v>1396</v>
      </c>
      <c r="G191" s="778"/>
      <c r="H191" s="788">
        <v>0</v>
      </c>
      <c r="I191" s="788">
        <v>0</v>
      </c>
      <c r="J191" s="788">
        <v>0</v>
      </c>
      <c r="K191" s="788">
        <v>0</v>
      </c>
      <c r="L191" s="788">
        <v>0</v>
      </c>
      <c r="M191" s="788">
        <v>0</v>
      </c>
      <c r="N191" s="788">
        <v>0</v>
      </c>
      <c r="O191" s="788">
        <v>0</v>
      </c>
      <c r="P191" s="772">
        <v>0</v>
      </c>
      <c r="Q191" s="774"/>
      <c r="R191" s="774">
        <v>203</v>
      </c>
      <c r="S191" s="774"/>
      <c r="T191" s="774"/>
      <c r="U191" s="774"/>
      <c r="V191" s="774"/>
    </row>
    <row r="192" spans="1:22" hidden="1">
      <c r="A192" s="786">
        <v>192</v>
      </c>
      <c r="B192" s="767"/>
      <c r="C192" s="767" t="s">
        <v>707</v>
      </c>
      <c r="D192" s="767" t="s">
        <v>708</v>
      </c>
      <c r="E192" s="767"/>
      <c r="F192" s="806" t="s">
        <v>1396</v>
      </c>
      <c r="G192" s="778"/>
      <c r="H192" s="788">
        <v>5028.3936672720774</v>
      </c>
      <c r="I192" s="788">
        <v>2243.8763266007541</v>
      </c>
      <c r="J192" s="788">
        <v>667.43120772410361</v>
      </c>
      <c r="K192" s="788">
        <v>1068.5943312134607</v>
      </c>
      <c r="L192" s="788">
        <v>432.69378838528189</v>
      </c>
      <c r="M192" s="788">
        <v>424.54535633380726</v>
      </c>
      <c r="N192" s="788">
        <v>185.4037051744335</v>
      </c>
      <c r="O192" s="788">
        <v>5.8489518402374445</v>
      </c>
      <c r="P192" s="772">
        <v>0</v>
      </c>
      <c r="Q192" s="774"/>
      <c r="R192" s="774">
        <v>212</v>
      </c>
      <c r="S192" s="774"/>
      <c r="T192" s="774"/>
      <c r="U192" s="774"/>
      <c r="V192" s="774"/>
    </row>
    <row r="193" spans="1:22" hidden="1">
      <c r="A193" s="786">
        <v>193</v>
      </c>
      <c r="B193" s="767"/>
      <c r="F193" s="806"/>
      <c r="H193" s="813"/>
      <c r="I193" s="813"/>
      <c r="J193" s="813"/>
      <c r="K193" s="813"/>
      <c r="L193" s="813"/>
      <c r="M193" s="813"/>
      <c r="N193" s="813"/>
      <c r="O193" s="813"/>
      <c r="P193" s="772"/>
      <c r="R193" s="774"/>
    </row>
    <row r="194" spans="1:22" hidden="1">
      <c r="A194" s="786">
        <v>194</v>
      </c>
      <c r="B194" s="767"/>
      <c r="C194" s="767" t="s">
        <v>709</v>
      </c>
      <c r="F194" s="806"/>
      <c r="H194" s="788">
        <v>5015.5015642927829</v>
      </c>
      <c r="I194" s="788">
        <v>2238.1233393468669</v>
      </c>
      <c r="J194" s="788">
        <v>665.72000680569113</v>
      </c>
      <c r="K194" s="788">
        <v>1065.8546037631695</v>
      </c>
      <c r="L194" s="788">
        <v>431.58442160784125</v>
      </c>
      <c r="M194" s="788">
        <v>423.45688100442703</v>
      </c>
      <c r="N194" s="788">
        <v>184.9283558247179</v>
      </c>
      <c r="O194" s="788">
        <v>5.8339559400683569</v>
      </c>
      <c r="P194" s="772">
        <v>0</v>
      </c>
      <c r="Q194" s="774"/>
      <c r="R194" s="774"/>
      <c r="S194" s="774"/>
      <c r="T194" s="774"/>
      <c r="U194" s="774"/>
      <c r="V194" s="774"/>
    </row>
    <row r="195" spans="1:22" hidden="1">
      <c r="A195" s="786">
        <v>195</v>
      </c>
      <c r="B195" s="767"/>
      <c r="F195" s="806"/>
      <c r="H195" s="813"/>
      <c r="I195" s="813"/>
      <c r="J195" s="813"/>
      <c r="K195" s="813"/>
      <c r="L195" s="813"/>
      <c r="M195" s="813"/>
      <c r="N195" s="813"/>
      <c r="O195" s="813"/>
      <c r="P195" s="772"/>
      <c r="R195" s="774"/>
    </row>
    <row r="196" spans="1:22" hidden="1">
      <c r="A196" s="786">
        <v>196</v>
      </c>
      <c r="B196" s="767"/>
      <c r="C196" s="767" t="s">
        <v>710</v>
      </c>
      <c r="F196" s="806"/>
      <c r="G196" s="778"/>
      <c r="H196" s="788"/>
      <c r="I196" s="788"/>
      <c r="J196" s="788"/>
      <c r="K196" s="788"/>
      <c r="L196" s="788"/>
      <c r="M196" s="788"/>
      <c r="N196" s="788"/>
      <c r="O196" s="788"/>
      <c r="P196" s="772"/>
      <c r="R196" s="774"/>
    </row>
    <row r="197" spans="1:22" hidden="1">
      <c r="A197" s="786">
        <v>197</v>
      </c>
      <c r="B197" s="767"/>
      <c r="C197" s="767" t="s">
        <v>711</v>
      </c>
      <c r="D197" s="767" t="s">
        <v>712</v>
      </c>
      <c r="E197" s="767"/>
      <c r="F197" s="806" t="s">
        <v>638</v>
      </c>
      <c r="G197" s="778"/>
      <c r="H197" s="788">
        <v>60419.600000000006</v>
      </c>
      <c r="I197" s="788">
        <v>46377.172260757456</v>
      </c>
      <c r="J197" s="788">
        <v>4313.822913932916</v>
      </c>
      <c r="K197" s="788">
        <v>5376.2767809849483</v>
      </c>
      <c r="L197" s="788">
        <v>2059.7018782006435</v>
      </c>
      <c r="M197" s="788">
        <v>1774.6672201240817</v>
      </c>
      <c r="N197" s="788">
        <v>517.95894599995688</v>
      </c>
      <c r="O197" s="788">
        <v>0</v>
      </c>
      <c r="P197" s="772">
        <v>0</v>
      </c>
      <c r="Q197" s="774"/>
      <c r="R197" s="774">
        <v>218</v>
      </c>
      <c r="S197" s="774"/>
      <c r="T197" s="774"/>
      <c r="U197" s="774"/>
      <c r="V197" s="774"/>
    </row>
    <row r="198" spans="1:22" hidden="1">
      <c r="A198" s="786">
        <v>198</v>
      </c>
      <c r="B198" s="767"/>
      <c r="F198" s="806"/>
      <c r="G198" s="778"/>
      <c r="H198" s="788"/>
      <c r="I198" s="788"/>
      <c r="J198" s="788"/>
      <c r="K198" s="788"/>
      <c r="L198" s="788"/>
      <c r="M198" s="788"/>
      <c r="N198" s="788"/>
      <c r="O198" s="788"/>
      <c r="P198" s="772"/>
      <c r="R198" s="774"/>
    </row>
    <row r="199" spans="1:22" hidden="1">
      <c r="A199" s="786">
        <v>199</v>
      </c>
      <c r="B199" s="767"/>
      <c r="C199" s="767" t="s">
        <v>713</v>
      </c>
      <c r="F199" s="806"/>
      <c r="G199" s="778"/>
      <c r="H199" s="788">
        <v>65435.101564292774</v>
      </c>
      <c r="I199" s="788">
        <v>48615.29560010432</v>
      </c>
      <c r="J199" s="788">
        <v>4979.5429207386069</v>
      </c>
      <c r="K199" s="788">
        <v>6442.1313847481179</v>
      </c>
      <c r="L199" s="788">
        <v>2491.2862998084847</v>
      </c>
      <c r="M199" s="788">
        <v>2198.1241011285088</v>
      </c>
      <c r="N199" s="788">
        <v>702.88730182467475</v>
      </c>
      <c r="O199" s="788">
        <v>5.8339559400683569</v>
      </c>
      <c r="P199" s="772">
        <v>0</v>
      </c>
      <c r="Q199" s="774"/>
      <c r="R199" s="774"/>
      <c r="S199" s="774"/>
      <c r="T199" s="774"/>
      <c r="U199" s="774"/>
      <c r="V199" s="774"/>
    </row>
    <row r="200" spans="1:22" hidden="1">
      <c r="A200" s="786">
        <v>200</v>
      </c>
      <c r="B200" s="767"/>
      <c r="C200" s="767"/>
      <c r="D200" s="767"/>
      <c r="E200" s="767"/>
      <c r="F200" s="806"/>
      <c r="H200" s="817"/>
      <c r="I200" s="818"/>
      <c r="J200" s="817"/>
      <c r="K200" s="817"/>
      <c r="L200" s="819"/>
      <c r="M200" s="817"/>
      <c r="N200" s="817"/>
      <c r="O200" s="817"/>
      <c r="P200" s="772"/>
      <c r="R200" s="774"/>
    </row>
    <row r="201" spans="1:22" hidden="1">
      <c r="A201" s="786">
        <v>201</v>
      </c>
      <c r="B201" s="767"/>
      <c r="C201" s="781" t="s">
        <v>714</v>
      </c>
      <c r="D201" s="767"/>
      <c r="E201" s="767"/>
      <c r="F201" s="806"/>
      <c r="H201" s="817"/>
      <c r="I201" s="817"/>
      <c r="J201" s="817"/>
      <c r="K201" s="817"/>
      <c r="L201" s="819"/>
      <c r="M201" s="817"/>
      <c r="N201" s="817"/>
      <c r="O201" s="817"/>
      <c r="P201" s="772"/>
      <c r="R201" s="774"/>
    </row>
    <row r="202" spans="1:22" hidden="1">
      <c r="A202" s="786">
        <v>202</v>
      </c>
      <c r="B202" s="767"/>
      <c r="C202" s="767"/>
      <c r="D202" s="767"/>
      <c r="E202" s="767"/>
      <c r="F202" s="806"/>
      <c r="G202" s="778"/>
      <c r="H202" s="818"/>
      <c r="I202" s="817" t="s">
        <v>715</v>
      </c>
      <c r="J202" s="818"/>
      <c r="K202" s="818"/>
      <c r="L202" s="818"/>
      <c r="M202" s="818"/>
      <c r="N202" s="818"/>
      <c r="O202" s="818"/>
      <c r="P202" s="772"/>
      <c r="R202" s="774"/>
    </row>
    <row r="203" spans="1:22" hidden="1">
      <c r="A203" s="786">
        <v>203</v>
      </c>
      <c r="B203" s="767"/>
      <c r="C203" s="767"/>
      <c r="D203" s="767"/>
      <c r="E203" s="767"/>
      <c r="F203" s="806"/>
      <c r="G203" s="778"/>
      <c r="H203" s="810"/>
      <c r="I203" s="810"/>
      <c r="J203" s="810"/>
      <c r="K203" s="810"/>
      <c r="L203" s="810"/>
      <c r="M203" s="810"/>
      <c r="N203" s="810"/>
      <c r="O203" s="810"/>
      <c r="P203" s="772"/>
      <c r="R203" s="774"/>
    </row>
    <row r="204" spans="1:22" hidden="1">
      <c r="A204" s="786">
        <v>204</v>
      </c>
      <c r="B204" s="767"/>
      <c r="C204" s="777" t="s">
        <v>575</v>
      </c>
      <c r="D204" s="767"/>
      <c r="E204" s="777" t="s">
        <v>576</v>
      </c>
      <c r="F204" s="806" t="s">
        <v>577</v>
      </c>
      <c r="G204" s="778"/>
      <c r="H204" s="777" t="s">
        <v>578</v>
      </c>
      <c r="I204" s="777" t="s">
        <v>579</v>
      </c>
      <c r="J204" s="777" t="s">
        <v>580</v>
      </c>
      <c r="K204" s="777" t="s">
        <v>581</v>
      </c>
      <c r="L204" s="777" t="s">
        <v>582</v>
      </c>
      <c r="M204" s="777" t="s">
        <v>583</v>
      </c>
      <c r="N204" s="777" t="s">
        <v>584</v>
      </c>
      <c r="O204" s="777" t="s">
        <v>585</v>
      </c>
      <c r="P204" s="772"/>
      <c r="R204" s="774"/>
    </row>
    <row r="205" spans="1:22" ht="38.25" hidden="1">
      <c r="A205" s="786">
        <v>205</v>
      </c>
      <c r="B205" s="767"/>
      <c r="C205" s="797" t="s">
        <v>656</v>
      </c>
      <c r="D205" s="781"/>
      <c r="E205" s="782" t="s">
        <v>587</v>
      </c>
      <c r="F205" s="807" t="s">
        <v>1391</v>
      </c>
      <c r="G205" s="783"/>
      <c r="H205" s="784" t="s">
        <v>588</v>
      </c>
      <c r="I205" s="784" t="s">
        <v>589</v>
      </c>
      <c r="J205" s="784" t="s">
        <v>590</v>
      </c>
      <c r="K205" s="784" t="s">
        <v>591</v>
      </c>
      <c r="L205" s="784" t="s">
        <v>592</v>
      </c>
      <c r="M205" s="784" t="s">
        <v>593</v>
      </c>
      <c r="N205" s="784" t="s">
        <v>594</v>
      </c>
      <c r="O205" s="784" t="s">
        <v>595</v>
      </c>
      <c r="P205" s="772"/>
      <c r="R205" s="774"/>
    </row>
    <row r="206" spans="1:22" hidden="1">
      <c r="A206" s="786">
        <v>206</v>
      </c>
      <c r="B206" s="767"/>
      <c r="C206" s="767" t="s">
        <v>716</v>
      </c>
      <c r="D206" s="767" t="s">
        <v>717</v>
      </c>
      <c r="E206" s="767"/>
      <c r="F206" s="806" t="s">
        <v>1392</v>
      </c>
      <c r="G206" s="778"/>
      <c r="H206" s="788">
        <v>38325.703398732665</v>
      </c>
      <c r="I206" s="788">
        <v>16029.714928427133</v>
      </c>
      <c r="J206" s="788">
        <v>5121.7170880762696</v>
      </c>
      <c r="K206" s="788">
        <v>8691.6451476709644</v>
      </c>
      <c r="L206" s="788">
        <v>3543.1911184583423</v>
      </c>
      <c r="M206" s="788">
        <v>3350.8937680507606</v>
      </c>
      <c r="N206" s="788">
        <v>1526.8652602039128</v>
      </c>
      <c r="O206" s="788">
        <v>61.676087845285771</v>
      </c>
      <c r="P206" s="772">
        <v>0</v>
      </c>
      <c r="Q206" s="774"/>
      <c r="R206" s="774">
        <v>226</v>
      </c>
      <c r="S206" s="774"/>
      <c r="T206" s="774"/>
      <c r="U206" s="774"/>
      <c r="V206" s="774"/>
    </row>
    <row r="207" spans="1:22" hidden="1">
      <c r="A207" s="786"/>
      <c r="B207" s="767"/>
      <c r="C207" s="767"/>
      <c r="D207" s="767"/>
      <c r="E207" s="767" t="s">
        <v>718</v>
      </c>
      <c r="F207" s="806" t="s">
        <v>1392</v>
      </c>
      <c r="G207" s="778"/>
      <c r="H207" s="788"/>
      <c r="I207" s="788"/>
      <c r="J207" s="788"/>
      <c r="K207" s="788"/>
      <c r="L207" s="788"/>
      <c r="M207" s="788"/>
      <c r="N207" s="788"/>
      <c r="O207" s="788"/>
      <c r="P207" s="772"/>
      <c r="Q207" s="774"/>
      <c r="R207" s="774">
        <v>227</v>
      </c>
      <c r="S207" s="774"/>
      <c r="T207" s="774"/>
      <c r="U207" s="774"/>
      <c r="V207" s="774"/>
    </row>
    <row r="208" spans="1:22" hidden="1">
      <c r="A208" s="786">
        <v>208</v>
      </c>
      <c r="B208" s="767"/>
      <c r="C208" s="767"/>
      <c r="D208" s="767"/>
      <c r="E208" s="820" t="s">
        <v>719</v>
      </c>
      <c r="F208" s="806" t="s">
        <v>1392</v>
      </c>
      <c r="G208" s="778"/>
      <c r="H208" s="788">
        <v>5168.3697811154125</v>
      </c>
      <c r="I208" s="788">
        <v>2161.6692425459032</v>
      </c>
      <c r="J208" s="788">
        <v>690.68341812380527</v>
      </c>
      <c r="K208" s="788">
        <v>1172.102065865449</v>
      </c>
      <c r="L208" s="788">
        <v>477.81306750816645</v>
      </c>
      <c r="M208" s="788">
        <v>451.88102382210144</v>
      </c>
      <c r="N208" s="788">
        <v>205.90370354256234</v>
      </c>
      <c r="O208" s="788">
        <v>8.317259707424844</v>
      </c>
      <c r="P208" s="772">
        <v>0</v>
      </c>
      <c r="Q208" s="774"/>
      <c r="R208" s="774">
        <v>228</v>
      </c>
      <c r="S208" s="774"/>
      <c r="T208" s="774"/>
      <c r="U208" s="774"/>
      <c r="V208" s="774"/>
    </row>
    <row r="209" spans="1:22" hidden="1">
      <c r="A209" s="786">
        <v>209</v>
      </c>
      <c r="B209" s="767"/>
      <c r="C209" s="767"/>
      <c r="D209" s="767"/>
      <c r="E209" s="820" t="s">
        <v>720</v>
      </c>
      <c r="F209" s="806"/>
      <c r="G209" s="778"/>
      <c r="H209" s="788">
        <v>3095551.1545245629</v>
      </c>
      <c r="I209" s="788">
        <v>1294713.4208379085</v>
      </c>
      <c r="J209" s="788">
        <v>413678.96318028035</v>
      </c>
      <c r="K209" s="788">
        <v>702020.57067738927</v>
      </c>
      <c r="L209" s="788">
        <v>286182.07586002408</v>
      </c>
      <c r="M209" s="788">
        <v>270650.29869019176</v>
      </c>
      <c r="N209" s="788">
        <v>123324.27326523539</v>
      </c>
      <c r="O209" s="788">
        <v>4981.5520135331935</v>
      </c>
      <c r="P209" s="772">
        <v>0</v>
      </c>
      <c r="Q209" s="774"/>
      <c r="R209" s="774"/>
      <c r="S209" s="774"/>
      <c r="T209" s="774"/>
      <c r="U209" s="774"/>
      <c r="V209" s="774"/>
    </row>
    <row r="210" spans="1:22" hidden="1">
      <c r="A210" s="786">
        <v>210</v>
      </c>
      <c r="B210" s="767"/>
      <c r="C210" s="767"/>
      <c r="D210" s="767"/>
      <c r="E210" s="767"/>
      <c r="F210" s="806"/>
      <c r="G210" s="778"/>
      <c r="H210" s="788"/>
      <c r="I210" s="788"/>
      <c r="J210" s="788"/>
      <c r="K210" s="788"/>
      <c r="L210" s="788"/>
      <c r="M210" s="788"/>
      <c r="N210" s="788"/>
      <c r="O210" s="788"/>
      <c r="P210" s="772"/>
      <c r="R210" s="774"/>
    </row>
    <row r="211" spans="1:22" hidden="1">
      <c r="A211" s="786">
        <v>211</v>
      </c>
      <c r="B211" s="767"/>
      <c r="C211" s="767" t="s">
        <v>721</v>
      </c>
      <c r="D211" s="767" t="s">
        <v>722</v>
      </c>
      <c r="E211" s="767"/>
      <c r="F211" s="806" t="s">
        <v>1392</v>
      </c>
      <c r="G211" s="778"/>
      <c r="H211" s="788">
        <v>-13377.611575706778</v>
      </c>
      <c r="I211" s="788">
        <v>-5075.1699818335546</v>
      </c>
      <c r="J211" s="788">
        <v>-1846.5021062174046</v>
      </c>
      <c r="K211" s="788">
        <v>-3163.2407238223877</v>
      </c>
      <c r="L211" s="788">
        <v>-1335.0420415627691</v>
      </c>
      <c r="M211" s="788">
        <v>-1367.5360431166957</v>
      </c>
      <c r="N211" s="788">
        <v>-548.5385298198803</v>
      </c>
      <c r="O211" s="788">
        <v>-41.582149334088307</v>
      </c>
      <c r="P211" s="772">
        <v>0</v>
      </c>
      <c r="Q211" s="774"/>
      <c r="R211" s="774">
        <v>232</v>
      </c>
      <c r="S211" s="774"/>
      <c r="T211" s="774"/>
      <c r="U211" s="774"/>
      <c r="V211" s="774"/>
    </row>
    <row r="212" spans="1:22" hidden="1">
      <c r="A212" s="786">
        <v>212</v>
      </c>
      <c r="B212" s="767"/>
      <c r="C212" s="767"/>
      <c r="D212" s="767"/>
      <c r="E212" s="820" t="s">
        <v>719</v>
      </c>
      <c r="F212" s="806" t="s">
        <v>1392</v>
      </c>
      <c r="G212" s="778"/>
      <c r="H212" s="788">
        <v>218323.3760474252</v>
      </c>
      <c r="I212" s="788">
        <v>82827.060583862927</v>
      </c>
      <c r="J212" s="788">
        <v>30135.018603779899</v>
      </c>
      <c r="K212" s="788">
        <v>51624.267169613777</v>
      </c>
      <c r="L212" s="788">
        <v>21787.96147800632</v>
      </c>
      <c r="M212" s="788">
        <v>22318.265417569517</v>
      </c>
      <c r="N212" s="788">
        <v>8952.1797702547119</v>
      </c>
      <c r="O212" s="788">
        <v>678.62302433808827</v>
      </c>
      <c r="P212" s="772">
        <v>0</v>
      </c>
      <c r="Q212" s="774"/>
      <c r="R212" s="774">
        <v>233</v>
      </c>
      <c r="S212" s="774"/>
      <c r="T212" s="774"/>
      <c r="U212" s="774"/>
      <c r="V212" s="774"/>
    </row>
    <row r="213" spans="1:22" hidden="1">
      <c r="A213" s="786">
        <v>213</v>
      </c>
      <c r="B213" s="767"/>
      <c r="C213" s="767"/>
      <c r="D213" s="767"/>
      <c r="E213" s="820" t="s">
        <v>723</v>
      </c>
      <c r="F213" s="806" t="s">
        <v>1392</v>
      </c>
      <c r="G213" s="778"/>
      <c r="H213" s="788">
        <v>661745.42520031659</v>
      </c>
      <c r="I213" s="788">
        <v>251051.57961763372</v>
      </c>
      <c r="J213" s="788">
        <v>91340.24519227822</v>
      </c>
      <c r="K213" s="788">
        <v>156474.87340700504</v>
      </c>
      <c r="L213" s="788">
        <v>66040.037001715507</v>
      </c>
      <c r="M213" s="788">
        <v>67647.405907074601</v>
      </c>
      <c r="N213" s="788">
        <v>27134.355082755887</v>
      </c>
      <c r="O213" s="788">
        <v>2056.9289918537297</v>
      </c>
      <c r="P213" s="772">
        <v>0</v>
      </c>
      <c r="Q213" s="774"/>
      <c r="R213" s="774">
        <v>234</v>
      </c>
      <c r="S213" s="774"/>
      <c r="T213" s="774"/>
      <c r="U213" s="774"/>
      <c r="V213" s="774"/>
    </row>
    <row r="214" spans="1:22" hidden="1">
      <c r="A214" s="786">
        <v>214</v>
      </c>
      <c r="B214" s="767"/>
      <c r="C214" s="767"/>
      <c r="D214" s="767"/>
      <c r="E214" s="820" t="s">
        <v>718</v>
      </c>
      <c r="F214" s="806" t="s">
        <v>1392</v>
      </c>
      <c r="G214" s="778"/>
      <c r="H214" s="788">
        <v>2549407.9127013339</v>
      </c>
      <c r="I214" s="788">
        <v>967188.9811397189</v>
      </c>
      <c r="J214" s="788">
        <v>351892.94096107135</v>
      </c>
      <c r="K214" s="788">
        <v>602827.40947094851</v>
      </c>
      <c r="L214" s="788">
        <v>254422.60191870207</v>
      </c>
      <c r="M214" s="788">
        <v>260615.07239133451</v>
      </c>
      <c r="N214" s="788">
        <v>104536.48324517714</v>
      </c>
      <c r="O214" s="788">
        <v>7924.423574381769</v>
      </c>
      <c r="P214" s="772">
        <v>0</v>
      </c>
      <c r="R214" s="774">
        <v>235</v>
      </c>
    </row>
    <row r="215" spans="1:22" hidden="1">
      <c r="A215" s="786">
        <v>215</v>
      </c>
      <c r="B215" s="767"/>
      <c r="C215" s="767"/>
      <c r="D215" s="767"/>
      <c r="E215" s="820" t="s">
        <v>724</v>
      </c>
      <c r="F215" s="806"/>
      <c r="G215" s="778"/>
      <c r="H215" s="788">
        <v>3416099.102373369</v>
      </c>
      <c r="I215" s="788">
        <v>1295992.4513593819</v>
      </c>
      <c r="J215" s="788">
        <v>471521.70265091205</v>
      </c>
      <c r="K215" s="788">
        <v>807763.30932374496</v>
      </c>
      <c r="L215" s="788">
        <v>340915.55835686112</v>
      </c>
      <c r="M215" s="788">
        <v>349213.20767286193</v>
      </c>
      <c r="N215" s="788">
        <v>140074.47956836785</v>
      </c>
      <c r="O215" s="788">
        <v>10618.393441239499</v>
      </c>
      <c r="P215" s="772">
        <v>0</v>
      </c>
      <c r="R215" s="774"/>
    </row>
    <row r="216" spans="1:22" hidden="1">
      <c r="A216" s="786">
        <v>216</v>
      </c>
      <c r="B216" s="767"/>
      <c r="C216" s="767"/>
      <c r="D216" s="767"/>
      <c r="E216" s="820"/>
      <c r="F216" s="806"/>
      <c r="G216" s="778"/>
      <c r="H216" s="788"/>
      <c r="I216" s="788"/>
      <c r="J216" s="788"/>
      <c r="K216" s="788"/>
      <c r="L216" s="788"/>
      <c r="M216" s="788"/>
      <c r="N216" s="788"/>
      <c r="O216" s="788"/>
      <c r="P216" s="772"/>
      <c r="R216" s="774"/>
    </row>
    <row r="217" spans="1:22" hidden="1">
      <c r="A217" s="786">
        <v>217</v>
      </c>
      <c r="B217" s="767"/>
      <c r="C217" s="767" t="s">
        <v>725</v>
      </c>
      <c r="D217" s="767" t="s">
        <v>726</v>
      </c>
      <c r="E217" s="820"/>
      <c r="F217" s="806"/>
      <c r="G217" s="778"/>
      <c r="H217" s="788"/>
      <c r="I217" s="788"/>
      <c r="J217" s="788"/>
      <c r="K217" s="788"/>
      <c r="L217" s="788"/>
      <c r="M217" s="788"/>
      <c r="N217" s="788"/>
      <c r="O217" s="788"/>
      <c r="P217" s="772"/>
      <c r="R217" s="774"/>
    </row>
    <row r="218" spans="1:22" hidden="1">
      <c r="A218" s="786">
        <v>218</v>
      </c>
      <c r="B218" s="767"/>
      <c r="C218" s="767"/>
      <c r="D218" s="767"/>
      <c r="E218" s="820" t="s">
        <v>727</v>
      </c>
      <c r="F218" s="806" t="s">
        <v>1392</v>
      </c>
      <c r="G218" s="778"/>
      <c r="H218" s="788">
        <v>-4714257.427668673</v>
      </c>
      <c r="I218" s="788">
        <v>-1971736.875343242</v>
      </c>
      <c r="J218" s="788">
        <v>-629997.38253152429</v>
      </c>
      <c r="K218" s="788">
        <v>-1069116.7822747163</v>
      </c>
      <c r="L218" s="788">
        <v>-435830.61931211042</v>
      </c>
      <c r="M218" s="788">
        <v>-412177.06224497716</v>
      </c>
      <c r="N218" s="788">
        <v>-187812.23188727119</v>
      </c>
      <c r="O218" s="788">
        <v>-7586.4740748319473</v>
      </c>
      <c r="P218" s="772">
        <v>0</v>
      </c>
      <c r="R218" s="774">
        <v>239</v>
      </c>
    </row>
    <row r="219" spans="1:22" hidden="1">
      <c r="A219" s="786">
        <v>219</v>
      </c>
      <c r="B219" s="767"/>
      <c r="E219" s="820" t="s">
        <v>728</v>
      </c>
      <c r="F219" s="806" t="s">
        <v>1392</v>
      </c>
      <c r="G219" s="778"/>
      <c r="H219" s="788">
        <v>54296795.032486156</v>
      </c>
      <c r="I219" s="788">
        <v>22709619.621143658</v>
      </c>
      <c r="J219" s="788">
        <v>7256039.636179382</v>
      </c>
      <c r="K219" s="788">
        <v>12313628.537181623</v>
      </c>
      <c r="L219" s="788">
        <v>5019710.1386068659</v>
      </c>
      <c r="M219" s="788">
        <v>4747278.6136915041</v>
      </c>
      <c r="N219" s="788">
        <v>2163140.7312476598</v>
      </c>
      <c r="O219" s="788">
        <v>87377.754435469251</v>
      </c>
      <c r="P219" s="772">
        <v>0</v>
      </c>
      <c r="R219" s="774">
        <v>240</v>
      </c>
    </row>
    <row r="220" spans="1:22" hidden="1">
      <c r="A220" s="786">
        <v>220</v>
      </c>
      <c r="B220" s="767"/>
      <c r="C220" s="767"/>
      <c r="D220" s="767" t="s">
        <v>729</v>
      </c>
      <c r="E220" s="820"/>
      <c r="F220" s="806"/>
      <c r="G220" s="778"/>
      <c r="H220" s="788">
        <v>52998636.707190849</v>
      </c>
      <c r="I220" s="788">
        <v>22033875.197159797</v>
      </c>
      <c r="J220" s="788">
        <v>7097563.9562987695</v>
      </c>
      <c r="K220" s="788">
        <v>12052275.064230653</v>
      </c>
      <c r="L220" s="788">
        <v>4924795.0776516162</v>
      </c>
      <c r="M220" s="788">
        <v>4684314.7591193886</v>
      </c>
      <c r="N220" s="788">
        <v>2115402.9789287564</v>
      </c>
      <c r="O220" s="788">
        <v>90409.673801876808</v>
      </c>
      <c r="P220" s="772">
        <v>0</v>
      </c>
      <c r="R220" s="774"/>
    </row>
    <row r="221" spans="1:22" hidden="1">
      <c r="A221" s="786">
        <v>221</v>
      </c>
      <c r="B221" s="767"/>
      <c r="C221" s="767"/>
      <c r="D221" s="767"/>
      <c r="E221" s="820"/>
      <c r="F221" s="806"/>
      <c r="G221" s="778"/>
      <c r="H221" s="788"/>
      <c r="I221" s="788"/>
      <c r="J221" s="788"/>
      <c r="K221" s="788"/>
      <c r="L221" s="788"/>
      <c r="M221" s="788"/>
      <c r="N221" s="788"/>
      <c r="O221" s="788"/>
      <c r="P221" s="772"/>
      <c r="R221" s="774"/>
    </row>
    <row r="222" spans="1:22" hidden="1">
      <c r="A222" s="786">
        <v>222</v>
      </c>
      <c r="B222" s="767"/>
      <c r="C222" s="767"/>
      <c r="D222" s="767"/>
      <c r="E222" s="820"/>
      <c r="F222" s="806"/>
      <c r="G222" s="778"/>
      <c r="H222" s="788"/>
      <c r="I222" s="788"/>
      <c r="J222" s="788"/>
      <c r="K222" s="788"/>
      <c r="L222" s="788"/>
      <c r="M222" s="788"/>
      <c r="N222" s="788"/>
      <c r="O222" s="788"/>
      <c r="P222" s="772"/>
      <c r="R222" s="774"/>
    </row>
    <row r="223" spans="1:22" hidden="1">
      <c r="A223" s="786">
        <v>223</v>
      </c>
      <c r="B223" s="767"/>
      <c r="C223" s="767" t="s">
        <v>730</v>
      </c>
      <c r="D223" s="767" t="s">
        <v>731</v>
      </c>
      <c r="E223" s="767"/>
      <c r="F223" s="806" t="s">
        <v>1392</v>
      </c>
      <c r="G223" s="778"/>
      <c r="H223" s="788">
        <v>159536.78557164085</v>
      </c>
      <c r="I223" s="788">
        <v>66726.216782118456</v>
      </c>
      <c r="J223" s="788">
        <v>21319.95523573488</v>
      </c>
      <c r="K223" s="788">
        <v>36180.34387425302</v>
      </c>
      <c r="L223" s="788">
        <v>14749.091903777633</v>
      </c>
      <c r="M223" s="788">
        <v>13948.623851337832</v>
      </c>
      <c r="N223" s="788">
        <v>6355.8174804951968</v>
      </c>
      <c r="O223" s="788">
        <v>256.73644392385535</v>
      </c>
      <c r="P223" s="772">
        <v>0</v>
      </c>
      <c r="Q223" s="774"/>
      <c r="R223" s="774">
        <v>245</v>
      </c>
      <c r="S223" s="774"/>
      <c r="T223" s="774"/>
      <c r="U223" s="774"/>
      <c r="V223" s="774"/>
    </row>
    <row r="224" spans="1:22" hidden="1">
      <c r="A224" s="786">
        <v>224</v>
      </c>
      <c r="B224" s="767"/>
      <c r="C224" s="767"/>
      <c r="D224" s="767"/>
      <c r="E224" s="820" t="s">
        <v>732</v>
      </c>
      <c r="F224" s="806" t="s">
        <v>1392</v>
      </c>
      <c r="G224" s="778"/>
      <c r="H224" s="788">
        <v>4481517.5890261848</v>
      </c>
      <c r="I224" s="788">
        <v>1874393.5017040623</v>
      </c>
      <c r="J224" s="788">
        <v>598894.81942264305</v>
      </c>
      <c r="K224" s="788">
        <v>1016335.1785514668</v>
      </c>
      <c r="L224" s="788">
        <v>414313.9436594788</v>
      </c>
      <c r="M224" s="788">
        <v>391828.14739870606</v>
      </c>
      <c r="N224" s="788">
        <v>178540.06353091873</v>
      </c>
      <c r="O224" s="788">
        <v>7211.9347589094004</v>
      </c>
      <c r="P224" s="772">
        <v>0</v>
      </c>
      <c r="Q224" s="774"/>
      <c r="R224" s="774">
        <v>246</v>
      </c>
      <c r="S224" s="774"/>
      <c r="T224" s="774"/>
      <c r="U224" s="774"/>
      <c r="V224" s="774"/>
    </row>
    <row r="225" spans="1:22" hidden="1">
      <c r="A225" s="786">
        <v>225</v>
      </c>
      <c r="B225" s="767"/>
      <c r="C225" s="767"/>
      <c r="D225" s="767"/>
      <c r="E225" s="767" t="s">
        <v>733</v>
      </c>
      <c r="F225" s="806"/>
      <c r="G225" s="778"/>
      <c r="H225" s="788">
        <v>4641054.374597826</v>
      </c>
      <c r="I225" s="788">
        <v>1941119.7184861808</v>
      </c>
      <c r="J225" s="788">
        <v>620214.77465837798</v>
      </c>
      <c r="K225" s="788">
        <v>1052515.5224257198</v>
      </c>
      <c r="L225" s="788">
        <v>429063.03556325642</v>
      </c>
      <c r="M225" s="788">
        <v>405776.77125004388</v>
      </c>
      <c r="N225" s="788">
        <v>184895.88101141393</v>
      </c>
      <c r="O225" s="788">
        <v>7468.6712028332558</v>
      </c>
      <c r="P225" s="772">
        <v>0</v>
      </c>
      <c r="Q225" s="774"/>
      <c r="R225" s="774"/>
      <c r="S225" s="774"/>
      <c r="T225" s="774"/>
      <c r="U225" s="774"/>
      <c r="V225" s="774"/>
    </row>
    <row r="226" spans="1:22" hidden="1">
      <c r="A226" s="786">
        <v>226</v>
      </c>
      <c r="B226" s="767"/>
      <c r="C226" s="767"/>
      <c r="D226" s="767"/>
      <c r="E226" s="767"/>
      <c r="F226" s="806"/>
      <c r="G226" s="778"/>
      <c r="H226" s="788"/>
      <c r="I226" s="788"/>
      <c r="J226" s="788"/>
      <c r="K226" s="788"/>
      <c r="L226" s="788"/>
      <c r="M226" s="788"/>
      <c r="N226" s="788"/>
      <c r="O226" s="788"/>
      <c r="P226" s="772"/>
      <c r="R226" s="774"/>
    </row>
    <row r="227" spans="1:22" hidden="1">
      <c r="A227" s="786">
        <v>227</v>
      </c>
      <c r="B227" s="767"/>
      <c r="C227" s="767" t="s">
        <v>734</v>
      </c>
      <c r="D227" s="767" t="s">
        <v>735</v>
      </c>
      <c r="E227" s="767"/>
      <c r="F227" s="806" t="s">
        <v>1392</v>
      </c>
      <c r="G227" s="778"/>
      <c r="H227" s="788">
        <v>339903.47444253182</v>
      </c>
      <c r="I227" s="788">
        <v>128951.86113374098</v>
      </c>
      <c r="J227" s="788">
        <v>46916.632159398687</v>
      </c>
      <c r="K227" s="788">
        <v>80372.830863010997</v>
      </c>
      <c r="L227" s="788">
        <v>33921.25910413581</v>
      </c>
      <c r="M227" s="788">
        <v>34746.879130865971</v>
      </c>
      <c r="N227" s="788">
        <v>13937.476887874505</v>
      </c>
      <c r="O227" s="788">
        <v>1056.5351635049317</v>
      </c>
      <c r="P227" s="772">
        <v>0</v>
      </c>
      <c r="Q227" s="774"/>
      <c r="R227" s="774">
        <v>250</v>
      </c>
      <c r="S227" s="774"/>
      <c r="T227" s="774"/>
      <c r="U227" s="774"/>
      <c r="V227" s="774"/>
    </row>
    <row r="228" spans="1:22" hidden="1">
      <c r="A228" s="786">
        <v>228</v>
      </c>
      <c r="B228" s="767"/>
      <c r="C228" s="767"/>
      <c r="D228" s="767"/>
      <c r="E228" s="767"/>
      <c r="F228" s="806"/>
      <c r="G228" s="778"/>
      <c r="H228" s="788"/>
      <c r="I228" s="788"/>
      <c r="J228" s="788"/>
      <c r="K228" s="788"/>
      <c r="L228" s="788"/>
      <c r="M228" s="788"/>
      <c r="N228" s="788"/>
      <c r="O228" s="788"/>
      <c r="P228" s="772"/>
      <c r="Q228" s="774"/>
      <c r="R228" s="774"/>
      <c r="S228" s="774"/>
      <c r="T228" s="774"/>
      <c r="U228" s="774"/>
      <c r="V228" s="774"/>
    </row>
    <row r="229" spans="1:22" hidden="1">
      <c r="A229" s="786">
        <v>229</v>
      </c>
      <c r="B229" s="767"/>
      <c r="C229" s="767" t="s">
        <v>736</v>
      </c>
      <c r="D229" s="767" t="s">
        <v>737</v>
      </c>
      <c r="E229" s="767"/>
      <c r="F229" s="806"/>
      <c r="G229" s="778"/>
      <c r="H229" s="788"/>
      <c r="I229" s="788"/>
      <c r="J229" s="788"/>
      <c r="K229" s="788"/>
      <c r="L229" s="788"/>
      <c r="M229" s="788"/>
      <c r="N229" s="788"/>
      <c r="O229" s="788"/>
      <c r="P229" s="772"/>
      <c r="Q229" s="774"/>
      <c r="R229" s="774"/>
      <c r="S229" s="774"/>
      <c r="T229" s="774"/>
      <c r="U229" s="774"/>
      <c r="V229" s="774"/>
    </row>
    <row r="230" spans="1:22" hidden="1">
      <c r="A230" s="786">
        <v>230</v>
      </c>
      <c r="B230" s="767"/>
      <c r="C230" s="767"/>
      <c r="D230" s="767"/>
      <c r="E230" s="767" t="s">
        <v>738</v>
      </c>
      <c r="F230" s="806" t="s">
        <v>1392</v>
      </c>
      <c r="G230" s="778"/>
      <c r="H230" s="788">
        <v>0</v>
      </c>
      <c r="I230" s="788">
        <v>0</v>
      </c>
      <c r="J230" s="788">
        <v>0</v>
      </c>
      <c r="K230" s="788">
        <v>0</v>
      </c>
      <c r="L230" s="788">
        <v>0</v>
      </c>
      <c r="M230" s="788">
        <v>0</v>
      </c>
      <c r="N230" s="788">
        <v>0</v>
      </c>
      <c r="O230" s="788">
        <v>0</v>
      </c>
      <c r="P230" s="772">
        <v>0</v>
      </c>
      <c r="Q230" s="774"/>
      <c r="R230" s="774">
        <v>253</v>
      </c>
      <c r="S230" s="774"/>
      <c r="T230" s="774"/>
      <c r="U230" s="774"/>
      <c r="V230" s="774"/>
    </row>
    <row r="231" spans="1:22" hidden="1">
      <c r="A231" s="786">
        <v>231</v>
      </c>
      <c r="B231" s="767"/>
      <c r="C231" s="767"/>
      <c r="D231" s="767"/>
      <c r="E231" s="767" t="s">
        <v>728</v>
      </c>
      <c r="F231" s="806" t="s">
        <v>1392</v>
      </c>
      <c r="G231" s="778"/>
      <c r="H231" s="788">
        <v>0</v>
      </c>
      <c r="I231" s="788">
        <v>0</v>
      </c>
      <c r="J231" s="788">
        <v>0</v>
      </c>
      <c r="K231" s="788">
        <v>0</v>
      </c>
      <c r="L231" s="788">
        <v>0</v>
      </c>
      <c r="M231" s="788">
        <v>0</v>
      </c>
      <c r="N231" s="788">
        <v>0</v>
      </c>
      <c r="O231" s="788">
        <v>0</v>
      </c>
      <c r="P231" s="772">
        <v>0</v>
      </c>
      <c r="Q231" s="774"/>
      <c r="R231" s="774">
        <v>254</v>
      </c>
      <c r="S231" s="774"/>
      <c r="T231" s="774"/>
      <c r="U231" s="774"/>
      <c r="V231" s="774"/>
    </row>
    <row r="232" spans="1:22" hidden="1">
      <c r="A232" s="786">
        <v>232</v>
      </c>
      <c r="B232" s="767"/>
      <c r="C232" s="767"/>
      <c r="D232" s="767"/>
      <c r="E232" s="767" t="s">
        <v>739</v>
      </c>
      <c r="F232" s="806" t="s">
        <v>1392</v>
      </c>
      <c r="G232" s="778"/>
      <c r="H232" s="788">
        <v>0</v>
      </c>
      <c r="I232" s="788">
        <v>0</v>
      </c>
      <c r="J232" s="788">
        <v>0</v>
      </c>
      <c r="K232" s="788">
        <v>0</v>
      </c>
      <c r="L232" s="788">
        <v>0</v>
      </c>
      <c r="M232" s="788">
        <v>0</v>
      </c>
      <c r="N232" s="788">
        <v>0</v>
      </c>
      <c r="O232" s="788">
        <v>0</v>
      </c>
      <c r="P232" s="772">
        <v>0</v>
      </c>
      <c r="Q232" s="774"/>
      <c r="R232" s="774">
        <v>255</v>
      </c>
      <c r="S232" s="774"/>
      <c r="T232" s="774"/>
      <c r="U232" s="774"/>
      <c r="V232" s="774"/>
    </row>
    <row r="233" spans="1:22" hidden="1">
      <c r="A233" s="786">
        <v>233</v>
      </c>
      <c r="B233" s="767"/>
      <c r="C233" s="767"/>
      <c r="D233" s="767"/>
      <c r="E233" s="767" t="s">
        <v>740</v>
      </c>
      <c r="F233" s="806"/>
      <c r="G233" s="778"/>
      <c r="H233" s="788">
        <v>339903.47444253188</v>
      </c>
      <c r="I233" s="788">
        <v>128951.86113374098</v>
      </c>
      <c r="J233" s="788">
        <v>46916.632159398687</v>
      </c>
      <c r="K233" s="788">
        <v>80372.830863010997</v>
      </c>
      <c r="L233" s="788">
        <v>33921.25910413581</v>
      </c>
      <c r="M233" s="788">
        <v>34746.879130865971</v>
      </c>
      <c r="N233" s="788">
        <v>13937.476887874505</v>
      </c>
      <c r="O233" s="788">
        <v>1056.5351635049317</v>
      </c>
      <c r="P233" s="772">
        <v>0</v>
      </c>
      <c r="Q233" s="774"/>
      <c r="R233" s="774"/>
      <c r="S233" s="774"/>
      <c r="T233" s="774"/>
      <c r="U233" s="774"/>
      <c r="V233" s="774"/>
    </row>
    <row r="234" spans="1:22" hidden="1">
      <c r="A234" s="786">
        <v>234</v>
      </c>
      <c r="B234" s="767"/>
      <c r="C234" s="767"/>
      <c r="D234" s="767"/>
      <c r="E234" s="767"/>
      <c r="F234" s="806"/>
      <c r="G234" s="778"/>
      <c r="H234" s="788"/>
      <c r="I234" s="788"/>
      <c r="J234" s="788"/>
      <c r="K234" s="788"/>
      <c r="L234" s="788"/>
      <c r="M234" s="788"/>
      <c r="N234" s="788"/>
      <c r="O234" s="788"/>
      <c r="P234" s="772"/>
      <c r="R234" s="774"/>
    </row>
    <row r="235" spans="1:22" hidden="1">
      <c r="A235" s="786">
        <v>235</v>
      </c>
      <c r="B235" s="767"/>
      <c r="C235" s="767" t="s">
        <v>741</v>
      </c>
      <c r="D235" s="767" t="s">
        <v>742</v>
      </c>
      <c r="E235" s="767"/>
      <c r="F235" s="806" t="s">
        <v>1392</v>
      </c>
      <c r="G235" s="778"/>
      <c r="H235" s="788">
        <v>6836.319898727189</v>
      </c>
      <c r="I235" s="788">
        <v>2859.2889214853744</v>
      </c>
      <c r="J235" s="788">
        <v>913.58261792592941</v>
      </c>
      <c r="K235" s="788">
        <v>1550.365979131996</v>
      </c>
      <c r="L235" s="788">
        <v>632.01417847718312</v>
      </c>
      <c r="M235" s="788">
        <v>597.71327630229086</v>
      </c>
      <c r="N235" s="788">
        <v>272.35349740123593</v>
      </c>
      <c r="O235" s="788">
        <v>11.001428003179603</v>
      </c>
      <c r="P235" s="772">
        <v>0</v>
      </c>
      <c r="Q235" s="774"/>
      <c r="R235" s="774">
        <v>259</v>
      </c>
      <c r="S235" s="774"/>
      <c r="T235" s="774"/>
      <c r="U235" s="774"/>
      <c r="V235" s="774"/>
    </row>
    <row r="236" spans="1:22" hidden="1">
      <c r="A236" s="786">
        <v>236</v>
      </c>
      <c r="B236" s="767"/>
      <c r="C236" s="767"/>
      <c r="D236" s="767"/>
      <c r="E236" s="820" t="s">
        <v>718</v>
      </c>
      <c r="F236" s="806" t="s">
        <v>1392</v>
      </c>
      <c r="G236" s="778"/>
      <c r="H236" s="788">
        <v>0</v>
      </c>
      <c r="I236" s="788">
        <v>0</v>
      </c>
      <c r="J236" s="788">
        <v>0</v>
      </c>
      <c r="K236" s="788">
        <v>0</v>
      </c>
      <c r="L236" s="788">
        <v>0</v>
      </c>
      <c r="M236" s="788">
        <v>0</v>
      </c>
      <c r="N236" s="788">
        <v>0</v>
      </c>
      <c r="O236" s="788">
        <v>0</v>
      </c>
      <c r="P236" s="772">
        <v>0</v>
      </c>
      <c r="Q236" s="774"/>
      <c r="R236" s="774">
        <v>260</v>
      </c>
      <c r="S236" s="774"/>
      <c r="T236" s="774"/>
      <c r="U236" s="774"/>
      <c r="V236" s="774"/>
    </row>
    <row r="237" spans="1:22" hidden="1">
      <c r="A237" s="786">
        <v>237</v>
      </c>
      <c r="B237" s="767"/>
      <c r="C237" s="767"/>
      <c r="D237" s="767"/>
      <c r="E237" s="767" t="s">
        <v>743</v>
      </c>
      <c r="F237" s="806"/>
      <c r="G237" s="778"/>
      <c r="H237" s="788">
        <v>6836.319898727188</v>
      </c>
      <c r="I237" s="788">
        <v>2859.2889214853744</v>
      </c>
      <c r="J237" s="788">
        <v>913.58261792592941</v>
      </c>
      <c r="K237" s="788">
        <v>1550.365979131996</v>
      </c>
      <c r="L237" s="788">
        <v>632.01417847718312</v>
      </c>
      <c r="M237" s="788">
        <v>597.71327630229086</v>
      </c>
      <c r="N237" s="788">
        <v>272.35349740123593</v>
      </c>
      <c r="O237" s="788">
        <v>11.001428003179603</v>
      </c>
      <c r="P237" s="772">
        <v>0</v>
      </c>
      <c r="Q237" s="774"/>
      <c r="R237" s="774"/>
      <c r="S237" s="774"/>
      <c r="T237" s="774"/>
      <c r="U237" s="774"/>
      <c r="V237" s="774"/>
    </row>
    <row r="238" spans="1:22" hidden="1">
      <c r="A238" s="786">
        <v>238</v>
      </c>
      <c r="B238" s="767"/>
      <c r="C238" s="767"/>
      <c r="D238" s="767"/>
      <c r="E238" s="767"/>
      <c r="F238" s="806"/>
      <c r="G238" s="778"/>
      <c r="H238" s="788"/>
      <c r="I238" s="788"/>
      <c r="J238" s="788"/>
      <c r="K238" s="788"/>
      <c r="L238" s="788"/>
      <c r="M238" s="788"/>
      <c r="N238" s="788"/>
      <c r="O238" s="788"/>
      <c r="P238" s="772"/>
      <c r="R238" s="774"/>
    </row>
    <row r="239" spans="1:22" hidden="1">
      <c r="A239" s="786">
        <v>239</v>
      </c>
      <c r="B239" s="767"/>
      <c r="C239" s="767" t="s">
        <v>744</v>
      </c>
      <c r="D239" s="767" t="s">
        <v>745</v>
      </c>
      <c r="E239" s="767"/>
      <c r="F239" s="806" t="s">
        <v>1392</v>
      </c>
      <c r="G239" s="778"/>
      <c r="H239" s="788">
        <v>308275.4484335648</v>
      </c>
      <c r="I239" s="788">
        <v>128936.12170433087</v>
      </c>
      <c r="J239" s="788">
        <v>41196.885955360551</v>
      </c>
      <c r="K239" s="788">
        <v>69911.849435548414</v>
      </c>
      <c r="L239" s="788">
        <v>28499.903043258648</v>
      </c>
      <c r="M239" s="788">
        <v>26953.145993225127</v>
      </c>
      <c r="N239" s="788">
        <v>12281.446419651558</v>
      </c>
      <c r="O239" s="788">
        <v>496.09588218965672</v>
      </c>
      <c r="P239" s="772">
        <v>0</v>
      </c>
      <c r="Q239" s="774"/>
      <c r="R239" s="774">
        <v>264</v>
      </c>
      <c r="S239" s="774"/>
      <c r="T239" s="774"/>
      <c r="U239" s="774"/>
      <c r="V239" s="774"/>
    </row>
    <row r="240" spans="1:22" hidden="1">
      <c r="A240" s="786">
        <v>240</v>
      </c>
      <c r="B240" s="767"/>
      <c r="C240" s="767"/>
      <c r="D240" s="767"/>
      <c r="E240" s="820" t="s">
        <v>738</v>
      </c>
      <c r="F240" s="806" t="s">
        <v>1392</v>
      </c>
      <c r="G240" s="778"/>
      <c r="H240" s="788">
        <v>0</v>
      </c>
      <c r="I240" s="788">
        <v>0</v>
      </c>
      <c r="J240" s="788">
        <v>0</v>
      </c>
      <c r="K240" s="788">
        <v>0</v>
      </c>
      <c r="L240" s="788">
        <v>0</v>
      </c>
      <c r="M240" s="788">
        <v>0</v>
      </c>
      <c r="N240" s="788">
        <v>0</v>
      </c>
      <c r="O240" s="788">
        <v>0</v>
      </c>
      <c r="P240" s="772">
        <v>0</v>
      </c>
      <c r="Q240" s="774"/>
      <c r="R240" s="774">
        <v>265</v>
      </c>
      <c r="S240" s="774"/>
      <c r="T240" s="774"/>
      <c r="U240" s="774"/>
      <c r="V240" s="774"/>
    </row>
    <row r="241" spans="1:22" hidden="1">
      <c r="A241" s="786">
        <v>241</v>
      </c>
      <c r="B241" s="767"/>
      <c r="C241" s="767"/>
      <c r="D241" s="767"/>
      <c r="E241" s="820" t="s">
        <v>718</v>
      </c>
      <c r="F241" s="806" t="s">
        <v>1392</v>
      </c>
      <c r="G241" s="778"/>
      <c r="H241" s="788">
        <v>-4931720.9065854121</v>
      </c>
      <c r="I241" s="788">
        <v>-2062690.9157195662</v>
      </c>
      <c r="J241" s="788">
        <v>-659058.46470952826</v>
      </c>
      <c r="K241" s="788">
        <v>-1118433.9564869665</v>
      </c>
      <c r="L241" s="788">
        <v>-455935.00354403351</v>
      </c>
      <c r="M241" s="788">
        <v>-431190.33406153135</v>
      </c>
      <c r="N241" s="788">
        <v>-196475.80233414876</v>
      </c>
      <c r="O241" s="788">
        <v>-7936.4297296381092</v>
      </c>
      <c r="P241" s="772">
        <v>0</v>
      </c>
      <c r="Q241" s="774"/>
      <c r="R241" s="774">
        <v>266</v>
      </c>
      <c r="S241" s="774"/>
      <c r="T241" s="774"/>
      <c r="U241" s="774"/>
      <c r="V241" s="774"/>
    </row>
    <row r="242" spans="1:22" hidden="1">
      <c r="A242" s="786">
        <v>242</v>
      </c>
      <c r="B242" s="767"/>
      <c r="C242" s="767"/>
      <c r="D242" s="767"/>
      <c r="E242" s="767" t="s">
        <v>746</v>
      </c>
      <c r="F242" s="806"/>
      <c r="G242" s="778"/>
      <c r="H242" s="788">
        <v>-4623445.4581518471</v>
      </c>
      <c r="I242" s="788">
        <v>-1933754.7940152353</v>
      </c>
      <c r="J242" s="788">
        <v>-617861.57875416765</v>
      </c>
      <c r="K242" s="788">
        <v>-1048522.107051418</v>
      </c>
      <c r="L242" s="788">
        <v>-427435.10050077486</v>
      </c>
      <c r="M242" s="788">
        <v>-404237.18806830625</v>
      </c>
      <c r="N242" s="788">
        <v>-184194.3559144972</v>
      </c>
      <c r="O242" s="788">
        <v>-7440.3338474484526</v>
      </c>
      <c r="P242" s="772">
        <v>0</v>
      </c>
      <c r="Q242" s="774"/>
      <c r="R242" s="774"/>
      <c r="S242" s="774"/>
      <c r="T242" s="774"/>
      <c r="U242" s="774"/>
      <c r="V242" s="774"/>
    </row>
    <row r="243" spans="1:22" hidden="1">
      <c r="A243" s="786">
        <v>243</v>
      </c>
      <c r="B243" s="767"/>
      <c r="C243" s="767"/>
      <c r="D243" s="767"/>
      <c r="E243" s="767"/>
      <c r="F243" s="806"/>
      <c r="G243" s="778"/>
      <c r="H243" s="788"/>
      <c r="I243" s="788"/>
      <c r="J243" s="788"/>
      <c r="K243" s="788"/>
      <c r="L243" s="788"/>
      <c r="M243" s="788"/>
      <c r="N243" s="788"/>
      <c r="O243" s="788"/>
      <c r="P243" s="772"/>
      <c r="R243" s="774"/>
    </row>
    <row r="244" spans="1:22" hidden="1">
      <c r="A244" s="786">
        <v>244</v>
      </c>
      <c r="B244" s="767"/>
      <c r="C244" s="767" t="s">
        <v>747</v>
      </c>
      <c r="D244" s="767" t="s">
        <v>748</v>
      </c>
      <c r="E244" s="767"/>
      <c r="F244" s="806" t="s">
        <v>1392</v>
      </c>
      <c r="G244" s="778"/>
      <c r="H244" s="788">
        <v>3429.9923840207675</v>
      </c>
      <c r="I244" s="788">
        <v>1434.5933732907606</v>
      </c>
      <c r="J244" s="788">
        <v>458.37255542168441</v>
      </c>
      <c r="K244" s="788">
        <v>777.86639297814656</v>
      </c>
      <c r="L244" s="788">
        <v>317.10099159834368</v>
      </c>
      <c r="M244" s="788">
        <v>299.89117184622432</v>
      </c>
      <c r="N244" s="788">
        <v>136.64814339972395</v>
      </c>
      <c r="O244" s="788">
        <v>5.5197554858842173</v>
      </c>
      <c r="P244" s="772">
        <v>0</v>
      </c>
      <c r="Q244" s="774"/>
      <c r="R244" s="774">
        <v>270</v>
      </c>
      <c r="S244" s="774"/>
      <c r="T244" s="774"/>
      <c r="U244" s="774"/>
      <c r="V244" s="774"/>
    </row>
    <row r="245" spans="1:22" hidden="1">
      <c r="A245" s="786">
        <v>245</v>
      </c>
      <c r="B245" s="767"/>
      <c r="C245" s="767"/>
      <c r="D245" s="767"/>
      <c r="E245" s="820" t="s">
        <v>718</v>
      </c>
      <c r="F245" s="806" t="s">
        <v>1392</v>
      </c>
      <c r="G245" s="778"/>
      <c r="H245" s="788">
        <v>70969.33108166141</v>
      </c>
      <c r="I245" s="788">
        <v>29682.903248106173</v>
      </c>
      <c r="J245" s="788">
        <v>9484.1008382459877</v>
      </c>
      <c r="K245" s="788">
        <v>16094.68809252889</v>
      </c>
      <c r="L245" s="788">
        <v>6561.0773259751149</v>
      </c>
      <c r="M245" s="788">
        <v>6204.9921633567246</v>
      </c>
      <c r="N245" s="788">
        <v>2827.3611847677607</v>
      </c>
      <c r="O245" s="788">
        <v>114.20822868076725</v>
      </c>
      <c r="P245" s="772">
        <v>0</v>
      </c>
      <c r="Q245" s="774"/>
      <c r="R245" s="774">
        <v>271</v>
      </c>
      <c r="S245" s="774"/>
      <c r="T245" s="774"/>
      <c r="U245" s="774"/>
      <c r="V245" s="774"/>
    </row>
    <row r="246" spans="1:22" hidden="1">
      <c r="A246" s="786">
        <v>246</v>
      </c>
      <c r="B246" s="767"/>
      <c r="C246" s="767"/>
      <c r="D246" s="767"/>
      <c r="E246" s="767" t="s">
        <v>749</v>
      </c>
      <c r="F246" s="806"/>
      <c r="G246" s="778"/>
      <c r="H246" s="788">
        <v>74399.323465682173</v>
      </c>
      <c r="I246" s="788">
        <v>31117.496621396935</v>
      </c>
      <c r="J246" s="788">
        <v>9942.4733936676712</v>
      </c>
      <c r="K246" s="788">
        <v>16872.554485507037</v>
      </c>
      <c r="L246" s="788">
        <v>6878.178317573459</v>
      </c>
      <c r="M246" s="788">
        <v>6504.8833352029487</v>
      </c>
      <c r="N246" s="788">
        <v>2964.0093281674845</v>
      </c>
      <c r="O246" s="788">
        <v>119.72798416665147</v>
      </c>
      <c r="P246" s="772">
        <v>0</v>
      </c>
      <c r="Q246" s="774"/>
      <c r="R246" s="774"/>
      <c r="S246" s="774"/>
      <c r="T246" s="774"/>
      <c r="U246" s="774"/>
      <c r="V246" s="774"/>
    </row>
    <row r="247" spans="1:22" hidden="1">
      <c r="A247" s="786">
        <v>247</v>
      </c>
      <c r="B247" s="767"/>
      <c r="C247" s="767"/>
      <c r="D247" s="767"/>
      <c r="E247" s="767"/>
      <c r="F247" s="806"/>
      <c r="G247" s="778"/>
      <c r="H247" s="788"/>
      <c r="I247" s="788"/>
      <c r="J247" s="788"/>
      <c r="K247" s="788"/>
      <c r="L247" s="788"/>
      <c r="M247" s="788"/>
      <c r="N247" s="788"/>
      <c r="O247" s="788"/>
      <c r="P247" s="772"/>
      <c r="R247" s="774"/>
    </row>
    <row r="248" spans="1:22" hidden="1">
      <c r="A248" s="786">
        <v>248</v>
      </c>
      <c r="B248" s="767"/>
      <c r="C248" s="767" t="s">
        <v>750</v>
      </c>
      <c r="D248" s="767" t="s">
        <v>751</v>
      </c>
      <c r="E248" s="767"/>
      <c r="F248" s="806" t="s">
        <v>1392</v>
      </c>
      <c r="G248" s="778"/>
      <c r="H248" s="788">
        <v>39073.263881187711</v>
      </c>
      <c r="I248" s="788">
        <v>16342.381895053715</v>
      </c>
      <c r="J248" s="788">
        <v>5221.6185369166624</v>
      </c>
      <c r="K248" s="788">
        <v>8861.1796862108586</v>
      </c>
      <c r="L248" s="788">
        <v>3612.3026918165169</v>
      </c>
      <c r="M248" s="788">
        <v>3416.2544930931213</v>
      </c>
      <c r="N248" s="788">
        <v>1556.6474697745173</v>
      </c>
      <c r="O248" s="788">
        <v>62.879108322323809</v>
      </c>
      <c r="P248" s="772">
        <v>0</v>
      </c>
      <c r="Q248" s="774"/>
      <c r="R248" s="774">
        <v>275</v>
      </c>
      <c r="S248" s="774"/>
      <c r="T248" s="774"/>
      <c r="U248" s="774"/>
      <c r="V248" s="774"/>
    </row>
    <row r="249" spans="1:22" hidden="1">
      <c r="A249" s="786">
        <v>249</v>
      </c>
      <c r="B249" s="767"/>
      <c r="C249" s="767"/>
      <c r="D249" s="767"/>
      <c r="E249" s="820" t="s">
        <v>718</v>
      </c>
      <c r="F249" s="806" t="s">
        <v>1392</v>
      </c>
      <c r="G249" s="778"/>
      <c r="H249" s="788">
        <v>172307.58999462175</v>
      </c>
      <c r="I249" s="788">
        <v>72067.602227215059</v>
      </c>
      <c r="J249" s="788">
        <v>23026.602249128617</v>
      </c>
      <c r="K249" s="788">
        <v>39076.554261836594</v>
      </c>
      <c r="L249" s="788">
        <v>15929.746054761088</v>
      </c>
      <c r="M249" s="788">
        <v>15065.201113045097</v>
      </c>
      <c r="N249" s="788">
        <v>6864.5960778621229</v>
      </c>
      <c r="O249" s="788">
        <v>277.28801077318758</v>
      </c>
      <c r="P249" s="772">
        <v>0</v>
      </c>
      <c r="Q249" s="774"/>
      <c r="R249" s="774">
        <v>276</v>
      </c>
      <c r="S249" s="774"/>
      <c r="T249" s="774"/>
      <c r="U249" s="774"/>
      <c r="V249" s="774"/>
    </row>
    <row r="250" spans="1:22" hidden="1">
      <c r="A250" s="786">
        <v>250</v>
      </c>
      <c r="B250" s="767"/>
      <c r="C250" s="767"/>
      <c r="D250" s="767"/>
      <c r="E250" s="767" t="s">
        <v>752</v>
      </c>
      <c r="F250" s="806"/>
      <c r="G250" s="778"/>
      <c r="H250" s="788">
        <v>211380.85387580947</v>
      </c>
      <c r="I250" s="788">
        <v>88409.984122268768</v>
      </c>
      <c r="J250" s="788">
        <v>28248.22078604528</v>
      </c>
      <c r="K250" s="788">
        <v>47937.733948047455</v>
      </c>
      <c r="L250" s="788">
        <v>19542.048746577606</v>
      </c>
      <c r="M250" s="788">
        <v>18481.455606138217</v>
      </c>
      <c r="N250" s="788">
        <v>8421.2435476366409</v>
      </c>
      <c r="O250" s="788">
        <v>340.1671190955114</v>
      </c>
      <c r="P250" s="772">
        <v>0</v>
      </c>
      <c r="Q250" s="774"/>
      <c r="R250" s="774"/>
      <c r="S250" s="774"/>
      <c r="T250" s="774"/>
      <c r="U250" s="774"/>
      <c r="V250" s="774"/>
    </row>
    <row r="251" spans="1:22" hidden="1">
      <c r="A251" s="786">
        <v>251</v>
      </c>
      <c r="B251" s="767"/>
      <c r="C251" s="767"/>
      <c r="D251" s="767"/>
      <c r="E251" s="767"/>
      <c r="F251" s="806"/>
      <c r="G251" s="778"/>
      <c r="H251" s="788"/>
      <c r="I251" s="788"/>
      <c r="J251" s="788"/>
      <c r="K251" s="788"/>
      <c r="L251" s="788"/>
      <c r="M251" s="788"/>
      <c r="N251" s="788"/>
      <c r="O251" s="788"/>
      <c r="P251" s="772"/>
      <c r="R251" s="774"/>
    </row>
    <row r="252" spans="1:22" hidden="1">
      <c r="A252" s="786">
        <v>252</v>
      </c>
      <c r="B252" s="767"/>
      <c r="C252" s="767" t="s">
        <v>753</v>
      </c>
      <c r="D252" s="767" t="s">
        <v>754</v>
      </c>
      <c r="E252" s="767"/>
      <c r="F252" s="806" t="s">
        <v>1392</v>
      </c>
      <c r="G252" s="778"/>
      <c r="H252" s="788">
        <v>51787.30109172505</v>
      </c>
      <c r="I252" s="788">
        <v>21660.024469124975</v>
      </c>
      <c r="J252" s="788">
        <v>6920.6793724654735</v>
      </c>
      <c r="K252" s="788">
        <v>11744.516194835227</v>
      </c>
      <c r="L252" s="788">
        <v>4787.7087438712433</v>
      </c>
      <c r="M252" s="788">
        <v>4527.8684825956298</v>
      </c>
      <c r="N252" s="788">
        <v>2063.1645069634878</v>
      </c>
      <c r="O252" s="788">
        <v>83.339321869017979</v>
      </c>
      <c r="P252" s="772">
        <v>0</v>
      </c>
      <c r="Q252" s="774"/>
      <c r="R252" s="774">
        <v>280</v>
      </c>
      <c r="S252" s="774"/>
      <c r="T252" s="774"/>
      <c r="U252" s="774"/>
      <c r="V252" s="774"/>
    </row>
    <row r="253" spans="1:22" hidden="1">
      <c r="A253" s="786">
        <v>253</v>
      </c>
      <c r="B253" s="767"/>
      <c r="C253" s="767"/>
      <c r="D253" s="767"/>
      <c r="E253" s="820" t="s">
        <v>718</v>
      </c>
      <c r="F253" s="806" t="s">
        <v>1392</v>
      </c>
      <c r="G253" s="778"/>
      <c r="H253" s="788">
        <v>2335258.5408615684</v>
      </c>
      <c r="I253" s="788">
        <v>976721.24382780353</v>
      </c>
      <c r="J253" s="788">
        <v>312076.03548385901</v>
      </c>
      <c r="K253" s="788">
        <v>529598.59220503725</v>
      </c>
      <c r="L253" s="788">
        <v>215893.42366925237</v>
      </c>
      <c r="M253" s="788">
        <v>204176.37766353696</v>
      </c>
      <c r="N253" s="788">
        <v>93034.825807108733</v>
      </c>
      <c r="O253" s="788">
        <v>3758.0422049708463</v>
      </c>
      <c r="P253" s="772">
        <v>0</v>
      </c>
      <c r="Q253" s="774"/>
      <c r="R253" s="774">
        <v>281</v>
      </c>
      <c r="S253" s="774"/>
      <c r="T253" s="774"/>
      <c r="U253" s="774"/>
      <c r="V253" s="774"/>
    </row>
    <row r="254" spans="1:22" hidden="1">
      <c r="A254" s="786">
        <v>254</v>
      </c>
      <c r="B254" s="767"/>
      <c r="C254" s="767"/>
      <c r="D254" s="767"/>
      <c r="E254" s="767" t="s">
        <v>755</v>
      </c>
      <c r="F254" s="806"/>
      <c r="G254" s="778"/>
      <c r="H254" s="788">
        <v>2387045.8419532934</v>
      </c>
      <c r="I254" s="788">
        <v>998381.26829692849</v>
      </c>
      <c r="J254" s="788">
        <v>318996.71485632448</v>
      </c>
      <c r="K254" s="788">
        <v>541343.10839987244</v>
      </c>
      <c r="L254" s="788">
        <v>220681.13241312362</v>
      </c>
      <c r="M254" s="788">
        <v>208704.24614613259</v>
      </c>
      <c r="N254" s="788">
        <v>95097.990314072216</v>
      </c>
      <c r="O254" s="788">
        <v>3841.3815268398644</v>
      </c>
      <c r="P254" s="772">
        <v>0</v>
      </c>
      <c r="Q254" s="774"/>
      <c r="R254" s="774"/>
      <c r="S254" s="774"/>
      <c r="T254" s="774"/>
      <c r="U254" s="774"/>
      <c r="V254" s="774"/>
    </row>
    <row r="255" spans="1:22" hidden="1">
      <c r="A255" s="786">
        <v>255</v>
      </c>
      <c r="B255" s="767"/>
      <c r="C255" s="767"/>
      <c r="D255" s="767"/>
      <c r="E255" s="767"/>
      <c r="F255" s="806"/>
      <c r="G255" s="778"/>
      <c r="H255" s="788"/>
      <c r="I255" s="788"/>
      <c r="J255" s="788"/>
      <c r="K255" s="788"/>
      <c r="L255" s="788"/>
      <c r="M255" s="788"/>
      <c r="N255" s="788"/>
      <c r="O255" s="788"/>
      <c r="P255" s="772"/>
      <c r="R255" s="774"/>
    </row>
    <row r="256" spans="1:22" hidden="1">
      <c r="A256" s="786">
        <v>256</v>
      </c>
      <c r="B256" s="767"/>
      <c r="C256" s="767" t="s">
        <v>756</v>
      </c>
      <c r="D256" s="767" t="s">
        <v>757</v>
      </c>
      <c r="E256" s="767"/>
      <c r="F256" s="806" t="s">
        <v>1392</v>
      </c>
      <c r="G256" s="778"/>
      <c r="H256" s="788">
        <v>263779.47855041223</v>
      </c>
      <c r="I256" s="788">
        <v>110325.69451216092</v>
      </c>
      <c r="J256" s="788">
        <v>35250.595369899158</v>
      </c>
      <c r="K256" s="788">
        <v>59820.888372101763</v>
      </c>
      <c r="L256" s="788">
        <v>24386.274034106806</v>
      </c>
      <c r="M256" s="788">
        <v>23062.77334608512</v>
      </c>
      <c r="N256" s="788">
        <v>10508.762695445943</v>
      </c>
      <c r="O256" s="788">
        <v>424.49022061254249</v>
      </c>
      <c r="P256" s="772">
        <v>0</v>
      </c>
      <c r="Q256" s="774"/>
      <c r="R256" s="774">
        <v>285</v>
      </c>
      <c r="S256" s="774"/>
      <c r="T256" s="774"/>
      <c r="U256" s="774"/>
      <c r="V256" s="774"/>
    </row>
    <row r="257" spans="1:22" hidden="1">
      <c r="A257" s="786">
        <v>257</v>
      </c>
      <c r="B257" s="767"/>
      <c r="C257" s="767"/>
      <c r="D257" s="767"/>
      <c r="E257" s="820" t="s">
        <v>719</v>
      </c>
      <c r="F257" s="806" t="s">
        <v>1392</v>
      </c>
      <c r="G257" s="778"/>
      <c r="H257" s="788">
        <v>392295.44947119395</v>
      </c>
      <c r="I257" s="788">
        <v>164077.46407989919</v>
      </c>
      <c r="J257" s="788">
        <v>52425.034088157532</v>
      </c>
      <c r="K257" s="788">
        <v>88966.216859113221</v>
      </c>
      <c r="L257" s="788">
        <v>36267.507941522104</v>
      </c>
      <c r="M257" s="788">
        <v>34299.184627911214</v>
      </c>
      <c r="N257" s="788">
        <v>15628.735819978514</v>
      </c>
      <c r="O257" s="788">
        <v>631.30605461219795</v>
      </c>
      <c r="P257" s="772">
        <v>0</v>
      </c>
      <c r="Q257" s="774"/>
      <c r="R257" s="774">
        <v>286</v>
      </c>
      <c r="S257" s="774"/>
      <c r="T257" s="774"/>
      <c r="U257" s="774"/>
      <c r="V257" s="774"/>
    </row>
    <row r="258" spans="1:22" hidden="1">
      <c r="A258" s="786">
        <v>258</v>
      </c>
      <c r="B258" s="767"/>
      <c r="C258" s="767"/>
      <c r="D258" s="767"/>
      <c r="E258" s="767" t="s">
        <v>718</v>
      </c>
      <c r="F258" s="806" t="s">
        <v>1392</v>
      </c>
      <c r="G258" s="778"/>
      <c r="H258" s="788">
        <v>5529431.7645456009</v>
      </c>
      <c r="I258" s="788">
        <v>2312683.3180258535</v>
      </c>
      <c r="J258" s="788">
        <v>738934.51768353977</v>
      </c>
      <c r="K258" s="788">
        <v>1253985.0414664457</v>
      </c>
      <c r="L258" s="788">
        <v>511193.05794416979</v>
      </c>
      <c r="M258" s="788">
        <v>483449.40333933878</v>
      </c>
      <c r="N258" s="788">
        <v>220288.12314588539</v>
      </c>
      <c r="O258" s="788">
        <v>8898.3029403683468</v>
      </c>
      <c r="P258" s="772">
        <v>0</v>
      </c>
      <c r="Q258" s="774"/>
      <c r="R258" s="774">
        <v>287</v>
      </c>
      <c r="S258" s="774"/>
      <c r="T258" s="774"/>
      <c r="U258" s="774"/>
      <c r="V258" s="774"/>
    </row>
    <row r="259" spans="1:22" hidden="1">
      <c r="A259" s="786">
        <v>259</v>
      </c>
      <c r="B259" s="767"/>
      <c r="C259" s="767"/>
      <c r="D259" s="767"/>
      <c r="E259" s="767" t="s">
        <v>758</v>
      </c>
      <c r="F259" s="806"/>
      <c r="G259" s="778"/>
      <c r="H259" s="788">
        <v>6185506.6925672079</v>
      </c>
      <c r="I259" s="788">
        <v>2587086.4766179137</v>
      </c>
      <c r="J259" s="788">
        <v>826610.14714159642</v>
      </c>
      <c r="K259" s="788">
        <v>1402772.1466976607</v>
      </c>
      <c r="L259" s="788">
        <v>571846.83991979866</v>
      </c>
      <c r="M259" s="788">
        <v>540811.36131333513</v>
      </c>
      <c r="N259" s="788">
        <v>246425.62166130985</v>
      </c>
      <c r="O259" s="788">
        <v>9954.0992155930871</v>
      </c>
      <c r="P259" s="772">
        <v>0</v>
      </c>
      <c r="Q259" s="774"/>
      <c r="R259" s="774"/>
      <c r="S259" s="774"/>
      <c r="T259" s="774"/>
      <c r="U259" s="774"/>
      <c r="V259" s="774"/>
    </row>
    <row r="260" spans="1:22" hidden="1">
      <c r="A260" s="786">
        <v>260</v>
      </c>
      <c r="B260" s="767"/>
      <c r="C260" s="767"/>
      <c r="D260" s="767"/>
      <c r="E260" s="767"/>
      <c r="F260" s="806"/>
      <c r="G260" s="778"/>
      <c r="H260" s="788"/>
      <c r="I260" s="788"/>
      <c r="J260" s="788"/>
      <c r="K260" s="788"/>
      <c r="L260" s="788"/>
      <c r="M260" s="788"/>
      <c r="N260" s="788"/>
      <c r="O260" s="788"/>
      <c r="P260" s="772"/>
      <c r="R260" s="774"/>
    </row>
    <row r="261" spans="1:22" hidden="1">
      <c r="A261" s="786">
        <v>261</v>
      </c>
      <c r="B261" s="767"/>
      <c r="C261" s="767" t="s">
        <v>759</v>
      </c>
      <c r="D261" s="767" t="s">
        <v>760</v>
      </c>
      <c r="E261" s="767"/>
      <c r="F261" s="806" t="s">
        <v>1392</v>
      </c>
      <c r="G261" s="778"/>
      <c r="H261" s="788">
        <v>8083.2527631305447</v>
      </c>
      <c r="I261" s="788">
        <v>3380.8182498142537</v>
      </c>
      <c r="J261" s="788">
        <v>1080.2184991478705</v>
      </c>
      <c r="K261" s="788">
        <v>1833.1500383730656</v>
      </c>
      <c r="L261" s="788">
        <v>747.29246585791475</v>
      </c>
      <c r="M261" s="788">
        <v>706.73513875935555</v>
      </c>
      <c r="N261" s="788">
        <v>322.03030183340189</v>
      </c>
      <c r="O261" s="788">
        <v>13.008069344683546</v>
      </c>
      <c r="P261" s="772">
        <v>0</v>
      </c>
      <c r="Q261" s="774"/>
      <c r="R261" s="774">
        <v>291</v>
      </c>
      <c r="S261" s="774"/>
      <c r="T261" s="774"/>
      <c r="U261" s="774"/>
      <c r="V261" s="774"/>
    </row>
    <row r="262" spans="1:22" hidden="1">
      <c r="A262" s="786">
        <v>262</v>
      </c>
      <c r="B262" s="767"/>
      <c r="C262" s="767"/>
      <c r="D262" s="767"/>
      <c r="E262" s="820" t="s">
        <v>718</v>
      </c>
      <c r="F262" s="806" t="s">
        <v>1392</v>
      </c>
      <c r="G262" s="778"/>
      <c r="H262" s="788">
        <v>1718173.1561006848</v>
      </c>
      <c r="I262" s="788">
        <v>718625.45100426383</v>
      </c>
      <c r="J262" s="788">
        <v>229610.83642279106</v>
      </c>
      <c r="K262" s="788">
        <v>389653.68018724601</v>
      </c>
      <c r="L262" s="788">
        <v>158844.20445811815</v>
      </c>
      <c r="M262" s="788">
        <v>150223.35431944806</v>
      </c>
      <c r="N262" s="788">
        <v>68450.639399140156</v>
      </c>
      <c r="O262" s="788">
        <v>2764.9903096777057</v>
      </c>
      <c r="P262" s="772">
        <v>0</v>
      </c>
      <c r="Q262" s="774"/>
      <c r="R262" s="774">
        <v>292</v>
      </c>
      <c r="S262" s="774"/>
      <c r="T262" s="774"/>
      <c r="U262" s="774"/>
      <c r="V262" s="774"/>
    </row>
    <row r="263" spans="1:22" hidden="1">
      <c r="A263" s="786">
        <v>263</v>
      </c>
      <c r="B263" s="767"/>
      <c r="C263" s="767"/>
      <c r="D263" s="767"/>
      <c r="E263" s="767" t="s">
        <v>761</v>
      </c>
      <c r="F263" s="806"/>
      <c r="G263" s="778"/>
      <c r="H263" s="788">
        <v>1726256.4088638155</v>
      </c>
      <c r="I263" s="788">
        <v>722006.26925407804</v>
      </c>
      <c r="J263" s="788">
        <v>230691.05492193892</v>
      </c>
      <c r="K263" s="788">
        <v>391486.83022561908</v>
      </c>
      <c r="L263" s="788">
        <v>159591.49692397608</v>
      </c>
      <c r="M263" s="788">
        <v>150930.08945820743</v>
      </c>
      <c r="N263" s="788">
        <v>68772.669700973565</v>
      </c>
      <c r="O263" s="788">
        <v>2777.9983790223891</v>
      </c>
      <c r="P263" s="772">
        <v>0</v>
      </c>
      <c r="Q263" s="774"/>
      <c r="R263" s="774"/>
      <c r="S263" s="774"/>
      <c r="T263" s="774"/>
      <c r="U263" s="774"/>
      <c r="V263" s="774"/>
    </row>
    <row r="264" spans="1:22" hidden="1">
      <c r="A264" s="786">
        <v>264</v>
      </c>
      <c r="B264" s="767"/>
      <c r="C264" s="767"/>
      <c r="D264" s="767"/>
      <c r="E264" s="767"/>
      <c r="F264" s="806"/>
      <c r="G264" s="778"/>
      <c r="H264" s="788"/>
      <c r="I264" s="788"/>
      <c r="J264" s="788"/>
      <c r="K264" s="788"/>
      <c r="L264" s="788"/>
      <c r="M264" s="788"/>
      <c r="N264" s="788"/>
      <c r="O264" s="788"/>
      <c r="P264" s="772"/>
      <c r="R264" s="774"/>
    </row>
    <row r="265" spans="1:22" hidden="1">
      <c r="A265" s="786">
        <v>265</v>
      </c>
      <c r="B265" s="767"/>
      <c r="C265" s="767" t="s">
        <v>762</v>
      </c>
      <c r="D265" s="767" t="s">
        <v>763</v>
      </c>
      <c r="E265" s="767"/>
      <c r="F265" s="806" t="s">
        <v>1392</v>
      </c>
      <c r="G265" s="778"/>
      <c r="H265" s="788">
        <v>63789.655128799524</v>
      </c>
      <c r="I265" s="788">
        <v>26680.005751209475</v>
      </c>
      <c r="J265" s="788">
        <v>8524.6332811328957</v>
      </c>
      <c r="K265" s="788">
        <v>14466.454554103984</v>
      </c>
      <c r="L265" s="788">
        <v>5897.3200609113146</v>
      </c>
      <c r="M265" s="788">
        <v>5577.2585727485912</v>
      </c>
      <c r="N265" s="788">
        <v>2541.3286577741733</v>
      </c>
      <c r="O265" s="788">
        <v>102.65425091909522</v>
      </c>
      <c r="P265" s="772">
        <v>0</v>
      </c>
      <c r="Q265" s="774"/>
      <c r="R265" s="774">
        <v>296</v>
      </c>
      <c r="S265" s="774"/>
      <c r="T265" s="774"/>
      <c r="U265" s="774"/>
      <c r="V265" s="774"/>
    </row>
    <row r="266" spans="1:22" hidden="1">
      <c r="A266" s="786">
        <v>266</v>
      </c>
      <c r="B266" s="767"/>
      <c r="C266" s="767"/>
      <c r="D266" s="767"/>
      <c r="E266" s="820" t="s">
        <v>718</v>
      </c>
      <c r="F266" s="806" t="s">
        <v>1392</v>
      </c>
      <c r="G266" s="778"/>
      <c r="H266" s="788">
        <v>452043.69433969475</v>
      </c>
      <c r="I266" s="788">
        <v>189067.15109886197</v>
      </c>
      <c r="J266" s="788">
        <v>60409.587001429958</v>
      </c>
      <c r="K266" s="788">
        <v>102516.145406813</v>
      </c>
      <c r="L266" s="788">
        <v>41791.201749801869</v>
      </c>
      <c r="M266" s="788">
        <v>39523.094527199595</v>
      </c>
      <c r="N266" s="788">
        <v>18009.057936933768</v>
      </c>
      <c r="O266" s="788">
        <v>727.45661865463512</v>
      </c>
      <c r="P266" s="772">
        <v>0</v>
      </c>
      <c r="Q266" s="774"/>
      <c r="R266" s="774">
        <v>297</v>
      </c>
      <c r="S266" s="774"/>
      <c r="T266" s="774"/>
      <c r="U266" s="774"/>
      <c r="V266" s="774"/>
    </row>
    <row r="267" spans="1:22" hidden="1">
      <c r="A267" s="786">
        <v>267</v>
      </c>
      <c r="B267" s="767"/>
      <c r="C267" s="767"/>
      <c r="D267" s="767"/>
      <c r="E267" s="767" t="s">
        <v>764</v>
      </c>
      <c r="F267" s="806"/>
      <c r="G267" s="778"/>
      <c r="H267" s="788">
        <v>515833.3494684943</v>
      </c>
      <c r="I267" s="788">
        <v>215747.15685007145</v>
      </c>
      <c r="J267" s="788">
        <v>68934.220282562848</v>
      </c>
      <c r="K267" s="788">
        <v>116982.59996091698</v>
      </c>
      <c r="L267" s="788">
        <v>47688.52181071318</v>
      </c>
      <c r="M267" s="788">
        <v>45100.353099948188</v>
      </c>
      <c r="N267" s="788">
        <v>20550.386594707943</v>
      </c>
      <c r="O267" s="788">
        <v>830.11086957373038</v>
      </c>
      <c r="P267" s="772">
        <v>0</v>
      </c>
      <c r="Q267" s="774"/>
      <c r="R267" s="774"/>
      <c r="S267" s="774"/>
      <c r="T267" s="774"/>
      <c r="U267" s="774"/>
      <c r="V267" s="774"/>
    </row>
    <row r="268" spans="1:22" hidden="1">
      <c r="A268" s="786">
        <v>268</v>
      </c>
      <c r="B268" s="767"/>
      <c r="C268" s="767"/>
      <c r="D268" s="767"/>
      <c r="E268" s="767"/>
      <c r="F268" s="806"/>
      <c r="G268" s="778"/>
      <c r="H268" s="788"/>
      <c r="I268" s="788"/>
      <c r="J268" s="788"/>
      <c r="K268" s="788"/>
      <c r="L268" s="788"/>
      <c r="M268" s="788"/>
      <c r="N268" s="788"/>
      <c r="O268" s="788"/>
      <c r="P268" s="772"/>
      <c r="R268" s="774"/>
    </row>
    <row r="269" spans="1:22" hidden="1">
      <c r="A269" s="786">
        <v>269</v>
      </c>
      <c r="B269" s="767"/>
      <c r="C269" s="767" t="s">
        <v>765</v>
      </c>
      <c r="D269" s="767"/>
      <c r="E269" s="767"/>
      <c r="F269" s="806"/>
      <c r="G269" s="778"/>
      <c r="H269" s="788">
        <v>67558959.042696968</v>
      </c>
      <c r="I269" s="788">
        <v>28110513.344286531</v>
      </c>
      <c r="J269" s="788">
        <v>9044849.1615427192</v>
      </c>
      <c r="K269" s="788">
        <v>15357607.22084211</v>
      </c>
      <c r="L269" s="788">
        <v>6273386.5799884982</v>
      </c>
      <c r="M269" s="788">
        <v>5962381.6223574514</v>
      </c>
      <c r="N269" s="788">
        <v>2695870.5288230516</v>
      </c>
      <c r="O269" s="788">
        <v>114350.58485659414</v>
      </c>
      <c r="P269" s="772">
        <v>0</v>
      </c>
      <c r="Q269" s="774"/>
      <c r="R269" s="774"/>
      <c r="S269" s="774"/>
      <c r="T269" s="774"/>
      <c r="U269" s="774"/>
      <c r="V269" s="774"/>
    </row>
    <row r="270" spans="1:22" hidden="1">
      <c r="A270" s="786">
        <v>270</v>
      </c>
      <c r="B270" s="767"/>
      <c r="C270" s="767"/>
      <c r="D270" s="767"/>
      <c r="E270" s="767"/>
      <c r="F270" s="806"/>
      <c r="G270" s="778"/>
      <c r="H270" s="810"/>
      <c r="I270" s="810"/>
      <c r="J270" s="810"/>
      <c r="K270" s="810"/>
      <c r="L270" s="810"/>
      <c r="M270" s="810"/>
      <c r="N270" s="810"/>
      <c r="O270" s="810"/>
      <c r="P270" s="772"/>
      <c r="R270" s="774"/>
    </row>
    <row r="271" spans="1:22" hidden="1">
      <c r="A271" s="786">
        <v>271</v>
      </c>
      <c r="B271" s="767"/>
      <c r="C271" s="767"/>
      <c r="D271" s="767"/>
      <c r="E271" s="767"/>
      <c r="F271" s="806"/>
      <c r="G271" s="778"/>
      <c r="H271" s="788"/>
      <c r="I271" s="788"/>
      <c r="J271" s="788"/>
      <c r="K271" s="788"/>
      <c r="L271" s="788"/>
      <c r="M271" s="788"/>
      <c r="N271" s="788"/>
      <c r="O271" s="788"/>
      <c r="P271" s="772"/>
      <c r="R271" s="774"/>
    </row>
    <row r="272" spans="1:22" hidden="1">
      <c r="A272" s="786">
        <v>272</v>
      </c>
      <c r="B272" s="767"/>
      <c r="D272" s="795"/>
      <c r="E272" s="795"/>
      <c r="F272" s="806"/>
      <c r="H272" s="817" t="s">
        <v>766</v>
      </c>
      <c r="I272" s="817"/>
      <c r="J272" s="817"/>
      <c r="K272" s="817"/>
      <c r="L272" s="817"/>
      <c r="M272" s="817"/>
      <c r="N272" s="817"/>
      <c r="O272" s="817"/>
      <c r="P272" s="772"/>
      <c r="R272" s="774"/>
    </row>
    <row r="273" spans="1:22" hidden="1">
      <c r="A273" s="786">
        <v>273</v>
      </c>
      <c r="B273" s="767"/>
      <c r="C273" s="767"/>
      <c r="D273" s="767"/>
      <c r="E273" s="767"/>
      <c r="F273" s="806"/>
      <c r="G273" s="778"/>
      <c r="H273" s="810"/>
      <c r="I273" s="810"/>
      <c r="J273" s="810"/>
      <c r="K273" s="810"/>
      <c r="L273" s="810"/>
      <c r="M273" s="810"/>
      <c r="N273" s="810"/>
      <c r="O273" s="810"/>
      <c r="P273" s="772"/>
      <c r="R273" s="774"/>
    </row>
    <row r="274" spans="1:22" hidden="1">
      <c r="A274" s="786">
        <v>274</v>
      </c>
      <c r="B274" s="767"/>
      <c r="C274" s="767"/>
      <c r="D274" s="767"/>
      <c r="E274" s="767"/>
      <c r="F274" s="806"/>
      <c r="G274" s="778"/>
      <c r="H274" s="788"/>
      <c r="I274" s="788"/>
      <c r="J274" s="788"/>
      <c r="K274" s="788"/>
      <c r="L274" s="788"/>
      <c r="M274" s="788"/>
      <c r="N274" s="788"/>
      <c r="O274" s="788"/>
      <c r="P274" s="772"/>
      <c r="R274" s="774"/>
    </row>
    <row r="275" spans="1:22" hidden="1">
      <c r="A275" s="786">
        <v>275</v>
      </c>
      <c r="B275" s="767"/>
      <c r="C275" s="767" t="s">
        <v>767</v>
      </c>
      <c r="D275" s="767" t="s">
        <v>768</v>
      </c>
      <c r="E275" s="767"/>
      <c r="F275" s="806" t="s">
        <v>1392</v>
      </c>
      <c r="G275" s="778"/>
      <c r="H275" s="788">
        <v>0</v>
      </c>
      <c r="I275" s="788">
        <v>0</v>
      </c>
      <c r="J275" s="788">
        <v>0</v>
      </c>
      <c r="K275" s="788">
        <v>0</v>
      </c>
      <c r="L275" s="788">
        <v>0</v>
      </c>
      <c r="M275" s="788">
        <v>0</v>
      </c>
      <c r="N275" s="788">
        <v>0</v>
      </c>
      <c r="O275" s="788">
        <v>0</v>
      </c>
      <c r="P275" s="772">
        <v>0</v>
      </c>
      <c r="Q275" s="774"/>
      <c r="R275" s="774">
        <v>304</v>
      </c>
      <c r="S275" s="774"/>
      <c r="T275" s="774"/>
      <c r="U275" s="774"/>
      <c r="V275" s="774"/>
    </row>
    <row r="276" spans="1:22" hidden="1">
      <c r="A276" s="786">
        <v>276</v>
      </c>
      <c r="B276" s="767"/>
      <c r="C276" s="767"/>
      <c r="D276" s="767"/>
      <c r="E276" s="767"/>
      <c r="F276" s="806"/>
      <c r="G276" s="778"/>
      <c r="H276" s="788"/>
      <c r="I276" s="788"/>
      <c r="J276" s="788"/>
      <c r="K276" s="788"/>
      <c r="L276" s="788"/>
      <c r="M276" s="788"/>
      <c r="N276" s="788"/>
      <c r="O276" s="788"/>
      <c r="P276" s="772"/>
      <c r="R276" s="774"/>
    </row>
    <row r="277" spans="1:22" hidden="1">
      <c r="A277" s="786">
        <v>277</v>
      </c>
      <c r="B277" s="767"/>
      <c r="C277" s="767" t="s">
        <v>769</v>
      </c>
      <c r="D277" s="767" t="s">
        <v>770</v>
      </c>
      <c r="E277" s="767"/>
      <c r="F277" s="806" t="s">
        <v>1392</v>
      </c>
      <c r="G277" s="778"/>
      <c r="H277" s="788">
        <v>0</v>
      </c>
      <c r="I277" s="788">
        <v>0</v>
      </c>
      <c r="J277" s="788">
        <v>0</v>
      </c>
      <c r="K277" s="788">
        <v>0</v>
      </c>
      <c r="L277" s="788">
        <v>0</v>
      </c>
      <c r="M277" s="788">
        <v>0</v>
      </c>
      <c r="N277" s="788">
        <v>0</v>
      </c>
      <c r="O277" s="788">
        <v>0</v>
      </c>
      <c r="P277" s="772">
        <v>0</v>
      </c>
      <c r="Q277" s="774"/>
      <c r="R277" s="774">
        <v>308</v>
      </c>
      <c r="S277" s="774"/>
      <c r="T277" s="774"/>
      <c r="U277" s="774"/>
      <c r="V277" s="774"/>
    </row>
    <row r="278" spans="1:22" hidden="1">
      <c r="A278" s="786">
        <v>278</v>
      </c>
      <c r="B278" s="767"/>
      <c r="C278" s="767"/>
      <c r="D278" s="767"/>
      <c r="E278" s="767"/>
      <c r="F278" s="806"/>
      <c r="G278" s="778"/>
      <c r="H278" s="788"/>
      <c r="I278" s="788"/>
      <c r="J278" s="788"/>
      <c r="K278" s="788"/>
      <c r="L278" s="788"/>
      <c r="M278" s="788"/>
      <c r="N278" s="788"/>
      <c r="O278" s="788"/>
      <c r="P278" s="772"/>
      <c r="R278" s="774"/>
    </row>
    <row r="279" spans="1:22" hidden="1">
      <c r="A279" s="786">
        <v>279</v>
      </c>
      <c r="B279" s="767"/>
      <c r="C279" s="767" t="s">
        <v>771</v>
      </c>
      <c r="D279" s="767" t="s">
        <v>772</v>
      </c>
      <c r="E279" s="767"/>
      <c r="F279" s="806" t="s">
        <v>1392</v>
      </c>
      <c r="G279" s="778"/>
      <c r="H279" s="788">
        <v>0</v>
      </c>
      <c r="I279" s="788">
        <v>0</v>
      </c>
      <c r="J279" s="788">
        <v>0</v>
      </c>
      <c r="K279" s="788">
        <v>0</v>
      </c>
      <c r="L279" s="788">
        <v>0</v>
      </c>
      <c r="M279" s="788">
        <v>0</v>
      </c>
      <c r="N279" s="788">
        <v>0</v>
      </c>
      <c r="O279" s="788">
        <v>0</v>
      </c>
      <c r="P279" s="772">
        <v>0</v>
      </c>
      <c r="Q279" s="774"/>
      <c r="R279" s="774">
        <v>313</v>
      </c>
      <c r="S279" s="774"/>
      <c r="T279" s="774"/>
      <c r="U279" s="774"/>
      <c r="V279" s="774"/>
    </row>
    <row r="280" spans="1:22" hidden="1">
      <c r="A280" s="786">
        <v>280</v>
      </c>
      <c r="B280" s="767"/>
      <c r="C280" s="767"/>
      <c r="D280" s="767"/>
      <c r="E280" s="767"/>
      <c r="F280" s="806"/>
      <c r="G280" s="778"/>
      <c r="H280" s="788"/>
      <c r="I280" s="788"/>
      <c r="J280" s="788"/>
      <c r="K280" s="788"/>
      <c r="L280" s="788"/>
      <c r="M280" s="788"/>
      <c r="N280" s="788"/>
      <c r="O280" s="788"/>
      <c r="P280" s="772"/>
      <c r="R280" s="774"/>
    </row>
    <row r="281" spans="1:22" hidden="1">
      <c r="A281" s="786">
        <v>281</v>
      </c>
      <c r="B281" s="767"/>
      <c r="C281" s="767" t="s">
        <v>773</v>
      </c>
      <c r="D281" s="767" t="s">
        <v>731</v>
      </c>
      <c r="E281" s="767"/>
      <c r="F281" s="806" t="s">
        <v>1392</v>
      </c>
      <c r="G281" s="778"/>
      <c r="H281" s="788">
        <v>0</v>
      </c>
      <c r="I281" s="788">
        <v>0</v>
      </c>
      <c r="J281" s="788">
        <v>0</v>
      </c>
      <c r="K281" s="788">
        <v>0</v>
      </c>
      <c r="L281" s="788">
        <v>0</v>
      </c>
      <c r="M281" s="788">
        <v>0</v>
      </c>
      <c r="N281" s="788">
        <v>0</v>
      </c>
      <c r="O281" s="788">
        <v>0</v>
      </c>
      <c r="P281" s="772">
        <v>0</v>
      </c>
      <c r="Q281" s="774"/>
      <c r="R281" s="774">
        <v>317</v>
      </c>
      <c r="S281" s="774"/>
      <c r="T281" s="774"/>
      <c r="U281" s="774"/>
      <c r="V281" s="774"/>
    </row>
    <row r="282" spans="1:22" hidden="1">
      <c r="A282" s="786">
        <v>282</v>
      </c>
      <c r="B282" s="767"/>
      <c r="C282" s="767"/>
      <c r="D282" s="767"/>
      <c r="E282" s="767"/>
      <c r="F282" s="806"/>
      <c r="G282" s="778"/>
      <c r="H282" s="788"/>
      <c r="I282" s="788"/>
      <c r="J282" s="788"/>
      <c r="K282" s="788"/>
      <c r="L282" s="788"/>
      <c r="M282" s="788"/>
      <c r="N282" s="788"/>
      <c r="O282" s="788"/>
      <c r="P282" s="772"/>
      <c r="R282" s="774"/>
    </row>
    <row r="283" spans="1:22" hidden="1">
      <c r="A283" s="786">
        <v>283</v>
      </c>
      <c r="B283" s="767"/>
      <c r="C283" s="767" t="s">
        <v>774</v>
      </c>
      <c r="D283" s="767" t="s">
        <v>742</v>
      </c>
      <c r="E283" s="767"/>
      <c r="F283" s="806" t="s">
        <v>1392</v>
      </c>
      <c r="G283" s="778"/>
      <c r="H283" s="788">
        <v>0</v>
      </c>
      <c r="I283" s="788">
        <v>0</v>
      </c>
      <c r="J283" s="788">
        <v>0</v>
      </c>
      <c r="K283" s="788">
        <v>0</v>
      </c>
      <c r="L283" s="788">
        <v>0</v>
      </c>
      <c r="M283" s="788">
        <v>0</v>
      </c>
      <c r="N283" s="788">
        <v>0</v>
      </c>
      <c r="O283" s="788">
        <v>0</v>
      </c>
      <c r="P283" s="772">
        <v>0</v>
      </c>
      <c r="Q283" s="774"/>
      <c r="R283" s="774">
        <v>321</v>
      </c>
      <c r="S283" s="774"/>
      <c r="T283" s="774"/>
      <c r="U283" s="774"/>
      <c r="V283" s="774"/>
    </row>
    <row r="284" spans="1:22" hidden="1">
      <c r="A284" s="786">
        <v>284</v>
      </c>
      <c r="B284" s="767"/>
      <c r="C284" s="767"/>
      <c r="D284" s="767"/>
      <c r="E284" s="767"/>
      <c r="F284" s="806"/>
      <c r="G284" s="778"/>
      <c r="H284" s="788"/>
      <c r="I284" s="788"/>
      <c r="J284" s="788"/>
      <c r="K284" s="788"/>
      <c r="L284" s="788"/>
      <c r="M284" s="788"/>
      <c r="N284" s="788"/>
      <c r="O284" s="788"/>
      <c r="P284" s="772"/>
      <c r="R284" s="774"/>
    </row>
    <row r="285" spans="1:22" hidden="1">
      <c r="A285" s="786">
        <v>285</v>
      </c>
      <c r="B285" s="767"/>
      <c r="C285" s="767" t="s">
        <v>775</v>
      </c>
      <c r="D285" s="767" t="s">
        <v>776</v>
      </c>
      <c r="E285" s="767"/>
      <c r="F285" s="806" t="s">
        <v>1392</v>
      </c>
      <c r="G285" s="778"/>
      <c r="H285" s="788">
        <v>0</v>
      </c>
      <c r="I285" s="788">
        <v>0</v>
      </c>
      <c r="J285" s="788">
        <v>0</v>
      </c>
      <c r="K285" s="788">
        <v>0</v>
      </c>
      <c r="L285" s="788">
        <v>0</v>
      </c>
      <c r="M285" s="788">
        <v>0</v>
      </c>
      <c r="N285" s="788">
        <v>0</v>
      </c>
      <c r="O285" s="788">
        <v>0</v>
      </c>
      <c r="P285" s="772">
        <v>0</v>
      </c>
      <c r="Q285" s="774"/>
      <c r="R285" s="774">
        <v>325</v>
      </c>
      <c r="S285" s="774"/>
      <c r="T285" s="774"/>
      <c r="U285" s="774"/>
      <c r="V285" s="774"/>
    </row>
    <row r="286" spans="1:22" hidden="1">
      <c r="A286" s="786">
        <v>286</v>
      </c>
      <c r="B286" s="767"/>
      <c r="C286" s="767"/>
      <c r="D286" s="767"/>
      <c r="E286" s="767"/>
      <c r="F286" s="806"/>
      <c r="G286" s="778"/>
      <c r="H286" s="788"/>
      <c r="I286" s="788"/>
      <c r="J286" s="788"/>
      <c r="K286" s="788"/>
      <c r="L286" s="788"/>
      <c r="M286" s="788"/>
      <c r="N286" s="788"/>
      <c r="O286" s="788"/>
      <c r="P286" s="772"/>
      <c r="R286" s="774"/>
    </row>
    <row r="287" spans="1:22" hidden="1">
      <c r="A287" s="786">
        <v>287</v>
      </c>
      <c r="B287" s="767"/>
      <c r="C287" s="767" t="s">
        <v>777</v>
      </c>
      <c r="D287" s="767" t="s">
        <v>778</v>
      </c>
      <c r="E287" s="767"/>
      <c r="F287" s="806" t="s">
        <v>1392</v>
      </c>
      <c r="G287" s="778"/>
      <c r="H287" s="788">
        <v>0</v>
      </c>
      <c r="I287" s="788">
        <v>0</v>
      </c>
      <c r="J287" s="788">
        <v>0</v>
      </c>
      <c r="K287" s="788">
        <v>0</v>
      </c>
      <c r="L287" s="788">
        <v>0</v>
      </c>
      <c r="M287" s="788">
        <v>0</v>
      </c>
      <c r="N287" s="788">
        <v>0</v>
      </c>
      <c r="O287" s="788">
        <v>0</v>
      </c>
      <c r="P287" s="772">
        <v>0</v>
      </c>
      <c r="Q287" s="774"/>
      <c r="R287" s="774">
        <v>329</v>
      </c>
      <c r="S287" s="774"/>
      <c r="T287" s="774"/>
      <c r="U287" s="774"/>
      <c r="V287" s="774"/>
    </row>
    <row r="288" spans="1:22" hidden="1">
      <c r="A288" s="786">
        <v>288</v>
      </c>
      <c r="B288" s="767"/>
      <c r="C288" s="767"/>
      <c r="D288" s="767"/>
      <c r="E288" s="767"/>
      <c r="F288" s="806"/>
      <c r="G288" s="778"/>
      <c r="H288" s="788"/>
      <c r="I288" s="788"/>
      <c r="J288" s="788"/>
      <c r="K288" s="788"/>
      <c r="L288" s="788"/>
      <c r="M288" s="788"/>
      <c r="N288" s="788"/>
      <c r="O288" s="788"/>
      <c r="P288" s="772"/>
      <c r="R288" s="774"/>
    </row>
    <row r="289" spans="1:22" hidden="1">
      <c r="A289" s="786">
        <v>289</v>
      </c>
      <c r="B289" s="767"/>
      <c r="C289" s="767" t="s">
        <v>779</v>
      </c>
      <c r="D289" s="767" t="s">
        <v>754</v>
      </c>
      <c r="E289" s="767"/>
      <c r="F289" s="806" t="s">
        <v>1392</v>
      </c>
      <c r="G289" s="778"/>
      <c r="H289" s="788">
        <v>0</v>
      </c>
      <c r="I289" s="788">
        <v>0</v>
      </c>
      <c r="J289" s="788">
        <v>0</v>
      </c>
      <c r="K289" s="788">
        <v>0</v>
      </c>
      <c r="L289" s="788">
        <v>0</v>
      </c>
      <c r="M289" s="788">
        <v>0</v>
      </c>
      <c r="N289" s="788">
        <v>0</v>
      </c>
      <c r="O289" s="788">
        <v>0</v>
      </c>
      <c r="P289" s="772">
        <v>0</v>
      </c>
      <c r="Q289" s="774"/>
      <c r="R289" s="774">
        <v>333</v>
      </c>
      <c r="S289" s="774"/>
      <c r="T289" s="774"/>
      <c r="U289" s="774"/>
      <c r="V289" s="774"/>
    </row>
    <row r="290" spans="1:22" hidden="1">
      <c r="A290" s="786">
        <v>290</v>
      </c>
      <c r="B290" s="767"/>
      <c r="C290" s="767"/>
      <c r="D290" s="767"/>
      <c r="E290" s="767"/>
      <c r="F290" s="806"/>
      <c r="G290" s="778"/>
      <c r="H290" s="788"/>
      <c r="I290" s="788"/>
      <c r="J290" s="788"/>
      <c r="K290" s="788"/>
      <c r="L290" s="788"/>
      <c r="M290" s="788"/>
      <c r="N290" s="788"/>
      <c r="O290" s="788"/>
      <c r="P290" s="772"/>
      <c r="R290" s="774"/>
    </row>
    <row r="291" spans="1:22" hidden="1">
      <c r="A291" s="786">
        <v>291</v>
      </c>
      <c r="B291" s="767"/>
      <c r="C291" s="767" t="s">
        <v>780</v>
      </c>
      <c r="D291" s="767" t="s">
        <v>781</v>
      </c>
      <c r="E291" s="767"/>
      <c r="F291" s="806" t="s">
        <v>1392</v>
      </c>
      <c r="G291" s="778"/>
      <c r="H291" s="788">
        <v>0</v>
      </c>
      <c r="I291" s="788">
        <v>0</v>
      </c>
      <c r="J291" s="788">
        <v>0</v>
      </c>
      <c r="K291" s="788">
        <v>0</v>
      </c>
      <c r="L291" s="788">
        <v>0</v>
      </c>
      <c r="M291" s="788">
        <v>0</v>
      </c>
      <c r="N291" s="788">
        <v>0</v>
      </c>
      <c r="O291" s="788">
        <v>0</v>
      </c>
      <c r="P291" s="772">
        <v>0</v>
      </c>
      <c r="Q291" s="774"/>
      <c r="R291" s="774">
        <v>337</v>
      </c>
      <c r="S291" s="774"/>
      <c r="T291" s="774"/>
      <c r="U291" s="774"/>
      <c r="V291" s="774"/>
    </row>
    <row r="292" spans="1:22" hidden="1">
      <c r="A292" s="786">
        <v>292</v>
      </c>
      <c r="B292" s="767"/>
      <c r="C292" s="767"/>
      <c r="D292" s="767"/>
      <c r="E292" s="767"/>
      <c r="F292" s="806"/>
      <c r="G292" s="778"/>
      <c r="H292" s="788"/>
      <c r="I292" s="788"/>
      <c r="J292" s="788"/>
      <c r="K292" s="788"/>
      <c r="L292" s="788"/>
      <c r="M292" s="788"/>
      <c r="N292" s="788"/>
      <c r="O292" s="788"/>
      <c r="P292" s="772"/>
      <c r="R292" s="774"/>
    </row>
    <row r="293" spans="1:22" hidden="1">
      <c r="A293" s="786">
        <v>293</v>
      </c>
      <c r="B293" s="767"/>
      <c r="C293" s="767" t="s">
        <v>782</v>
      </c>
      <c r="D293" s="767" t="s">
        <v>760</v>
      </c>
      <c r="E293" s="767"/>
      <c r="F293" s="806" t="s">
        <v>1392</v>
      </c>
      <c r="G293" s="778"/>
      <c r="H293" s="788">
        <v>0</v>
      </c>
      <c r="I293" s="788">
        <v>0</v>
      </c>
      <c r="J293" s="788">
        <v>0</v>
      </c>
      <c r="K293" s="788">
        <v>0</v>
      </c>
      <c r="L293" s="788">
        <v>0</v>
      </c>
      <c r="M293" s="788">
        <v>0</v>
      </c>
      <c r="N293" s="788">
        <v>0</v>
      </c>
      <c r="O293" s="788">
        <v>0</v>
      </c>
      <c r="P293" s="772">
        <v>0</v>
      </c>
      <c r="Q293" s="774"/>
      <c r="R293" s="774">
        <v>341</v>
      </c>
      <c r="S293" s="774"/>
      <c r="T293" s="774"/>
      <c r="U293" s="774"/>
      <c r="V293" s="774"/>
    </row>
    <row r="294" spans="1:22" hidden="1">
      <c r="A294" s="786">
        <v>294</v>
      </c>
      <c r="B294" s="767"/>
      <c r="C294" s="767"/>
      <c r="D294" s="767"/>
      <c r="E294" s="767"/>
      <c r="F294" s="806"/>
      <c r="G294" s="778"/>
      <c r="H294" s="788"/>
      <c r="I294" s="788"/>
      <c r="J294" s="788"/>
      <c r="K294" s="788"/>
      <c r="L294" s="788"/>
      <c r="M294" s="788"/>
      <c r="N294" s="788"/>
      <c r="O294" s="788"/>
      <c r="P294" s="772"/>
      <c r="R294" s="774"/>
    </row>
    <row r="295" spans="1:22" hidden="1">
      <c r="A295" s="786">
        <v>295</v>
      </c>
      <c r="B295" s="767"/>
      <c r="C295" s="767" t="s">
        <v>783</v>
      </c>
      <c r="D295" s="767" t="s">
        <v>784</v>
      </c>
      <c r="E295" s="767"/>
      <c r="F295" s="806" t="s">
        <v>1392</v>
      </c>
      <c r="G295" s="778"/>
      <c r="H295" s="788">
        <v>0</v>
      </c>
      <c r="I295" s="788">
        <v>0</v>
      </c>
      <c r="J295" s="788">
        <v>0</v>
      </c>
      <c r="K295" s="788">
        <v>0</v>
      </c>
      <c r="L295" s="788">
        <v>0</v>
      </c>
      <c r="M295" s="788">
        <v>0</v>
      </c>
      <c r="N295" s="788">
        <v>0</v>
      </c>
      <c r="O295" s="788">
        <v>0</v>
      </c>
      <c r="P295" s="772">
        <v>0</v>
      </c>
      <c r="Q295" s="774"/>
      <c r="R295" s="774">
        <v>345</v>
      </c>
      <c r="S295" s="774"/>
      <c r="T295" s="774"/>
      <c r="U295" s="774"/>
      <c r="V295" s="774"/>
    </row>
    <row r="296" spans="1:22" hidden="1">
      <c r="A296" s="786">
        <v>296</v>
      </c>
      <c r="B296" s="767"/>
      <c r="C296" s="767"/>
      <c r="D296" s="767"/>
      <c r="E296" s="767"/>
      <c r="F296" s="806"/>
      <c r="G296" s="778"/>
      <c r="H296" s="788"/>
      <c r="I296" s="788"/>
      <c r="J296" s="788"/>
      <c r="K296" s="788"/>
      <c r="L296" s="788"/>
      <c r="M296" s="788"/>
      <c r="N296" s="788"/>
      <c r="O296" s="788"/>
      <c r="P296" s="772"/>
      <c r="R296" s="774"/>
    </row>
    <row r="297" spans="1:22" hidden="1">
      <c r="A297" s="786">
        <v>297</v>
      </c>
      <c r="B297" s="767"/>
      <c r="C297" s="767" t="s">
        <v>785</v>
      </c>
      <c r="D297" s="767"/>
      <c r="E297" s="767"/>
      <c r="F297" s="806"/>
      <c r="G297" s="778"/>
      <c r="H297" s="788">
        <v>0</v>
      </c>
      <c r="I297" s="788">
        <v>0</v>
      </c>
      <c r="J297" s="788">
        <v>0</v>
      </c>
      <c r="K297" s="788">
        <v>0</v>
      </c>
      <c r="L297" s="788">
        <v>0</v>
      </c>
      <c r="M297" s="788">
        <v>0</v>
      </c>
      <c r="N297" s="788">
        <v>0</v>
      </c>
      <c r="O297" s="788">
        <v>0</v>
      </c>
      <c r="P297" s="772">
        <v>0</v>
      </c>
      <c r="Q297" s="774"/>
      <c r="R297" s="774">
        <v>348</v>
      </c>
      <c r="S297" s="774"/>
      <c r="T297" s="774"/>
      <c r="U297" s="774"/>
      <c r="V297" s="774"/>
    </row>
    <row r="298" spans="1:22" hidden="1">
      <c r="A298" s="786">
        <v>298</v>
      </c>
      <c r="B298" s="767"/>
      <c r="C298" s="767"/>
      <c r="D298" s="767"/>
      <c r="E298" s="767"/>
      <c r="F298" s="806"/>
      <c r="G298" s="778"/>
      <c r="H298" s="788"/>
      <c r="I298" s="788"/>
      <c r="J298" s="788"/>
      <c r="K298" s="788"/>
      <c r="L298" s="788"/>
      <c r="M298" s="788"/>
      <c r="N298" s="788"/>
      <c r="O298" s="788"/>
      <c r="P298" s="772"/>
      <c r="R298" s="774"/>
    </row>
    <row r="299" spans="1:22" hidden="1">
      <c r="A299" s="786">
        <v>299</v>
      </c>
      <c r="B299" s="767"/>
      <c r="C299" s="767"/>
      <c r="D299" s="767"/>
      <c r="E299" s="767"/>
      <c r="F299" s="806"/>
      <c r="G299" s="778"/>
      <c r="H299" s="788"/>
      <c r="I299" s="788"/>
      <c r="J299" s="788"/>
      <c r="K299" s="788"/>
      <c r="L299" s="788"/>
      <c r="M299" s="788"/>
      <c r="N299" s="788"/>
      <c r="O299" s="788"/>
      <c r="P299" s="772"/>
      <c r="R299" s="774"/>
    </row>
    <row r="300" spans="1:22" hidden="1">
      <c r="A300" s="786">
        <v>300</v>
      </c>
      <c r="B300" s="767"/>
      <c r="C300" s="767"/>
      <c r="D300" s="767"/>
      <c r="E300" s="767"/>
      <c r="F300" s="806"/>
      <c r="H300" s="817"/>
      <c r="I300" s="817"/>
      <c r="J300" s="817"/>
      <c r="K300" s="817"/>
      <c r="L300" s="819"/>
      <c r="M300" s="817"/>
      <c r="N300" s="817"/>
      <c r="O300" s="817"/>
      <c r="P300" s="772"/>
      <c r="R300" s="774"/>
    </row>
    <row r="301" spans="1:22" hidden="1">
      <c r="A301" s="786">
        <v>301</v>
      </c>
      <c r="B301" s="767"/>
      <c r="C301" s="781" t="s">
        <v>714</v>
      </c>
      <c r="D301" s="767"/>
      <c r="E301" s="767"/>
      <c r="F301" s="806"/>
      <c r="G301" s="778"/>
      <c r="H301" s="817" t="s">
        <v>786</v>
      </c>
      <c r="I301" s="817"/>
      <c r="J301" s="817"/>
      <c r="K301" s="817"/>
      <c r="L301" s="817"/>
      <c r="M301" s="817"/>
      <c r="N301" s="817"/>
      <c r="O301" s="817"/>
      <c r="P301" s="772"/>
      <c r="R301" s="774"/>
    </row>
    <row r="302" spans="1:22" hidden="1">
      <c r="A302" s="786">
        <v>302</v>
      </c>
      <c r="B302" s="767"/>
      <c r="C302" s="767"/>
      <c r="D302" s="767"/>
      <c r="E302" s="767"/>
      <c r="F302" s="806"/>
      <c r="G302" s="778"/>
      <c r="H302" s="810"/>
      <c r="I302" s="810"/>
      <c r="J302" s="810"/>
      <c r="K302" s="810"/>
      <c r="L302" s="810"/>
      <c r="M302" s="810"/>
      <c r="N302" s="810"/>
      <c r="O302" s="810"/>
      <c r="P302" s="772"/>
      <c r="R302" s="774"/>
    </row>
    <row r="303" spans="1:22" hidden="1">
      <c r="A303" s="786">
        <v>303</v>
      </c>
      <c r="B303" s="767"/>
      <c r="C303" s="777" t="s">
        <v>575</v>
      </c>
      <c r="D303" s="767"/>
      <c r="E303" s="777" t="s">
        <v>576</v>
      </c>
      <c r="F303" s="806" t="s">
        <v>577</v>
      </c>
      <c r="G303" s="778"/>
      <c r="H303" s="777" t="s">
        <v>578</v>
      </c>
      <c r="I303" s="777" t="s">
        <v>579</v>
      </c>
      <c r="J303" s="777" t="s">
        <v>580</v>
      </c>
      <c r="K303" s="777" t="s">
        <v>581</v>
      </c>
      <c r="L303" s="777" t="s">
        <v>582</v>
      </c>
      <c r="M303" s="777" t="s">
        <v>583</v>
      </c>
      <c r="N303" s="777" t="s">
        <v>584</v>
      </c>
      <c r="O303" s="777" t="s">
        <v>585</v>
      </c>
      <c r="P303" s="772"/>
      <c r="R303" s="774"/>
    </row>
    <row r="304" spans="1:22" ht="38.25" hidden="1">
      <c r="A304" s="786">
        <v>304</v>
      </c>
      <c r="B304" s="767"/>
      <c r="C304" s="797" t="s">
        <v>656</v>
      </c>
      <c r="D304" s="781"/>
      <c r="E304" s="782" t="s">
        <v>587</v>
      </c>
      <c r="F304" s="806" t="s">
        <v>1391</v>
      </c>
      <c r="G304" s="783"/>
      <c r="H304" s="784" t="s">
        <v>588</v>
      </c>
      <c r="I304" s="784" t="s">
        <v>589</v>
      </c>
      <c r="J304" s="784" t="s">
        <v>590</v>
      </c>
      <c r="K304" s="784" t="s">
        <v>591</v>
      </c>
      <c r="L304" s="784" t="s">
        <v>592</v>
      </c>
      <c r="M304" s="784" t="s">
        <v>593</v>
      </c>
      <c r="N304" s="784" t="s">
        <v>594</v>
      </c>
      <c r="O304" s="784" t="s">
        <v>595</v>
      </c>
      <c r="P304" s="772"/>
      <c r="R304" s="774"/>
    </row>
    <row r="305" spans="1:22" hidden="1">
      <c r="A305" s="786">
        <v>305</v>
      </c>
      <c r="B305" s="767"/>
      <c r="C305" s="767" t="s">
        <v>787</v>
      </c>
      <c r="D305" s="767" t="s">
        <v>768</v>
      </c>
      <c r="E305" s="767"/>
      <c r="G305" s="778"/>
      <c r="P305" s="763"/>
      <c r="S305" s="774"/>
      <c r="T305" s="774"/>
      <c r="U305" s="774"/>
      <c r="V305" s="774"/>
    </row>
    <row r="306" spans="1:22" hidden="1">
      <c r="A306" s="786">
        <v>306</v>
      </c>
      <c r="B306" s="767"/>
      <c r="C306" s="767"/>
      <c r="D306" s="767"/>
      <c r="E306" s="820" t="s">
        <v>788</v>
      </c>
      <c r="F306" s="806" t="s">
        <v>1392</v>
      </c>
      <c r="G306" s="778"/>
      <c r="H306" s="788">
        <v>16651.631132495226</v>
      </c>
      <c r="I306" s="788">
        <v>6964.5401512982307</v>
      </c>
      <c r="J306" s="788">
        <v>2225.2675398636979</v>
      </c>
      <c r="K306" s="788">
        <v>3776.3186608166666</v>
      </c>
      <c r="L306" s="788">
        <v>1539.4345388179488</v>
      </c>
      <c r="M306" s="788">
        <v>1455.8857905163295</v>
      </c>
      <c r="N306" s="788">
        <v>663.3876184194869</v>
      </c>
      <c r="O306" s="788">
        <v>26.796832762866696</v>
      </c>
      <c r="P306" s="772">
        <v>0</v>
      </c>
      <c r="Q306" s="774"/>
      <c r="R306" s="774">
        <v>353</v>
      </c>
      <c r="S306" s="774"/>
      <c r="T306" s="774"/>
      <c r="U306" s="774"/>
      <c r="V306" s="774"/>
    </row>
    <row r="307" spans="1:22" hidden="1">
      <c r="A307" s="786">
        <v>307</v>
      </c>
      <c r="B307" s="767"/>
      <c r="C307" s="767"/>
      <c r="D307" s="767"/>
      <c r="E307" s="820" t="s">
        <v>719</v>
      </c>
      <c r="F307" s="806" t="s">
        <v>1392</v>
      </c>
      <c r="G307" s="778"/>
      <c r="H307" s="788">
        <v>1853920.2172488305</v>
      </c>
      <c r="I307" s="788">
        <v>775401.62207509915</v>
      </c>
      <c r="J307" s="788">
        <v>247751.613527526</v>
      </c>
      <c r="K307" s="788">
        <v>420438.90213252383</v>
      </c>
      <c r="L307" s="788">
        <v>171393.94885322914</v>
      </c>
      <c r="M307" s="788">
        <v>162091.99444589563</v>
      </c>
      <c r="N307" s="788">
        <v>73858.693354093382</v>
      </c>
      <c r="O307" s="788">
        <v>2983.4428604634863</v>
      </c>
      <c r="P307" s="772">
        <v>0</v>
      </c>
      <c r="Q307" s="774"/>
      <c r="R307" s="774">
        <v>354</v>
      </c>
      <c r="S307" s="774"/>
      <c r="T307" s="774"/>
      <c r="U307" s="774"/>
      <c r="V307" s="774"/>
    </row>
    <row r="308" spans="1:22" hidden="1">
      <c r="A308" s="786">
        <v>308</v>
      </c>
      <c r="B308" s="767"/>
      <c r="C308" s="767"/>
      <c r="D308" s="767"/>
      <c r="E308" s="767"/>
      <c r="F308" s="806"/>
      <c r="G308" s="778"/>
      <c r="H308" s="788"/>
      <c r="I308" s="788"/>
      <c r="J308" s="788"/>
      <c r="K308" s="788"/>
      <c r="L308" s="788"/>
      <c r="M308" s="788"/>
      <c r="N308" s="788"/>
      <c r="O308" s="788"/>
      <c r="P308" s="772"/>
      <c r="R308" s="774"/>
    </row>
    <row r="309" spans="1:22" hidden="1">
      <c r="A309" s="786">
        <v>309</v>
      </c>
      <c r="B309" s="767"/>
      <c r="C309" s="767" t="s">
        <v>789</v>
      </c>
      <c r="D309" s="767" t="s">
        <v>790</v>
      </c>
      <c r="E309" s="767"/>
      <c r="F309" s="806" t="s">
        <v>1392</v>
      </c>
      <c r="G309" s="778"/>
      <c r="H309" s="788">
        <v>8468.316690147356</v>
      </c>
      <c r="I309" s="788">
        <v>3541.8711316122235</v>
      </c>
      <c r="J309" s="788">
        <v>1131.6771370881977</v>
      </c>
      <c r="K309" s="788">
        <v>1920.4762637518663</v>
      </c>
      <c r="L309" s="788">
        <v>782.89142335258066</v>
      </c>
      <c r="M309" s="788">
        <v>740.40205675216271</v>
      </c>
      <c r="N309" s="788">
        <v>337.37093960338228</v>
      </c>
      <c r="O309" s="788">
        <v>13.627737986943218</v>
      </c>
      <c r="P309" s="772">
        <v>0</v>
      </c>
      <c r="Q309" s="774"/>
      <c r="R309" s="774">
        <v>358</v>
      </c>
      <c r="S309" s="774"/>
      <c r="T309" s="774"/>
      <c r="U309" s="774"/>
      <c r="V309" s="774"/>
    </row>
    <row r="310" spans="1:22" hidden="1">
      <c r="A310" s="786">
        <v>310</v>
      </c>
      <c r="B310" s="767"/>
      <c r="C310" s="767"/>
      <c r="D310" s="767"/>
      <c r="E310" s="767"/>
      <c r="F310" s="806"/>
      <c r="G310" s="778"/>
      <c r="H310" s="788"/>
      <c r="I310" s="788"/>
      <c r="J310" s="788"/>
      <c r="K310" s="788"/>
      <c r="L310" s="788"/>
      <c r="M310" s="788"/>
      <c r="N310" s="788"/>
      <c r="O310" s="788"/>
      <c r="P310" s="772"/>
      <c r="R310" s="774"/>
    </row>
    <row r="311" spans="1:22" hidden="1">
      <c r="A311" s="786">
        <v>311</v>
      </c>
      <c r="B311" s="767"/>
      <c r="C311" s="767" t="s">
        <v>791</v>
      </c>
      <c r="D311" s="767" t="s">
        <v>792</v>
      </c>
      <c r="E311" s="767"/>
      <c r="F311" s="806" t="s">
        <v>1392</v>
      </c>
      <c r="G311" s="778"/>
      <c r="H311" s="788">
        <v>865099.97768495337</v>
      </c>
      <c r="I311" s="788">
        <v>361827.82824899262</v>
      </c>
      <c r="J311" s="788">
        <v>115609.02855470986</v>
      </c>
      <c r="K311" s="788">
        <v>196190.58116345815</v>
      </c>
      <c r="L311" s="788">
        <v>79978.037862005571</v>
      </c>
      <c r="M311" s="788">
        <v>75637.440852846034</v>
      </c>
      <c r="N311" s="788">
        <v>34464.888714188979</v>
      </c>
      <c r="O311" s="788">
        <v>1392.1722887522083</v>
      </c>
      <c r="P311" s="772">
        <v>0</v>
      </c>
      <c r="Q311" s="774"/>
      <c r="R311" s="774">
        <v>362</v>
      </c>
      <c r="S311" s="774"/>
      <c r="T311" s="774"/>
      <c r="U311" s="774"/>
      <c r="V311" s="774"/>
    </row>
    <row r="312" spans="1:22" hidden="1">
      <c r="A312" s="786">
        <v>312</v>
      </c>
      <c r="B312" s="767"/>
      <c r="C312" s="767"/>
      <c r="D312" s="767"/>
      <c r="E312" s="767"/>
      <c r="F312" s="806"/>
      <c r="G312" s="778"/>
      <c r="H312" s="788"/>
      <c r="I312" s="788"/>
      <c r="J312" s="788"/>
      <c r="K312" s="788"/>
      <c r="L312" s="788"/>
      <c r="M312" s="788"/>
      <c r="N312" s="788"/>
      <c r="O312" s="788"/>
      <c r="P312" s="772"/>
      <c r="R312" s="774"/>
    </row>
    <row r="313" spans="1:22" hidden="1">
      <c r="A313" s="786">
        <v>313</v>
      </c>
      <c r="B313" s="767"/>
      <c r="C313" s="767" t="s">
        <v>793</v>
      </c>
      <c r="D313" s="767" t="s">
        <v>742</v>
      </c>
      <c r="E313" s="767"/>
      <c r="F313" s="806" t="s">
        <v>1392</v>
      </c>
      <c r="G313" s="778"/>
      <c r="H313" s="788">
        <v>0</v>
      </c>
      <c r="I313" s="788">
        <v>0</v>
      </c>
      <c r="J313" s="788">
        <v>0</v>
      </c>
      <c r="K313" s="788">
        <v>0</v>
      </c>
      <c r="L313" s="788">
        <v>0</v>
      </c>
      <c r="M313" s="788">
        <v>0</v>
      </c>
      <c r="N313" s="788">
        <v>0</v>
      </c>
      <c r="O313" s="788">
        <v>0</v>
      </c>
      <c r="P313" s="772">
        <v>0</v>
      </c>
      <c r="Q313" s="774"/>
      <c r="R313" s="774">
        <v>366</v>
      </c>
      <c r="S313" s="774"/>
      <c r="T313" s="774"/>
      <c r="U313" s="774"/>
      <c r="V313" s="774"/>
    </row>
    <row r="314" spans="1:22" hidden="1">
      <c r="A314" s="786">
        <v>314</v>
      </c>
      <c r="B314" s="767"/>
      <c r="C314" s="767"/>
      <c r="D314" s="767"/>
      <c r="E314" s="767"/>
      <c r="F314" s="806"/>
      <c r="G314" s="778"/>
      <c r="H314" s="788"/>
      <c r="I314" s="788"/>
      <c r="J314" s="788"/>
      <c r="K314" s="788"/>
      <c r="L314" s="788"/>
      <c r="M314" s="788"/>
      <c r="N314" s="788"/>
      <c r="O314" s="788"/>
      <c r="P314" s="772"/>
      <c r="R314" s="774"/>
    </row>
    <row r="315" spans="1:22" hidden="1">
      <c r="A315" s="786">
        <v>315</v>
      </c>
      <c r="B315" s="767"/>
      <c r="C315" s="767" t="s">
        <v>794</v>
      </c>
      <c r="D315" s="767" t="s">
        <v>795</v>
      </c>
      <c r="E315" s="767"/>
      <c r="F315" s="806" t="s">
        <v>1392</v>
      </c>
      <c r="G315" s="778"/>
      <c r="H315" s="788">
        <v>2595248.096006982</v>
      </c>
      <c r="I315" s="788">
        <v>1085461.803915929</v>
      </c>
      <c r="J315" s="788">
        <v>346820.15833676519</v>
      </c>
      <c r="K315" s="788">
        <v>588559.98769241897</v>
      </c>
      <c r="L315" s="788">
        <v>239929.3212782086</v>
      </c>
      <c r="M315" s="788">
        <v>226907.79034059338</v>
      </c>
      <c r="N315" s="788">
        <v>103392.60099618793</v>
      </c>
      <c r="O315" s="788">
        <v>4176.4334468791567</v>
      </c>
      <c r="P315" s="772">
        <v>0</v>
      </c>
      <c r="Q315" s="774"/>
      <c r="R315" s="774">
        <v>372</v>
      </c>
      <c r="S315" s="774"/>
      <c r="T315" s="774"/>
      <c r="U315" s="774"/>
      <c r="V315" s="774"/>
    </row>
    <row r="316" spans="1:22" hidden="1">
      <c r="A316" s="786">
        <v>316</v>
      </c>
      <c r="B316" s="767"/>
      <c r="C316" s="767"/>
      <c r="D316" s="767"/>
      <c r="E316" s="767"/>
      <c r="F316" s="806"/>
      <c r="G316" s="778"/>
      <c r="H316" s="788"/>
      <c r="I316" s="788"/>
      <c r="J316" s="788"/>
      <c r="K316" s="788"/>
      <c r="L316" s="788"/>
      <c r="M316" s="788"/>
      <c r="N316" s="788"/>
      <c r="O316" s="788"/>
      <c r="P316" s="772"/>
      <c r="R316" s="774"/>
    </row>
    <row r="317" spans="1:22" hidden="1">
      <c r="A317" s="786">
        <v>317</v>
      </c>
      <c r="B317" s="767"/>
      <c r="C317" s="767" t="s">
        <v>796</v>
      </c>
      <c r="D317" s="767" t="s">
        <v>797</v>
      </c>
      <c r="E317" s="767"/>
      <c r="F317" s="806" t="s">
        <v>1392</v>
      </c>
      <c r="G317" s="778"/>
      <c r="H317" s="788">
        <v>267883.95734718099</v>
      </c>
      <c r="I317" s="788">
        <v>112042.3916424777</v>
      </c>
      <c r="J317" s="788">
        <v>35799.104003187604</v>
      </c>
      <c r="K317" s="788">
        <v>60751.71729509638</v>
      </c>
      <c r="L317" s="788">
        <v>24765.730939758603</v>
      </c>
      <c r="M317" s="788">
        <v>23421.63622925516</v>
      </c>
      <c r="N317" s="788">
        <v>10672.281836134096</v>
      </c>
      <c r="O317" s="788">
        <v>431.09540127145749</v>
      </c>
      <c r="P317" s="772">
        <v>0</v>
      </c>
      <c r="Q317" s="774"/>
      <c r="R317" s="774">
        <v>375</v>
      </c>
      <c r="S317" s="774"/>
      <c r="T317" s="774"/>
      <c r="U317" s="774"/>
      <c r="V317" s="774"/>
    </row>
    <row r="318" spans="1:22" hidden="1">
      <c r="A318" s="786">
        <v>318</v>
      </c>
      <c r="B318" s="767"/>
      <c r="C318" s="767"/>
      <c r="D318" s="767"/>
      <c r="E318" s="767"/>
      <c r="F318" s="806"/>
      <c r="G318" s="778"/>
      <c r="H318" s="788"/>
      <c r="I318" s="788"/>
      <c r="J318" s="788"/>
      <c r="K318" s="788"/>
      <c r="L318" s="788"/>
      <c r="M318" s="788"/>
      <c r="N318" s="788"/>
      <c r="O318" s="788"/>
      <c r="P318" s="772"/>
      <c r="R318" s="774"/>
    </row>
    <row r="319" spans="1:22" hidden="1">
      <c r="A319" s="786">
        <v>319</v>
      </c>
      <c r="B319" s="767"/>
      <c r="C319" s="767" t="s">
        <v>798</v>
      </c>
      <c r="D319" s="767" t="s">
        <v>751</v>
      </c>
      <c r="E319" s="767"/>
      <c r="F319" s="806" t="s">
        <v>1392</v>
      </c>
      <c r="G319" s="778"/>
      <c r="H319" s="788">
        <v>101.38691332490728</v>
      </c>
      <c r="I319" s="788">
        <v>42.40504867355299</v>
      </c>
      <c r="J319" s="788">
        <v>13.549003421569463</v>
      </c>
      <c r="K319" s="788">
        <v>22.992900197283966</v>
      </c>
      <c r="L319" s="788">
        <v>9.3731668035764262</v>
      </c>
      <c r="M319" s="788">
        <v>8.8644629033362676</v>
      </c>
      <c r="N319" s="788">
        <v>4.0391732458124983</v>
      </c>
      <c r="O319" s="788">
        <v>0.16315807977567692</v>
      </c>
      <c r="P319" s="772">
        <v>0</v>
      </c>
      <c r="Q319" s="774"/>
      <c r="R319" s="774">
        <v>379</v>
      </c>
      <c r="S319" s="774"/>
      <c r="T319" s="774"/>
      <c r="U319" s="774"/>
      <c r="V319" s="774"/>
    </row>
    <row r="320" spans="1:22" hidden="1">
      <c r="A320" s="786">
        <v>320</v>
      </c>
      <c r="B320" s="767"/>
      <c r="C320" s="767"/>
      <c r="D320" s="767"/>
      <c r="E320" s="767"/>
      <c r="F320" s="806"/>
      <c r="G320" s="778"/>
      <c r="H320" s="788"/>
      <c r="I320" s="788"/>
      <c r="J320" s="788"/>
      <c r="K320" s="788"/>
      <c r="L320" s="788"/>
      <c r="M320" s="788"/>
      <c r="N320" s="788"/>
      <c r="O320" s="788"/>
      <c r="P320" s="772"/>
      <c r="R320" s="774"/>
    </row>
    <row r="321" spans="1:22" hidden="1">
      <c r="A321" s="786">
        <v>321</v>
      </c>
      <c r="B321" s="767"/>
      <c r="C321" s="767" t="s">
        <v>799</v>
      </c>
      <c r="D321" s="767" t="s">
        <v>754</v>
      </c>
      <c r="E321" s="767"/>
      <c r="F321" s="806" t="s">
        <v>1392</v>
      </c>
      <c r="G321" s="778"/>
      <c r="H321" s="788">
        <v>105174.33207684927</v>
      </c>
      <c r="I321" s="788">
        <v>43989.135527134837</v>
      </c>
      <c r="J321" s="788">
        <v>14055.141225218051</v>
      </c>
      <c r="K321" s="788">
        <v>23851.825067495301</v>
      </c>
      <c r="L321" s="788">
        <v>9723.3116748694392</v>
      </c>
      <c r="M321" s="788">
        <v>9195.6045854821641</v>
      </c>
      <c r="N321" s="788">
        <v>4190.0609688118966</v>
      </c>
      <c r="O321" s="788">
        <v>169.2530278375925</v>
      </c>
      <c r="P321" s="772">
        <v>0</v>
      </c>
      <c r="Q321" s="774"/>
      <c r="R321" s="774">
        <v>383</v>
      </c>
      <c r="S321" s="774"/>
      <c r="T321" s="774"/>
      <c r="U321" s="774"/>
      <c r="V321" s="774"/>
    </row>
    <row r="322" spans="1:22" hidden="1">
      <c r="A322" s="786">
        <v>322</v>
      </c>
      <c r="B322" s="767"/>
      <c r="C322" s="767"/>
      <c r="D322" s="767"/>
      <c r="E322" s="767"/>
      <c r="F322" s="806"/>
      <c r="G322" s="778"/>
      <c r="H322" s="788"/>
      <c r="I322" s="788"/>
      <c r="J322" s="788"/>
      <c r="K322" s="788"/>
      <c r="L322" s="788"/>
      <c r="M322" s="788"/>
      <c r="N322" s="788"/>
      <c r="O322" s="788"/>
      <c r="P322" s="772"/>
      <c r="R322" s="774"/>
    </row>
    <row r="323" spans="1:22" hidden="1">
      <c r="A323" s="786">
        <v>323</v>
      </c>
      <c r="B323" s="767"/>
      <c r="C323" s="767" t="s">
        <v>800</v>
      </c>
      <c r="D323" s="767" t="s">
        <v>801</v>
      </c>
      <c r="E323" s="767"/>
      <c r="F323" s="806" t="s">
        <v>1392</v>
      </c>
      <c r="G323" s="778"/>
      <c r="H323" s="788">
        <v>202478.20616273291</v>
      </c>
      <c r="I323" s="788">
        <v>84686.454159514062</v>
      </c>
      <c r="J323" s="788">
        <v>27058.501123321617</v>
      </c>
      <c r="K323" s="788">
        <v>45918.758484198705</v>
      </c>
      <c r="L323" s="788">
        <v>18719.003648629594</v>
      </c>
      <c r="M323" s="788">
        <v>17703.079109547005</v>
      </c>
      <c r="N323" s="788">
        <v>8066.569208707745</v>
      </c>
      <c r="O323" s="788">
        <v>325.84042881419225</v>
      </c>
      <c r="P323" s="772">
        <v>0</v>
      </c>
      <c r="Q323" s="774"/>
      <c r="R323" s="774">
        <v>387</v>
      </c>
      <c r="S323" s="774"/>
      <c r="T323" s="774"/>
      <c r="U323" s="774"/>
      <c r="V323" s="774"/>
    </row>
    <row r="324" spans="1:22" hidden="1">
      <c r="A324" s="786">
        <v>324</v>
      </c>
      <c r="B324" s="767"/>
      <c r="C324" s="767"/>
      <c r="D324" s="767"/>
      <c r="E324" s="767"/>
      <c r="F324" s="806"/>
      <c r="G324" s="778"/>
      <c r="H324" s="788"/>
      <c r="I324" s="788"/>
      <c r="J324" s="788"/>
      <c r="K324" s="788"/>
      <c r="L324" s="788"/>
      <c r="M324" s="788"/>
      <c r="N324" s="788"/>
      <c r="O324" s="788"/>
      <c r="P324" s="772"/>
      <c r="R324" s="774"/>
    </row>
    <row r="325" spans="1:22" hidden="1">
      <c r="A325" s="786">
        <v>325</v>
      </c>
      <c r="B325" s="767"/>
      <c r="C325" s="767" t="s">
        <v>802</v>
      </c>
      <c r="D325" s="767" t="s">
        <v>760</v>
      </c>
      <c r="E325" s="767"/>
      <c r="F325" s="806" t="s">
        <v>1392</v>
      </c>
      <c r="G325" s="778"/>
      <c r="H325" s="788">
        <v>365811.46624671348</v>
      </c>
      <c r="I325" s="788">
        <v>153000.54536451545</v>
      </c>
      <c r="J325" s="788">
        <v>48885.804343827978</v>
      </c>
      <c r="K325" s="788">
        <v>82960.080927589355</v>
      </c>
      <c r="L325" s="788">
        <v>33819.077623985344</v>
      </c>
      <c r="M325" s="788">
        <v>31983.636406479036</v>
      </c>
      <c r="N325" s="788">
        <v>14573.635186427726</v>
      </c>
      <c r="O325" s="788">
        <v>588.68639388862869</v>
      </c>
      <c r="P325" s="772">
        <v>0</v>
      </c>
      <c r="Q325" s="774"/>
      <c r="R325" s="774">
        <v>391</v>
      </c>
      <c r="S325" s="774"/>
      <c r="T325" s="774"/>
      <c r="U325" s="774"/>
      <c r="V325" s="774"/>
    </row>
    <row r="326" spans="1:22" hidden="1">
      <c r="A326" s="786">
        <v>326</v>
      </c>
      <c r="B326" s="767"/>
      <c r="C326" s="767"/>
      <c r="D326" s="767"/>
      <c r="E326" s="767"/>
      <c r="F326" s="806"/>
      <c r="G326" s="778"/>
      <c r="H326" s="788"/>
      <c r="I326" s="788"/>
      <c r="J326" s="788"/>
      <c r="K326" s="788"/>
      <c r="L326" s="788"/>
      <c r="M326" s="788"/>
      <c r="N326" s="788"/>
      <c r="O326" s="788"/>
      <c r="P326" s="772"/>
      <c r="R326" s="774"/>
    </row>
    <row r="327" spans="1:22" hidden="1">
      <c r="A327" s="786">
        <v>327</v>
      </c>
      <c r="B327" s="767"/>
      <c r="C327" s="767" t="s">
        <v>803</v>
      </c>
      <c r="D327" s="767" t="s">
        <v>804</v>
      </c>
      <c r="E327" s="767"/>
      <c r="F327" s="806" t="s">
        <v>1392</v>
      </c>
      <c r="G327" s="778"/>
      <c r="P327" s="763"/>
      <c r="S327" s="774"/>
      <c r="T327" s="774"/>
      <c r="U327" s="774"/>
      <c r="V327" s="774"/>
    </row>
    <row r="328" spans="1:22" hidden="1">
      <c r="A328" s="786">
        <v>328</v>
      </c>
      <c r="B328" s="767"/>
      <c r="C328" s="767"/>
      <c r="D328" s="767"/>
      <c r="E328" s="767" t="s">
        <v>788</v>
      </c>
      <c r="F328" s="806" t="s">
        <v>1392</v>
      </c>
      <c r="G328" s="778"/>
      <c r="H328" s="788">
        <v>3390356.2888943506</v>
      </c>
      <c r="I328" s="788">
        <v>1418015.587381853</v>
      </c>
      <c r="J328" s="788">
        <v>453075.72202500637</v>
      </c>
      <c r="K328" s="788">
        <v>768877.57233488245</v>
      </c>
      <c r="L328" s="788">
        <v>313436.65545397601</v>
      </c>
      <c r="M328" s="788">
        <v>296425.70787894411</v>
      </c>
      <c r="N328" s="788">
        <v>135069.0731849118</v>
      </c>
      <c r="O328" s="788">
        <v>5455.9706347771707</v>
      </c>
      <c r="P328" s="772">
        <v>0</v>
      </c>
      <c r="Q328" s="774"/>
      <c r="R328" s="774">
        <v>395</v>
      </c>
      <c r="S328" s="774"/>
      <c r="T328" s="774"/>
      <c r="U328" s="774"/>
      <c r="V328" s="774"/>
    </row>
    <row r="329" spans="1:22" hidden="1">
      <c r="A329" s="786">
        <v>329</v>
      </c>
      <c r="B329" s="767"/>
      <c r="C329" s="767"/>
      <c r="D329" s="767"/>
      <c r="E329" s="767" t="s">
        <v>719</v>
      </c>
      <c r="F329" s="806" t="s">
        <v>1392</v>
      </c>
      <c r="G329" s="778"/>
      <c r="H329" s="788">
        <v>-6264185.9563777149</v>
      </c>
      <c r="I329" s="788">
        <v>-2619994.0571139487</v>
      </c>
      <c r="J329" s="788">
        <v>-837124.57725506613</v>
      </c>
      <c r="K329" s="788">
        <v>-1420615.3219267298</v>
      </c>
      <c r="L329" s="788">
        <v>-579120.69647084246</v>
      </c>
      <c r="M329" s="788">
        <v>-547690.44848975388</v>
      </c>
      <c r="N329" s="788">
        <v>-249560.14037740094</v>
      </c>
      <c r="O329" s="788">
        <v>-10080.714743973442</v>
      </c>
      <c r="P329" s="772">
        <v>0</v>
      </c>
      <c r="Q329" s="774"/>
      <c r="R329" s="774">
        <v>396</v>
      </c>
      <c r="S329" s="774"/>
      <c r="T329" s="774"/>
      <c r="U329" s="774"/>
      <c r="V329" s="774"/>
    </row>
    <row r="330" spans="1:22" hidden="1">
      <c r="A330" s="786">
        <v>330</v>
      </c>
      <c r="B330" s="767"/>
      <c r="C330" s="767"/>
      <c r="D330" s="767"/>
      <c r="E330" s="767"/>
      <c r="F330" s="806"/>
      <c r="G330" s="778"/>
      <c r="H330" s="788"/>
      <c r="I330" s="788"/>
      <c r="J330" s="788"/>
      <c r="K330" s="788"/>
      <c r="L330" s="788"/>
      <c r="M330" s="788"/>
      <c r="N330" s="788"/>
      <c r="O330" s="788"/>
      <c r="P330" s="772"/>
      <c r="R330" s="774"/>
    </row>
    <row r="331" spans="1:22" hidden="1">
      <c r="A331" s="786">
        <v>331</v>
      </c>
      <c r="B331" s="767"/>
      <c r="C331" s="767" t="s">
        <v>805</v>
      </c>
      <c r="D331" s="767"/>
      <c r="E331" s="767"/>
      <c r="F331" s="806"/>
      <c r="G331" s="778"/>
      <c r="H331" s="788">
        <v>3407007.9200268467</v>
      </c>
      <c r="I331" s="788">
        <v>1424980.1275331513</v>
      </c>
      <c r="J331" s="788">
        <v>455300.9895648699</v>
      </c>
      <c r="K331" s="788">
        <v>772653.89099569945</v>
      </c>
      <c r="L331" s="788">
        <v>314976.08999279398</v>
      </c>
      <c r="M331" s="788">
        <v>297881.5936694605</v>
      </c>
      <c r="N331" s="788">
        <v>135732.46080333131</v>
      </c>
      <c r="O331" s="788">
        <v>5482.7674675400358</v>
      </c>
      <c r="P331" s="772">
        <v>0</v>
      </c>
      <c r="Q331" s="774"/>
      <c r="R331" s="774"/>
      <c r="S331" s="774"/>
      <c r="T331" s="774"/>
      <c r="U331" s="774"/>
      <c r="V331" s="774"/>
    </row>
    <row r="332" spans="1:22" hidden="1">
      <c r="A332" s="786">
        <v>332</v>
      </c>
      <c r="B332" s="767"/>
      <c r="C332" s="767"/>
      <c r="D332" s="767"/>
      <c r="E332" s="767"/>
      <c r="F332" s="806"/>
      <c r="G332" s="778"/>
      <c r="H332" s="810"/>
      <c r="I332" s="810"/>
      <c r="J332" s="810"/>
      <c r="K332" s="810"/>
      <c r="L332" s="810"/>
      <c r="M332" s="810"/>
      <c r="N332" s="810"/>
      <c r="O332" s="810"/>
      <c r="P332" s="772"/>
      <c r="R332" s="774"/>
    </row>
    <row r="333" spans="1:22" hidden="1">
      <c r="A333" s="786">
        <v>333</v>
      </c>
      <c r="B333" s="767"/>
      <c r="C333" s="767"/>
      <c r="D333" s="767"/>
      <c r="E333" s="767"/>
      <c r="F333" s="806"/>
      <c r="G333" s="778"/>
      <c r="H333" s="788"/>
      <c r="I333" s="788"/>
      <c r="J333" s="788"/>
      <c r="K333" s="788"/>
      <c r="L333" s="788"/>
      <c r="M333" s="788"/>
      <c r="N333" s="788"/>
      <c r="O333" s="788"/>
      <c r="P333" s="772"/>
      <c r="R333" s="774"/>
    </row>
    <row r="334" spans="1:22" hidden="1">
      <c r="A334" s="786">
        <v>334</v>
      </c>
      <c r="B334" s="767"/>
      <c r="D334" s="768"/>
      <c r="E334" s="795"/>
      <c r="F334" s="806"/>
      <c r="H334" s="817" t="s">
        <v>806</v>
      </c>
      <c r="I334" s="817"/>
      <c r="J334" s="817"/>
      <c r="K334" s="817"/>
      <c r="L334" s="817"/>
      <c r="M334" s="817"/>
      <c r="N334" s="817"/>
      <c r="O334" s="817"/>
      <c r="P334" s="772"/>
      <c r="R334" s="774"/>
    </row>
    <row r="335" spans="1:22" hidden="1">
      <c r="A335" s="786">
        <v>335</v>
      </c>
      <c r="B335" s="767"/>
      <c r="C335" s="767"/>
      <c r="D335" s="767"/>
      <c r="E335" s="767"/>
      <c r="F335" s="806"/>
      <c r="G335" s="778"/>
      <c r="H335" s="810"/>
      <c r="I335" s="810"/>
      <c r="J335" s="810"/>
      <c r="K335" s="810"/>
      <c r="L335" s="810"/>
      <c r="M335" s="810"/>
      <c r="N335" s="810"/>
      <c r="O335" s="810"/>
      <c r="P335" s="772"/>
      <c r="R335" s="774"/>
    </row>
    <row r="336" spans="1:22" hidden="1">
      <c r="A336" s="786">
        <v>336</v>
      </c>
      <c r="B336" s="767"/>
      <c r="C336" s="767"/>
      <c r="D336" s="767"/>
      <c r="E336" s="767"/>
      <c r="F336" s="806"/>
      <c r="G336" s="778"/>
      <c r="H336" s="788"/>
      <c r="I336" s="788"/>
      <c r="J336" s="788"/>
      <c r="K336" s="788"/>
      <c r="L336" s="788"/>
      <c r="M336" s="788"/>
      <c r="N336" s="788"/>
      <c r="O336" s="788"/>
      <c r="P336" s="772"/>
      <c r="R336" s="774"/>
    </row>
    <row r="337" spans="1:22" hidden="1">
      <c r="A337" s="786">
        <v>337</v>
      </c>
      <c r="B337" s="767"/>
      <c r="C337" s="767" t="s">
        <v>807</v>
      </c>
      <c r="D337" s="767" t="s">
        <v>768</v>
      </c>
      <c r="E337" s="767"/>
      <c r="F337" s="806" t="s">
        <v>1392</v>
      </c>
      <c r="G337" s="778"/>
      <c r="H337" s="788">
        <v>25818.153311731756</v>
      </c>
      <c r="I337" s="788">
        <v>10798.435537106729</v>
      </c>
      <c r="J337" s="788">
        <v>3450.2504917794176</v>
      </c>
      <c r="K337" s="788">
        <v>5855.1365546798752</v>
      </c>
      <c r="L337" s="788">
        <v>2386.8746923546028</v>
      </c>
      <c r="M337" s="788">
        <v>2257.3333654124622</v>
      </c>
      <c r="N337" s="788">
        <v>1028.5745042739482</v>
      </c>
      <c r="O337" s="788">
        <v>41.548166124723465</v>
      </c>
      <c r="P337" s="772">
        <v>0</v>
      </c>
      <c r="Q337" s="774"/>
      <c r="R337" s="774">
        <v>403</v>
      </c>
      <c r="S337" s="774"/>
      <c r="T337" s="774"/>
      <c r="U337" s="774"/>
      <c r="V337" s="774"/>
    </row>
    <row r="338" spans="1:22" hidden="1">
      <c r="A338" s="786">
        <v>338</v>
      </c>
      <c r="B338" s="767"/>
      <c r="C338" s="767"/>
      <c r="D338" s="767"/>
      <c r="E338" s="767"/>
      <c r="F338" s="806"/>
      <c r="G338" s="778"/>
      <c r="H338" s="788"/>
      <c r="I338" s="788"/>
      <c r="J338" s="788"/>
      <c r="K338" s="788"/>
      <c r="L338" s="788"/>
      <c r="M338" s="788"/>
      <c r="N338" s="788"/>
      <c r="O338" s="788"/>
      <c r="P338" s="772"/>
      <c r="R338" s="774"/>
    </row>
    <row r="339" spans="1:22" hidden="1">
      <c r="A339" s="786">
        <v>339</v>
      </c>
      <c r="B339" s="767"/>
      <c r="C339" s="767" t="s">
        <v>808</v>
      </c>
      <c r="D339" s="767" t="s">
        <v>809</v>
      </c>
      <c r="E339" s="767"/>
      <c r="F339" s="806" t="s">
        <v>1392</v>
      </c>
      <c r="G339" s="778"/>
      <c r="H339" s="788">
        <v>0</v>
      </c>
      <c r="I339" s="788">
        <v>0</v>
      </c>
      <c r="J339" s="788">
        <v>0</v>
      </c>
      <c r="K339" s="788">
        <v>0</v>
      </c>
      <c r="L339" s="788">
        <v>0</v>
      </c>
      <c r="M339" s="788">
        <v>0</v>
      </c>
      <c r="N339" s="788">
        <v>0</v>
      </c>
      <c r="O339" s="788">
        <v>0</v>
      </c>
      <c r="P339" s="772">
        <v>0</v>
      </c>
      <c r="Q339" s="774"/>
      <c r="R339" s="774">
        <v>407</v>
      </c>
      <c r="S339" s="774"/>
      <c r="T339" s="774"/>
      <c r="U339" s="774"/>
      <c r="V339" s="774"/>
    </row>
    <row r="340" spans="1:22" hidden="1">
      <c r="A340" s="786">
        <v>340</v>
      </c>
      <c r="B340" s="767"/>
      <c r="C340" s="767"/>
      <c r="D340" s="767"/>
      <c r="E340" s="820" t="s">
        <v>810</v>
      </c>
      <c r="F340" s="806" t="s">
        <v>1392</v>
      </c>
      <c r="G340" s="778"/>
      <c r="H340" s="788">
        <v>0</v>
      </c>
      <c r="I340" s="788">
        <v>0</v>
      </c>
      <c r="J340" s="788">
        <v>0</v>
      </c>
      <c r="K340" s="788">
        <v>0</v>
      </c>
      <c r="L340" s="788">
        <v>0</v>
      </c>
      <c r="M340" s="788">
        <v>0</v>
      </c>
      <c r="N340" s="788">
        <v>0</v>
      </c>
      <c r="O340" s="788">
        <v>0</v>
      </c>
      <c r="P340" s="772">
        <v>0</v>
      </c>
      <c r="Q340" s="774"/>
      <c r="R340" s="774">
        <v>408</v>
      </c>
      <c r="S340" s="774"/>
      <c r="T340" s="774"/>
      <c r="U340" s="774"/>
      <c r="V340" s="774"/>
    </row>
    <row r="341" spans="1:22" hidden="1">
      <c r="A341" s="786">
        <v>341</v>
      </c>
      <c r="B341" s="767"/>
      <c r="C341" s="767"/>
      <c r="D341" s="767"/>
      <c r="E341" s="820"/>
      <c r="F341" s="806"/>
      <c r="G341" s="778"/>
      <c r="H341" s="788"/>
      <c r="I341" s="788"/>
      <c r="J341" s="788"/>
      <c r="K341" s="788"/>
      <c r="L341" s="788"/>
      <c r="M341" s="788"/>
      <c r="N341" s="788"/>
      <c r="O341" s="788"/>
      <c r="P341" s="772"/>
      <c r="Q341" s="774"/>
      <c r="R341" s="774"/>
      <c r="S341" s="774"/>
      <c r="T341" s="774"/>
      <c r="U341" s="774"/>
      <c r="V341" s="774"/>
    </row>
    <row r="342" spans="1:22" hidden="1">
      <c r="A342" s="786">
        <v>342</v>
      </c>
      <c r="B342" s="767"/>
      <c r="C342" s="767"/>
      <c r="D342" s="767"/>
      <c r="E342" s="820"/>
      <c r="F342" s="806"/>
      <c r="G342" s="778"/>
      <c r="H342" s="788"/>
      <c r="I342" s="788"/>
      <c r="J342" s="788"/>
      <c r="K342" s="788"/>
      <c r="L342" s="788"/>
      <c r="M342" s="788"/>
      <c r="N342" s="788"/>
      <c r="O342" s="788"/>
      <c r="P342" s="772"/>
      <c r="Q342" s="774"/>
      <c r="R342" s="774"/>
      <c r="S342" s="774"/>
      <c r="T342" s="774"/>
      <c r="U342" s="774"/>
      <c r="V342" s="774"/>
    </row>
    <row r="343" spans="1:22" hidden="1">
      <c r="A343" s="786">
        <v>343</v>
      </c>
      <c r="B343" s="767"/>
      <c r="C343" s="767" t="s">
        <v>811</v>
      </c>
      <c r="D343" s="767" t="s">
        <v>812</v>
      </c>
      <c r="E343" s="820"/>
      <c r="F343" s="806" t="s">
        <v>1392</v>
      </c>
      <c r="G343" s="778"/>
      <c r="P343" s="763"/>
      <c r="S343" s="774"/>
      <c r="T343" s="774"/>
      <c r="U343" s="774"/>
      <c r="V343" s="774"/>
    </row>
    <row r="344" spans="1:22" hidden="1">
      <c r="A344" s="786">
        <v>344</v>
      </c>
      <c r="B344" s="767"/>
      <c r="C344" s="767"/>
      <c r="D344" s="767"/>
      <c r="E344" s="820" t="s">
        <v>728</v>
      </c>
      <c r="F344" s="806" t="s">
        <v>1392</v>
      </c>
      <c r="G344" s="778"/>
      <c r="H344" s="788">
        <v>13423408.205649056</v>
      </c>
      <c r="I344" s="788">
        <v>5614336.7980972053</v>
      </c>
      <c r="J344" s="788">
        <v>1793858.7707530349</v>
      </c>
      <c r="K344" s="788">
        <v>3044210.293598793</v>
      </c>
      <c r="L344" s="788">
        <v>1240987.0273971099</v>
      </c>
      <c r="M344" s="788">
        <v>1173635.7304220607</v>
      </c>
      <c r="N344" s="788">
        <v>534777.8082376807</v>
      </c>
      <c r="O344" s="788">
        <v>21601.777143172218</v>
      </c>
      <c r="P344" s="772">
        <v>0</v>
      </c>
      <c r="Q344" s="774"/>
      <c r="R344" s="774">
        <v>411</v>
      </c>
      <c r="S344" s="774"/>
      <c r="T344" s="774"/>
      <c r="U344" s="774"/>
      <c r="V344" s="774"/>
    </row>
    <row r="345" spans="1:22" hidden="1">
      <c r="A345" s="786">
        <v>345</v>
      </c>
      <c r="B345" s="767"/>
      <c r="C345" s="767"/>
      <c r="D345" s="767"/>
      <c r="E345" s="820" t="s">
        <v>727</v>
      </c>
      <c r="F345" s="806" t="s">
        <v>1392</v>
      </c>
      <c r="G345" s="778"/>
      <c r="H345" s="788">
        <v>4149428.5777009227</v>
      </c>
      <c r="I345" s="788">
        <v>1735497.3638556651</v>
      </c>
      <c r="J345" s="788">
        <v>554515.56964419817</v>
      </c>
      <c r="K345" s="788">
        <v>941022.80101071938</v>
      </c>
      <c r="L345" s="788">
        <v>383612.48925370816</v>
      </c>
      <c r="M345" s="788">
        <v>362792.93343509862</v>
      </c>
      <c r="N345" s="788">
        <v>165309.90388028664</v>
      </c>
      <c r="O345" s="788">
        <v>6677.516621247034</v>
      </c>
      <c r="P345" s="772">
        <v>0</v>
      </c>
      <c r="Q345" s="774"/>
      <c r="R345" s="774">
        <v>412</v>
      </c>
      <c r="S345" s="774"/>
      <c r="T345" s="774"/>
      <c r="U345" s="774"/>
      <c r="V345" s="774"/>
    </row>
    <row r="346" spans="1:22" hidden="1">
      <c r="A346" s="786">
        <v>346</v>
      </c>
      <c r="B346" s="767"/>
      <c r="C346" s="767"/>
      <c r="D346" s="767"/>
      <c r="E346" s="767" t="s">
        <v>813</v>
      </c>
      <c r="F346" s="806"/>
      <c r="G346" s="778"/>
      <c r="H346" s="788">
        <v>17572836.78334998</v>
      </c>
      <c r="I346" s="788">
        <v>7349834.16195287</v>
      </c>
      <c r="J346" s="788">
        <v>2348374.3403972331</v>
      </c>
      <c r="K346" s="788">
        <v>3985233.0946095125</v>
      </c>
      <c r="L346" s="788">
        <v>1624599.5166508181</v>
      </c>
      <c r="M346" s="788">
        <v>1536428.6638571592</v>
      </c>
      <c r="N346" s="788">
        <v>700087.71211796731</v>
      </c>
      <c r="O346" s="788">
        <v>28279.29376441925</v>
      </c>
      <c r="P346" s="772">
        <v>0</v>
      </c>
      <c r="Q346" s="774"/>
      <c r="R346" s="774"/>
      <c r="S346" s="774"/>
      <c r="T346" s="774"/>
      <c r="U346" s="774"/>
      <c r="V346" s="774"/>
    </row>
    <row r="347" spans="1:22" hidden="1">
      <c r="A347" s="786">
        <v>347</v>
      </c>
      <c r="B347" s="767"/>
      <c r="C347" s="767"/>
      <c r="D347" s="767"/>
      <c r="E347" s="767"/>
      <c r="F347" s="806"/>
      <c r="G347" s="778"/>
      <c r="H347" s="788"/>
      <c r="I347" s="788"/>
      <c r="J347" s="788"/>
      <c r="K347" s="788"/>
      <c r="L347" s="788"/>
      <c r="M347" s="788"/>
      <c r="N347" s="788"/>
      <c r="O347" s="788"/>
      <c r="P347" s="772"/>
      <c r="R347" s="774"/>
    </row>
    <row r="348" spans="1:22" hidden="1">
      <c r="A348" s="786">
        <v>348</v>
      </c>
      <c r="B348" s="767"/>
      <c r="C348" s="767" t="s">
        <v>814</v>
      </c>
      <c r="D348" s="767" t="s">
        <v>815</v>
      </c>
      <c r="E348" s="767"/>
      <c r="F348" s="806" t="s">
        <v>1392</v>
      </c>
      <c r="G348" s="778"/>
      <c r="H348" s="788">
        <v>6923.0061980065711</v>
      </c>
      <c r="I348" s="788">
        <v>2895.5454423688184</v>
      </c>
      <c r="J348" s="788">
        <v>925.16708111769913</v>
      </c>
      <c r="K348" s="788">
        <v>1570.0250195587951</v>
      </c>
      <c r="L348" s="788">
        <v>640.02828124532391</v>
      </c>
      <c r="M348" s="788">
        <v>605.29243478527042</v>
      </c>
      <c r="N348" s="788">
        <v>275.80700998333521</v>
      </c>
      <c r="O348" s="788">
        <v>11.140928947329652</v>
      </c>
      <c r="P348" s="772">
        <v>0</v>
      </c>
      <c r="Q348" s="774"/>
      <c r="R348" s="774">
        <v>417</v>
      </c>
      <c r="S348" s="774"/>
      <c r="T348" s="774"/>
      <c r="U348" s="774"/>
      <c r="V348" s="774"/>
    </row>
    <row r="349" spans="1:22" hidden="1">
      <c r="A349" s="786">
        <v>349</v>
      </c>
      <c r="B349" s="767"/>
      <c r="C349" s="767"/>
      <c r="D349" s="767"/>
      <c r="E349" s="820" t="s">
        <v>719</v>
      </c>
      <c r="F349" s="806" t="s">
        <v>1392</v>
      </c>
      <c r="G349" s="778"/>
      <c r="H349" s="788">
        <v>2020187.5757936926</v>
      </c>
      <c r="I349" s="788">
        <v>844942.89915613132</v>
      </c>
      <c r="J349" s="788">
        <v>269971.01972051669</v>
      </c>
      <c r="K349" s="788">
        <v>458145.63030598004</v>
      </c>
      <c r="L349" s="788">
        <v>186765.27868784778</v>
      </c>
      <c r="M349" s="788">
        <v>176629.0859059486</v>
      </c>
      <c r="N349" s="788">
        <v>80482.651459358385</v>
      </c>
      <c r="O349" s="788">
        <v>3251.0105579099904</v>
      </c>
      <c r="P349" s="772">
        <v>0</v>
      </c>
      <c r="Q349" s="774"/>
      <c r="R349" s="774">
        <v>419</v>
      </c>
      <c r="S349" s="774"/>
      <c r="T349" s="774"/>
      <c r="U349" s="774"/>
      <c r="V349" s="774"/>
    </row>
    <row r="350" spans="1:22" hidden="1">
      <c r="A350" s="786">
        <v>350</v>
      </c>
      <c r="B350" s="767"/>
      <c r="C350" s="767"/>
      <c r="D350" s="767"/>
      <c r="E350" s="767" t="s">
        <v>816</v>
      </c>
      <c r="F350" s="806"/>
      <c r="G350" s="778"/>
      <c r="H350" s="788">
        <v>2027110.5819916995</v>
      </c>
      <c r="I350" s="788">
        <v>847838.44459850015</v>
      </c>
      <c r="J350" s="788">
        <v>270896.18680163438</v>
      </c>
      <c r="K350" s="788">
        <v>459715.65532553883</v>
      </c>
      <c r="L350" s="788">
        <v>187405.3069690931</v>
      </c>
      <c r="M350" s="788">
        <v>177234.37834073388</v>
      </c>
      <c r="N350" s="788">
        <v>80758.458469341727</v>
      </c>
      <c r="O350" s="788">
        <v>3262.1514868573199</v>
      </c>
      <c r="P350" s="772">
        <v>0</v>
      </c>
      <c r="Q350" s="774"/>
      <c r="R350" s="774"/>
      <c r="S350" s="774"/>
      <c r="T350" s="774"/>
      <c r="U350" s="774"/>
      <c r="V350" s="774"/>
    </row>
    <row r="351" spans="1:22" hidden="1">
      <c r="A351" s="786">
        <v>351</v>
      </c>
      <c r="B351" s="767"/>
      <c r="C351" s="767"/>
      <c r="D351" s="767"/>
      <c r="E351" s="767"/>
      <c r="F351" s="806"/>
      <c r="G351" s="778"/>
      <c r="H351" s="788"/>
      <c r="I351" s="788"/>
      <c r="J351" s="788"/>
      <c r="K351" s="788"/>
      <c r="L351" s="788"/>
      <c r="M351" s="788"/>
      <c r="N351" s="788"/>
      <c r="O351" s="788"/>
      <c r="P351" s="772"/>
      <c r="R351" s="774"/>
    </row>
    <row r="352" spans="1:22" hidden="1">
      <c r="A352" s="786">
        <v>352</v>
      </c>
      <c r="B352" s="767"/>
      <c r="C352" s="767" t="s">
        <v>817</v>
      </c>
      <c r="D352" s="767" t="s">
        <v>818</v>
      </c>
      <c r="E352" s="767"/>
      <c r="F352" s="806" t="s">
        <v>1392</v>
      </c>
      <c r="G352" s="778"/>
      <c r="H352" s="788">
        <v>2896505.8211208005</v>
      </c>
      <c r="I352" s="788">
        <v>1211462.7647677176</v>
      </c>
      <c r="J352" s="788">
        <v>387079.21953592508</v>
      </c>
      <c r="K352" s="788">
        <v>656880.33180828183</v>
      </c>
      <c r="L352" s="788">
        <v>267780.43949214183</v>
      </c>
      <c r="M352" s="788">
        <v>253247.36258949889</v>
      </c>
      <c r="N352" s="788">
        <v>115394.46695175339</v>
      </c>
      <c r="O352" s="788">
        <v>4661.2359754820682</v>
      </c>
      <c r="P352" s="772">
        <v>0</v>
      </c>
      <c r="Q352" s="774"/>
      <c r="R352" s="774">
        <v>423</v>
      </c>
      <c r="S352" s="774"/>
      <c r="T352" s="774"/>
      <c r="U352" s="774"/>
      <c r="V352" s="774"/>
    </row>
    <row r="353" spans="1:22" hidden="1">
      <c r="A353" s="786">
        <v>353</v>
      </c>
      <c r="B353" s="767"/>
      <c r="C353" s="767"/>
      <c r="D353" s="767"/>
      <c r="E353" s="767" t="s">
        <v>819</v>
      </c>
      <c r="F353" s="806" t="s">
        <v>1392</v>
      </c>
      <c r="G353" s="778"/>
      <c r="H353" s="788">
        <v>-950944.765964702</v>
      </c>
      <c r="I353" s="788">
        <v>-397732.38738778344</v>
      </c>
      <c r="J353" s="788">
        <v>-127081.03506899126</v>
      </c>
      <c r="K353" s="788">
        <v>-215658.78060501599</v>
      </c>
      <c r="L353" s="788">
        <v>-87914.343380896593</v>
      </c>
      <c r="M353" s="788">
        <v>-83143.024327036328</v>
      </c>
      <c r="N353" s="788">
        <v>-37884.87617352527</v>
      </c>
      <c r="O353" s="788">
        <v>-1530.3190214531876</v>
      </c>
      <c r="P353" s="772">
        <v>0</v>
      </c>
      <c r="Q353" s="774"/>
      <c r="R353" s="774">
        <v>424</v>
      </c>
      <c r="S353" s="774"/>
      <c r="T353" s="774"/>
      <c r="U353" s="774"/>
      <c r="V353" s="774"/>
    </row>
    <row r="354" spans="1:22" hidden="1">
      <c r="A354" s="786">
        <v>354</v>
      </c>
      <c r="B354" s="767"/>
      <c r="C354" s="767"/>
      <c r="D354" s="767"/>
      <c r="E354" s="767"/>
      <c r="F354" s="806"/>
      <c r="G354" s="778"/>
      <c r="H354" s="788"/>
      <c r="I354" s="788"/>
      <c r="J354" s="788"/>
      <c r="K354" s="788"/>
      <c r="L354" s="788"/>
      <c r="M354" s="788"/>
      <c r="N354" s="788"/>
      <c r="O354" s="788"/>
      <c r="P354" s="772"/>
      <c r="Q354" s="774"/>
      <c r="R354" s="774"/>
      <c r="S354" s="774"/>
      <c r="T354" s="774"/>
      <c r="U354" s="774"/>
      <c r="V354" s="774"/>
    </row>
    <row r="355" spans="1:22" hidden="1">
      <c r="A355" s="786">
        <v>355</v>
      </c>
      <c r="B355" s="767"/>
      <c r="C355" s="821" t="s">
        <v>820</v>
      </c>
      <c r="D355" s="767" t="s">
        <v>751</v>
      </c>
      <c r="E355" s="767"/>
      <c r="F355" s="806"/>
      <c r="G355" s="778"/>
      <c r="H355" s="788"/>
      <c r="I355" s="788"/>
      <c r="J355" s="788"/>
      <c r="K355" s="788"/>
      <c r="L355" s="788"/>
      <c r="M355" s="788"/>
      <c r="N355" s="788"/>
      <c r="O355" s="788"/>
      <c r="P355" s="772"/>
      <c r="Q355" s="774"/>
      <c r="R355" s="774"/>
      <c r="S355" s="774"/>
      <c r="T355" s="774"/>
      <c r="U355" s="774"/>
      <c r="V355" s="774"/>
    </row>
    <row r="356" spans="1:22" hidden="1">
      <c r="A356" s="786">
        <v>356</v>
      </c>
      <c r="B356" s="767"/>
      <c r="C356" s="764"/>
      <c r="D356" s="767"/>
      <c r="E356" s="820" t="s">
        <v>719</v>
      </c>
      <c r="F356" s="806" t="s">
        <v>1392</v>
      </c>
      <c r="G356" s="778"/>
      <c r="H356" s="788">
        <v>401872.71645352751</v>
      </c>
      <c r="I356" s="788">
        <v>168083.15336687837</v>
      </c>
      <c r="J356" s="788">
        <v>53704.907583241467</v>
      </c>
      <c r="K356" s="788">
        <v>91138.184982670267</v>
      </c>
      <c r="L356" s="788">
        <v>37152.921236037939</v>
      </c>
      <c r="M356" s="788">
        <v>35136.544451739544</v>
      </c>
      <c r="N356" s="788">
        <v>16010.286449092515</v>
      </c>
      <c r="O356" s="788">
        <v>646.71838386744366</v>
      </c>
      <c r="P356" s="772">
        <v>0</v>
      </c>
      <c r="Q356" s="774"/>
      <c r="R356" s="774">
        <v>429</v>
      </c>
      <c r="S356" s="774"/>
      <c r="T356" s="774"/>
      <c r="U356" s="774"/>
      <c r="V356" s="774"/>
    </row>
    <row r="357" spans="1:22" hidden="1">
      <c r="A357" s="786">
        <v>357</v>
      </c>
      <c r="B357" s="767"/>
      <c r="C357" s="764"/>
      <c r="D357" s="767"/>
      <c r="E357" s="820" t="s">
        <v>788</v>
      </c>
      <c r="F357" s="806" t="s">
        <v>1392</v>
      </c>
      <c r="G357" s="778"/>
      <c r="H357" s="788">
        <v>3085.2900587078143</v>
      </c>
      <c r="I357" s="788">
        <v>1290.421720328605</v>
      </c>
      <c r="J357" s="788">
        <v>412.30770511776655</v>
      </c>
      <c r="K357" s="788">
        <v>699.69352131478399</v>
      </c>
      <c r="L357" s="788">
        <v>285.23344294948623</v>
      </c>
      <c r="M357" s="788">
        <v>269.75315032821675</v>
      </c>
      <c r="N357" s="788">
        <v>122.91547944425274</v>
      </c>
      <c r="O357" s="788">
        <v>4.9650392247032427</v>
      </c>
      <c r="P357" s="772">
        <v>0</v>
      </c>
      <c r="Q357" s="774"/>
      <c r="R357" s="774">
        <v>430</v>
      </c>
      <c r="S357" s="774"/>
      <c r="T357" s="774"/>
      <c r="U357" s="774"/>
      <c r="V357" s="774"/>
    </row>
    <row r="358" spans="1:22" hidden="1">
      <c r="A358" s="786">
        <v>358</v>
      </c>
      <c r="B358" s="767"/>
      <c r="C358" s="764"/>
      <c r="D358" s="767"/>
      <c r="E358" s="767" t="s">
        <v>821</v>
      </c>
      <c r="F358" s="806"/>
      <c r="G358" s="778"/>
      <c r="H358" s="788">
        <v>404958.00651223533</v>
      </c>
      <c r="I358" s="788">
        <v>169373.57508720696</v>
      </c>
      <c r="J358" s="788">
        <v>54117.215288359235</v>
      </c>
      <c r="K358" s="788">
        <v>91837.878503985048</v>
      </c>
      <c r="L358" s="788">
        <v>37438.154678987426</v>
      </c>
      <c r="M358" s="788">
        <v>35406.29760206776</v>
      </c>
      <c r="N358" s="788">
        <v>16133.201928536768</v>
      </c>
      <c r="O358" s="788">
        <v>651.68342309214688</v>
      </c>
      <c r="P358" s="772">
        <v>0</v>
      </c>
      <c r="Q358" s="774"/>
      <c r="R358" s="774"/>
      <c r="S358" s="774"/>
      <c r="T358" s="774"/>
      <c r="U358" s="774"/>
      <c r="V358" s="774"/>
    </row>
    <row r="359" spans="1:22" hidden="1">
      <c r="A359" s="786">
        <v>359</v>
      </c>
      <c r="B359" s="767"/>
      <c r="C359" s="767"/>
      <c r="D359" s="767"/>
      <c r="E359" s="767"/>
      <c r="F359" s="806"/>
      <c r="G359" s="778"/>
      <c r="H359" s="788"/>
      <c r="I359" s="788"/>
      <c r="J359" s="788"/>
      <c r="K359" s="788"/>
      <c r="L359" s="788"/>
      <c r="M359" s="788"/>
      <c r="N359" s="788"/>
      <c r="O359" s="788"/>
      <c r="P359" s="772"/>
      <c r="R359" s="774"/>
    </row>
    <row r="360" spans="1:22" hidden="1">
      <c r="A360" s="786">
        <v>360</v>
      </c>
      <c r="B360" s="767"/>
      <c r="C360" s="767" t="s">
        <v>822</v>
      </c>
      <c r="D360" s="767" t="s">
        <v>754</v>
      </c>
      <c r="E360" s="767"/>
      <c r="F360" s="806" t="s">
        <v>1392</v>
      </c>
      <c r="G360" s="778"/>
      <c r="H360" s="788">
        <v>5594.7308903961048</v>
      </c>
      <c r="I360" s="788">
        <v>2339.9946594921576</v>
      </c>
      <c r="J360" s="788">
        <v>747.66087151520958</v>
      </c>
      <c r="K360" s="788">
        <v>1268.7938193886912</v>
      </c>
      <c r="L360" s="788">
        <v>517.22992777926459</v>
      </c>
      <c r="M360" s="788">
        <v>489.15863799043331</v>
      </c>
      <c r="N360" s="788">
        <v>222.88958790559323</v>
      </c>
      <c r="O360" s="788">
        <v>9.0033863247559953</v>
      </c>
      <c r="P360" s="772">
        <v>0</v>
      </c>
      <c r="Q360" s="774"/>
      <c r="R360" s="774">
        <v>436</v>
      </c>
      <c r="S360" s="774"/>
      <c r="T360" s="774"/>
      <c r="U360" s="774"/>
      <c r="V360" s="774"/>
    </row>
    <row r="361" spans="1:22" hidden="1">
      <c r="A361" s="786">
        <v>361</v>
      </c>
      <c r="B361" s="767"/>
      <c r="C361" s="767"/>
      <c r="D361" s="767"/>
      <c r="E361" s="767"/>
      <c r="F361" s="806"/>
      <c r="G361" s="778"/>
      <c r="H361" s="788"/>
      <c r="I361" s="788"/>
      <c r="J361" s="788"/>
      <c r="K361" s="788"/>
      <c r="L361" s="788"/>
      <c r="M361" s="788"/>
      <c r="N361" s="788"/>
      <c r="O361" s="788"/>
      <c r="P361" s="772"/>
      <c r="R361" s="774"/>
    </row>
    <row r="362" spans="1:22" hidden="1">
      <c r="A362" s="786">
        <v>362</v>
      </c>
      <c r="B362" s="767"/>
      <c r="C362" s="767" t="s">
        <v>823</v>
      </c>
      <c r="D362" s="767" t="s">
        <v>824</v>
      </c>
      <c r="E362" s="767"/>
      <c r="F362" s="806" t="s">
        <v>1392</v>
      </c>
      <c r="G362" s="778"/>
      <c r="H362" s="788">
        <v>0</v>
      </c>
      <c r="I362" s="788">
        <v>0</v>
      </c>
      <c r="J362" s="788">
        <v>0</v>
      </c>
      <c r="K362" s="788">
        <v>0</v>
      </c>
      <c r="L362" s="788">
        <v>0</v>
      </c>
      <c r="M362" s="788">
        <v>0</v>
      </c>
      <c r="N362" s="788">
        <v>0</v>
      </c>
      <c r="O362" s="788">
        <v>0</v>
      </c>
      <c r="P362" s="772">
        <v>0</v>
      </c>
      <c r="Q362" s="774"/>
      <c r="R362" s="774">
        <v>440</v>
      </c>
      <c r="S362" s="774"/>
      <c r="T362" s="774"/>
      <c r="U362" s="774"/>
      <c r="V362" s="774"/>
    </row>
    <row r="363" spans="1:22" hidden="1">
      <c r="A363" s="786">
        <v>363</v>
      </c>
      <c r="B363" s="767"/>
      <c r="C363" s="767"/>
      <c r="D363" s="767"/>
      <c r="E363" s="820" t="s">
        <v>719</v>
      </c>
      <c r="F363" s="806" t="s">
        <v>1392</v>
      </c>
      <c r="G363" s="778"/>
      <c r="H363" s="788">
        <v>1082394.6606789485</v>
      </c>
      <c r="I363" s="788">
        <v>452711.26977695333</v>
      </c>
      <c r="J363" s="788">
        <v>144647.55341777243</v>
      </c>
      <c r="K363" s="788">
        <v>245469.47521036849</v>
      </c>
      <c r="L363" s="788">
        <v>100066.81699966398</v>
      </c>
      <c r="M363" s="788">
        <v>94635.954500457825</v>
      </c>
      <c r="N363" s="788">
        <v>43121.734466993199</v>
      </c>
      <c r="O363" s="788">
        <v>1741.8563067393206</v>
      </c>
      <c r="P363" s="772">
        <v>0</v>
      </c>
      <c r="Q363" s="774"/>
      <c r="R363" s="774">
        <v>441</v>
      </c>
      <c r="S363" s="774"/>
      <c r="T363" s="774"/>
      <c r="U363" s="774"/>
      <c r="V363" s="774"/>
    </row>
    <row r="364" spans="1:22" hidden="1">
      <c r="A364" s="786">
        <v>364</v>
      </c>
      <c r="B364" s="767"/>
      <c r="C364" s="767"/>
      <c r="D364" s="767"/>
      <c r="E364" s="767" t="s">
        <v>825</v>
      </c>
      <c r="F364" s="806"/>
      <c r="G364" s="778"/>
      <c r="H364" s="788">
        <v>1082394.6606789487</v>
      </c>
      <c r="I364" s="788">
        <v>452711.26977695333</v>
      </c>
      <c r="J364" s="788">
        <v>144647.55341777243</v>
      </c>
      <c r="K364" s="788">
        <v>245469.47521036849</v>
      </c>
      <c r="L364" s="788">
        <v>100066.81699966398</v>
      </c>
      <c r="M364" s="788">
        <v>94635.954500457825</v>
      </c>
      <c r="N364" s="788">
        <v>43121.734466993199</v>
      </c>
      <c r="O364" s="788">
        <v>1741.8563067393206</v>
      </c>
      <c r="P364" s="772">
        <v>0</v>
      </c>
      <c r="Q364" s="774"/>
      <c r="R364" s="774"/>
      <c r="S364" s="774"/>
      <c r="T364" s="774"/>
      <c r="U364" s="774"/>
      <c r="V364" s="774"/>
    </row>
    <row r="365" spans="1:22" hidden="1">
      <c r="A365" s="786">
        <v>365</v>
      </c>
      <c r="B365" s="767"/>
      <c r="C365" s="767"/>
      <c r="D365" s="767"/>
      <c r="E365" s="767"/>
      <c r="F365" s="806"/>
      <c r="G365" s="778"/>
      <c r="H365" s="788"/>
      <c r="I365" s="788"/>
      <c r="J365" s="788"/>
      <c r="K365" s="788"/>
      <c r="L365" s="788"/>
      <c r="M365" s="788"/>
      <c r="N365" s="788"/>
      <c r="O365" s="788"/>
      <c r="P365" s="772"/>
      <c r="R365" s="774"/>
    </row>
    <row r="366" spans="1:22" hidden="1">
      <c r="A366" s="786">
        <v>366</v>
      </c>
      <c r="B366" s="767"/>
      <c r="C366" s="767" t="s">
        <v>826</v>
      </c>
      <c r="D366" s="767" t="s">
        <v>827</v>
      </c>
      <c r="E366" s="767"/>
      <c r="F366" s="806" t="s">
        <v>1392</v>
      </c>
      <c r="G366" s="778"/>
      <c r="H366" s="788">
        <v>0</v>
      </c>
      <c r="I366" s="788">
        <v>0</v>
      </c>
      <c r="J366" s="788">
        <v>0</v>
      </c>
      <c r="K366" s="788">
        <v>0</v>
      </c>
      <c r="L366" s="788">
        <v>0</v>
      </c>
      <c r="M366" s="788">
        <v>0</v>
      </c>
      <c r="N366" s="788">
        <v>0</v>
      </c>
      <c r="O366" s="788">
        <v>0</v>
      </c>
      <c r="P366" s="772">
        <v>0</v>
      </c>
      <c r="Q366" s="774"/>
      <c r="R366" s="774">
        <v>445</v>
      </c>
      <c r="S366" s="774"/>
      <c r="T366" s="774"/>
      <c r="U366" s="774"/>
      <c r="V366" s="774"/>
    </row>
    <row r="367" spans="1:22" hidden="1">
      <c r="A367" s="786">
        <v>367</v>
      </c>
      <c r="B367" s="767"/>
      <c r="C367" s="767"/>
      <c r="D367" s="767"/>
      <c r="E367" s="820" t="s">
        <v>719</v>
      </c>
      <c r="F367" s="806" t="s">
        <v>1392</v>
      </c>
      <c r="G367" s="778"/>
      <c r="H367" s="788">
        <v>50217.325696208485</v>
      </c>
      <c r="I367" s="788">
        <v>21003.382690813676</v>
      </c>
      <c r="J367" s="788">
        <v>6710.8731824154202</v>
      </c>
      <c r="K367" s="788">
        <v>11388.47135238478</v>
      </c>
      <c r="L367" s="788">
        <v>4642.5653444215577</v>
      </c>
      <c r="M367" s="788">
        <v>4390.6023582378584</v>
      </c>
      <c r="N367" s="788">
        <v>2000.6179473909267</v>
      </c>
      <c r="O367" s="788">
        <v>80.812820544269456</v>
      </c>
      <c r="P367" s="772">
        <v>0</v>
      </c>
      <c r="Q367" s="774"/>
      <c r="R367" s="774">
        <v>446</v>
      </c>
      <c r="S367" s="774"/>
      <c r="T367" s="774"/>
      <c r="U367" s="774"/>
      <c r="V367" s="774"/>
    </row>
    <row r="368" spans="1:22" hidden="1">
      <c r="A368" s="786">
        <v>368</v>
      </c>
      <c r="B368" s="767"/>
      <c r="C368" s="767"/>
      <c r="D368" s="767"/>
      <c r="E368" s="767" t="s">
        <v>828</v>
      </c>
      <c r="F368" s="806"/>
      <c r="G368" s="778"/>
      <c r="H368" s="788">
        <v>50217.325696208492</v>
      </c>
      <c r="I368" s="788">
        <v>21003.382690813676</v>
      </c>
      <c r="J368" s="788">
        <v>6710.8731824154202</v>
      </c>
      <c r="K368" s="788">
        <v>11388.47135238478</v>
      </c>
      <c r="L368" s="788">
        <v>4642.5653444215577</v>
      </c>
      <c r="M368" s="788">
        <v>4390.6023582378584</v>
      </c>
      <c r="N368" s="788">
        <v>2000.6179473909267</v>
      </c>
      <c r="O368" s="788">
        <v>80.812820544269456</v>
      </c>
      <c r="P368" s="772">
        <v>0</v>
      </c>
      <c r="Q368" s="774"/>
      <c r="R368" s="774"/>
      <c r="S368" s="774"/>
      <c r="T368" s="774"/>
      <c r="U368" s="774"/>
      <c r="V368" s="774"/>
    </row>
    <row r="369" spans="1:22" hidden="1">
      <c r="A369" s="786">
        <v>369</v>
      </c>
      <c r="B369" s="767"/>
      <c r="C369" s="767"/>
      <c r="D369" s="767"/>
      <c r="E369" s="767"/>
      <c r="F369" s="806"/>
      <c r="G369" s="778"/>
      <c r="H369" s="788"/>
      <c r="I369" s="788"/>
      <c r="J369" s="788"/>
      <c r="K369" s="788"/>
      <c r="L369" s="788"/>
      <c r="M369" s="788"/>
      <c r="N369" s="788"/>
      <c r="O369" s="788"/>
      <c r="P369" s="772"/>
      <c r="R369" s="774"/>
    </row>
    <row r="370" spans="1:22" hidden="1">
      <c r="A370" s="786">
        <v>370</v>
      </c>
      <c r="B370" s="767"/>
      <c r="C370" s="767" t="s">
        <v>829</v>
      </c>
      <c r="D370" s="767"/>
      <c r="E370" s="767"/>
      <c r="F370" s="806"/>
      <c r="G370" s="778"/>
      <c r="H370" s="788">
        <v>23114491.297587298</v>
      </c>
      <c r="I370" s="788">
        <v>9667629.6416828763</v>
      </c>
      <c r="J370" s="788">
        <v>3088942.2649176428</v>
      </c>
      <c r="K370" s="788">
        <v>5241990.0565791233</v>
      </c>
      <c r="L370" s="788">
        <v>2136922.561374363</v>
      </c>
      <c r="M370" s="788">
        <v>2020946.7269245221</v>
      </c>
      <c r="N370" s="788">
        <v>920862.77980063763</v>
      </c>
      <c r="O370" s="788">
        <v>37197.266308130675</v>
      </c>
      <c r="P370" s="772">
        <v>0</v>
      </c>
      <c r="Q370" s="774"/>
      <c r="R370" s="774"/>
      <c r="S370" s="774"/>
      <c r="T370" s="774"/>
      <c r="U370" s="774"/>
      <c r="V370" s="774"/>
    </row>
    <row r="371" spans="1:22" hidden="1">
      <c r="A371" s="786">
        <v>371</v>
      </c>
      <c r="B371" s="767"/>
      <c r="C371" s="767"/>
      <c r="D371" s="767"/>
      <c r="E371" s="767"/>
      <c r="F371" s="806"/>
      <c r="G371" s="778"/>
      <c r="H371" s="810"/>
      <c r="I371" s="810"/>
      <c r="J371" s="810"/>
      <c r="K371" s="810"/>
      <c r="L371" s="810"/>
      <c r="M371" s="810"/>
      <c r="N371" s="810"/>
      <c r="O371" s="810"/>
      <c r="P371" s="772"/>
      <c r="R371" s="774"/>
    </row>
    <row r="372" spans="1:22" hidden="1">
      <c r="A372" s="786">
        <v>372</v>
      </c>
      <c r="B372" s="767"/>
      <c r="C372" s="767"/>
      <c r="D372" s="767"/>
      <c r="E372" s="767"/>
      <c r="F372" s="806"/>
      <c r="G372" s="778"/>
      <c r="H372" s="788"/>
      <c r="I372" s="788"/>
      <c r="J372" s="788"/>
      <c r="K372" s="788"/>
      <c r="L372" s="788"/>
      <c r="M372" s="788"/>
      <c r="N372" s="788"/>
      <c r="O372" s="788"/>
      <c r="P372" s="772"/>
      <c r="R372" s="774"/>
    </row>
    <row r="373" spans="1:22" hidden="1">
      <c r="A373" s="786">
        <v>373</v>
      </c>
      <c r="B373" s="767"/>
      <c r="D373" s="768"/>
      <c r="E373" s="795"/>
      <c r="F373" s="806"/>
      <c r="H373" s="817" t="s">
        <v>830</v>
      </c>
      <c r="I373" s="817"/>
      <c r="J373" s="817"/>
      <c r="K373" s="817"/>
      <c r="L373" s="817"/>
      <c r="M373" s="817"/>
      <c r="N373" s="817"/>
      <c r="O373" s="817"/>
      <c r="P373" s="772"/>
      <c r="R373" s="774"/>
    </row>
    <row r="374" spans="1:22" hidden="1">
      <c r="A374" s="786">
        <v>374</v>
      </c>
      <c r="B374" s="767"/>
      <c r="C374" s="767"/>
      <c r="D374" s="767"/>
      <c r="E374" s="767"/>
      <c r="F374" s="806"/>
      <c r="G374" s="778"/>
      <c r="H374" s="810"/>
      <c r="I374" s="810"/>
      <c r="J374" s="810"/>
      <c r="K374" s="810"/>
      <c r="L374" s="810"/>
      <c r="M374" s="810"/>
      <c r="N374" s="810"/>
      <c r="O374" s="810"/>
      <c r="P374" s="772"/>
      <c r="R374" s="774"/>
    </row>
    <row r="375" spans="1:22" hidden="1">
      <c r="A375" s="786">
        <v>375</v>
      </c>
      <c r="B375" s="767"/>
      <c r="C375" s="767"/>
      <c r="D375" s="767"/>
      <c r="E375" s="767"/>
      <c r="F375" s="806"/>
      <c r="G375" s="778"/>
      <c r="H375" s="788"/>
      <c r="I375" s="788"/>
      <c r="J375" s="788"/>
      <c r="K375" s="788"/>
      <c r="L375" s="788"/>
      <c r="M375" s="788"/>
      <c r="N375" s="788"/>
      <c r="O375" s="788"/>
      <c r="P375" s="772"/>
      <c r="R375" s="774"/>
    </row>
    <row r="376" spans="1:22" hidden="1">
      <c r="A376" s="786">
        <v>376</v>
      </c>
      <c r="B376" s="767"/>
      <c r="C376" s="767" t="s">
        <v>831</v>
      </c>
      <c r="D376" s="767" t="s">
        <v>832</v>
      </c>
      <c r="E376" s="767"/>
      <c r="F376" s="806" t="s">
        <v>1392</v>
      </c>
      <c r="G376" s="778"/>
      <c r="H376" s="788">
        <v>1401130.1499999997</v>
      </c>
      <c r="I376" s="788">
        <v>531557.7924863057</v>
      </c>
      <c r="J376" s="788">
        <v>193396.98707936349</v>
      </c>
      <c r="K376" s="788">
        <v>331308.16549524525</v>
      </c>
      <c r="L376" s="788">
        <v>139828.22309985638</v>
      </c>
      <c r="M376" s="788">
        <v>143231.54551011612</v>
      </c>
      <c r="N376" s="788">
        <v>57452.249096767649</v>
      </c>
      <c r="O376" s="788">
        <v>4355.1872323453508</v>
      </c>
      <c r="P376" s="772">
        <v>0</v>
      </c>
      <c r="Q376" s="774"/>
      <c r="R376" s="774">
        <v>451</v>
      </c>
      <c r="S376" s="774"/>
      <c r="T376" s="774"/>
      <c r="U376" s="774"/>
      <c r="V376" s="774"/>
    </row>
    <row r="377" spans="1:22" hidden="1">
      <c r="A377" s="786">
        <v>377</v>
      </c>
      <c r="B377" s="767"/>
      <c r="C377" s="767"/>
      <c r="D377" s="767"/>
      <c r="E377" s="767" t="s">
        <v>788</v>
      </c>
      <c r="F377" s="806" t="s">
        <v>1392</v>
      </c>
      <c r="G377" s="778"/>
      <c r="H377" s="788">
        <v>0</v>
      </c>
      <c r="I377" s="788">
        <v>0</v>
      </c>
      <c r="J377" s="788">
        <v>0</v>
      </c>
      <c r="K377" s="788">
        <v>0</v>
      </c>
      <c r="L377" s="788">
        <v>0</v>
      </c>
      <c r="M377" s="788">
        <v>0</v>
      </c>
      <c r="N377" s="788">
        <v>0</v>
      </c>
      <c r="O377" s="788">
        <v>0</v>
      </c>
      <c r="P377" s="772">
        <v>0</v>
      </c>
      <c r="Q377" s="774"/>
      <c r="R377" s="774">
        <v>452</v>
      </c>
      <c r="S377" s="774"/>
      <c r="T377" s="774"/>
      <c r="U377" s="774"/>
      <c r="V377" s="774"/>
    </row>
    <row r="378" spans="1:22" hidden="1">
      <c r="A378" s="786">
        <v>378</v>
      </c>
      <c r="B378" s="767"/>
      <c r="C378" s="767"/>
      <c r="D378" s="767"/>
      <c r="E378" s="767" t="s">
        <v>738</v>
      </c>
      <c r="F378" s="806" t="s">
        <v>1392</v>
      </c>
      <c r="G378" s="778"/>
      <c r="H378" s="788">
        <v>0</v>
      </c>
      <c r="I378" s="788">
        <v>0</v>
      </c>
      <c r="J378" s="788">
        <v>0</v>
      </c>
      <c r="K378" s="788">
        <v>0</v>
      </c>
      <c r="L378" s="788">
        <v>0</v>
      </c>
      <c r="M378" s="788">
        <v>0</v>
      </c>
      <c r="N378" s="788">
        <v>0</v>
      </c>
      <c r="O378" s="788">
        <v>0</v>
      </c>
      <c r="P378" s="772">
        <v>0</v>
      </c>
      <c r="Q378" s="774"/>
      <c r="R378" s="774">
        <v>453</v>
      </c>
      <c r="S378" s="774"/>
      <c r="T378" s="774"/>
      <c r="U378" s="774"/>
      <c r="V378" s="774"/>
    </row>
    <row r="379" spans="1:22" hidden="1">
      <c r="A379" s="786">
        <v>379</v>
      </c>
      <c r="B379" s="767"/>
      <c r="C379" s="767"/>
      <c r="D379" s="767"/>
      <c r="E379" s="767"/>
      <c r="F379" s="806"/>
      <c r="G379" s="778"/>
      <c r="H379" s="788"/>
      <c r="I379" s="788"/>
      <c r="J379" s="788"/>
      <c r="K379" s="788"/>
      <c r="L379" s="788"/>
      <c r="M379" s="788"/>
      <c r="N379" s="788"/>
      <c r="O379" s="788"/>
      <c r="P379" s="772"/>
      <c r="Q379" s="774"/>
      <c r="R379" s="774"/>
      <c r="S379" s="774"/>
      <c r="T379" s="774"/>
      <c r="U379" s="774"/>
      <c r="V379" s="774"/>
    </row>
    <row r="380" spans="1:22" hidden="1">
      <c r="A380" s="786">
        <v>380</v>
      </c>
      <c r="B380" s="767"/>
      <c r="C380" s="767" t="s">
        <v>833</v>
      </c>
      <c r="D380" s="767" t="s">
        <v>834</v>
      </c>
      <c r="E380" s="767"/>
      <c r="F380" s="806"/>
      <c r="G380" s="778"/>
      <c r="H380" s="788"/>
      <c r="I380" s="788"/>
      <c r="J380" s="788"/>
      <c r="K380" s="788"/>
      <c r="L380" s="788"/>
      <c r="M380" s="788"/>
      <c r="N380" s="788"/>
      <c r="O380" s="788"/>
      <c r="P380" s="772"/>
      <c r="Q380" s="774"/>
      <c r="R380" s="774"/>
      <c r="S380" s="774"/>
      <c r="T380" s="774"/>
      <c r="U380" s="774"/>
      <c r="V380" s="774"/>
    </row>
    <row r="381" spans="1:22" hidden="1">
      <c r="A381" s="786">
        <v>381</v>
      </c>
      <c r="B381" s="767"/>
      <c r="C381" s="767"/>
      <c r="D381" s="767"/>
      <c r="E381" s="767" t="s">
        <v>719</v>
      </c>
      <c r="F381" s="806" t="s">
        <v>1392</v>
      </c>
      <c r="G381" s="778"/>
      <c r="H381" s="788">
        <v>35111422.157744899</v>
      </c>
      <c r="I381" s="788">
        <v>14685342.681510232</v>
      </c>
      <c r="J381" s="788">
        <v>4692171.4386050478</v>
      </c>
      <c r="K381" s="788">
        <v>7962698.5276748156</v>
      </c>
      <c r="L381" s="788">
        <v>3246032.5085612643</v>
      </c>
      <c r="M381" s="788">
        <v>3069862.6577503942</v>
      </c>
      <c r="N381" s="788">
        <v>1398810.8755960199</v>
      </c>
      <c r="O381" s="788">
        <v>56503.468047127782</v>
      </c>
      <c r="P381" s="772">
        <v>0</v>
      </c>
      <c r="Q381" s="774"/>
      <c r="R381" s="774">
        <v>456</v>
      </c>
      <c r="S381" s="774"/>
      <c r="T381" s="774"/>
      <c r="U381" s="774"/>
      <c r="V381" s="774"/>
    </row>
    <row r="382" spans="1:22" hidden="1">
      <c r="A382" s="786">
        <v>382</v>
      </c>
      <c r="B382" s="767"/>
      <c r="C382" s="767"/>
      <c r="D382" s="767"/>
      <c r="E382" s="820" t="s">
        <v>728</v>
      </c>
      <c r="F382" s="806" t="s">
        <v>1392</v>
      </c>
      <c r="G382" s="778"/>
      <c r="H382" s="788">
        <v>232282.93330751164</v>
      </c>
      <c r="I382" s="788">
        <v>97152.273108218738</v>
      </c>
      <c r="J382" s="788">
        <v>31041.503828704757</v>
      </c>
      <c r="K382" s="788">
        <v>52677.985036949707</v>
      </c>
      <c r="L382" s="788">
        <v>21474.434994762341</v>
      </c>
      <c r="M382" s="788">
        <v>20308.966688669556</v>
      </c>
      <c r="N382" s="788">
        <v>9253.9656145548979</v>
      </c>
      <c r="O382" s="788">
        <v>373.80403565165824</v>
      </c>
      <c r="P382" s="772">
        <v>0</v>
      </c>
      <c r="Q382" s="774"/>
      <c r="R382" s="774">
        <v>457</v>
      </c>
      <c r="S382" s="774"/>
      <c r="T382" s="774"/>
      <c r="U382" s="774"/>
      <c r="V382" s="774"/>
    </row>
    <row r="383" spans="1:22" hidden="1">
      <c r="A383" s="786">
        <v>383</v>
      </c>
      <c r="B383" s="767"/>
      <c r="C383" s="767"/>
      <c r="D383" s="767"/>
      <c r="E383" s="767" t="s">
        <v>835</v>
      </c>
      <c r="F383" s="806" t="s">
        <v>1392</v>
      </c>
      <c r="G383" s="778"/>
      <c r="H383" s="788">
        <v>0</v>
      </c>
      <c r="I383" s="788">
        <v>0</v>
      </c>
      <c r="J383" s="788">
        <v>0</v>
      </c>
      <c r="K383" s="788">
        <v>0</v>
      </c>
      <c r="L383" s="788">
        <v>0</v>
      </c>
      <c r="M383" s="788">
        <v>0</v>
      </c>
      <c r="N383" s="788">
        <v>0</v>
      </c>
      <c r="O383" s="788">
        <v>0</v>
      </c>
      <c r="P383" s="772">
        <v>0</v>
      </c>
      <c r="Q383" s="774"/>
      <c r="R383" s="774">
        <v>458</v>
      </c>
      <c r="S383" s="774"/>
      <c r="T383" s="774"/>
      <c r="U383" s="774"/>
      <c r="V383" s="774"/>
    </row>
    <row r="384" spans="1:22" hidden="1">
      <c r="A384" s="786">
        <v>384</v>
      </c>
      <c r="B384" s="767"/>
      <c r="C384" s="767"/>
      <c r="D384" s="767"/>
      <c r="E384" s="767" t="s">
        <v>835</v>
      </c>
      <c r="F384" s="806" t="s">
        <v>1392</v>
      </c>
      <c r="G384" s="778"/>
      <c r="H384" s="788">
        <v>-11501081.914558964</v>
      </c>
      <c r="I384" s="788">
        <v>-4810324.3544113375</v>
      </c>
      <c r="J384" s="788">
        <v>-1536965.6013960969</v>
      </c>
      <c r="K384" s="788">
        <v>-2608258.00835656</v>
      </c>
      <c r="L384" s="788">
        <v>-1063268.9730014114</v>
      </c>
      <c r="M384" s="788">
        <v>-1005562.8545779366</v>
      </c>
      <c r="N384" s="788">
        <v>-458193.87180980673</v>
      </c>
      <c r="O384" s="788">
        <v>-18508.251005815127</v>
      </c>
      <c r="P384" s="772">
        <v>0</v>
      </c>
      <c r="Q384" s="774"/>
      <c r="R384" s="774">
        <v>459</v>
      </c>
      <c r="S384" s="774"/>
      <c r="T384" s="774"/>
      <c r="U384" s="774"/>
      <c r="V384" s="774"/>
    </row>
    <row r="385" spans="1:22" hidden="1">
      <c r="A385" s="786">
        <v>385</v>
      </c>
      <c r="B385" s="767"/>
      <c r="C385" s="767"/>
      <c r="D385" s="767"/>
      <c r="E385" s="767" t="s">
        <v>836</v>
      </c>
      <c r="F385" s="806"/>
      <c r="G385" s="778"/>
      <c r="H385" s="788">
        <v>25243753.326493453</v>
      </c>
      <c r="I385" s="788">
        <v>10503728.392693419</v>
      </c>
      <c r="J385" s="788">
        <v>3379644.3281170186</v>
      </c>
      <c r="K385" s="788">
        <v>5738426.6698504509</v>
      </c>
      <c r="L385" s="788">
        <v>2344066.1936544711</v>
      </c>
      <c r="M385" s="788">
        <v>2227840.3153712433</v>
      </c>
      <c r="N385" s="788">
        <v>1007323.2184975359</v>
      </c>
      <c r="O385" s="788">
        <v>42724.208309309659</v>
      </c>
      <c r="P385" s="772">
        <v>0</v>
      </c>
      <c r="Q385" s="774"/>
      <c r="R385" s="774"/>
      <c r="S385" s="774"/>
      <c r="T385" s="774"/>
      <c r="U385" s="774"/>
      <c r="V385" s="774"/>
    </row>
    <row r="386" spans="1:22" hidden="1">
      <c r="A386" s="786">
        <v>386</v>
      </c>
      <c r="B386" s="767"/>
      <c r="C386" s="767"/>
      <c r="D386" s="767"/>
      <c r="E386" s="820"/>
      <c r="F386" s="806"/>
      <c r="G386" s="778"/>
      <c r="H386" s="788"/>
      <c r="I386" s="788"/>
      <c r="J386" s="788"/>
      <c r="K386" s="788"/>
      <c r="L386" s="788"/>
      <c r="M386" s="788"/>
      <c r="N386" s="788"/>
      <c r="O386" s="788"/>
      <c r="P386" s="772"/>
      <c r="Q386" s="774"/>
      <c r="R386" s="774"/>
      <c r="S386" s="774"/>
      <c r="T386" s="774"/>
      <c r="U386" s="774"/>
      <c r="V386" s="774"/>
    </row>
    <row r="387" spans="1:22" hidden="1">
      <c r="A387" s="786">
        <v>387</v>
      </c>
      <c r="B387" s="767"/>
      <c r="C387" s="767"/>
      <c r="D387" s="767"/>
      <c r="E387" s="767"/>
      <c r="F387" s="806"/>
      <c r="G387" s="778"/>
      <c r="H387" s="788"/>
      <c r="I387" s="788"/>
      <c r="J387" s="788"/>
      <c r="K387" s="788"/>
      <c r="L387" s="788"/>
      <c r="M387" s="788"/>
      <c r="N387" s="788"/>
      <c r="O387" s="788"/>
      <c r="P387" s="772"/>
      <c r="R387" s="774"/>
    </row>
    <row r="388" spans="1:22" hidden="1">
      <c r="A388" s="786">
        <v>388</v>
      </c>
      <c r="B388" s="767"/>
      <c r="C388" s="767" t="s">
        <v>837</v>
      </c>
      <c r="D388" s="767" t="s">
        <v>838</v>
      </c>
      <c r="E388" s="767"/>
      <c r="F388" s="806" t="s">
        <v>1392</v>
      </c>
      <c r="G388" s="778"/>
      <c r="H388" s="788">
        <v>71077.652186770865</v>
      </c>
      <c r="I388" s="788">
        <v>29728.208520590593</v>
      </c>
      <c r="J388" s="788">
        <v>9498.5765035525437</v>
      </c>
      <c r="K388" s="788">
        <v>16119.25355445453</v>
      </c>
      <c r="L388" s="788">
        <v>6571.091555161528</v>
      </c>
      <c r="M388" s="788">
        <v>6214.4628966733017</v>
      </c>
      <c r="N388" s="788">
        <v>2831.676610648346</v>
      </c>
      <c r="O388" s="788">
        <v>114.38254569002663</v>
      </c>
      <c r="P388" s="772">
        <v>0</v>
      </c>
      <c r="Q388" s="774"/>
      <c r="R388" s="774">
        <v>463</v>
      </c>
      <c r="S388" s="774"/>
      <c r="T388" s="774"/>
      <c r="U388" s="774"/>
      <c r="V388" s="774"/>
    </row>
    <row r="389" spans="1:22" hidden="1">
      <c r="A389" s="786">
        <v>389</v>
      </c>
      <c r="B389" s="767"/>
      <c r="C389" s="767"/>
      <c r="D389" s="767"/>
      <c r="E389" s="767"/>
      <c r="F389" s="806"/>
      <c r="G389" s="778"/>
      <c r="H389" s="788"/>
      <c r="I389" s="788"/>
      <c r="J389" s="788"/>
      <c r="K389" s="788"/>
      <c r="L389" s="788"/>
      <c r="M389" s="788"/>
      <c r="N389" s="788"/>
      <c r="O389" s="788"/>
      <c r="P389" s="772"/>
      <c r="R389" s="774"/>
    </row>
    <row r="390" spans="1:22" hidden="1">
      <c r="A390" s="786">
        <v>390</v>
      </c>
      <c r="B390" s="767"/>
      <c r="C390" s="767" t="s">
        <v>839</v>
      </c>
      <c r="D390" s="767" t="s">
        <v>840</v>
      </c>
      <c r="E390" s="767"/>
      <c r="F390" s="806" t="s">
        <v>1392</v>
      </c>
      <c r="G390" s="778"/>
      <c r="H390" s="788">
        <v>2801644.0164817371</v>
      </c>
      <c r="I390" s="788">
        <v>1171786.8410112702</v>
      </c>
      <c r="J390" s="788">
        <v>374402.20952071657</v>
      </c>
      <c r="K390" s="788">
        <v>635367.21995714516</v>
      </c>
      <c r="L390" s="788">
        <v>259010.5155541203</v>
      </c>
      <c r="M390" s="788">
        <v>244953.4031366478</v>
      </c>
      <c r="N390" s="788">
        <v>111615.24879842327</v>
      </c>
      <c r="O390" s="788">
        <v>4508.5785034139972</v>
      </c>
      <c r="P390" s="772">
        <v>0</v>
      </c>
      <c r="Q390" s="774"/>
      <c r="R390" s="774">
        <v>472</v>
      </c>
      <c r="S390" s="774"/>
      <c r="T390" s="774"/>
      <c r="U390" s="774"/>
      <c r="V390" s="774"/>
    </row>
    <row r="391" spans="1:22" hidden="1">
      <c r="A391" s="786">
        <v>391</v>
      </c>
      <c r="B391" s="767"/>
      <c r="C391" s="767"/>
      <c r="D391" s="767"/>
      <c r="E391" s="767"/>
      <c r="F391" s="806"/>
      <c r="G391" s="778"/>
      <c r="H391" s="788"/>
      <c r="I391" s="788"/>
      <c r="J391" s="788"/>
      <c r="K391" s="788"/>
      <c r="L391" s="788"/>
      <c r="M391" s="788"/>
      <c r="N391" s="788"/>
      <c r="O391" s="788"/>
      <c r="P391" s="772"/>
      <c r="Q391" s="774"/>
      <c r="R391" s="774"/>
      <c r="S391" s="774"/>
      <c r="T391" s="774"/>
      <c r="U391" s="774"/>
      <c r="V391" s="774"/>
    </row>
    <row r="392" spans="1:22" hidden="1">
      <c r="A392" s="786">
        <v>392</v>
      </c>
      <c r="B392" s="767"/>
      <c r="C392" s="767"/>
      <c r="D392" s="767"/>
      <c r="E392" s="767"/>
      <c r="F392" s="806"/>
      <c r="G392" s="778"/>
      <c r="H392" s="788"/>
      <c r="I392" s="788"/>
      <c r="J392" s="788"/>
      <c r="K392" s="788"/>
      <c r="L392" s="788"/>
      <c r="M392" s="788"/>
      <c r="N392" s="788"/>
      <c r="O392" s="788"/>
      <c r="P392" s="772"/>
      <c r="Q392" s="774"/>
      <c r="R392" s="774"/>
      <c r="S392" s="774"/>
      <c r="T392" s="774"/>
      <c r="U392" s="774"/>
      <c r="V392" s="774"/>
    </row>
    <row r="393" spans="1:22" hidden="1">
      <c r="A393" s="786">
        <v>393</v>
      </c>
      <c r="B393" s="767"/>
      <c r="C393" s="767" t="s">
        <v>841</v>
      </c>
      <c r="D393" s="767"/>
      <c r="E393" s="767"/>
      <c r="F393" s="806"/>
      <c r="G393" s="778"/>
      <c r="H393" s="788"/>
      <c r="I393" s="788"/>
      <c r="J393" s="788"/>
      <c r="K393" s="788"/>
      <c r="L393" s="788"/>
      <c r="M393" s="788"/>
      <c r="N393" s="788"/>
      <c r="O393" s="788"/>
      <c r="P393" s="772"/>
      <c r="Q393" s="774"/>
      <c r="R393" s="774"/>
      <c r="S393" s="774"/>
      <c r="T393" s="774"/>
      <c r="U393" s="774"/>
      <c r="V393" s="774"/>
    </row>
    <row r="394" spans="1:22" hidden="1">
      <c r="A394" s="786">
        <v>394</v>
      </c>
      <c r="B394" s="767"/>
      <c r="C394" s="767"/>
      <c r="D394" s="767"/>
      <c r="E394" s="822" t="s">
        <v>842</v>
      </c>
      <c r="F394" s="806" t="s">
        <v>1392</v>
      </c>
      <c r="G394" s="778"/>
      <c r="H394" s="788">
        <v>0</v>
      </c>
      <c r="I394" s="788">
        <v>0</v>
      </c>
      <c r="J394" s="788">
        <v>0</v>
      </c>
      <c r="K394" s="788">
        <v>0</v>
      </c>
      <c r="L394" s="788">
        <v>0</v>
      </c>
      <c r="M394" s="788">
        <v>0</v>
      </c>
      <c r="N394" s="788">
        <v>0</v>
      </c>
      <c r="O394" s="788">
        <v>0</v>
      </c>
      <c r="P394" s="772">
        <v>0</v>
      </c>
      <c r="Q394" s="774"/>
      <c r="R394" s="774">
        <v>475</v>
      </c>
      <c r="S394" s="774"/>
      <c r="T394" s="774"/>
      <c r="U394" s="774"/>
      <c r="V394" s="774"/>
    </row>
    <row r="395" spans="1:22" hidden="1">
      <c r="A395" s="786">
        <v>395</v>
      </c>
      <c r="B395" s="767"/>
      <c r="C395" s="767"/>
      <c r="D395" s="767"/>
      <c r="E395" s="822" t="s">
        <v>842</v>
      </c>
      <c r="F395" s="806" t="s">
        <v>1392</v>
      </c>
      <c r="G395" s="778"/>
      <c r="H395" s="788">
        <v>0</v>
      </c>
      <c r="I395" s="788">
        <v>0</v>
      </c>
      <c r="J395" s="788">
        <v>0</v>
      </c>
      <c r="K395" s="788">
        <v>0</v>
      </c>
      <c r="L395" s="788">
        <v>0</v>
      </c>
      <c r="M395" s="788">
        <v>0</v>
      </c>
      <c r="N395" s="788">
        <v>0</v>
      </c>
      <c r="O395" s="788">
        <v>0</v>
      </c>
      <c r="P395" s="772">
        <v>0</v>
      </c>
      <c r="Q395" s="774"/>
      <c r="R395" s="774">
        <v>476</v>
      </c>
      <c r="S395" s="774"/>
      <c r="T395" s="774"/>
      <c r="U395" s="774"/>
      <c r="V395" s="774"/>
    </row>
    <row r="396" spans="1:22" hidden="1">
      <c r="A396" s="786"/>
      <c r="B396" s="767"/>
      <c r="C396" s="767"/>
      <c r="D396" s="767"/>
      <c r="E396" s="822" t="s">
        <v>843</v>
      </c>
      <c r="F396" s="806" t="s">
        <v>1392</v>
      </c>
      <c r="G396" s="778"/>
      <c r="H396" s="788">
        <v>0</v>
      </c>
      <c r="I396" s="788">
        <v>0</v>
      </c>
      <c r="J396" s="788">
        <v>0</v>
      </c>
      <c r="K396" s="788">
        <v>0</v>
      </c>
      <c r="L396" s="788">
        <v>0</v>
      </c>
      <c r="M396" s="788">
        <v>0</v>
      </c>
      <c r="N396" s="788">
        <v>0</v>
      </c>
      <c r="O396" s="788">
        <v>0</v>
      </c>
      <c r="P396" s="772">
        <v>0</v>
      </c>
      <c r="Q396" s="774"/>
      <c r="R396" s="774">
        <v>477</v>
      </c>
      <c r="S396" s="774"/>
      <c r="T396" s="774"/>
      <c r="U396" s="774"/>
      <c r="V396" s="774"/>
    </row>
    <row r="397" spans="1:22" hidden="1">
      <c r="A397" s="786">
        <v>397</v>
      </c>
      <c r="B397" s="767"/>
      <c r="C397" s="767"/>
      <c r="D397" s="767"/>
      <c r="E397" s="822" t="s">
        <v>843</v>
      </c>
      <c r="F397" s="806" t="s">
        <v>1392</v>
      </c>
      <c r="G397" s="778"/>
      <c r="H397" s="788">
        <v>0</v>
      </c>
      <c r="I397" s="788">
        <v>0</v>
      </c>
      <c r="J397" s="788">
        <v>0</v>
      </c>
      <c r="K397" s="788">
        <v>0</v>
      </c>
      <c r="L397" s="788">
        <v>0</v>
      </c>
      <c r="M397" s="788">
        <v>0</v>
      </c>
      <c r="N397" s="788">
        <v>0</v>
      </c>
      <c r="O397" s="788">
        <v>0</v>
      </c>
      <c r="P397" s="772">
        <v>0</v>
      </c>
      <c r="Q397" s="774"/>
      <c r="R397" s="774">
        <v>478</v>
      </c>
      <c r="S397" s="774"/>
      <c r="T397" s="774"/>
      <c r="U397" s="774"/>
      <c r="V397" s="774"/>
    </row>
    <row r="398" spans="1:22" hidden="1">
      <c r="A398" s="786">
        <v>398</v>
      </c>
      <c r="B398" s="767"/>
      <c r="C398" s="767"/>
      <c r="D398" s="767"/>
      <c r="E398" s="822" t="s">
        <v>844</v>
      </c>
      <c r="F398" s="806" t="s">
        <v>1392</v>
      </c>
      <c r="G398" s="778"/>
      <c r="H398" s="788">
        <v>0</v>
      </c>
      <c r="I398" s="788">
        <v>0</v>
      </c>
      <c r="J398" s="788">
        <v>0</v>
      </c>
      <c r="K398" s="788">
        <v>0</v>
      </c>
      <c r="L398" s="788">
        <v>0</v>
      </c>
      <c r="M398" s="788">
        <v>0</v>
      </c>
      <c r="N398" s="788">
        <v>0</v>
      </c>
      <c r="O398" s="788">
        <v>0</v>
      </c>
      <c r="P398" s="772">
        <v>0</v>
      </c>
      <c r="Q398" s="774"/>
      <c r="R398" s="774">
        <v>479</v>
      </c>
      <c r="S398" s="774"/>
      <c r="T398" s="774"/>
      <c r="U398" s="774"/>
      <c r="V398" s="774"/>
    </row>
    <row r="399" spans="1:22" hidden="1">
      <c r="A399" s="786">
        <v>399</v>
      </c>
      <c r="B399" s="767"/>
      <c r="C399" s="767"/>
      <c r="D399" s="767"/>
      <c r="E399" s="822" t="s">
        <v>844</v>
      </c>
      <c r="F399" s="806" t="s">
        <v>1392</v>
      </c>
      <c r="G399" s="778"/>
      <c r="H399" s="788">
        <v>0</v>
      </c>
      <c r="I399" s="788">
        <v>0</v>
      </c>
      <c r="J399" s="788">
        <v>0</v>
      </c>
      <c r="K399" s="788">
        <v>0</v>
      </c>
      <c r="L399" s="788">
        <v>0</v>
      </c>
      <c r="M399" s="788">
        <v>0</v>
      </c>
      <c r="N399" s="788">
        <v>0</v>
      </c>
      <c r="O399" s="788">
        <v>0</v>
      </c>
      <c r="P399" s="772">
        <v>0</v>
      </c>
      <c r="Q399" s="774"/>
      <c r="R399" s="774">
        <v>479</v>
      </c>
      <c r="S399" s="774"/>
      <c r="T399" s="774"/>
      <c r="U399" s="774"/>
      <c r="V399" s="774"/>
    </row>
    <row r="400" spans="1:22" hidden="1">
      <c r="A400" s="786">
        <v>400</v>
      </c>
      <c r="B400" s="767"/>
      <c r="C400" s="767"/>
      <c r="D400" s="767"/>
      <c r="E400" s="822"/>
      <c r="F400" s="806"/>
      <c r="G400" s="778"/>
      <c r="H400" s="788">
        <v>0</v>
      </c>
      <c r="I400" s="788">
        <v>0</v>
      </c>
      <c r="J400" s="788">
        <v>0</v>
      </c>
      <c r="K400" s="788">
        <v>0</v>
      </c>
      <c r="L400" s="788">
        <v>0</v>
      </c>
      <c r="M400" s="788">
        <v>0</v>
      </c>
      <c r="N400" s="788">
        <v>0</v>
      </c>
      <c r="O400" s="788">
        <v>0</v>
      </c>
      <c r="P400" s="772">
        <v>0</v>
      </c>
      <c r="Q400" s="774"/>
      <c r="R400" s="774"/>
      <c r="S400" s="774"/>
      <c r="T400" s="774"/>
      <c r="U400" s="774"/>
      <c r="V400" s="774"/>
    </row>
    <row r="401" spans="1:22" hidden="1">
      <c r="A401" s="786">
        <v>401</v>
      </c>
      <c r="B401" s="767"/>
      <c r="C401" s="767"/>
      <c r="D401" s="767"/>
      <c r="E401" s="767"/>
      <c r="F401" s="806"/>
      <c r="G401" s="778"/>
      <c r="H401" s="788"/>
      <c r="I401" s="788"/>
      <c r="J401" s="788"/>
      <c r="K401" s="788"/>
      <c r="L401" s="788"/>
      <c r="M401" s="788"/>
      <c r="N401" s="788"/>
      <c r="O401" s="788"/>
      <c r="P401" s="772"/>
      <c r="R401" s="774"/>
    </row>
    <row r="402" spans="1:22" hidden="1">
      <c r="A402" s="786">
        <v>402</v>
      </c>
      <c r="B402" s="767"/>
      <c r="C402" s="767" t="s">
        <v>845</v>
      </c>
      <c r="D402" s="767"/>
      <c r="E402" s="767"/>
      <c r="F402" s="806"/>
      <c r="G402" s="778"/>
      <c r="H402" s="788">
        <v>28116474.995161958</v>
      </c>
      <c r="I402" s="788">
        <v>11705243.442225281</v>
      </c>
      <c r="J402" s="788">
        <v>3763545.1141412877</v>
      </c>
      <c r="K402" s="788">
        <v>6389913.1433620499</v>
      </c>
      <c r="L402" s="788">
        <v>2609647.8007637528</v>
      </c>
      <c r="M402" s="788">
        <v>2479008.1814045645</v>
      </c>
      <c r="N402" s="788">
        <v>1121770.1439066075</v>
      </c>
      <c r="O402" s="788">
        <v>47347.169358413681</v>
      </c>
      <c r="P402" s="772">
        <v>0</v>
      </c>
      <c r="Q402" s="774"/>
      <c r="R402" s="774"/>
      <c r="S402" s="774"/>
      <c r="T402" s="774"/>
      <c r="U402" s="774"/>
      <c r="V402" s="774"/>
    </row>
    <row r="403" spans="1:22" hidden="1">
      <c r="A403" s="786">
        <v>403</v>
      </c>
      <c r="B403" s="767"/>
      <c r="C403" s="767"/>
      <c r="D403" s="767"/>
      <c r="E403" s="767"/>
      <c r="F403" s="806"/>
      <c r="G403" s="778"/>
      <c r="H403" s="788"/>
      <c r="I403" s="788"/>
      <c r="J403" s="788"/>
      <c r="K403" s="788"/>
      <c r="L403" s="788"/>
      <c r="M403" s="788"/>
      <c r="N403" s="788"/>
      <c r="O403" s="788"/>
      <c r="P403" s="772"/>
      <c r="R403" s="774"/>
    </row>
    <row r="404" spans="1:22" hidden="1">
      <c r="A404" s="786">
        <v>404</v>
      </c>
      <c r="B404" s="767"/>
      <c r="C404" s="767" t="s">
        <v>846</v>
      </c>
      <c r="D404" s="767"/>
      <c r="E404" s="767"/>
      <c r="F404" s="806"/>
      <c r="G404" s="778"/>
      <c r="H404" s="788">
        <v>122196933.25547305</v>
      </c>
      <c r="I404" s="788">
        <v>50908366.555727839</v>
      </c>
      <c r="J404" s="788">
        <v>16352637.53016652</v>
      </c>
      <c r="K404" s="788">
        <v>27762164.311778981</v>
      </c>
      <c r="L404" s="788">
        <v>11334933.032119408</v>
      </c>
      <c r="M404" s="788">
        <v>10760218.124355998</v>
      </c>
      <c r="N404" s="788">
        <v>4874235.9133336283</v>
      </c>
      <c r="O404" s="788">
        <v>204377.78799067851</v>
      </c>
      <c r="P404" s="772">
        <v>0</v>
      </c>
      <c r="Q404" s="774"/>
      <c r="R404" s="774"/>
      <c r="S404" s="774"/>
      <c r="T404" s="774"/>
      <c r="U404" s="774"/>
      <c r="V404" s="774"/>
    </row>
    <row r="405" spans="1:22" hidden="1">
      <c r="A405" s="786">
        <v>405</v>
      </c>
      <c r="B405" s="767"/>
      <c r="C405" s="767"/>
      <c r="D405" s="767"/>
      <c r="E405" s="767"/>
      <c r="F405" s="806"/>
      <c r="H405" s="817"/>
      <c r="I405" s="817"/>
      <c r="J405" s="817"/>
      <c r="K405" s="817"/>
      <c r="L405" s="817"/>
      <c r="M405" s="817"/>
      <c r="N405" s="817"/>
      <c r="O405" s="817"/>
      <c r="P405" s="772"/>
      <c r="R405" s="774"/>
    </row>
    <row r="406" spans="1:22" hidden="1">
      <c r="A406" s="786">
        <v>406</v>
      </c>
      <c r="B406" s="767"/>
      <c r="C406" s="781" t="s">
        <v>714</v>
      </c>
      <c r="D406" s="767"/>
      <c r="E406" s="767"/>
      <c r="F406" s="806"/>
      <c r="G406" s="778"/>
      <c r="H406" s="817" t="s">
        <v>847</v>
      </c>
      <c r="I406" s="817"/>
      <c r="J406" s="817"/>
      <c r="K406" s="817"/>
      <c r="L406" s="817"/>
      <c r="M406" s="817"/>
      <c r="N406" s="817"/>
      <c r="O406" s="817"/>
      <c r="P406" s="772"/>
      <c r="R406" s="774"/>
    </row>
    <row r="407" spans="1:22" hidden="1">
      <c r="A407" s="786">
        <v>407</v>
      </c>
      <c r="B407" s="767"/>
      <c r="C407" s="767"/>
      <c r="D407" s="767"/>
      <c r="E407" s="767"/>
      <c r="F407" s="806"/>
      <c r="G407" s="778"/>
      <c r="H407" s="810"/>
      <c r="I407" s="810"/>
      <c r="J407" s="810"/>
      <c r="K407" s="810"/>
      <c r="L407" s="810"/>
      <c r="M407" s="810"/>
      <c r="N407" s="810"/>
      <c r="O407" s="810"/>
      <c r="P407" s="772"/>
      <c r="R407" s="774"/>
    </row>
    <row r="408" spans="1:22" hidden="1">
      <c r="A408" s="786">
        <v>408</v>
      </c>
      <c r="B408" s="767"/>
      <c r="C408" s="767"/>
      <c r="D408" s="767"/>
      <c r="E408" s="767"/>
      <c r="F408" s="806"/>
      <c r="G408" s="778"/>
      <c r="H408" s="810"/>
      <c r="I408" s="810"/>
      <c r="J408" s="810"/>
      <c r="K408" s="810"/>
      <c r="L408" s="810"/>
      <c r="M408" s="810"/>
      <c r="N408" s="810"/>
      <c r="O408" s="810"/>
      <c r="P408" s="772"/>
      <c r="R408" s="774"/>
    </row>
    <row r="409" spans="1:22" hidden="1">
      <c r="A409" s="786">
        <v>409</v>
      </c>
      <c r="B409" s="767"/>
      <c r="C409" s="777" t="s">
        <v>575</v>
      </c>
      <c r="D409" s="767"/>
      <c r="E409" s="777" t="s">
        <v>576</v>
      </c>
      <c r="F409" s="806" t="s">
        <v>577</v>
      </c>
      <c r="G409" s="778"/>
      <c r="H409" s="777" t="s">
        <v>578</v>
      </c>
      <c r="I409" s="777" t="s">
        <v>579</v>
      </c>
      <c r="J409" s="777" t="s">
        <v>580</v>
      </c>
      <c r="K409" s="777" t="s">
        <v>581</v>
      </c>
      <c r="L409" s="777" t="s">
        <v>582</v>
      </c>
      <c r="M409" s="777" t="s">
        <v>583</v>
      </c>
      <c r="N409" s="777" t="s">
        <v>584</v>
      </c>
      <c r="O409" s="777" t="s">
        <v>585</v>
      </c>
      <c r="P409" s="772"/>
      <c r="R409" s="774"/>
    </row>
    <row r="410" spans="1:22" ht="38.25" hidden="1">
      <c r="A410" s="786">
        <v>410</v>
      </c>
      <c r="B410" s="767"/>
      <c r="C410" s="797" t="s">
        <v>656</v>
      </c>
      <c r="D410" s="781"/>
      <c r="E410" s="782" t="s">
        <v>587</v>
      </c>
      <c r="F410" s="806" t="s">
        <v>1391</v>
      </c>
      <c r="G410" s="783"/>
      <c r="H410" s="784" t="s">
        <v>588</v>
      </c>
      <c r="I410" s="784" t="s">
        <v>589</v>
      </c>
      <c r="J410" s="784" t="s">
        <v>590</v>
      </c>
      <c r="K410" s="784" t="s">
        <v>591</v>
      </c>
      <c r="L410" s="784" t="s">
        <v>592</v>
      </c>
      <c r="M410" s="784" t="s">
        <v>593</v>
      </c>
      <c r="N410" s="784" t="s">
        <v>594</v>
      </c>
      <c r="O410" s="784" t="s">
        <v>595</v>
      </c>
      <c r="P410" s="772"/>
      <c r="R410" s="774"/>
    </row>
    <row r="411" spans="1:22" hidden="1">
      <c r="A411" s="786">
        <v>411</v>
      </c>
      <c r="B411" s="767"/>
      <c r="C411" s="767" t="s">
        <v>848</v>
      </c>
      <c r="D411" s="767" t="s">
        <v>849</v>
      </c>
      <c r="E411" s="767"/>
      <c r="F411" s="806" t="s">
        <v>1396</v>
      </c>
      <c r="G411" s="778"/>
      <c r="H411" s="788">
        <v>843427.54073049489</v>
      </c>
      <c r="I411" s="788">
        <v>376372.10152540909</v>
      </c>
      <c r="J411" s="788">
        <v>111950.23687214934</v>
      </c>
      <c r="K411" s="788">
        <v>179238.52992656917</v>
      </c>
      <c r="L411" s="788">
        <v>72577.025979977407</v>
      </c>
      <c r="M411" s="788">
        <v>71210.265049798851</v>
      </c>
      <c r="N411" s="788">
        <v>31098.319154162007</v>
      </c>
      <c r="O411" s="788">
        <v>981.06222242914237</v>
      </c>
      <c r="P411" s="772">
        <v>0</v>
      </c>
      <c r="Q411" s="774"/>
      <c r="R411" s="774">
        <v>491</v>
      </c>
      <c r="S411" s="774"/>
      <c r="T411" s="774"/>
      <c r="U411" s="774"/>
      <c r="V411" s="774"/>
    </row>
    <row r="412" spans="1:22" hidden="1">
      <c r="A412" s="786">
        <v>412</v>
      </c>
      <c r="B412" s="767"/>
      <c r="C412" s="767"/>
      <c r="D412" s="767"/>
      <c r="E412" s="767"/>
      <c r="F412" s="806"/>
      <c r="G412" s="778"/>
      <c r="H412" s="788"/>
      <c r="I412" s="788"/>
      <c r="J412" s="788"/>
      <c r="K412" s="788"/>
      <c r="L412" s="788"/>
      <c r="M412" s="788"/>
      <c r="N412" s="788"/>
      <c r="O412" s="788"/>
      <c r="P412" s="772"/>
      <c r="R412" s="774"/>
    </row>
    <row r="413" spans="1:22" hidden="1">
      <c r="A413" s="786">
        <v>413</v>
      </c>
      <c r="B413" s="767"/>
      <c r="C413" s="767" t="s">
        <v>850</v>
      </c>
      <c r="D413" s="767" t="s">
        <v>851</v>
      </c>
      <c r="E413" s="767"/>
      <c r="F413" s="806" t="s">
        <v>1396</v>
      </c>
      <c r="G413" s="778"/>
      <c r="H413" s="788">
        <v>1474313.7616648111</v>
      </c>
      <c r="I413" s="788">
        <v>657899.51357887103</v>
      </c>
      <c r="J413" s="788">
        <v>195689.33532724704</v>
      </c>
      <c r="K413" s="788">
        <v>313309.46469028038</v>
      </c>
      <c r="L413" s="788">
        <v>126864.84969451091</v>
      </c>
      <c r="M413" s="788">
        <v>124475.74766622898</v>
      </c>
      <c r="N413" s="788">
        <v>54359.95112741489</v>
      </c>
      <c r="O413" s="788">
        <v>1714.8995802579827</v>
      </c>
      <c r="P413" s="772">
        <v>0</v>
      </c>
      <c r="Q413" s="774"/>
      <c r="R413" s="774">
        <v>496</v>
      </c>
      <c r="S413" s="774"/>
      <c r="T413" s="774"/>
      <c r="U413" s="774"/>
      <c r="V413" s="774"/>
    </row>
    <row r="414" spans="1:22" hidden="1">
      <c r="A414" s="786">
        <v>414</v>
      </c>
      <c r="B414" s="767"/>
      <c r="C414" s="767"/>
      <c r="D414" s="767"/>
      <c r="E414" s="767"/>
      <c r="F414" s="806"/>
      <c r="G414" s="778"/>
      <c r="H414" s="788"/>
      <c r="I414" s="788"/>
      <c r="J414" s="788"/>
      <c r="K414" s="788"/>
      <c r="L414" s="788"/>
      <c r="M414" s="788"/>
      <c r="N414" s="788"/>
      <c r="O414" s="788"/>
      <c r="P414" s="772"/>
      <c r="R414" s="774"/>
    </row>
    <row r="415" spans="1:22" hidden="1">
      <c r="A415" s="786">
        <v>415</v>
      </c>
      <c r="B415" s="767"/>
      <c r="C415" s="767" t="s">
        <v>852</v>
      </c>
      <c r="D415" s="767" t="s">
        <v>853</v>
      </c>
      <c r="E415" s="767"/>
      <c r="F415" s="806" t="s">
        <v>1396</v>
      </c>
      <c r="G415" s="778"/>
      <c r="H415" s="788">
        <v>151287.89318070794</v>
      </c>
      <c r="I415" s="788">
        <v>67510.888063316379</v>
      </c>
      <c r="J415" s="788">
        <v>20080.818635350399</v>
      </c>
      <c r="K415" s="788">
        <v>32150.502870598866</v>
      </c>
      <c r="L415" s="788">
        <v>13018.338652212444</v>
      </c>
      <c r="M415" s="788">
        <v>12773.179024831374</v>
      </c>
      <c r="N415" s="788">
        <v>5578.190133819422</v>
      </c>
      <c r="O415" s="788">
        <v>175.97580057907356</v>
      </c>
      <c r="P415" s="772">
        <v>0</v>
      </c>
      <c r="Q415" s="774"/>
      <c r="R415" s="774">
        <v>502</v>
      </c>
      <c r="S415" s="774"/>
      <c r="T415" s="774"/>
      <c r="U415" s="774"/>
      <c r="V415" s="774"/>
    </row>
    <row r="416" spans="1:22" hidden="1">
      <c r="A416" s="786">
        <v>416</v>
      </c>
      <c r="B416" s="767"/>
      <c r="C416" s="767"/>
      <c r="D416" s="767"/>
      <c r="E416" s="767"/>
      <c r="F416" s="806"/>
      <c r="G416" s="778"/>
      <c r="H416" s="788"/>
      <c r="I416" s="788"/>
      <c r="J416" s="788"/>
      <c r="K416" s="788"/>
      <c r="L416" s="788"/>
      <c r="M416" s="788"/>
      <c r="N416" s="788"/>
      <c r="O416" s="788"/>
      <c r="P416" s="772"/>
      <c r="R416" s="774"/>
    </row>
    <row r="417" spans="1:22" hidden="1">
      <c r="A417" s="786">
        <v>417</v>
      </c>
      <c r="B417" s="767"/>
      <c r="C417" s="767" t="s">
        <v>854</v>
      </c>
      <c r="D417" s="767" t="s">
        <v>855</v>
      </c>
      <c r="E417" s="767"/>
      <c r="F417" s="806" t="s">
        <v>1396</v>
      </c>
      <c r="G417" s="778"/>
      <c r="H417" s="788">
        <v>29173.221221531807</v>
      </c>
      <c r="I417" s="788">
        <v>13018.29267977637</v>
      </c>
      <c r="J417" s="788">
        <v>3872.2342683349566</v>
      </c>
      <c r="K417" s="788">
        <v>6199.6615387270022</v>
      </c>
      <c r="L417" s="788">
        <v>2510.3586642202104</v>
      </c>
      <c r="M417" s="788">
        <v>2463.0839227071315</v>
      </c>
      <c r="N417" s="788">
        <v>1075.656295876237</v>
      </c>
      <c r="O417" s="788">
        <v>33.933851889902137</v>
      </c>
      <c r="P417" s="772">
        <v>0</v>
      </c>
      <c r="Q417" s="774"/>
      <c r="R417" s="774">
        <v>507</v>
      </c>
      <c r="S417" s="774"/>
      <c r="T417" s="774"/>
      <c r="U417" s="774"/>
      <c r="V417" s="774"/>
    </row>
    <row r="418" spans="1:22" hidden="1">
      <c r="A418" s="786">
        <v>418</v>
      </c>
      <c r="B418" s="767"/>
      <c r="C418" s="767"/>
      <c r="D418" s="767"/>
      <c r="E418" s="767"/>
      <c r="F418" s="806"/>
      <c r="G418" s="778"/>
      <c r="H418" s="788"/>
      <c r="I418" s="788"/>
      <c r="J418" s="788"/>
      <c r="K418" s="788"/>
      <c r="L418" s="788"/>
      <c r="M418" s="788"/>
      <c r="N418" s="788"/>
      <c r="O418" s="788"/>
      <c r="P418" s="772"/>
      <c r="R418" s="774"/>
    </row>
    <row r="419" spans="1:22" hidden="1">
      <c r="A419" s="786">
        <v>419</v>
      </c>
      <c r="B419" s="767"/>
      <c r="C419" s="767" t="s">
        <v>856</v>
      </c>
      <c r="D419" s="767" t="s">
        <v>857</v>
      </c>
      <c r="E419" s="767"/>
      <c r="F419" s="806" t="s">
        <v>1396</v>
      </c>
      <c r="G419" s="778"/>
      <c r="H419" s="788">
        <v>0</v>
      </c>
      <c r="I419" s="788">
        <v>0</v>
      </c>
      <c r="J419" s="788">
        <v>0</v>
      </c>
      <c r="K419" s="788">
        <v>0</v>
      </c>
      <c r="L419" s="788">
        <v>0</v>
      </c>
      <c r="M419" s="788">
        <v>0</v>
      </c>
      <c r="N419" s="788">
        <v>0</v>
      </c>
      <c r="O419" s="788">
        <v>0</v>
      </c>
      <c r="P419" s="772">
        <v>0</v>
      </c>
      <c r="Q419" s="774"/>
      <c r="R419" s="774">
        <v>511</v>
      </c>
      <c r="S419" s="774"/>
      <c r="T419" s="774"/>
      <c r="U419" s="774"/>
      <c r="V419" s="774"/>
    </row>
    <row r="420" spans="1:22" hidden="1">
      <c r="A420" s="786">
        <v>420</v>
      </c>
      <c r="B420" s="767"/>
      <c r="C420" s="767"/>
      <c r="D420" s="767"/>
      <c r="E420" s="767"/>
      <c r="F420" s="806"/>
      <c r="G420" s="778"/>
      <c r="H420" s="788"/>
      <c r="I420" s="788"/>
      <c r="J420" s="788"/>
      <c r="K420" s="788"/>
      <c r="L420" s="788"/>
      <c r="M420" s="788"/>
      <c r="N420" s="788"/>
      <c r="O420" s="788"/>
      <c r="P420" s="772"/>
      <c r="R420" s="774"/>
    </row>
    <row r="421" spans="1:22" hidden="1">
      <c r="A421" s="786">
        <v>421</v>
      </c>
      <c r="B421" s="767"/>
      <c r="C421" s="767" t="s">
        <v>858</v>
      </c>
      <c r="D421" s="767" t="s">
        <v>859</v>
      </c>
      <c r="E421" s="767"/>
      <c r="F421" s="806" t="s">
        <v>1396</v>
      </c>
      <c r="G421" s="778"/>
      <c r="H421" s="788">
        <v>0</v>
      </c>
      <c r="I421" s="788">
        <v>0</v>
      </c>
      <c r="J421" s="788">
        <v>0</v>
      </c>
      <c r="K421" s="788">
        <v>0</v>
      </c>
      <c r="L421" s="788">
        <v>0</v>
      </c>
      <c r="M421" s="788">
        <v>0</v>
      </c>
      <c r="N421" s="788">
        <v>0</v>
      </c>
      <c r="O421" s="788">
        <v>0</v>
      </c>
      <c r="P421" s="772">
        <v>0</v>
      </c>
      <c r="Q421" s="774"/>
      <c r="R421" s="774">
        <v>515</v>
      </c>
      <c r="S421" s="774"/>
      <c r="T421" s="774"/>
      <c r="U421" s="774"/>
      <c r="V421" s="774"/>
    </row>
    <row r="422" spans="1:22" hidden="1">
      <c r="A422" s="786">
        <v>422</v>
      </c>
      <c r="B422" s="767"/>
      <c r="C422" s="767"/>
      <c r="D422" s="767"/>
      <c r="E422" s="767"/>
      <c r="F422" s="806"/>
      <c r="G422" s="778"/>
      <c r="H422" s="788"/>
      <c r="I422" s="788"/>
      <c r="J422" s="788"/>
      <c r="K422" s="788"/>
      <c r="L422" s="788"/>
      <c r="M422" s="788"/>
      <c r="N422" s="788"/>
      <c r="O422" s="788"/>
      <c r="P422" s="772"/>
      <c r="Q422" s="774"/>
      <c r="R422" s="774"/>
      <c r="S422" s="774"/>
      <c r="T422" s="774"/>
      <c r="U422" s="774"/>
      <c r="V422" s="774"/>
    </row>
    <row r="423" spans="1:22" hidden="1">
      <c r="A423" s="786">
        <v>423</v>
      </c>
      <c r="B423" s="767"/>
      <c r="C423" s="767" t="s">
        <v>860</v>
      </c>
      <c r="D423" s="767" t="s">
        <v>861</v>
      </c>
      <c r="E423" s="767"/>
      <c r="F423" s="806"/>
      <c r="G423" s="778"/>
      <c r="H423" s="788"/>
      <c r="I423" s="788"/>
      <c r="J423" s="788"/>
      <c r="K423" s="788"/>
      <c r="L423" s="788"/>
      <c r="M423" s="788"/>
      <c r="N423" s="788"/>
      <c r="O423" s="788"/>
      <c r="P423" s="772"/>
      <c r="Q423" s="774"/>
      <c r="R423" s="774"/>
      <c r="S423" s="774"/>
      <c r="T423" s="774"/>
      <c r="U423" s="774"/>
      <c r="V423" s="774"/>
    </row>
    <row r="424" spans="1:22" hidden="1">
      <c r="A424" s="786">
        <v>424</v>
      </c>
      <c r="B424" s="767"/>
      <c r="C424" s="767"/>
      <c r="D424" s="767" t="s">
        <v>719</v>
      </c>
      <c r="E424" s="767"/>
      <c r="F424" s="806" t="s">
        <v>1396</v>
      </c>
      <c r="G424" s="778"/>
      <c r="H424" s="788">
        <v>26272270.42487859</v>
      </c>
      <c r="I424" s="788">
        <v>11723768.971417811</v>
      </c>
      <c r="J424" s="788">
        <v>3487183.8482852383</v>
      </c>
      <c r="K424" s="788">
        <v>5583174.4890735233</v>
      </c>
      <c r="L424" s="788">
        <v>2260731.5520287049</v>
      </c>
      <c r="M424" s="788">
        <v>2218157.7551940535</v>
      </c>
      <c r="N424" s="788">
        <v>968694.29929890553</v>
      </c>
      <c r="O424" s="788">
        <v>30559.509580357371</v>
      </c>
      <c r="P424" s="772">
        <v>0</v>
      </c>
      <c r="Q424" s="774"/>
      <c r="R424" s="774">
        <v>518</v>
      </c>
      <c r="S424" s="774"/>
      <c r="T424" s="774"/>
      <c r="U424" s="774"/>
      <c r="V424" s="774"/>
    </row>
    <row r="425" spans="1:22" hidden="1">
      <c r="A425" s="786">
        <v>425</v>
      </c>
      <c r="B425" s="767"/>
      <c r="C425" s="767"/>
      <c r="D425" s="767" t="s">
        <v>738</v>
      </c>
      <c r="F425" s="806" t="s">
        <v>1396</v>
      </c>
      <c r="G425" s="778"/>
      <c r="H425" s="788">
        <v>-15666520.784212762</v>
      </c>
      <c r="I425" s="788">
        <v>-6991046.7306281384</v>
      </c>
      <c r="J425" s="788">
        <v>-2079456.2995133374</v>
      </c>
      <c r="K425" s="788">
        <v>-3329324.7123449189</v>
      </c>
      <c r="L425" s="788">
        <v>-1348105.7127763238</v>
      </c>
      <c r="M425" s="788">
        <v>-1322718.3647403002</v>
      </c>
      <c r="N425" s="788">
        <v>-577645.90300287504</v>
      </c>
      <c r="O425" s="788">
        <v>-18223.061206870563</v>
      </c>
      <c r="P425" s="772">
        <v>0</v>
      </c>
      <c r="Q425" s="774"/>
      <c r="R425" s="774">
        <v>519</v>
      </c>
      <c r="S425" s="774"/>
      <c r="T425" s="774"/>
      <c r="U425" s="774"/>
      <c r="V425" s="774"/>
    </row>
    <row r="426" spans="1:22" hidden="1">
      <c r="A426" s="786">
        <v>426</v>
      </c>
      <c r="B426" s="767"/>
      <c r="C426" s="767"/>
      <c r="D426" s="767" t="s">
        <v>738</v>
      </c>
      <c r="F426" s="806" t="s">
        <v>1396</v>
      </c>
      <c r="G426" s="778"/>
      <c r="H426" s="788">
        <v>0</v>
      </c>
      <c r="I426" s="788">
        <v>0</v>
      </c>
      <c r="J426" s="788">
        <v>0</v>
      </c>
      <c r="K426" s="788">
        <v>0</v>
      </c>
      <c r="L426" s="788">
        <v>0</v>
      </c>
      <c r="M426" s="788">
        <v>0</v>
      </c>
      <c r="N426" s="788">
        <v>0</v>
      </c>
      <c r="O426" s="788">
        <v>0</v>
      </c>
      <c r="P426" s="772">
        <v>0</v>
      </c>
      <c r="Q426" s="774"/>
      <c r="R426" s="774">
        <v>520</v>
      </c>
      <c r="S426" s="774"/>
      <c r="T426" s="774"/>
      <c r="U426" s="774"/>
      <c r="V426" s="774"/>
    </row>
    <row r="427" spans="1:22" hidden="1">
      <c r="A427" s="786">
        <v>427</v>
      </c>
      <c r="B427" s="767"/>
      <c r="C427" s="767"/>
      <c r="D427" s="767"/>
      <c r="F427" s="806"/>
      <c r="G427" s="778"/>
      <c r="H427" s="788">
        <v>10605749.640665829</v>
      </c>
      <c r="I427" s="788">
        <v>4732722.2407896724</v>
      </c>
      <c r="J427" s="788">
        <v>1407727.5487719008</v>
      </c>
      <c r="K427" s="788">
        <v>2253849.7767286045</v>
      </c>
      <c r="L427" s="788">
        <v>912625.83925238112</v>
      </c>
      <c r="M427" s="788">
        <v>895439.39045375329</v>
      </c>
      <c r="N427" s="788">
        <v>391048.39629603049</v>
      </c>
      <c r="O427" s="788">
        <v>12336.448373486808</v>
      </c>
      <c r="P427" s="772">
        <v>0</v>
      </c>
      <c r="Q427" s="774"/>
      <c r="R427" s="774"/>
      <c r="S427" s="774"/>
      <c r="T427" s="774"/>
      <c r="U427" s="774"/>
      <c r="V427" s="774"/>
    </row>
    <row r="428" spans="1:22" hidden="1">
      <c r="A428" s="786">
        <v>428</v>
      </c>
      <c r="B428" s="767"/>
      <c r="C428" s="767"/>
      <c r="D428" s="767"/>
      <c r="E428" s="767"/>
      <c r="F428" s="806"/>
      <c r="G428" s="778"/>
      <c r="H428" s="788"/>
      <c r="I428" s="788"/>
      <c r="J428" s="788"/>
      <c r="K428" s="788"/>
      <c r="L428" s="788"/>
      <c r="M428" s="788"/>
      <c r="N428" s="788"/>
      <c r="O428" s="788"/>
      <c r="P428" s="772"/>
      <c r="R428" s="774"/>
    </row>
    <row r="429" spans="1:22" hidden="1">
      <c r="A429" s="786">
        <v>429</v>
      </c>
      <c r="B429" s="767"/>
      <c r="C429" s="767" t="s">
        <v>862</v>
      </c>
      <c r="D429" s="767" t="s">
        <v>863</v>
      </c>
      <c r="E429" s="767"/>
      <c r="F429" s="806" t="s">
        <v>1396</v>
      </c>
      <c r="G429" s="778"/>
      <c r="H429" s="788">
        <v>202059.89274835319</v>
      </c>
      <c r="I429" s="788">
        <v>90167.445091761649</v>
      </c>
      <c r="J429" s="788">
        <v>26819.912515481083</v>
      </c>
      <c r="K429" s="788">
        <v>42940.165437291136</v>
      </c>
      <c r="L429" s="788">
        <v>17387.274397996731</v>
      </c>
      <c r="M429" s="788">
        <v>17059.839551933568</v>
      </c>
      <c r="N429" s="788">
        <v>7450.2227274932038</v>
      </c>
      <c r="O429" s="788">
        <v>235.03302639584555</v>
      </c>
      <c r="P429" s="772">
        <v>0</v>
      </c>
      <c r="Q429" s="774"/>
      <c r="R429" s="774">
        <v>526</v>
      </c>
      <c r="S429" s="774"/>
      <c r="T429" s="774"/>
      <c r="U429" s="774"/>
      <c r="V429" s="774"/>
    </row>
    <row r="430" spans="1:22" hidden="1">
      <c r="A430" s="786">
        <v>430</v>
      </c>
      <c r="B430" s="767"/>
      <c r="C430" s="767"/>
      <c r="D430" s="767"/>
      <c r="E430" s="767"/>
      <c r="F430" s="806"/>
      <c r="G430" s="778"/>
      <c r="H430" s="788"/>
      <c r="I430" s="788"/>
      <c r="J430" s="788"/>
      <c r="K430" s="788"/>
      <c r="L430" s="788"/>
      <c r="M430" s="788"/>
      <c r="N430" s="788"/>
      <c r="O430" s="788"/>
      <c r="P430" s="772"/>
      <c r="R430" s="774"/>
    </row>
    <row r="431" spans="1:22" hidden="1">
      <c r="A431" s="786">
        <v>431</v>
      </c>
      <c r="B431" s="767"/>
      <c r="C431" s="767" t="s">
        <v>864</v>
      </c>
      <c r="D431" s="767" t="s">
        <v>865</v>
      </c>
      <c r="E431" s="767"/>
      <c r="F431" s="806" t="s">
        <v>1396</v>
      </c>
      <c r="G431" s="778"/>
      <c r="H431" s="788">
        <v>202757.90285246854</v>
      </c>
      <c r="I431" s="788">
        <v>90478.925944692222</v>
      </c>
      <c r="J431" s="788">
        <v>26912.561134030089</v>
      </c>
      <c r="K431" s="788">
        <v>43088.501007205261</v>
      </c>
      <c r="L431" s="788">
        <v>17447.33823871124</v>
      </c>
      <c r="M431" s="788">
        <v>17118.772278363682</v>
      </c>
      <c r="N431" s="788">
        <v>7475.9593082216543</v>
      </c>
      <c r="O431" s="788">
        <v>235.84494124442676</v>
      </c>
      <c r="P431" s="772">
        <v>0</v>
      </c>
      <c r="Q431" s="774"/>
      <c r="R431" s="774">
        <v>531</v>
      </c>
      <c r="S431" s="774"/>
      <c r="T431" s="774"/>
      <c r="U431" s="774"/>
      <c r="V431" s="774"/>
    </row>
    <row r="432" spans="1:22" hidden="1">
      <c r="A432" s="786">
        <v>432</v>
      </c>
      <c r="B432" s="767"/>
      <c r="C432" s="767"/>
      <c r="D432" s="767"/>
      <c r="E432" s="767"/>
      <c r="F432" s="806"/>
      <c r="G432" s="778"/>
      <c r="H432" s="788"/>
      <c r="I432" s="788"/>
      <c r="J432" s="788"/>
      <c r="K432" s="788"/>
      <c r="L432" s="788"/>
      <c r="M432" s="788"/>
      <c r="N432" s="788"/>
      <c r="O432" s="788"/>
      <c r="P432" s="772"/>
      <c r="R432" s="774"/>
    </row>
    <row r="433" spans="1:22" hidden="1">
      <c r="A433" s="786">
        <v>433</v>
      </c>
      <c r="B433" s="767"/>
      <c r="C433" s="767" t="s">
        <v>866</v>
      </c>
      <c r="D433" s="767" t="s">
        <v>751</v>
      </c>
      <c r="E433" s="767"/>
      <c r="F433" s="806" t="s">
        <v>1396</v>
      </c>
      <c r="G433" s="778"/>
      <c r="H433" s="788">
        <v>93751.012232638197</v>
      </c>
      <c r="I433" s="788">
        <v>41835.562381057309</v>
      </c>
      <c r="J433" s="788">
        <v>12443.805211005418</v>
      </c>
      <c r="K433" s="788">
        <v>19923.221379695595</v>
      </c>
      <c r="L433" s="788">
        <v>8067.2841730591963</v>
      </c>
      <c r="M433" s="788">
        <v>7915.3621471631905</v>
      </c>
      <c r="N433" s="788">
        <v>3456.7271741105437</v>
      </c>
      <c r="O433" s="788">
        <v>109.04976654695605</v>
      </c>
      <c r="P433" s="772">
        <v>0</v>
      </c>
      <c r="Q433" s="774"/>
      <c r="R433" s="774">
        <v>536</v>
      </c>
      <c r="S433" s="774"/>
      <c r="T433" s="774"/>
      <c r="U433" s="774"/>
      <c r="V433" s="774"/>
    </row>
    <row r="434" spans="1:22" hidden="1">
      <c r="A434" s="786">
        <v>434</v>
      </c>
      <c r="B434" s="767"/>
      <c r="C434" s="767"/>
      <c r="D434" s="767"/>
      <c r="E434" s="767"/>
      <c r="F434" s="806"/>
      <c r="G434" s="778"/>
      <c r="H434" s="788"/>
      <c r="I434" s="788"/>
      <c r="J434" s="788"/>
      <c r="K434" s="788"/>
      <c r="L434" s="788"/>
      <c r="M434" s="788"/>
      <c r="N434" s="788"/>
      <c r="O434" s="788"/>
      <c r="P434" s="772"/>
      <c r="R434" s="774"/>
    </row>
    <row r="435" spans="1:22" hidden="1">
      <c r="A435" s="786">
        <v>435</v>
      </c>
      <c r="B435" s="767"/>
      <c r="C435" s="767" t="s">
        <v>867</v>
      </c>
      <c r="D435" s="767" t="s">
        <v>754</v>
      </c>
      <c r="E435" s="767"/>
      <c r="F435" s="806" t="s">
        <v>1396</v>
      </c>
      <c r="G435" s="778"/>
      <c r="H435" s="788">
        <v>493861.66089494387</v>
      </c>
      <c r="I435" s="788">
        <v>220381.41061041411</v>
      </c>
      <c r="J435" s="788">
        <v>65551.48753072141</v>
      </c>
      <c r="K435" s="788">
        <v>104951.56229927822</v>
      </c>
      <c r="L435" s="788">
        <v>42496.846335185357</v>
      </c>
      <c r="M435" s="788">
        <v>41696.551359709825</v>
      </c>
      <c r="N435" s="788">
        <v>18209.350307927645</v>
      </c>
      <c r="O435" s="788">
        <v>574.45245170735893</v>
      </c>
      <c r="P435" s="772">
        <v>0</v>
      </c>
      <c r="Q435" s="774"/>
      <c r="R435" s="774">
        <v>541</v>
      </c>
      <c r="S435" s="774"/>
      <c r="T435" s="774"/>
      <c r="U435" s="774"/>
      <c r="V435" s="774"/>
    </row>
    <row r="436" spans="1:22" hidden="1">
      <c r="A436" s="786">
        <v>436</v>
      </c>
      <c r="B436" s="767"/>
      <c r="C436" s="767"/>
      <c r="D436" s="767"/>
      <c r="E436" s="767"/>
      <c r="F436" s="806"/>
      <c r="G436" s="778"/>
      <c r="H436" s="788"/>
      <c r="I436" s="788"/>
      <c r="J436" s="788"/>
      <c r="K436" s="788"/>
      <c r="L436" s="788"/>
      <c r="M436" s="788"/>
      <c r="N436" s="788"/>
      <c r="O436" s="788"/>
      <c r="P436" s="772"/>
      <c r="R436" s="774"/>
    </row>
    <row r="437" spans="1:22" hidden="1">
      <c r="A437" s="786">
        <v>437</v>
      </c>
      <c r="B437" s="767"/>
      <c r="C437" s="767" t="s">
        <v>868</v>
      </c>
      <c r="D437" s="767" t="s">
        <v>869</v>
      </c>
      <c r="E437" s="767"/>
      <c r="F437" s="806" t="s">
        <v>1396</v>
      </c>
      <c r="G437" s="778"/>
      <c r="H437" s="788">
        <v>617149.1295117999</v>
      </c>
      <c r="I437" s="788">
        <v>275397.35615907994</v>
      </c>
      <c r="J437" s="788">
        <v>81915.740117340407</v>
      </c>
      <c r="K437" s="788">
        <v>131151.63707287915</v>
      </c>
      <c r="L437" s="788">
        <v>53105.745595294255</v>
      </c>
      <c r="M437" s="788">
        <v>52105.665235599234</v>
      </c>
      <c r="N437" s="788">
        <v>22755.126751787961</v>
      </c>
      <c r="O437" s="788">
        <v>717.85857981903814</v>
      </c>
      <c r="P437" s="772">
        <v>0</v>
      </c>
      <c r="Q437" s="774"/>
      <c r="R437" s="774">
        <v>547</v>
      </c>
      <c r="S437" s="774"/>
      <c r="T437" s="774"/>
      <c r="U437" s="774"/>
      <c r="V437" s="774"/>
    </row>
    <row r="438" spans="1:22" hidden="1">
      <c r="A438" s="786">
        <v>438</v>
      </c>
      <c r="B438" s="767"/>
      <c r="C438" s="767"/>
      <c r="D438" s="767"/>
      <c r="E438" s="767"/>
      <c r="F438" s="806"/>
      <c r="G438" s="778"/>
      <c r="H438" s="788"/>
      <c r="I438" s="788"/>
      <c r="J438" s="788"/>
      <c r="K438" s="788"/>
      <c r="L438" s="788"/>
      <c r="M438" s="788"/>
      <c r="N438" s="788"/>
      <c r="O438" s="788"/>
      <c r="P438" s="772"/>
      <c r="R438" s="774"/>
    </row>
    <row r="439" spans="1:22" hidden="1">
      <c r="A439" s="786">
        <v>439</v>
      </c>
      <c r="B439" s="767"/>
      <c r="C439" s="767" t="s">
        <v>870</v>
      </c>
      <c r="D439" s="767" t="s">
        <v>871</v>
      </c>
      <c r="E439" s="767"/>
      <c r="F439" s="806" t="s">
        <v>1396</v>
      </c>
      <c r="G439" s="778"/>
      <c r="H439" s="788">
        <v>1466464.2155176939</v>
      </c>
      <c r="I439" s="788">
        <v>654396.72283901402</v>
      </c>
      <c r="J439" s="788">
        <v>194647.44552869062</v>
      </c>
      <c r="K439" s="788">
        <v>311641.3414146502</v>
      </c>
      <c r="L439" s="788">
        <v>126189.39544724156</v>
      </c>
      <c r="M439" s="788">
        <v>123813.01348378492</v>
      </c>
      <c r="N439" s="788">
        <v>54070.527698003338</v>
      </c>
      <c r="O439" s="788">
        <v>1705.7691063094073</v>
      </c>
      <c r="P439" s="772">
        <v>0</v>
      </c>
      <c r="Q439" s="774"/>
      <c r="R439" s="774">
        <v>553</v>
      </c>
      <c r="S439" s="774"/>
      <c r="T439" s="774"/>
      <c r="U439" s="774"/>
      <c r="V439" s="774"/>
    </row>
    <row r="440" spans="1:22" hidden="1">
      <c r="A440" s="786">
        <v>440</v>
      </c>
      <c r="B440" s="767"/>
      <c r="C440" s="767"/>
      <c r="D440" s="767"/>
      <c r="E440" s="767"/>
      <c r="F440" s="806"/>
      <c r="G440" s="778"/>
      <c r="H440" s="788"/>
      <c r="I440" s="788"/>
      <c r="J440" s="788"/>
      <c r="K440" s="788"/>
      <c r="L440" s="788"/>
      <c r="M440" s="788"/>
      <c r="N440" s="788"/>
      <c r="O440" s="788"/>
      <c r="P440" s="772"/>
      <c r="R440" s="774"/>
    </row>
    <row r="441" spans="1:22" hidden="1">
      <c r="A441" s="786">
        <v>441</v>
      </c>
      <c r="B441" s="767"/>
      <c r="C441" s="767" t="s">
        <v>872</v>
      </c>
      <c r="D441" s="767" t="s">
        <v>873</v>
      </c>
      <c r="E441" s="767"/>
      <c r="F441" s="806" t="s">
        <v>1396</v>
      </c>
      <c r="G441" s="778"/>
      <c r="H441" s="788">
        <v>2432.8435873462636</v>
      </c>
      <c r="I441" s="788">
        <v>1085.6349946304547</v>
      </c>
      <c r="J441" s="788">
        <v>322.91738498414958</v>
      </c>
      <c r="K441" s="788">
        <v>517.00861909198863</v>
      </c>
      <c r="L441" s="788">
        <v>209.34643904457363</v>
      </c>
      <c r="M441" s="788">
        <v>205.40405466198587</v>
      </c>
      <c r="N441" s="788">
        <v>89.702247884772035</v>
      </c>
      <c r="O441" s="788">
        <v>2.8298470483394742</v>
      </c>
      <c r="P441" s="772">
        <v>0</v>
      </c>
      <c r="Q441" s="774"/>
      <c r="R441" s="774">
        <v>556</v>
      </c>
      <c r="S441" s="774"/>
      <c r="T441" s="774"/>
      <c r="U441" s="774"/>
      <c r="V441" s="774"/>
    </row>
    <row r="442" spans="1:22" hidden="1">
      <c r="A442" s="786">
        <v>442</v>
      </c>
      <c r="B442" s="767"/>
      <c r="C442" s="767"/>
      <c r="D442" s="767"/>
      <c r="E442" s="767"/>
      <c r="F442" s="806"/>
      <c r="G442" s="778"/>
      <c r="H442" s="788"/>
      <c r="I442" s="788"/>
      <c r="J442" s="788"/>
      <c r="K442" s="788"/>
      <c r="L442" s="788"/>
      <c r="M442" s="788"/>
      <c r="N442" s="788"/>
      <c r="O442" s="788"/>
      <c r="P442" s="772"/>
      <c r="R442" s="774"/>
    </row>
    <row r="443" spans="1:22" hidden="1">
      <c r="A443" s="786">
        <v>443</v>
      </c>
      <c r="B443" s="767"/>
      <c r="C443" s="767" t="s">
        <v>874</v>
      </c>
      <c r="D443" s="767" t="s">
        <v>875</v>
      </c>
      <c r="E443" s="767"/>
      <c r="F443" s="806" t="s">
        <v>1396</v>
      </c>
      <c r="G443" s="778"/>
      <c r="H443" s="788">
        <v>7647.2498273168876</v>
      </c>
      <c r="I443" s="788">
        <v>3412.517791278492</v>
      </c>
      <c r="J443" s="788">
        <v>1015.0385044898442</v>
      </c>
      <c r="K443" s="788">
        <v>1625.1328665914059</v>
      </c>
      <c r="L443" s="788">
        <v>658.04662829939821</v>
      </c>
      <c r="M443" s="788">
        <v>645.65438144646873</v>
      </c>
      <c r="N443" s="788">
        <v>281.96448929748874</v>
      </c>
      <c r="O443" s="788">
        <v>8.8951659137908958</v>
      </c>
      <c r="P443" s="772">
        <v>0</v>
      </c>
      <c r="Q443" s="774"/>
      <c r="R443" s="774">
        <v>560</v>
      </c>
      <c r="S443" s="774"/>
      <c r="T443" s="774"/>
      <c r="U443" s="774"/>
      <c r="V443" s="774"/>
    </row>
    <row r="444" spans="1:22" hidden="1">
      <c r="A444" s="786">
        <v>444</v>
      </c>
      <c r="B444" s="767"/>
      <c r="C444" s="767"/>
      <c r="D444" s="767"/>
      <c r="E444" s="767"/>
      <c r="F444" s="806"/>
      <c r="G444" s="778"/>
      <c r="H444" s="810"/>
      <c r="I444" s="810"/>
      <c r="J444" s="810"/>
      <c r="K444" s="810"/>
      <c r="L444" s="810"/>
      <c r="M444" s="810"/>
      <c r="N444" s="810"/>
      <c r="O444" s="810"/>
      <c r="P444" s="772"/>
      <c r="R444" s="774"/>
    </row>
    <row r="445" spans="1:22" hidden="1">
      <c r="A445" s="786">
        <v>445</v>
      </c>
      <c r="B445" s="767"/>
      <c r="C445" s="767"/>
      <c r="D445" s="767"/>
      <c r="E445" s="767"/>
      <c r="F445" s="806"/>
      <c r="G445" s="778"/>
      <c r="H445" s="788"/>
      <c r="I445" s="788"/>
      <c r="J445" s="788"/>
      <c r="K445" s="788"/>
      <c r="L445" s="788"/>
      <c r="M445" s="788"/>
      <c r="N445" s="788"/>
      <c r="O445" s="788"/>
      <c r="P445" s="772"/>
      <c r="R445" s="774"/>
    </row>
    <row r="446" spans="1:22" hidden="1">
      <c r="A446" s="786">
        <v>446</v>
      </c>
      <c r="B446" s="767"/>
      <c r="C446" s="767" t="s">
        <v>876</v>
      </c>
      <c r="D446" s="767"/>
      <c r="E446" s="767"/>
      <c r="F446" s="806"/>
      <c r="G446" s="778"/>
      <c r="H446" s="788">
        <v>16190075.964635937</v>
      </c>
      <c r="I446" s="788">
        <v>7224678.6124489736</v>
      </c>
      <c r="J446" s="788">
        <v>2148949.0818017251</v>
      </c>
      <c r="K446" s="788">
        <v>3440586.505851462</v>
      </c>
      <c r="L446" s="788">
        <v>1393157.6894981347</v>
      </c>
      <c r="M446" s="788">
        <v>1366921.9286099824</v>
      </c>
      <c r="N446" s="788">
        <v>596950.09371202963</v>
      </c>
      <c r="O446" s="788">
        <v>18832.052713628069</v>
      </c>
      <c r="P446" s="772">
        <v>0</v>
      </c>
      <c r="Q446" s="774"/>
      <c r="R446" s="774"/>
      <c r="S446" s="774"/>
      <c r="T446" s="774"/>
      <c r="U446" s="774"/>
      <c r="V446" s="774"/>
    </row>
    <row r="447" spans="1:22" hidden="1">
      <c r="A447" s="786">
        <v>447</v>
      </c>
      <c r="B447" s="767"/>
      <c r="C447" s="767"/>
      <c r="D447" s="767"/>
      <c r="E447" s="767"/>
      <c r="F447" s="806"/>
      <c r="G447" s="778"/>
      <c r="H447" s="788"/>
      <c r="I447" s="788"/>
      <c r="J447" s="788"/>
      <c r="K447" s="788"/>
      <c r="L447" s="788"/>
      <c r="M447" s="788"/>
      <c r="N447" s="788"/>
      <c r="O447" s="788"/>
      <c r="P447" s="772"/>
      <c r="R447" s="774"/>
    </row>
    <row r="448" spans="1:22" hidden="1">
      <c r="A448" s="786">
        <v>448</v>
      </c>
      <c r="B448" s="767"/>
      <c r="C448" s="767"/>
      <c r="D448" s="767"/>
      <c r="E448" s="767"/>
      <c r="F448" s="806"/>
      <c r="G448" s="778"/>
      <c r="H448" s="788"/>
      <c r="I448" s="788"/>
      <c r="J448" s="788"/>
      <c r="K448" s="788"/>
      <c r="L448" s="788"/>
      <c r="M448" s="788"/>
      <c r="N448" s="788"/>
      <c r="O448" s="788"/>
      <c r="P448" s="772"/>
      <c r="R448" s="774"/>
    </row>
    <row r="449" spans="1:22" hidden="1">
      <c r="A449" s="786">
        <v>449</v>
      </c>
      <c r="B449" s="767"/>
      <c r="D449" s="767"/>
      <c r="E449" s="767"/>
      <c r="F449" s="806"/>
      <c r="G449" s="778"/>
      <c r="H449" s="788"/>
      <c r="I449" s="788"/>
      <c r="J449" s="788"/>
      <c r="K449" s="788"/>
      <c r="L449" s="788"/>
      <c r="M449" s="788"/>
      <c r="N449" s="788"/>
      <c r="O449" s="788"/>
      <c r="P449" s="772"/>
      <c r="R449" s="774"/>
    </row>
    <row r="450" spans="1:22" hidden="1">
      <c r="A450" s="786">
        <v>450</v>
      </c>
      <c r="B450" s="767"/>
      <c r="C450" s="767"/>
      <c r="D450" s="767"/>
      <c r="E450" s="767"/>
      <c r="F450" s="806"/>
      <c r="G450" s="778"/>
      <c r="H450" s="788"/>
      <c r="I450" s="788"/>
      <c r="J450" s="788"/>
      <c r="K450" s="788"/>
      <c r="L450" s="788"/>
      <c r="M450" s="788"/>
      <c r="N450" s="788"/>
      <c r="O450" s="788"/>
      <c r="P450" s="772"/>
      <c r="R450" s="774"/>
    </row>
    <row r="451" spans="1:22" hidden="1">
      <c r="A451" s="786">
        <v>451</v>
      </c>
      <c r="B451" s="767"/>
      <c r="C451" s="767"/>
      <c r="D451" s="767"/>
      <c r="E451" s="767"/>
      <c r="F451" s="806"/>
      <c r="G451" s="778"/>
      <c r="H451" s="788"/>
      <c r="I451" s="788"/>
      <c r="J451" s="788"/>
      <c r="K451" s="788"/>
      <c r="L451" s="788"/>
      <c r="M451" s="788"/>
      <c r="N451" s="788"/>
      <c r="O451" s="788"/>
      <c r="P451" s="772"/>
      <c r="R451" s="774"/>
    </row>
    <row r="452" spans="1:22" hidden="1">
      <c r="A452" s="786">
        <v>452</v>
      </c>
      <c r="B452" s="767"/>
      <c r="C452" s="767"/>
      <c r="D452" s="767"/>
      <c r="E452" s="767"/>
      <c r="F452" s="806"/>
      <c r="G452" s="778"/>
      <c r="H452" s="788"/>
      <c r="I452" s="788"/>
      <c r="J452" s="788"/>
      <c r="K452" s="788"/>
      <c r="L452" s="788"/>
      <c r="M452" s="788"/>
      <c r="N452" s="788"/>
      <c r="O452" s="788"/>
      <c r="P452" s="772"/>
      <c r="R452" s="774"/>
    </row>
    <row r="453" spans="1:22" hidden="1">
      <c r="A453" s="786">
        <v>453</v>
      </c>
      <c r="B453" s="767"/>
      <c r="C453" s="767"/>
      <c r="D453" s="767"/>
      <c r="E453" s="767"/>
      <c r="F453" s="806"/>
      <c r="G453" s="778"/>
      <c r="H453" s="788"/>
      <c r="I453" s="788"/>
      <c r="J453" s="788"/>
      <c r="K453" s="788"/>
      <c r="L453" s="788"/>
      <c r="M453" s="788"/>
      <c r="N453" s="788"/>
      <c r="O453" s="788"/>
      <c r="P453" s="772"/>
      <c r="R453" s="774"/>
    </row>
    <row r="454" spans="1:22" hidden="1">
      <c r="A454" s="786">
        <v>454</v>
      </c>
      <c r="B454" s="767"/>
      <c r="C454" s="767"/>
      <c r="D454" s="767"/>
      <c r="E454" s="767"/>
      <c r="F454" s="806"/>
      <c r="G454" s="778"/>
      <c r="H454" s="788"/>
      <c r="I454" s="788"/>
      <c r="J454" s="788"/>
      <c r="K454" s="788"/>
      <c r="L454" s="788"/>
      <c r="M454" s="788"/>
      <c r="N454" s="788"/>
      <c r="O454" s="788"/>
      <c r="P454" s="772"/>
      <c r="R454" s="774"/>
    </row>
    <row r="455" spans="1:22" hidden="1">
      <c r="A455" s="786">
        <v>455</v>
      </c>
      <c r="B455" s="767"/>
      <c r="C455" s="767"/>
      <c r="D455" s="767"/>
      <c r="E455" s="767"/>
      <c r="F455" s="806"/>
      <c r="G455" s="778"/>
      <c r="H455" s="788"/>
      <c r="I455" s="788"/>
      <c r="J455" s="788"/>
      <c r="K455" s="788"/>
      <c r="L455" s="788"/>
      <c r="M455" s="788"/>
      <c r="N455" s="788"/>
      <c r="O455" s="788"/>
      <c r="P455" s="772"/>
      <c r="R455" s="774"/>
    </row>
    <row r="456" spans="1:22" hidden="1">
      <c r="A456" s="786">
        <v>456</v>
      </c>
      <c r="B456" s="767"/>
      <c r="C456" s="767"/>
      <c r="D456" s="767"/>
      <c r="E456" s="767"/>
      <c r="F456" s="806"/>
      <c r="G456" s="778"/>
      <c r="H456" s="788"/>
      <c r="I456" s="788"/>
      <c r="J456" s="788"/>
      <c r="K456" s="788"/>
      <c r="L456" s="788"/>
      <c r="M456" s="788"/>
      <c r="N456" s="788"/>
      <c r="O456" s="788"/>
      <c r="P456" s="772"/>
      <c r="R456" s="774"/>
    </row>
    <row r="457" spans="1:22" hidden="1">
      <c r="A457" s="786">
        <v>457</v>
      </c>
      <c r="B457" s="767"/>
      <c r="C457" s="767"/>
      <c r="D457" s="767"/>
      <c r="E457" s="767"/>
      <c r="F457" s="806"/>
      <c r="H457" s="817"/>
      <c r="I457" s="817"/>
      <c r="J457" s="817"/>
      <c r="K457" s="817"/>
      <c r="L457" s="817"/>
      <c r="M457" s="817"/>
      <c r="N457" s="817"/>
      <c r="O457" s="817"/>
      <c r="P457" s="772"/>
      <c r="R457" s="774"/>
    </row>
    <row r="458" spans="1:22" hidden="1">
      <c r="A458" s="786">
        <v>458</v>
      </c>
      <c r="B458" s="767"/>
      <c r="C458" s="781" t="s">
        <v>714</v>
      </c>
      <c r="D458" s="767"/>
      <c r="E458" s="767"/>
      <c r="F458" s="806"/>
      <c r="G458" s="778"/>
      <c r="H458" s="817" t="s">
        <v>877</v>
      </c>
      <c r="I458" s="817"/>
      <c r="J458" s="817"/>
      <c r="K458" s="817"/>
      <c r="L458" s="817"/>
      <c r="M458" s="817"/>
      <c r="N458" s="817"/>
      <c r="O458" s="817"/>
      <c r="P458" s="772"/>
      <c r="R458" s="774"/>
    </row>
    <row r="459" spans="1:22" hidden="1">
      <c r="A459" s="786">
        <v>459</v>
      </c>
      <c r="B459" s="767"/>
      <c r="C459" s="767"/>
      <c r="D459" s="767"/>
      <c r="E459" s="767"/>
      <c r="F459" s="806"/>
      <c r="G459" s="778"/>
      <c r="H459" s="810"/>
      <c r="I459" s="810"/>
      <c r="J459" s="810"/>
      <c r="K459" s="810"/>
      <c r="L459" s="810"/>
      <c r="M459" s="810"/>
      <c r="N459" s="810"/>
      <c r="O459" s="810"/>
      <c r="P459" s="772"/>
      <c r="R459" s="774"/>
    </row>
    <row r="460" spans="1:22" hidden="1">
      <c r="A460" s="786">
        <v>460</v>
      </c>
      <c r="B460" s="767"/>
      <c r="C460" s="767"/>
      <c r="D460" s="767"/>
      <c r="E460" s="767"/>
      <c r="F460" s="806"/>
      <c r="G460" s="778"/>
      <c r="H460" s="810"/>
      <c r="I460" s="810"/>
      <c r="J460" s="810"/>
      <c r="K460" s="810"/>
      <c r="L460" s="810"/>
      <c r="M460" s="810"/>
      <c r="N460" s="810"/>
      <c r="O460" s="810"/>
      <c r="P460" s="772"/>
      <c r="R460" s="774"/>
    </row>
    <row r="461" spans="1:22" hidden="1">
      <c r="A461" s="786">
        <v>461</v>
      </c>
      <c r="B461" s="767"/>
      <c r="C461" s="777" t="s">
        <v>575</v>
      </c>
      <c r="D461" s="767"/>
      <c r="E461" s="777" t="s">
        <v>576</v>
      </c>
      <c r="F461" s="806" t="s">
        <v>577</v>
      </c>
      <c r="G461" s="778"/>
      <c r="H461" s="777" t="s">
        <v>578</v>
      </c>
      <c r="I461" s="777" t="s">
        <v>579</v>
      </c>
      <c r="J461" s="777" t="s">
        <v>580</v>
      </c>
      <c r="K461" s="777" t="s">
        <v>581</v>
      </c>
      <c r="L461" s="777" t="s">
        <v>582</v>
      </c>
      <c r="M461" s="777" t="s">
        <v>583</v>
      </c>
      <c r="N461" s="777" t="s">
        <v>584</v>
      </c>
      <c r="O461" s="777" t="s">
        <v>585</v>
      </c>
      <c r="P461" s="772"/>
      <c r="R461" s="774"/>
    </row>
    <row r="462" spans="1:22" ht="38.25" hidden="1">
      <c r="A462" s="786">
        <v>462</v>
      </c>
      <c r="B462" s="767"/>
      <c r="C462" s="797" t="s">
        <v>656</v>
      </c>
      <c r="D462" s="781"/>
      <c r="E462" s="782" t="s">
        <v>587</v>
      </c>
      <c r="F462" s="806" t="s">
        <v>1391</v>
      </c>
      <c r="G462" s="783"/>
      <c r="H462" s="784" t="s">
        <v>588</v>
      </c>
      <c r="I462" s="784" t="s">
        <v>589</v>
      </c>
      <c r="J462" s="784" t="s">
        <v>590</v>
      </c>
      <c r="K462" s="784" t="s">
        <v>591</v>
      </c>
      <c r="L462" s="784" t="s">
        <v>592</v>
      </c>
      <c r="M462" s="784" t="s">
        <v>593</v>
      </c>
      <c r="N462" s="784" t="s">
        <v>594</v>
      </c>
      <c r="O462" s="784" t="s">
        <v>595</v>
      </c>
      <c r="P462" s="772"/>
      <c r="R462" s="774"/>
    </row>
    <row r="463" spans="1:22" hidden="1">
      <c r="A463" s="786">
        <v>463</v>
      </c>
      <c r="B463" s="767"/>
      <c r="C463" s="767" t="s">
        <v>878</v>
      </c>
      <c r="D463" s="767" t="s">
        <v>849</v>
      </c>
      <c r="E463" s="767"/>
      <c r="F463" s="806" t="s">
        <v>1397</v>
      </c>
      <c r="G463" s="778"/>
      <c r="H463" s="788">
        <v>817883.82343339943</v>
      </c>
      <c r="I463" s="788">
        <v>438310.54362815793</v>
      </c>
      <c r="J463" s="788">
        <v>120700.05051274133</v>
      </c>
      <c r="K463" s="788">
        <v>134610.17095026581</v>
      </c>
      <c r="L463" s="788">
        <v>55699.410619361879</v>
      </c>
      <c r="M463" s="788">
        <v>19364.375917663343</v>
      </c>
      <c r="N463" s="788">
        <v>36024.910461430576</v>
      </c>
      <c r="O463" s="788">
        <v>13174.361343778568</v>
      </c>
      <c r="P463" s="772">
        <v>0</v>
      </c>
      <c r="Q463" s="774"/>
      <c r="R463" s="774">
        <v>568</v>
      </c>
      <c r="S463" s="774"/>
      <c r="T463" s="774"/>
      <c r="U463" s="774"/>
      <c r="V463" s="774"/>
    </row>
    <row r="464" spans="1:22" hidden="1">
      <c r="A464" s="786">
        <v>464</v>
      </c>
      <c r="B464" s="767"/>
      <c r="C464" s="767"/>
      <c r="D464" s="767"/>
      <c r="E464" s="767"/>
      <c r="F464" s="806"/>
      <c r="G464" s="778"/>
      <c r="H464" s="788"/>
      <c r="I464" s="788"/>
      <c r="J464" s="788"/>
      <c r="K464" s="788"/>
      <c r="L464" s="788"/>
      <c r="M464" s="788"/>
      <c r="N464" s="788"/>
      <c r="O464" s="788"/>
      <c r="P464" s="772"/>
      <c r="R464" s="774"/>
    </row>
    <row r="465" spans="1:22" hidden="1">
      <c r="A465" s="786">
        <v>465</v>
      </c>
      <c r="B465" s="767"/>
      <c r="C465" s="767" t="s">
        <v>879</v>
      </c>
      <c r="D465" s="767" t="s">
        <v>851</v>
      </c>
      <c r="E465" s="767"/>
      <c r="F465" s="806" t="s">
        <v>1398</v>
      </c>
      <c r="G465" s="778"/>
      <c r="H465" s="788">
        <v>784173.04647184501</v>
      </c>
      <c r="I465" s="788">
        <v>335282.71884209639</v>
      </c>
      <c r="J465" s="788">
        <v>102394.53574351885</v>
      </c>
      <c r="K465" s="788">
        <v>161126.44513469964</v>
      </c>
      <c r="L465" s="788">
        <v>68508.577231151343</v>
      </c>
      <c r="M465" s="788">
        <v>72350.048177207427</v>
      </c>
      <c r="N465" s="788">
        <v>43104.761417806803</v>
      </c>
      <c r="O465" s="788">
        <v>1405.9599253647809</v>
      </c>
      <c r="P465" s="772">
        <v>0</v>
      </c>
      <c r="Q465" s="774"/>
      <c r="R465" s="774">
        <v>573</v>
      </c>
      <c r="S465" s="774"/>
      <c r="T465" s="774"/>
      <c r="U465" s="774"/>
      <c r="V465" s="774"/>
    </row>
    <row r="466" spans="1:22" hidden="1">
      <c r="A466" s="786">
        <v>466</v>
      </c>
      <c r="B466" s="767"/>
      <c r="C466" s="767"/>
      <c r="D466" s="767"/>
      <c r="E466" s="767"/>
      <c r="F466" s="806"/>
      <c r="G466" s="778"/>
      <c r="H466" s="788"/>
      <c r="I466" s="788"/>
      <c r="J466" s="788"/>
      <c r="K466" s="788"/>
      <c r="L466" s="788"/>
      <c r="M466" s="788"/>
      <c r="N466" s="788"/>
      <c r="O466" s="788"/>
      <c r="P466" s="772"/>
      <c r="R466" s="774"/>
    </row>
    <row r="467" spans="1:22" hidden="1">
      <c r="A467" s="786">
        <v>467</v>
      </c>
      <c r="B467" s="767"/>
      <c r="C467" s="767" t="s">
        <v>880</v>
      </c>
      <c r="D467" s="767" t="s">
        <v>853</v>
      </c>
      <c r="E467" s="767"/>
      <c r="F467" s="806" t="s">
        <v>1399</v>
      </c>
      <c r="G467" s="778"/>
      <c r="H467" s="788">
        <v>297495.19448308781</v>
      </c>
      <c r="I467" s="788">
        <v>130991.44632853934</v>
      </c>
      <c r="J467" s="788">
        <v>40004.472582136572</v>
      </c>
      <c r="K467" s="788">
        <v>62950.414393145147</v>
      </c>
      <c r="L467" s="788">
        <v>26765.583530254462</v>
      </c>
      <c r="M467" s="788">
        <v>19393.405048347344</v>
      </c>
      <c r="N467" s="788">
        <v>16840.578784569927</v>
      </c>
      <c r="O467" s="788">
        <v>549.29381609504708</v>
      </c>
      <c r="P467" s="772">
        <v>0</v>
      </c>
      <c r="Q467" s="774"/>
      <c r="R467" s="774">
        <v>578</v>
      </c>
      <c r="S467" s="774"/>
      <c r="T467" s="774"/>
      <c r="U467" s="774"/>
      <c r="V467" s="774"/>
    </row>
    <row r="468" spans="1:22" hidden="1">
      <c r="A468" s="786">
        <v>468</v>
      </c>
      <c r="B468" s="767"/>
      <c r="C468" s="767"/>
      <c r="D468" s="767"/>
      <c r="E468" s="767"/>
      <c r="F468" s="806"/>
      <c r="G468" s="778"/>
      <c r="H468" s="788"/>
      <c r="I468" s="788"/>
      <c r="J468" s="788"/>
      <c r="K468" s="788"/>
      <c r="L468" s="788"/>
      <c r="M468" s="788"/>
      <c r="N468" s="788"/>
      <c r="O468" s="788"/>
      <c r="P468" s="772"/>
      <c r="R468" s="774"/>
    </row>
    <row r="469" spans="1:22" hidden="1">
      <c r="A469" s="786">
        <v>469</v>
      </c>
      <c r="B469" s="767"/>
      <c r="C469" s="767" t="s">
        <v>881</v>
      </c>
      <c r="D469" s="767" t="s">
        <v>882</v>
      </c>
      <c r="E469" s="767"/>
      <c r="F469" s="806" t="s">
        <v>1400</v>
      </c>
      <c r="G469" s="778"/>
      <c r="H469" s="788">
        <v>231847.2287062612</v>
      </c>
      <c r="I469" s="788">
        <v>121082.55588539327</v>
      </c>
      <c r="J469" s="788">
        <v>33068.99313011003</v>
      </c>
      <c r="K469" s="788">
        <v>45617.967183259731</v>
      </c>
      <c r="L469" s="788">
        <v>19396.083773149912</v>
      </c>
      <c r="M469" s="788">
        <v>0</v>
      </c>
      <c r="N469" s="788">
        <v>12203.779399191155</v>
      </c>
      <c r="O469" s="788">
        <v>477.84933515709389</v>
      </c>
      <c r="P469" s="772">
        <v>0</v>
      </c>
      <c r="Q469" s="774"/>
      <c r="R469" s="774">
        <v>583</v>
      </c>
      <c r="S469" s="774"/>
      <c r="T469" s="774"/>
      <c r="U469" s="774"/>
      <c r="V469" s="774"/>
    </row>
    <row r="470" spans="1:22" hidden="1">
      <c r="A470" s="786">
        <v>470</v>
      </c>
      <c r="B470" s="767"/>
      <c r="C470" s="767"/>
      <c r="D470" s="767"/>
      <c r="E470" s="767"/>
      <c r="F470" s="806"/>
      <c r="G470" s="778"/>
      <c r="H470" s="788"/>
      <c r="I470" s="788"/>
      <c r="J470" s="788"/>
      <c r="K470" s="788"/>
      <c r="L470" s="788"/>
      <c r="M470" s="788"/>
      <c r="N470" s="788"/>
      <c r="O470" s="788"/>
      <c r="P470" s="772"/>
      <c r="R470" s="774"/>
    </row>
    <row r="471" spans="1:22" hidden="1">
      <c r="A471" s="786">
        <v>471</v>
      </c>
      <c r="B471" s="767"/>
      <c r="C471" s="767" t="s">
        <v>883</v>
      </c>
      <c r="D471" s="767" t="s">
        <v>857</v>
      </c>
      <c r="E471" s="767"/>
      <c r="F471" s="806" t="s">
        <v>1401</v>
      </c>
      <c r="G471" s="778"/>
      <c r="H471" s="788">
        <v>0</v>
      </c>
      <c r="I471" s="788">
        <v>0</v>
      </c>
      <c r="J471" s="788">
        <v>0</v>
      </c>
      <c r="K471" s="788">
        <v>0</v>
      </c>
      <c r="L471" s="788">
        <v>0</v>
      </c>
      <c r="M471" s="788">
        <v>0</v>
      </c>
      <c r="N471" s="788">
        <v>0</v>
      </c>
      <c r="O471" s="788">
        <v>0</v>
      </c>
      <c r="P471" s="772">
        <v>0</v>
      </c>
      <c r="Q471" s="774"/>
      <c r="R471" s="774">
        <v>588</v>
      </c>
      <c r="S471" s="774"/>
      <c r="T471" s="774"/>
      <c r="U471" s="774"/>
      <c r="V471" s="774"/>
    </row>
    <row r="472" spans="1:22" hidden="1">
      <c r="A472" s="786">
        <v>472</v>
      </c>
      <c r="B472" s="767"/>
      <c r="C472" s="767"/>
      <c r="D472" s="767"/>
      <c r="E472" s="767"/>
      <c r="F472" s="806"/>
      <c r="G472" s="778"/>
      <c r="H472" s="788"/>
      <c r="I472" s="788"/>
      <c r="J472" s="788"/>
      <c r="K472" s="788"/>
      <c r="L472" s="788"/>
      <c r="M472" s="788"/>
      <c r="N472" s="788"/>
      <c r="O472" s="788"/>
      <c r="P472" s="772"/>
      <c r="R472" s="774"/>
    </row>
    <row r="473" spans="1:22" hidden="1">
      <c r="A473" s="786">
        <v>473</v>
      </c>
      <c r="B473" s="767"/>
      <c r="C473" s="767" t="s">
        <v>884</v>
      </c>
      <c r="D473" s="767" t="s">
        <v>885</v>
      </c>
      <c r="E473" s="767"/>
      <c r="F473" s="806" t="s">
        <v>1402</v>
      </c>
      <c r="G473" s="778"/>
      <c r="H473" s="788">
        <v>13699.437821732972</v>
      </c>
      <c r="I473" s="788">
        <v>0</v>
      </c>
      <c r="J473" s="788">
        <v>0</v>
      </c>
      <c r="K473" s="788">
        <v>0</v>
      </c>
      <c r="L473" s="788">
        <v>0</v>
      </c>
      <c r="M473" s="788">
        <v>0</v>
      </c>
      <c r="N473" s="788">
        <v>0</v>
      </c>
      <c r="O473" s="788">
        <v>13699.437821732972</v>
      </c>
      <c r="P473" s="772">
        <v>0</v>
      </c>
      <c r="Q473" s="774"/>
      <c r="R473" s="774">
        <v>593</v>
      </c>
      <c r="S473" s="774"/>
      <c r="T473" s="774"/>
      <c r="U473" s="774"/>
      <c r="V473" s="774"/>
    </row>
    <row r="474" spans="1:22" hidden="1">
      <c r="A474" s="786">
        <v>474</v>
      </c>
      <c r="B474" s="767"/>
      <c r="C474" s="767"/>
      <c r="D474" s="767"/>
      <c r="E474" s="767"/>
      <c r="F474" s="806"/>
      <c r="G474" s="778"/>
      <c r="H474" s="788"/>
      <c r="I474" s="788"/>
      <c r="J474" s="788"/>
      <c r="K474" s="788"/>
      <c r="L474" s="788"/>
      <c r="M474" s="788"/>
      <c r="N474" s="788"/>
      <c r="O474" s="788"/>
      <c r="P474" s="772"/>
      <c r="R474" s="774"/>
    </row>
    <row r="475" spans="1:22" hidden="1">
      <c r="A475" s="786">
        <v>475</v>
      </c>
      <c r="B475" s="767"/>
      <c r="C475" s="767" t="s">
        <v>886</v>
      </c>
      <c r="D475" s="767" t="s">
        <v>887</v>
      </c>
      <c r="E475" s="767"/>
      <c r="F475" s="806" t="s">
        <v>1403</v>
      </c>
      <c r="G475" s="778"/>
      <c r="H475" s="788">
        <v>306484.34999999998</v>
      </c>
      <c r="I475" s="788">
        <v>206408.33323976147</v>
      </c>
      <c r="J475" s="788">
        <v>53096.996465554046</v>
      </c>
      <c r="K475" s="788">
        <v>23176.591206487152</v>
      </c>
      <c r="L475" s="788">
        <v>4068.0993830411212</v>
      </c>
      <c r="M475" s="788">
        <v>2388.3684227441931</v>
      </c>
      <c r="N475" s="788">
        <v>17345.961282412001</v>
      </c>
      <c r="O475" s="788">
        <v>0</v>
      </c>
      <c r="P475" s="772">
        <v>0</v>
      </c>
      <c r="Q475" s="774"/>
      <c r="R475" s="774">
        <v>598</v>
      </c>
      <c r="S475" s="774"/>
      <c r="T475" s="774"/>
      <c r="U475" s="774"/>
      <c r="V475" s="774"/>
    </row>
    <row r="476" spans="1:22" hidden="1">
      <c r="A476" s="786">
        <v>476</v>
      </c>
      <c r="B476" s="767"/>
      <c r="C476" s="767"/>
      <c r="D476" s="767"/>
      <c r="E476" s="767"/>
      <c r="F476" s="806"/>
      <c r="G476" s="778"/>
      <c r="H476" s="788"/>
      <c r="I476" s="788"/>
      <c r="J476" s="788"/>
      <c r="K476" s="788"/>
      <c r="L476" s="788"/>
      <c r="M476" s="788"/>
      <c r="N476" s="788"/>
      <c r="O476" s="788"/>
      <c r="P476" s="772"/>
      <c r="R476" s="774"/>
    </row>
    <row r="477" spans="1:22" hidden="1">
      <c r="A477" s="786">
        <v>477</v>
      </c>
      <c r="B477" s="767"/>
      <c r="C477" s="767" t="s">
        <v>888</v>
      </c>
      <c r="D477" s="767" t="s">
        <v>889</v>
      </c>
      <c r="E477" s="767"/>
      <c r="F477" s="806" t="s">
        <v>1398</v>
      </c>
      <c r="G477" s="778"/>
      <c r="H477" s="788">
        <v>1297988.42</v>
      </c>
      <c r="I477" s="788">
        <v>554970.7280059926</v>
      </c>
      <c r="J477" s="788">
        <v>169486.72523792929</v>
      </c>
      <c r="K477" s="788">
        <v>266701.66856865364</v>
      </c>
      <c r="L477" s="788">
        <v>113397.59803884411</v>
      </c>
      <c r="M477" s="788">
        <v>119756.12416541924</v>
      </c>
      <c r="N477" s="788">
        <v>71348.385944791371</v>
      </c>
      <c r="O477" s="788">
        <v>2327.1900383700217</v>
      </c>
      <c r="P477" s="772">
        <v>0</v>
      </c>
      <c r="Q477" s="774"/>
      <c r="R477" s="774">
        <v>603</v>
      </c>
      <c r="S477" s="774"/>
      <c r="T477" s="774"/>
      <c r="U477" s="774"/>
      <c r="V477" s="774"/>
    </row>
    <row r="478" spans="1:22" hidden="1">
      <c r="A478" s="786">
        <v>478</v>
      </c>
      <c r="B478" s="767"/>
      <c r="C478" s="767"/>
      <c r="D478" s="767"/>
      <c r="E478" s="767"/>
      <c r="F478" s="806"/>
      <c r="G478" s="778"/>
      <c r="H478" s="788"/>
      <c r="I478" s="788"/>
      <c r="J478" s="788"/>
      <c r="K478" s="788"/>
      <c r="L478" s="788"/>
      <c r="M478" s="788"/>
      <c r="N478" s="788"/>
      <c r="O478" s="788"/>
      <c r="P478" s="772"/>
      <c r="R478" s="774"/>
    </row>
    <row r="479" spans="1:22" hidden="1">
      <c r="A479" s="786">
        <v>479</v>
      </c>
      <c r="B479" s="767"/>
      <c r="C479" s="767" t="s">
        <v>890</v>
      </c>
      <c r="D479" s="767" t="s">
        <v>891</v>
      </c>
      <c r="E479" s="767"/>
      <c r="F479" s="806" t="s">
        <v>1397</v>
      </c>
      <c r="G479" s="778"/>
      <c r="H479" s="788">
        <v>39801.438231571141</v>
      </c>
      <c r="I479" s="788">
        <v>21329.912059182669</v>
      </c>
      <c r="J479" s="788">
        <v>5873.7383811596874</v>
      </c>
      <c r="K479" s="788">
        <v>6550.6594590992236</v>
      </c>
      <c r="L479" s="788">
        <v>2710.5520219180298</v>
      </c>
      <c r="M479" s="788">
        <v>942.34656548695273</v>
      </c>
      <c r="N479" s="788">
        <v>1753.1135932110394</v>
      </c>
      <c r="O479" s="788">
        <v>641.11615151354067</v>
      </c>
      <c r="P479" s="772">
        <v>0</v>
      </c>
      <c r="Q479" s="774"/>
      <c r="R479" s="774">
        <v>609</v>
      </c>
      <c r="S479" s="774"/>
      <c r="T479" s="774"/>
      <c r="U479" s="774"/>
      <c r="V479" s="774"/>
    </row>
    <row r="480" spans="1:22" hidden="1">
      <c r="A480" s="786">
        <v>480</v>
      </c>
      <c r="B480" s="767"/>
      <c r="C480" s="767"/>
      <c r="D480" s="767"/>
      <c r="E480" s="767"/>
      <c r="F480" s="806"/>
      <c r="G480" s="778"/>
      <c r="H480" s="788"/>
      <c r="I480" s="788"/>
      <c r="J480" s="788"/>
      <c r="K480" s="788"/>
      <c r="L480" s="788"/>
      <c r="M480" s="788"/>
      <c r="N480" s="788"/>
      <c r="O480" s="788"/>
      <c r="P480" s="772"/>
      <c r="R480" s="774"/>
    </row>
    <row r="481" spans="1:22" hidden="1">
      <c r="A481" s="786">
        <v>481</v>
      </c>
      <c r="B481" s="767"/>
      <c r="C481" s="767" t="s">
        <v>892</v>
      </c>
      <c r="D481" s="767" t="s">
        <v>748</v>
      </c>
      <c r="E481" s="767"/>
      <c r="F481" s="806" t="s">
        <v>1397</v>
      </c>
      <c r="G481" s="778"/>
      <c r="H481" s="788">
        <v>146194.33491317555</v>
      </c>
      <c r="I481" s="788">
        <v>78346.72428433095</v>
      </c>
      <c r="J481" s="788">
        <v>21574.780064266433</v>
      </c>
      <c r="K481" s="788">
        <v>24061.173299664195</v>
      </c>
      <c r="L481" s="788">
        <v>9956.1063041572197</v>
      </c>
      <c r="M481" s="788">
        <v>3461.3254073266703</v>
      </c>
      <c r="N481" s="788">
        <v>6439.3470983527868</v>
      </c>
      <c r="O481" s="788">
        <v>2354.8784550772984</v>
      </c>
      <c r="P481" s="772">
        <v>0</v>
      </c>
      <c r="Q481" s="774"/>
      <c r="R481" s="774">
        <v>614</v>
      </c>
      <c r="S481" s="774"/>
      <c r="T481" s="774"/>
      <c r="U481" s="774"/>
      <c r="V481" s="774"/>
    </row>
    <row r="482" spans="1:22" hidden="1">
      <c r="A482" s="786">
        <v>482</v>
      </c>
      <c r="B482" s="767"/>
      <c r="C482" s="767"/>
      <c r="D482" s="767"/>
      <c r="E482" s="767"/>
      <c r="F482" s="806"/>
      <c r="G482" s="778"/>
      <c r="H482" s="788"/>
      <c r="I482" s="788"/>
      <c r="J482" s="788"/>
      <c r="K482" s="788"/>
      <c r="L482" s="788"/>
      <c r="M482" s="788"/>
      <c r="N482" s="788"/>
      <c r="O482" s="788"/>
      <c r="P482" s="772"/>
      <c r="R482" s="774"/>
    </row>
    <row r="483" spans="1:22" hidden="1">
      <c r="A483" s="786">
        <v>483</v>
      </c>
      <c r="B483" s="767"/>
      <c r="C483" s="767" t="s">
        <v>893</v>
      </c>
      <c r="D483" s="767" t="s">
        <v>751</v>
      </c>
      <c r="E483" s="767"/>
      <c r="F483" s="806" t="s">
        <v>1397</v>
      </c>
      <c r="G483" s="778"/>
      <c r="H483" s="788">
        <v>370175.74577522452</v>
      </c>
      <c r="I483" s="788">
        <v>198380.17053275256</v>
      </c>
      <c r="J483" s="788">
        <v>54629.068253358877</v>
      </c>
      <c r="K483" s="788">
        <v>60924.814738682428</v>
      </c>
      <c r="L483" s="788">
        <v>25209.657257564922</v>
      </c>
      <c r="M483" s="788">
        <v>8764.3527007311404</v>
      </c>
      <c r="N483" s="788">
        <v>16304.941746572727</v>
      </c>
      <c r="O483" s="788">
        <v>5962.7405455618991</v>
      </c>
      <c r="P483" s="772">
        <v>0</v>
      </c>
      <c r="Q483" s="774"/>
      <c r="R483" s="774">
        <v>619</v>
      </c>
      <c r="S483" s="774"/>
      <c r="T483" s="774"/>
      <c r="U483" s="774"/>
      <c r="V483" s="774"/>
    </row>
    <row r="484" spans="1:22" hidden="1">
      <c r="A484" s="786">
        <v>484</v>
      </c>
      <c r="B484" s="767"/>
      <c r="C484" s="767"/>
      <c r="D484" s="767"/>
      <c r="E484" s="767"/>
      <c r="F484" s="806"/>
      <c r="G484" s="778"/>
      <c r="H484" s="788"/>
      <c r="I484" s="788"/>
      <c r="J484" s="788"/>
      <c r="K484" s="788"/>
      <c r="L484" s="788"/>
      <c r="M484" s="788"/>
      <c r="N484" s="788"/>
      <c r="O484" s="788"/>
      <c r="P484" s="772"/>
      <c r="R484" s="774"/>
    </row>
    <row r="485" spans="1:22" hidden="1">
      <c r="A485" s="786">
        <v>485</v>
      </c>
      <c r="B485" s="767"/>
      <c r="C485" s="767" t="s">
        <v>894</v>
      </c>
      <c r="D485" s="767" t="s">
        <v>754</v>
      </c>
      <c r="E485" s="767"/>
      <c r="F485" s="806" t="s">
        <v>1404</v>
      </c>
      <c r="G485" s="778"/>
      <c r="H485" s="788">
        <v>132249.70911268727</v>
      </c>
      <c r="I485" s="788">
        <v>56544.970828667938</v>
      </c>
      <c r="J485" s="788">
        <v>17268.698060633</v>
      </c>
      <c r="K485" s="788">
        <v>27173.75405249976</v>
      </c>
      <c r="L485" s="788">
        <v>11553.877618349296</v>
      </c>
      <c r="M485" s="788">
        <v>12201.736426384719</v>
      </c>
      <c r="N485" s="788">
        <v>7269.5589124426851</v>
      </c>
      <c r="O485" s="788">
        <v>237.11321370985635</v>
      </c>
      <c r="P485" s="772">
        <v>0</v>
      </c>
      <c r="Q485" s="774"/>
      <c r="R485" s="774">
        <v>624</v>
      </c>
      <c r="S485" s="774"/>
      <c r="T485" s="774"/>
      <c r="U485" s="774"/>
      <c r="V485" s="774"/>
    </row>
    <row r="486" spans="1:22" hidden="1">
      <c r="A486" s="786">
        <v>486</v>
      </c>
      <c r="B486" s="767"/>
      <c r="C486" s="767"/>
      <c r="D486" s="767"/>
      <c r="E486" s="767"/>
      <c r="F486" s="806"/>
      <c r="G486" s="778"/>
      <c r="H486" s="788"/>
      <c r="I486" s="788"/>
      <c r="J486" s="788"/>
      <c r="K486" s="788"/>
      <c r="L486" s="788"/>
      <c r="M486" s="788"/>
      <c r="N486" s="788"/>
      <c r="O486" s="788"/>
      <c r="P486" s="772"/>
      <c r="R486" s="774"/>
    </row>
    <row r="487" spans="1:22" hidden="1">
      <c r="A487" s="786">
        <v>487</v>
      </c>
      <c r="B487" s="767"/>
      <c r="C487" s="767" t="s">
        <v>895</v>
      </c>
      <c r="D487" s="767" t="s">
        <v>869</v>
      </c>
      <c r="E487" s="767"/>
      <c r="F487" s="806" t="s">
        <v>1399</v>
      </c>
      <c r="G487" s="778"/>
      <c r="H487" s="788">
        <v>399651.32136836433</v>
      </c>
      <c r="I487" s="788">
        <v>175972.26975083121</v>
      </c>
      <c r="J487" s="788">
        <v>53741.507844773841</v>
      </c>
      <c r="K487" s="788">
        <v>84566.79892466891</v>
      </c>
      <c r="L487" s="788">
        <v>35956.549965951228</v>
      </c>
      <c r="M487" s="788">
        <v>26052.857649922593</v>
      </c>
      <c r="N487" s="788">
        <v>22623.422793621045</v>
      </c>
      <c r="O487" s="788">
        <v>737.91443859553374</v>
      </c>
      <c r="P487" s="772">
        <v>0</v>
      </c>
      <c r="Q487" s="774"/>
      <c r="R487" s="774">
        <v>629</v>
      </c>
      <c r="S487" s="774"/>
      <c r="T487" s="774"/>
      <c r="U487" s="774"/>
      <c r="V487" s="774"/>
    </row>
    <row r="488" spans="1:22" hidden="1">
      <c r="A488" s="786">
        <v>488</v>
      </c>
      <c r="B488" s="767"/>
      <c r="C488" s="767"/>
      <c r="D488" s="767"/>
      <c r="E488" s="767"/>
      <c r="F488" s="806"/>
      <c r="G488" s="778"/>
      <c r="H488" s="788"/>
      <c r="I488" s="788"/>
      <c r="J488" s="788"/>
      <c r="K488" s="788"/>
      <c r="L488" s="788"/>
      <c r="M488" s="788"/>
      <c r="N488" s="788"/>
      <c r="O488" s="788"/>
      <c r="P488" s="772"/>
      <c r="R488" s="774"/>
    </row>
    <row r="489" spans="1:22" hidden="1">
      <c r="A489" s="786">
        <v>489</v>
      </c>
      <c r="B489" s="767"/>
      <c r="C489" s="767" t="s">
        <v>896</v>
      </c>
      <c r="D489" s="767" t="s">
        <v>871</v>
      </c>
      <c r="E489" s="767"/>
      <c r="F489" s="806" t="s">
        <v>1405</v>
      </c>
      <c r="G489" s="778"/>
      <c r="H489" s="788">
        <v>5771571.5869806986</v>
      </c>
      <c r="I489" s="788">
        <v>3278369.3040140495</v>
      </c>
      <c r="J489" s="788">
        <v>901516.36238645797</v>
      </c>
      <c r="K489" s="788">
        <v>942734.24831298308</v>
      </c>
      <c r="L489" s="788">
        <v>394101.00560812943</v>
      </c>
      <c r="M489" s="788">
        <v>0</v>
      </c>
      <c r="N489" s="788">
        <v>245247.78171595241</v>
      </c>
      <c r="O489" s="788">
        <v>9602.8849431256676</v>
      </c>
      <c r="P489" s="772">
        <v>0</v>
      </c>
      <c r="Q489" s="774"/>
      <c r="R489" s="774">
        <v>634</v>
      </c>
      <c r="S489" s="774"/>
      <c r="T489" s="774"/>
      <c r="U489" s="774"/>
      <c r="V489" s="774"/>
    </row>
    <row r="490" spans="1:22" hidden="1">
      <c r="A490" s="786">
        <v>490</v>
      </c>
      <c r="B490" s="767"/>
      <c r="C490" s="767"/>
      <c r="D490" s="767"/>
      <c r="E490" s="767"/>
      <c r="F490" s="806"/>
      <c r="G490" s="778"/>
      <c r="H490" s="788"/>
      <c r="I490" s="788"/>
      <c r="J490" s="788"/>
      <c r="K490" s="788"/>
      <c r="L490" s="788"/>
      <c r="M490" s="788"/>
      <c r="N490" s="788"/>
      <c r="O490" s="788"/>
      <c r="P490" s="772"/>
      <c r="R490" s="774"/>
    </row>
    <row r="491" spans="1:22" hidden="1">
      <c r="A491" s="786">
        <v>491</v>
      </c>
      <c r="B491" s="767"/>
      <c r="C491" s="767" t="s">
        <v>897</v>
      </c>
      <c r="D491" s="767" t="s">
        <v>873</v>
      </c>
      <c r="E491" s="767"/>
      <c r="F491" s="806" t="s">
        <v>1406</v>
      </c>
      <c r="G491" s="778"/>
      <c r="H491" s="788">
        <v>1202186.066849133</v>
      </c>
      <c r="I491" s="788">
        <v>807059.46406862838</v>
      </c>
      <c r="J491" s="788">
        <v>184403.27992781153</v>
      </c>
      <c r="K491" s="788">
        <v>132999.1176246074</v>
      </c>
      <c r="L491" s="788">
        <v>50992.125053472606</v>
      </c>
      <c r="M491" s="788">
        <v>0</v>
      </c>
      <c r="N491" s="788">
        <v>24819.904329002085</v>
      </c>
      <c r="O491" s="788">
        <v>1912.1758456108562</v>
      </c>
      <c r="P491" s="772">
        <v>0</v>
      </c>
      <c r="Q491" s="774"/>
      <c r="R491" s="774">
        <v>639</v>
      </c>
      <c r="S491" s="774"/>
      <c r="T491" s="774"/>
      <c r="U491" s="774"/>
      <c r="V491" s="774"/>
    </row>
    <row r="492" spans="1:22" hidden="1">
      <c r="A492" s="786">
        <v>492</v>
      </c>
      <c r="B492" s="767"/>
      <c r="C492" s="767"/>
      <c r="D492" s="767"/>
      <c r="E492" s="767"/>
      <c r="F492" s="806"/>
      <c r="G492" s="778"/>
      <c r="H492" s="788"/>
      <c r="I492" s="788"/>
      <c r="J492" s="788"/>
      <c r="K492" s="788"/>
      <c r="L492" s="788"/>
      <c r="M492" s="788"/>
      <c r="N492" s="788"/>
      <c r="O492" s="788"/>
      <c r="P492" s="772"/>
      <c r="R492" s="774"/>
    </row>
    <row r="493" spans="1:22" hidden="1">
      <c r="A493" s="786">
        <v>493</v>
      </c>
      <c r="B493" s="767"/>
      <c r="C493" s="767" t="s">
        <v>898</v>
      </c>
      <c r="D493" s="767" t="s">
        <v>899</v>
      </c>
      <c r="E493" s="767"/>
      <c r="F493" s="806" t="s">
        <v>1407</v>
      </c>
      <c r="G493" s="778"/>
      <c r="H493" s="788">
        <v>61697.016684288443</v>
      </c>
      <c r="I493" s="788">
        <v>33101.5766829067</v>
      </c>
      <c r="J493" s="788">
        <v>14782.649533391676</v>
      </c>
      <c r="K493" s="788">
        <v>5384.2303623019598</v>
      </c>
      <c r="L493" s="788">
        <v>656.39749448341649</v>
      </c>
      <c r="M493" s="788">
        <v>0</v>
      </c>
      <c r="N493" s="788">
        <v>7644.6262620599446</v>
      </c>
      <c r="O493" s="788">
        <v>127.53634914474263</v>
      </c>
      <c r="P493" s="772">
        <v>0</v>
      </c>
      <c r="Q493" s="774"/>
      <c r="R493" s="774">
        <v>644</v>
      </c>
      <c r="S493" s="774"/>
      <c r="T493" s="774"/>
      <c r="U493" s="774"/>
      <c r="V493" s="774"/>
    </row>
    <row r="494" spans="1:22" hidden="1">
      <c r="A494" s="786">
        <v>494</v>
      </c>
      <c r="B494" s="767"/>
      <c r="C494" s="767"/>
      <c r="D494" s="767"/>
      <c r="E494" s="767"/>
      <c r="F494" s="806"/>
      <c r="G494" s="778"/>
      <c r="H494" s="788"/>
      <c r="I494" s="788"/>
      <c r="J494" s="788"/>
      <c r="K494" s="788"/>
      <c r="L494" s="788"/>
      <c r="M494" s="788"/>
      <c r="N494" s="788"/>
      <c r="O494" s="788"/>
      <c r="P494" s="772"/>
      <c r="R494" s="774"/>
    </row>
    <row r="495" spans="1:22" hidden="1">
      <c r="A495" s="786">
        <v>495</v>
      </c>
      <c r="B495" s="767"/>
      <c r="C495" s="767" t="s">
        <v>900</v>
      </c>
      <c r="D495" s="767" t="s">
        <v>901</v>
      </c>
      <c r="E495" s="767"/>
      <c r="F495" s="806" t="s">
        <v>1402</v>
      </c>
      <c r="G495" s="778"/>
      <c r="H495" s="788">
        <v>140544.63</v>
      </c>
      <c r="I495" s="788">
        <v>0</v>
      </c>
      <c r="J495" s="788">
        <v>0</v>
      </c>
      <c r="K495" s="788">
        <v>0</v>
      </c>
      <c r="L495" s="788">
        <v>0</v>
      </c>
      <c r="M495" s="788">
        <v>0</v>
      </c>
      <c r="N495" s="788">
        <v>0</v>
      </c>
      <c r="O495" s="788">
        <v>140544.63</v>
      </c>
      <c r="P495" s="772">
        <v>0</v>
      </c>
      <c r="Q495" s="774"/>
      <c r="R495" s="774">
        <v>649</v>
      </c>
      <c r="S495" s="774"/>
      <c r="T495" s="774"/>
      <c r="U495" s="774"/>
      <c r="V495" s="774"/>
    </row>
    <row r="496" spans="1:22" hidden="1">
      <c r="A496" s="786">
        <v>496</v>
      </c>
      <c r="B496" s="767"/>
      <c r="C496" s="767"/>
      <c r="D496" s="767"/>
      <c r="E496" s="767"/>
      <c r="F496" s="806"/>
      <c r="G496" s="778"/>
      <c r="H496" s="788"/>
      <c r="I496" s="788"/>
      <c r="J496" s="788"/>
      <c r="K496" s="788"/>
      <c r="L496" s="788"/>
      <c r="M496" s="788"/>
      <c r="N496" s="788"/>
      <c r="O496" s="788"/>
      <c r="P496" s="772"/>
      <c r="R496" s="774"/>
    </row>
    <row r="497" spans="1:22" hidden="1">
      <c r="A497" s="786">
        <v>497</v>
      </c>
      <c r="B497" s="767"/>
      <c r="C497" s="767" t="s">
        <v>902</v>
      </c>
      <c r="D497" s="767" t="s">
        <v>903</v>
      </c>
      <c r="E497" s="767"/>
      <c r="F497" s="806" t="s">
        <v>1403</v>
      </c>
      <c r="G497" s="778"/>
      <c r="H497" s="788">
        <v>14958.516302110911</v>
      </c>
      <c r="I497" s="788">
        <v>10074.127496749879</v>
      </c>
      <c r="J497" s="788">
        <v>2591.49378173181</v>
      </c>
      <c r="K497" s="788">
        <v>1131.1749438090346</v>
      </c>
      <c r="L497" s="788">
        <v>198.5508589258406</v>
      </c>
      <c r="M497" s="788">
        <v>116.56858820708443</v>
      </c>
      <c r="N497" s="788">
        <v>846.60063268726321</v>
      </c>
      <c r="O497" s="788">
        <v>0</v>
      </c>
      <c r="P497" s="772">
        <v>0</v>
      </c>
      <c r="Q497" s="774"/>
      <c r="R497" s="774">
        <v>654</v>
      </c>
      <c r="S497" s="774"/>
      <c r="T497" s="774"/>
      <c r="U497" s="774"/>
      <c r="V497" s="774"/>
    </row>
    <row r="498" spans="1:22" hidden="1">
      <c r="A498" s="786">
        <v>498</v>
      </c>
      <c r="B498" s="767"/>
      <c r="C498" s="767"/>
      <c r="D498" s="767"/>
      <c r="E498" s="767"/>
      <c r="F498" s="806"/>
      <c r="G498" s="778"/>
      <c r="H498" s="788"/>
      <c r="I498" s="788"/>
      <c r="J498" s="788"/>
      <c r="K498" s="788"/>
      <c r="L498" s="788"/>
      <c r="M498" s="788"/>
      <c r="N498" s="788"/>
      <c r="O498" s="788"/>
      <c r="P498" s="772"/>
      <c r="R498" s="774"/>
    </row>
    <row r="499" spans="1:22" hidden="1">
      <c r="A499" s="786">
        <v>499</v>
      </c>
      <c r="B499" s="767"/>
      <c r="C499" s="767" t="s">
        <v>904</v>
      </c>
      <c r="D499" s="767" t="s">
        <v>905</v>
      </c>
      <c r="E499" s="767"/>
      <c r="F499" s="806" t="s">
        <v>1397</v>
      </c>
      <c r="G499" s="778"/>
      <c r="H499" s="808">
        <v>346338.31724496215</v>
      </c>
      <c r="I499" s="808">
        <v>185605.50014749402</v>
      </c>
      <c r="J499" s="808">
        <v>51111.235102412807</v>
      </c>
      <c r="K499" s="808">
        <v>57001.567649623634</v>
      </c>
      <c r="L499" s="808">
        <v>23586.284008485258</v>
      </c>
      <c r="M499" s="808">
        <v>8199.9731229169065</v>
      </c>
      <c r="N499" s="808">
        <v>15254.986723830576</v>
      </c>
      <c r="O499" s="808">
        <v>5578.7704901989628</v>
      </c>
      <c r="P499" s="772">
        <v>0</v>
      </c>
      <c r="Q499" s="774"/>
      <c r="R499" s="774">
        <v>659</v>
      </c>
      <c r="S499" s="774"/>
      <c r="T499" s="774"/>
      <c r="U499" s="774"/>
      <c r="V499" s="774"/>
    </row>
    <row r="500" spans="1:22" hidden="1">
      <c r="A500" s="786">
        <v>500</v>
      </c>
      <c r="B500" s="767"/>
      <c r="C500" s="767"/>
      <c r="D500" s="767"/>
      <c r="E500" s="767"/>
      <c r="F500" s="806"/>
      <c r="G500" s="778"/>
      <c r="H500" s="788"/>
      <c r="I500" s="788"/>
      <c r="J500" s="788"/>
      <c r="K500" s="788"/>
      <c r="L500" s="788"/>
      <c r="M500" s="788"/>
      <c r="N500" s="788"/>
      <c r="O500" s="788"/>
      <c r="P500" s="772"/>
      <c r="R500" s="774"/>
    </row>
    <row r="501" spans="1:22" hidden="1">
      <c r="A501" s="786">
        <v>501</v>
      </c>
      <c r="B501" s="767"/>
      <c r="C501" s="767" t="s">
        <v>906</v>
      </c>
      <c r="D501" s="767"/>
      <c r="E501" s="767"/>
      <c r="F501" s="806"/>
      <c r="G501" s="778"/>
      <c r="H501" s="788">
        <v>12374940.184378546</v>
      </c>
      <c r="I501" s="788">
        <v>6631830.3457955364</v>
      </c>
      <c r="J501" s="788">
        <v>1826244.5870079878</v>
      </c>
      <c r="K501" s="788">
        <v>2036710.7968044505</v>
      </c>
      <c r="L501" s="788">
        <v>842756.45876724005</v>
      </c>
      <c r="M501" s="788">
        <v>292991.48219235754</v>
      </c>
      <c r="N501" s="788">
        <v>545072.66109793435</v>
      </c>
      <c r="O501" s="788">
        <v>199333.85271303685</v>
      </c>
      <c r="P501" s="772">
        <v>0</v>
      </c>
      <c r="Q501" s="774"/>
      <c r="R501" s="774"/>
      <c r="S501" s="774"/>
      <c r="T501" s="774"/>
      <c r="U501" s="774"/>
      <c r="V501" s="774"/>
    </row>
    <row r="502" spans="1:22" hidden="1">
      <c r="A502" s="786">
        <v>502</v>
      </c>
      <c r="B502" s="767"/>
      <c r="C502" s="767"/>
      <c r="D502" s="767"/>
      <c r="E502" s="767"/>
      <c r="F502" s="806"/>
      <c r="G502" s="778"/>
      <c r="H502" s="788"/>
      <c r="I502" s="788"/>
      <c r="J502" s="788"/>
      <c r="K502" s="788"/>
      <c r="L502" s="788"/>
      <c r="M502" s="788"/>
      <c r="N502" s="788"/>
      <c r="O502" s="788"/>
      <c r="P502" s="772"/>
      <c r="R502" s="774"/>
    </row>
    <row r="503" spans="1:22" hidden="1">
      <c r="A503" s="786">
        <v>503</v>
      </c>
      <c r="B503" s="767"/>
      <c r="C503" s="767"/>
      <c r="D503" s="767"/>
      <c r="E503" s="767"/>
      <c r="F503" s="806"/>
      <c r="G503" s="778"/>
      <c r="H503" s="788"/>
      <c r="I503" s="788"/>
      <c r="J503" s="788"/>
      <c r="K503" s="788"/>
      <c r="L503" s="788"/>
      <c r="M503" s="788"/>
      <c r="N503" s="788"/>
      <c r="O503" s="788"/>
      <c r="P503" s="772"/>
      <c r="R503" s="774"/>
    </row>
    <row r="504" spans="1:22" hidden="1">
      <c r="A504" s="786">
        <v>504</v>
      </c>
      <c r="B504" s="767"/>
      <c r="D504" s="795"/>
      <c r="E504" s="795"/>
      <c r="F504" s="806"/>
      <c r="H504" s="817" t="s">
        <v>907</v>
      </c>
      <c r="I504" s="817"/>
      <c r="J504" s="817"/>
      <c r="K504" s="817"/>
      <c r="L504" s="817"/>
      <c r="M504" s="817"/>
      <c r="N504" s="817"/>
      <c r="O504" s="817"/>
      <c r="P504" s="772"/>
      <c r="R504" s="774"/>
    </row>
    <row r="505" spans="1:22" hidden="1">
      <c r="A505" s="786">
        <v>505</v>
      </c>
      <c r="B505" s="767"/>
      <c r="C505" s="767"/>
      <c r="D505" s="767"/>
      <c r="E505" s="767"/>
      <c r="F505" s="806"/>
      <c r="G505" s="778"/>
      <c r="H505" s="788"/>
      <c r="I505" s="788"/>
      <c r="J505" s="788"/>
      <c r="K505" s="788"/>
      <c r="L505" s="788"/>
      <c r="M505" s="788"/>
      <c r="N505" s="788"/>
      <c r="O505" s="788"/>
      <c r="P505" s="772"/>
      <c r="R505" s="774"/>
    </row>
    <row r="506" spans="1:22" hidden="1">
      <c r="A506" s="786">
        <v>506</v>
      </c>
      <c r="B506" s="767"/>
      <c r="C506" s="767"/>
      <c r="D506" s="767"/>
      <c r="E506" s="767"/>
      <c r="F506" s="806"/>
      <c r="G506" s="778"/>
      <c r="H506" s="788"/>
      <c r="I506" s="788"/>
      <c r="J506" s="788"/>
      <c r="K506" s="788"/>
      <c r="L506" s="788"/>
      <c r="M506" s="788"/>
      <c r="N506" s="788"/>
      <c r="O506" s="788"/>
      <c r="P506" s="772"/>
      <c r="R506" s="774"/>
    </row>
    <row r="507" spans="1:22" hidden="1">
      <c r="A507" s="786">
        <v>507</v>
      </c>
      <c r="B507" s="767"/>
      <c r="C507" s="767" t="s">
        <v>908</v>
      </c>
      <c r="D507" s="767" t="s">
        <v>909</v>
      </c>
      <c r="E507" s="767"/>
      <c r="F507" s="806" t="s">
        <v>1408</v>
      </c>
      <c r="G507" s="778"/>
      <c r="H507" s="788">
        <v>186536.21136434379</v>
      </c>
      <c r="I507" s="788">
        <v>149840.80176561468</v>
      </c>
      <c r="J507" s="788">
        <v>23288.771247965997</v>
      </c>
      <c r="K507" s="788">
        <v>5374.3558914192599</v>
      </c>
      <c r="L507" s="788">
        <v>1932.2836372789102</v>
      </c>
      <c r="M507" s="788">
        <v>1401.0338596532299</v>
      </c>
      <c r="N507" s="788">
        <v>2420.9942753267146</v>
      </c>
      <c r="O507" s="788">
        <v>2277.9706870849755</v>
      </c>
      <c r="P507" s="772">
        <v>0</v>
      </c>
      <c r="Q507" s="774"/>
      <c r="R507" s="774">
        <v>666</v>
      </c>
      <c r="S507" s="774"/>
      <c r="T507" s="774"/>
      <c r="U507" s="774"/>
      <c r="V507" s="774"/>
    </row>
    <row r="508" spans="1:22" hidden="1">
      <c r="A508" s="786">
        <v>508</v>
      </c>
      <c r="B508" s="767"/>
      <c r="C508" s="767"/>
      <c r="D508" s="767"/>
      <c r="E508" s="767"/>
      <c r="F508" s="806"/>
      <c r="G508" s="778"/>
      <c r="H508" s="788"/>
      <c r="I508" s="788"/>
      <c r="J508" s="788"/>
      <c r="K508" s="788"/>
      <c r="L508" s="788"/>
      <c r="M508" s="788"/>
      <c r="N508" s="788"/>
      <c r="O508" s="788"/>
      <c r="P508" s="772"/>
      <c r="R508" s="774"/>
    </row>
    <row r="509" spans="1:22" hidden="1">
      <c r="A509" s="786">
        <v>509</v>
      </c>
      <c r="B509" s="767"/>
      <c r="C509" s="767" t="s">
        <v>910</v>
      </c>
      <c r="D509" s="767" t="s">
        <v>911</v>
      </c>
      <c r="E509" s="767"/>
      <c r="F509" s="806" t="s">
        <v>1409</v>
      </c>
      <c r="G509" s="778"/>
      <c r="H509" s="788">
        <v>694034.80347068934</v>
      </c>
      <c r="I509" s="788">
        <v>565490.71958746191</v>
      </c>
      <c r="J509" s="788">
        <v>105043.14405123804</v>
      </c>
      <c r="K509" s="788">
        <v>7316.3434196561102</v>
      </c>
      <c r="L509" s="788">
        <v>2799.8192956276075</v>
      </c>
      <c r="M509" s="788">
        <v>619.40840051579573</v>
      </c>
      <c r="N509" s="788">
        <v>12765.368716189862</v>
      </c>
      <c r="O509" s="788">
        <v>0</v>
      </c>
      <c r="P509" s="772">
        <v>0</v>
      </c>
      <c r="Q509" s="774"/>
      <c r="R509" s="774">
        <v>671</v>
      </c>
      <c r="S509" s="774"/>
      <c r="T509" s="774"/>
      <c r="U509" s="774"/>
      <c r="V509" s="774"/>
    </row>
    <row r="510" spans="1:22" hidden="1">
      <c r="A510" s="786">
        <v>510</v>
      </c>
      <c r="B510" s="767"/>
      <c r="C510" s="767"/>
      <c r="D510" s="767"/>
      <c r="E510" s="767"/>
      <c r="F510" s="806"/>
      <c r="G510" s="778"/>
      <c r="H510" s="788"/>
      <c r="I510" s="788"/>
      <c r="J510" s="788"/>
      <c r="K510" s="788"/>
      <c r="L510" s="788"/>
      <c r="M510" s="788"/>
      <c r="N510" s="788"/>
      <c r="O510" s="788"/>
      <c r="P510" s="772"/>
      <c r="R510" s="774"/>
    </row>
    <row r="511" spans="1:22" hidden="1">
      <c r="A511" s="786">
        <v>511</v>
      </c>
      <c r="B511" s="767"/>
      <c r="C511" s="767" t="s">
        <v>912</v>
      </c>
      <c r="D511" s="767" t="s">
        <v>913</v>
      </c>
      <c r="E511" s="767"/>
      <c r="F511" s="806" t="s">
        <v>1410</v>
      </c>
      <c r="G511" s="778"/>
      <c r="H511" s="788">
        <v>4463687.8988864422</v>
      </c>
      <c r="I511" s="788">
        <v>3639606.4155410551</v>
      </c>
      <c r="J511" s="788">
        <v>631734.16036057053</v>
      </c>
      <c r="K511" s="788">
        <v>36768.3588511173</v>
      </c>
      <c r="L511" s="788">
        <v>9407.0394660471411</v>
      </c>
      <c r="M511" s="788">
        <v>145.89698149667748</v>
      </c>
      <c r="N511" s="788">
        <v>61828.207787977059</v>
      </c>
      <c r="O511" s="788">
        <v>84197.819898177753</v>
      </c>
      <c r="P511" s="772">
        <v>0</v>
      </c>
      <c r="Q511" s="774"/>
      <c r="R511" s="774">
        <v>676</v>
      </c>
      <c r="S511" s="774"/>
      <c r="T511" s="774"/>
      <c r="U511" s="774"/>
      <c r="V511" s="774"/>
    </row>
    <row r="512" spans="1:22" hidden="1">
      <c r="A512" s="786">
        <v>512</v>
      </c>
      <c r="B512" s="767"/>
      <c r="C512" s="767"/>
      <c r="D512" s="767"/>
      <c r="E512" s="767"/>
      <c r="F512" s="806"/>
      <c r="G512" s="778"/>
      <c r="H512" s="788"/>
      <c r="I512" s="788"/>
      <c r="J512" s="788"/>
      <c r="K512" s="788"/>
      <c r="L512" s="788"/>
      <c r="M512" s="788"/>
      <c r="N512" s="788"/>
      <c r="O512" s="788"/>
      <c r="P512" s="772"/>
      <c r="R512" s="774"/>
    </row>
    <row r="513" spans="1:22" hidden="1">
      <c r="A513" s="786">
        <v>513</v>
      </c>
      <c r="B513" s="767"/>
      <c r="C513" s="767" t="s">
        <v>914</v>
      </c>
      <c r="D513" s="767" t="s">
        <v>915</v>
      </c>
      <c r="E513" s="767"/>
      <c r="F513" s="806" t="s">
        <v>638</v>
      </c>
      <c r="G513" s="778"/>
      <c r="H513" s="788">
        <v>1736985.1259695257</v>
      </c>
      <c r="I513" s="788">
        <v>1333283.5437749038</v>
      </c>
      <c r="J513" s="788">
        <v>124016.81304689193</v>
      </c>
      <c r="K513" s="788">
        <v>154560.98354948024</v>
      </c>
      <c r="L513" s="788">
        <v>59213.757230534677</v>
      </c>
      <c r="M513" s="788">
        <v>51019.380547061148</v>
      </c>
      <c r="N513" s="788">
        <v>14890.647820653856</v>
      </c>
      <c r="O513" s="788">
        <v>0</v>
      </c>
      <c r="P513" s="772">
        <v>0</v>
      </c>
      <c r="Q513" s="774"/>
      <c r="R513" s="774">
        <v>682</v>
      </c>
      <c r="S513" s="774"/>
      <c r="T513" s="774"/>
      <c r="U513" s="774"/>
      <c r="V513" s="774"/>
    </row>
    <row r="514" spans="1:22" hidden="1">
      <c r="A514" s="786">
        <v>514</v>
      </c>
      <c r="B514" s="767"/>
      <c r="C514" s="767"/>
      <c r="D514" s="767"/>
      <c r="E514" s="767"/>
      <c r="F514" s="806"/>
      <c r="G514" s="778"/>
      <c r="H514" s="788"/>
      <c r="I514" s="788"/>
      <c r="J514" s="788"/>
      <c r="K514" s="788"/>
      <c r="L514" s="788"/>
      <c r="M514" s="788"/>
      <c r="N514" s="788"/>
      <c r="O514" s="788"/>
      <c r="P514" s="772"/>
      <c r="R514" s="774"/>
    </row>
    <row r="515" spans="1:22" hidden="1">
      <c r="A515" s="786">
        <v>515</v>
      </c>
      <c r="B515" s="767"/>
      <c r="C515" s="767" t="s">
        <v>916</v>
      </c>
      <c r="D515" s="767" t="s">
        <v>917</v>
      </c>
      <c r="E515" s="767"/>
      <c r="F515" s="806" t="s">
        <v>1408</v>
      </c>
      <c r="G515" s="778"/>
      <c r="H515" s="808">
        <v>21765.768565043971</v>
      </c>
      <c r="I515" s="808">
        <v>17484.005861257749</v>
      </c>
      <c r="J515" s="808">
        <v>2717.4241475152594</v>
      </c>
      <c r="K515" s="808">
        <v>627.10068818934008</v>
      </c>
      <c r="L515" s="808">
        <v>225.46634856267596</v>
      </c>
      <c r="M515" s="808">
        <v>163.4780642212159</v>
      </c>
      <c r="N515" s="808">
        <v>282.49100112328205</v>
      </c>
      <c r="O515" s="808">
        <v>265.8024541744461</v>
      </c>
      <c r="P515" s="772">
        <v>0</v>
      </c>
      <c r="Q515" s="774"/>
      <c r="R515" s="774">
        <v>687</v>
      </c>
      <c r="S515" s="774"/>
      <c r="T515" s="774"/>
      <c r="U515" s="774"/>
      <c r="V515" s="774"/>
    </row>
    <row r="516" spans="1:22" hidden="1">
      <c r="A516" s="786">
        <v>516</v>
      </c>
      <c r="B516" s="767"/>
      <c r="C516" s="767"/>
      <c r="D516" s="767"/>
      <c r="E516" s="767"/>
      <c r="F516" s="806"/>
      <c r="G516" s="778"/>
      <c r="H516" s="788"/>
      <c r="I516" s="788"/>
      <c r="J516" s="788"/>
      <c r="K516" s="788"/>
      <c r="L516" s="788"/>
      <c r="M516" s="788"/>
      <c r="N516" s="788"/>
      <c r="O516" s="788"/>
      <c r="P516" s="772"/>
      <c r="R516" s="774"/>
    </row>
    <row r="517" spans="1:22" hidden="1">
      <c r="A517" s="786">
        <v>517</v>
      </c>
      <c r="B517" s="767"/>
      <c r="C517" s="767" t="s">
        <v>918</v>
      </c>
      <c r="D517" s="767"/>
      <c r="E517" s="767"/>
      <c r="F517" s="806"/>
      <c r="G517" s="778"/>
      <c r="H517" s="808">
        <v>7103009.808256045</v>
      </c>
      <c r="I517" s="808">
        <v>5705705.4865302937</v>
      </c>
      <c r="J517" s="808">
        <v>886800.31285418174</v>
      </c>
      <c r="K517" s="808">
        <v>204647.14239986223</v>
      </c>
      <c r="L517" s="808">
        <v>73578.365978051021</v>
      </c>
      <c r="M517" s="808">
        <v>53349.197852948062</v>
      </c>
      <c r="N517" s="808">
        <v>92187.709601270777</v>
      </c>
      <c r="O517" s="808">
        <v>86741.593039437183</v>
      </c>
      <c r="P517" s="772">
        <v>0</v>
      </c>
      <c r="Q517" s="774"/>
      <c r="R517" s="774"/>
      <c r="S517" s="774"/>
      <c r="T517" s="774"/>
      <c r="U517" s="774"/>
      <c r="V517" s="774"/>
    </row>
    <row r="518" spans="1:22" hidden="1">
      <c r="A518" s="786">
        <v>518</v>
      </c>
      <c r="B518" s="767"/>
      <c r="C518" s="767"/>
      <c r="D518" s="767"/>
      <c r="E518" s="767"/>
      <c r="F518" s="806"/>
      <c r="H518" s="817"/>
      <c r="I518" s="817"/>
      <c r="J518" s="817"/>
      <c r="K518" s="817"/>
      <c r="L518" s="817"/>
      <c r="M518" s="817"/>
      <c r="N518" s="817"/>
      <c r="O518" s="817"/>
      <c r="P518" s="772"/>
      <c r="R518" s="774"/>
    </row>
    <row r="519" spans="1:22" hidden="1">
      <c r="A519" s="786">
        <v>519</v>
      </c>
      <c r="B519" s="767"/>
      <c r="C519" s="781" t="s">
        <v>714</v>
      </c>
      <c r="D519" s="767"/>
      <c r="E519" s="767"/>
      <c r="F519" s="806"/>
      <c r="G519" s="778"/>
      <c r="H519" s="817" t="s">
        <v>919</v>
      </c>
      <c r="I519" s="817"/>
      <c r="J519" s="817"/>
      <c r="K519" s="817"/>
      <c r="L519" s="817"/>
      <c r="M519" s="817"/>
      <c r="N519" s="817"/>
      <c r="O519" s="817"/>
      <c r="P519" s="772"/>
      <c r="R519" s="774"/>
    </row>
    <row r="520" spans="1:22" hidden="1">
      <c r="A520" s="786">
        <v>520</v>
      </c>
      <c r="B520" s="767"/>
      <c r="C520" s="767"/>
      <c r="D520" s="767"/>
      <c r="E520" s="767"/>
      <c r="F520" s="806"/>
      <c r="G520" s="778"/>
      <c r="H520" s="810"/>
      <c r="I520" s="810"/>
      <c r="J520" s="810"/>
      <c r="K520" s="810"/>
      <c r="L520" s="810"/>
      <c r="M520" s="810"/>
      <c r="N520" s="810"/>
      <c r="O520" s="810"/>
      <c r="P520" s="772"/>
      <c r="R520" s="774"/>
    </row>
    <row r="521" spans="1:22" hidden="1">
      <c r="A521" s="786">
        <v>521</v>
      </c>
      <c r="B521" s="767"/>
      <c r="C521" s="777" t="s">
        <v>575</v>
      </c>
      <c r="D521" s="767"/>
      <c r="E521" s="777" t="s">
        <v>576</v>
      </c>
      <c r="F521" s="806" t="s">
        <v>577</v>
      </c>
      <c r="G521" s="778"/>
      <c r="H521" s="777" t="s">
        <v>578</v>
      </c>
      <c r="I521" s="777" t="s">
        <v>579</v>
      </c>
      <c r="J521" s="777" t="s">
        <v>580</v>
      </c>
      <c r="K521" s="777" t="s">
        <v>581</v>
      </c>
      <c r="L521" s="777" t="s">
        <v>582</v>
      </c>
      <c r="M521" s="777" t="s">
        <v>583</v>
      </c>
      <c r="N521" s="777" t="s">
        <v>584</v>
      </c>
      <c r="O521" s="777" t="s">
        <v>585</v>
      </c>
      <c r="P521" s="772"/>
      <c r="R521" s="774"/>
    </row>
    <row r="522" spans="1:22" ht="38.25" hidden="1">
      <c r="A522" s="786">
        <v>522</v>
      </c>
      <c r="B522" s="767"/>
      <c r="C522" s="797" t="s">
        <v>656</v>
      </c>
      <c r="D522" s="781"/>
      <c r="E522" s="782" t="s">
        <v>587</v>
      </c>
      <c r="F522" s="806" t="s">
        <v>1391</v>
      </c>
      <c r="G522" s="783"/>
      <c r="H522" s="784" t="s">
        <v>588</v>
      </c>
      <c r="I522" s="784" t="s">
        <v>589</v>
      </c>
      <c r="J522" s="784" t="s">
        <v>590</v>
      </c>
      <c r="K522" s="784" t="s">
        <v>591</v>
      </c>
      <c r="L522" s="784" t="s">
        <v>592</v>
      </c>
      <c r="M522" s="784" t="s">
        <v>593</v>
      </c>
      <c r="N522" s="784" t="s">
        <v>594</v>
      </c>
      <c r="O522" s="784" t="s">
        <v>595</v>
      </c>
      <c r="P522" s="772"/>
      <c r="R522" s="774"/>
    </row>
    <row r="523" spans="1:22" hidden="1">
      <c r="A523" s="786">
        <v>523</v>
      </c>
      <c r="B523" s="767"/>
      <c r="C523" s="767" t="s">
        <v>920</v>
      </c>
      <c r="D523" s="767" t="s">
        <v>909</v>
      </c>
      <c r="E523" s="767"/>
      <c r="F523" s="806" t="s">
        <v>1395</v>
      </c>
      <c r="G523" s="778"/>
      <c r="H523" s="788">
        <v>11.432061146930687</v>
      </c>
      <c r="I523" s="788">
        <v>9.0031767302173336</v>
      </c>
      <c r="J523" s="788">
        <v>1.6645474081039533</v>
      </c>
      <c r="K523" s="788">
        <v>8.9882828664664072E-2</v>
      </c>
      <c r="L523" s="788">
        <v>5.3854891356287082E-3</v>
      </c>
      <c r="M523" s="788">
        <v>8.3525386664668001E-5</v>
      </c>
      <c r="N523" s="788">
        <v>0.42896104594374213</v>
      </c>
      <c r="O523" s="788">
        <v>0.24002411947870098</v>
      </c>
      <c r="P523" s="772">
        <v>0</v>
      </c>
      <c r="Q523" s="774"/>
      <c r="R523" s="774">
        <v>694</v>
      </c>
      <c r="S523" s="774"/>
      <c r="T523" s="774"/>
      <c r="U523" s="774"/>
      <c r="V523" s="774"/>
    </row>
    <row r="524" spans="1:22" hidden="1">
      <c r="A524" s="786">
        <v>524</v>
      </c>
      <c r="B524" s="767"/>
      <c r="C524" s="767"/>
      <c r="D524" s="767"/>
      <c r="E524" s="767"/>
      <c r="F524" s="806"/>
      <c r="G524" s="778"/>
      <c r="H524" s="788"/>
      <c r="I524" s="788"/>
      <c r="J524" s="788"/>
      <c r="K524" s="788"/>
      <c r="L524" s="788"/>
      <c r="M524" s="788"/>
      <c r="N524" s="788"/>
      <c r="O524" s="788"/>
      <c r="P524" s="772"/>
      <c r="R524" s="774"/>
    </row>
    <row r="525" spans="1:22" hidden="1">
      <c r="A525" s="786">
        <v>525</v>
      </c>
      <c r="B525" s="767"/>
      <c r="C525" s="767" t="s">
        <v>921</v>
      </c>
      <c r="D525" s="767" t="s">
        <v>922</v>
      </c>
      <c r="E525" s="767"/>
      <c r="F525" s="806" t="s">
        <v>1395</v>
      </c>
      <c r="G525" s="778"/>
      <c r="H525" s="788">
        <v>574192.51089629158</v>
      </c>
      <c r="I525" s="788">
        <v>452198.1282574308</v>
      </c>
      <c r="J525" s="788">
        <v>83604.40374496521</v>
      </c>
      <c r="K525" s="788">
        <v>4514.5006149027686</v>
      </c>
      <c r="L525" s="788">
        <v>270.49431326927242</v>
      </c>
      <c r="M525" s="788">
        <v>4.1951885032950242</v>
      </c>
      <c r="N525" s="788">
        <v>21545.215414918053</v>
      </c>
      <c r="O525" s="788">
        <v>12055.573362302137</v>
      </c>
      <c r="P525" s="772">
        <v>0</v>
      </c>
      <c r="Q525" s="774"/>
      <c r="R525" s="774">
        <v>699</v>
      </c>
      <c r="S525" s="774"/>
      <c r="T525" s="774"/>
      <c r="U525" s="774"/>
      <c r="V525" s="774"/>
    </row>
    <row r="526" spans="1:22" hidden="1">
      <c r="A526" s="786">
        <v>526</v>
      </c>
      <c r="B526" s="767"/>
      <c r="C526" s="767"/>
      <c r="D526" s="767"/>
      <c r="E526" s="767"/>
      <c r="F526" s="806"/>
      <c r="G526" s="778"/>
      <c r="H526" s="788"/>
      <c r="I526" s="788"/>
      <c r="J526" s="788"/>
      <c r="K526" s="788"/>
      <c r="L526" s="788"/>
      <c r="M526" s="788"/>
      <c r="N526" s="788"/>
      <c r="O526" s="788"/>
      <c r="P526" s="772"/>
      <c r="R526" s="774"/>
    </row>
    <row r="527" spans="1:22" hidden="1">
      <c r="A527" s="786">
        <v>527</v>
      </c>
      <c r="B527" s="767"/>
      <c r="C527" s="767" t="s">
        <v>923</v>
      </c>
      <c r="D527" s="767" t="s">
        <v>924</v>
      </c>
      <c r="E527" s="767"/>
      <c r="F527" s="806" t="s">
        <v>1395</v>
      </c>
      <c r="G527" s="778"/>
      <c r="H527" s="788">
        <v>462371.22104723571</v>
      </c>
      <c r="I527" s="788">
        <v>364134.67042837595</v>
      </c>
      <c r="J527" s="788">
        <v>67322.839484870245</v>
      </c>
      <c r="K527" s="788">
        <v>3635.3228614437694</v>
      </c>
      <c r="L527" s="788">
        <v>217.81681846985362</v>
      </c>
      <c r="M527" s="788">
        <v>3.378195281167979</v>
      </c>
      <c r="N527" s="788">
        <v>17349.386085811664</v>
      </c>
      <c r="O527" s="788">
        <v>9707.8071729830499</v>
      </c>
      <c r="P527" s="772">
        <v>0</v>
      </c>
      <c r="Q527" s="774"/>
      <c r="R527" s="774">
        <v>705</v>
      </c>
      <c r="S527" s="774"/>
      <c r="T527" s="774"/>
      <c r="U527" s="774"/>
      <c r="V527" s="774"/>
    </row>
    <row r="528" spans="1:22" hidden="1">
      <c r="A528" s="786">
        <v>528</v>
      </c>
      <c r="B528" s="767"/>
      <c r="C528" s="767"/>
      <c r="D528" s="767"/>
      <c r="E528" s="767"/>
      <c r="F528" s="806"/>
      <c r="G528" s="778"/>
      <c r="H528" s="788"/>
      <c r="I528" s="788"/>
      <c r="J528" s="788"/>
      <c r="K528" s="788"/>
      <c r="L528" s="788"/>
      <c r="M528" s="788"/>
      <c r="N528" s="788"/>
      <c r="O528" s="788"/>
      <c r="P528" s="772"/>
      <c r="R528" s="774"/>
    </row>
    <row r="529" spans="1:22" hidden="1">
      <c r="A529" s="786">
        <v>529</v>
      </c>
      <c r="B529" s="767"/>
      <c r="C529" s="767" t="s">
        <v>925</v>
      </c>
      <c r="D529" s="767" t="s">
        <v>926</v>
      </c>
      <c r="E529" s="767"/>
      <c r="F529" s="806" t="s">
        <v>1395</v>
      </c>
      <c r="G529" s="778"/>
      <c r="H529" s="808">
        <v>1138.6954659693408</v>
      </c>
      <c r="I529" s="808">
        <v>896.76536805190256</v>
      </c>
      <c r="J529" s="808">
        <v>165.79797484794554</v>
      </c>
      <c r="K529" s="808">
        <v>8.9528185821881365</v>
      </c>
      <c r="L529" s="808">
        <v>0.53642400805510104</v>
      </c>
      <c r="M529" s="808">
        <v>8.3195827826663508E-3</v>
      </c>
      <c r="N529" s="808">
        <v>42.726853173344622</v>
      </c>
      <c r="O529" s="808">
        <v>23.907707723122208</v>
      </c>
      <c r="P529" s="772">
        <v>0</v>
      </c>
      <c r="Q529" s="774"/>
      <c r="R529" s="774">
        <v>710</v>
      </c>
      <c r="S529" s="774"/>
      <c r="T529" s="774"/>
      <c r="U529" s="774"/>
      <c r="V529" s="774"/>
    </row>
    <row r="530" spans="1:22" hidden="1">
      <c r="A530" s="786">
        <v>530</v>
      </c>
      <c r="B530" s="767"/>
      <c r="C530" s="767"/>
      <c r="D530" s="767"/>
      <c r="E530" s="767"/>
      <c r="F530" s="806"/>
      <c r="G530" s="778"/>
      <c r="H530" s="788"/>
      <c r="I530" s="788"/>
      <c r="J530" s="788"/>
      <c r="K530" s="788"/>
      <c r="L530" s="788"/>
      <c r="M530" s="788"/>
      <c r="N530" s="788"/>
      <c r="O530" s="788"/>
      <c r="P530" s="772"/>
      <c r="R530" s="774"/>
    </row>
    <row r="531" spans="1:22" hidden="1">
      <c r="A531" s="786">
        <v>531</v>
      </c>
      <c r="B531" s="767"/>
      <c r="C531" s="767" t="s">
        <v>927</v>
      </c>
      <c r="D531" s="767"/>
      <c r="E531" s="767"/>
      <c r="F531" s="806"/>
      <c r="G531" s="778"/>
      <c r="H531" s="788">
        <v>1037713.8594706436</v>
      </c>
      <c r="I531" s="788">
        <v>817238.56723058899</v>
      </c>
      <c r="J531" s="788">
        <v>151094.70575209151</v>
      </c>
      <c r="K531" s="788">
        <v>8158.8661777573907</v>
      </c>
      <c r="L531" s="788">
        <v>488.85294123631678</v>
      </c>
      <c r="M531" s="788">
        <v>7.5817868926323344</v>
      </c>
      <c r="N531" s="788">
        <v>38937.757314949005</v>
      </c>
      <c r="O531" s="788">
        <v>21787.528267127786</v>
      </c>
      <c r="P531" s="772">
        <v>0</v>
      </c>
      <c r="Q531" s="774"/>
      <c r="R531" s="774"/>
      <c r="S531" s="774"/>
      <c r="T531" s="774"/>
      <c r="U531" s="774"/>
      <c r="V531" s="774"/>
    </row>
    <row r="532" spans="1:22" hidden="1">
      <c r="A532" s="786">
        <v>532</v>
      </c>
      <c r="B532" s="767"/>
      <c r="C532" s="767"/>
      <c r="D532" s="767"/>
      <c r="E532" s="767"/>
      <c r="F532" s="806"/>
      <c r="G532" s="778"/>
      <c r="H532" s="810"/>
      <c r="I532" s="810"/>
      <c r="J532" s="810"/>
      <c r="K532" s="810"/>
      <c r="L532" s="810"/>
      <c r="M532" s="810"/>
      <c r="N532" s="810"/>
      <c r="O532" s="810"/>
      <c r="P532" s="772"/>
      <c r="R532" s="774"/>
    </row>
    <row r="533" spans="1:22" hidden="1">
      <c r="A533" s="786">
        <v>533</v>
      </c>
      <c r="B533" s="767"/>
      <c r="C533" s="767"/>
      <c r="D533" s="767"/>
      <c r="E533" s="767"/>
      <c r="F533" s="806"/>
      <c r="G533" s="778"/>
      <c r="H533" s="788"/>
      <c r="I533" s="788"/>
      <c r="J533" s="788"/>
      <c r="K533" s="788"/>
      <c r="L533" s="788"/>
      <c r="M533" s="788"/>
      <c r="N533" s="788"/>
      <c r="O533" s="788"/>
      <c r="P533" s="772"/>
      <c r="R533" s="774"/>
    </row>
    <row r="534" spans="1:22" hidden="1">
      <c r="A534" s="786">
        <v>534</v>
      </c>
      <c r="B534" s="767"/>
      <c r="D534" s="768"/>
      <c r="E534" s="795"/>
      <c r="F534" s="806"/>
      <c r="H534" s="817" t="s">
        <v>928</v>
      </c>
      <c r="I534" s="817"/>
      <c r="J534" s="817"/>
      <c r="K534" s="817"/>
      <c r="L534" s="817"/>
      <c r="M534" s="817"/>
      <c r="N534" s="817"/>
      <c r="O534" s="817"/>
      <c r="P534" s="772"/>
      <c r="R534" s="774"/>
    </row>
    <row r="535" spans="1:22" hidden="1">
      <c r="A535" s="786">
        <v>535</v>
      </c>
      <c r="B535" s="767"/>
      <c r="C535" s="767"/>
      <c r="D535" s="767"/>
      <c r="E535" s="767"/>
      <c r="F535" s="806"/>
      <c r="G535" s="778"/>
      <c r="H535" s="810"/>
      <c r="I535" s="810"/>
      <c r="J535" s="810"/>
      <c r="K535" s="810"/>
      <c r="L535" s="810"/>
      <c r="M535" s="810"/>
      <c r="N535" s="810"/>
      <c r="O535" s="810"/>
      <c r="P535" s="772"/>
      <c r="R535" s="774"/>
    </row>
    <row r="536" spans="1:22" hidden="1">
      <c r="A536" s="786">
        <v>536</v>
      </c>
      <c r="B536" s="767"/>
      <c r="C536" s="767"/>
      <c r="D536" s="767"/>
      <c r="E536" s="767"/>
      <c r="F536" s="806"/>
      <c r="G536" s="778"/>
      <c r="H536" s="788"/>
      <c r="I536" s="788"/>
      <c r="J536" s="788"/>
      <c r="K536" s="788"/>
      <c r="L536" s="788"/>
      <c r="M536" s="788"/>
      <c r="N536" s="788"/>
      <c r="O536" s="788"/>
      <c r="P536" s="772"/>
      <c r="R536" s="774"/>
    </row>
    <row r="537" spans="1:22" hidden="1">
      <c r="A537" s="786">
        <v>537</v>
      </c>
      <c r="B537" s="767"/>
      <c r="C537" s="767" t="s">
        <v>929</v>
      </c>
      <c r="D537" s="767" t="s">
        <v>909</v>
      </c>
      <c r="E537" s="767"/>
      <c r="F537" s="806" t="s">
        <v>1395</v>
      </c>
      <c r="G537" s="778"/>
      <c r="H537" s="788">
        <v>0</v>
      </c>
      <c r="I537" s="788">
        <v>0</v>
      </c>
      <c r="J537" s="788">
        <v>0</v>
      </c>
      <c r="K537" s="788">
        <v>0</v>
      </c>
      <c r="L537" s="788">
        <v>0</v>
      </c>
      <c r="M537" s="788">
        <v>0</v>
      </c>
      <c r="N537" s="788">
        <v>0</v>
      </c>
      <c r="O537" s="788">
        <v>0</v>
      </c>
      <c r="P537" s="772">
        <v>0</v>
      </c>
      <c r="Q537" s="774"/>
      <c r="R537" s="774">
        <v>717</v>
      </c>
      <c r="S537" s="774"/>
      <c r="T537" s="774"/>
      <c r="U537" s="774"/>
      <c r="V537" s="774"/>
    </row>
    <row r="538" spans="1:22" hidden="1">
      <c r="A538" s="786">
        <v>538</v>
      </c>
      <c r="B538" s="767"/>
      <c r="C538" s="767"/>
      <c r="D538" s="767"/>
      <c r="E538" s="767"/>
      <c r="F538" s="806"/>
      <c r="G538" s="778"/>
      <c r="H538" s="788"/>
      <c r="I538" s="788"/>
      <c r="J538" s="788"/>
      <c r="K538" s="788"/>
      <c r="L538" s="788"/>
      <c r="M538" s="788"/>
      <c r="N538" s="788"/>
      <c r="O538" s="788"/>
      <c r="P538" s="772"/>
      <c r="R538" s="774"/>
    </row>
    <row r="539" spans="1:22" hidden="1">
      <c r="A539" s="786">
        <v>539</v>
      </c>
      <c r="B539" s="767"/>
      <c r="C539" s="767" t="s">
        <v>930</v>
      </c>
      <c r="D539" s="767" t="s">
        <v>931</v>
      </c>
      <c r="E539" s="767"/>
      <c r="F539" s="806" t="s">
        <v>1395</v>
      </c>
      <c r="G539" s="778"/>
      <c r="H539" s="788">
        <v>0</v>
      </c>
      <c r="I539" s="788">
        <v>0</v>
      </c>
      <c r="J539" s="788">
        <v>0</v>
      </c>
      <c r="K539" s="788">
        <v>0</v>
      </c>
      <c r="L539" s="788">
        <v>0</v>
      </c>
      <c r="M539" s="788">
        <v>0</v>
      </c>
      <c r="N539" s="788">
        <v>0</v>
      </c>
      <c r="O539" s="788">
        <v>0</v>
      </c>
      <c r="P539" s="772">
        <v>0</v>
      </c>
      <c r="Q539" s="774"/>
      <c r="R539" s="774">
        <v>722</v>
      </c>
      <c r="S539" s="774"/>
      <c r="T539" s="774"/>
      <c r="U539" s="774"/>
      <c r="V539" s="774"/>
    </row>
    <row r="540" spans="1:22" hidden="1">
      <c r="A540" s="786">
        <v>540</v>
      </c>
      <c r="B540" s="767"/>
      <c r="C540" s="767"/>
      <c r="D540" s="767"/>
      <c r="E540" s="767"/>
      <c r="F540" s="806"/>
      <c r="G540" s="778"/>
      <c r="H540" s="788"/>
      <c r="I540" s="788"/>
      <c r="J540" s="788"/>
      <c r="K540" s="788"/>
      <c r="L540" s="788"/>
      <c r="M540" s="788"/>
      <c r="N540" s="788"/>
      <c r="O540" s="788"/>
      <c r="P540" s="772"/>
      <c r="R540" s="774"/>
    </row>
    <row r="541" spans="1:22" hidden="1">
      <c r="A541" s="786">
        <v>541</v>
      </c>
      <c r="B541" s="767"/>
      <c r="C541" s="767" t="s">
        <v>932</v>
      </c>
      <c r="D541" s="767" t="s">
        <v>933</v>
      </c>
      <c r="E541" s="767"/>
      <c r="F541" s="806" t="s">
        <v>1395</v>
      </c>
      <c r="G541" s="778"/>
      <c r="H541" s="788">
        <v>0</v>
      </c>
      <c r="I541" s="788">
        <v>0</v>
      </c>
      <c r="J541" s="788">
        <v>0</v>
      </c>
      <c r="K541" s="788">
        <v>0</v>
      </c>
      <c r="L541" s="788">
        <v>0</v>
      </c>
      <c r="M541" s="788">
        <v>0</v>
      </c>
      <c r="N541" s="788">
        <v>0</v>
      </c>
      <c r="O541" s="788">
        <v>0</v>
      </c>
      <c r="P541" s="772">
        <v>0</v>
      </c>
      <c r="Q541" s="774"/>
      <c r="R541" s="774">
        <v>727</v>
      </c>
      <c r="S541" s="774"/>
      <c r="T541" s="774"/>
      <c r="U541" s="774"/>
      <c r="V541" s="774"/>
    </row>
    <row r="542" spans="1:22" hidden="1">
      <c r="A542" s="786">
        <v>542</v>
      </c>
      <c r="B542" s="767"/>
      <c r="C542" s="767"/>
      <c r="D542" s="767"/>
      <c r="E542" s="767"/>
      <c r="F542" s="806"/>
      <c r="G542" s="778"/>
      <c r="H542" s="788"/>
      <c r="I542" s="788"/>
      <c r="J542" s="788"/>
      <c r="K542" s="788"/>
      <c r="L542" s="788"/>
      <c r="M542" s="788"/>
      <c r="N542" s="788"/>
      <c r="O542" s="788"/>
      <c r="P542" s="772"/>
      <c r="R542" s="774"/>
    </row>
    <row r="543" spans="1:22" hidden="1">
      <c r="A543" s="786">
        <v>543</v>
      </c>
      <c r="B543" s="767"/>
      <c r="C543" s="767" t="s">
        <v>934</v>
      </c>
      <c r="D543" s="767" t="s">
        <v>935</v>
      </c>
      <c r="E543" s="767"/>
      <c r="F543" s="806" t="s">
        <v>1395</v>
      </c>
      <c r="G543" s="778"/>
      <c r="H543" s="808">
        <v>0</v>
      </c>
      <c r="I543" s="808">
        <v>0</v>
      </c>
      <c r="J543" s="808">
        <v>0</v>
      </c>
      <c r="K543" s="808">
        <v>0</v>
      </c>
      <c r="L543" s="808">
        <v>0</v>
      </c>
      <c r="M543" s="808">
        <v>0</v>
      </c>
      <c r="N543" s="808">
        <v>0</v>
      </c>
      <c r="O543" s="808">
        <v>0</v>
      </c>
      <c r="P543" s="772">
        <v>0</v>
      </c>
      <c r="Q543" s="774"/>
      <c r="R543" s="774">
        <v>732</v>
      </c>
      <c r="S543" s="774"/>
      <c r="T543" s="774"/>
      <c r="U543" s="774"/>
      <c r="V543" s="774"/>
    </row>
    <row r="544" spans="1:22" hidden="1">
      <c r="A544" s="786">
        <v>544</v>
      </c>
      <c r="B544" s="767"/>
      <c r="C544" s="767"/>
      <c r="D544" s="767"/>
      <c r="E544" s="767"/>
      <c r="F544" s="806"/>
      <c r="G544" s="778"/>
      <c r="H544" s="788"/>
      <c r="I544" s="788"/>
      <c r="J544" s="788"/>
      <c r="K544" s="788"/>
      <c r="L544" s="788"/>
      <c r="M544" s="788"/>
      <c r="N544" s="788"/>
      <c r="O544" s="788"/>
      <c r="P544" s="772"/>
      <c r="R544" s="774"/>
    </row>
    <row r="545" spans="1:22" hidden="1">
      <c r="A545" s="786">
        <v>545</v>
      </c>
      <c r="B545" s="767"/>
      <c r="C545" s="767" t="s">
        <v>936</v>
      </c>
      <c r="D545" s="767"/>
      <c r="E545" s="767"/>
      <c r="F545" s="806"/>
      <c r="G545" s="778"/>
      <c r="H545" s="788">
        <v>0</v>
      </c>
      <c r="I545" s="788">
        <v>0</v>
      </c>
      <c r="J545" s="788">
        <v>0</v>
      </c>
      <c r="K545" s="788">
        <v>0</v>
      </c>
      <c r="L545" s="788">
        <v>0</v>
      </c>
      <c r="M545" s="788">
        <v>0</v>
      </c>
      <c r="N545" s="788">
        <v>0</v>
      </c>
      <c r="O545" s="788">
        <v>0</v>
      </c>
      <c r="P545" s="772">
        <v>0</v>
      </c>
      <c r="Q545" s="774"/>
      <c r="R545" s="774"/>
      <c r="S545" s="774"/>
      <c r="T545" s="774"/>
      <c r="U545" s="774"/>
      <c r="V545" s="774"/>
    </row>
    <row r="546" spans="1:22" hidden="1">
      <c r="A546" s="786">
        <v>546</v>
      </c>
      <c r="B546" s="767"/>
      <c r="F546" s="806"/>
      <c r="H546" s="813"/>
      <c r="I546" s="813"/>
      <c r="J546" s="813"/>
      <c r="K546" s="813"/>
      <c r="L546" s="813"/>
      <c r="M546" s="813"/>
      <c r="N546" s="813"/>
      <c r="O546" s="813"/>
      <c r="P546" s="772"/>
      <c r="R546" s="774"/>
    </row>
    <row r="547" spans="1:22" hidden="1">
      <c r="A547" s="786">
        <v>547</v>
      </c>
      <c r="B547" s="767"/>
      <c r="F547" s="806"/>
      <c r="H547" s="813"/>
      <c r="I547" s="813"/>
      <c r="J547" s="813"/>
      <c r="K547" s="813"/>
      <c r="L547" s="813"/>
      <c r="M547" s="813"/>
      <c r="N547" s="813"/>
      <c r="O547" s="813"/>
      <c r="P547" s="772"/>
      <c r="R547" s="774"/>
    </row>
    <row r="548" spans="1:22" hidden="1">
      <c r="A548" s="786">
        <v>548</v>
      </c>
      <c r="B548" s="767"/>
      <c r="D548" s="769"/>
      <c r="E548" s="769"/>
      <c r="F548" s="806"/>
      <c r="H548" s="817" t="s">
        <v>937</v>
      </c>
      <c r="I548" s="817"/>
      <c r="J548" s="819"/>
      <c r="K548" s="819"/>
      <c r="L548" s="819"/>
      <c r="M548" s="819"/>
      <c r="N548" s="819"/>
      <c r="O548" s="819"/>
      <c r="P548" s="772"/>
      <c r="R548" s="774"/>
    </row>
    <row r="549" spans="1:22" hidden="1">
      <c r="A549" s="786">
        <v>549</v>
      </c>
      <c r="B549" s="767"/>
      <c r="F549" s="806"/>
      <c r="H549" s="813"/>
      <c r="I549" s="813"/>
      <c r="J549" s="813"/>
      <c r="K549" s="813"/>
      <c r="L549" s="813"/>
      <c r="M549" s="813"/>
      <c r="N549" s="813"/>
      <c r="O549" s="813"/>
      <c r="P549" s="772"/>
      <c r="R549" s="774"/>
    </row>
    <row r="550" spans="1:22" hidden="1">
      <c r="A550" s="786">
        <v>550</v>
      </c>
      <c r="B550" s="767"/>
      <c r="F550" s="806"/>
      <c r="H550" s="813"/>
      <c r="I550" s="813"/>
      <c r="J550" s="813"/>
      <c r="K550" s="813"/>
      <c r="L550" s="813"/>
      <c r="M550" s="813"/>
      <c r="N550" s="813"/>
      <c r="O550" s="813"/>
      <c r="P550" s="772"/>
      <c r="R550" s="774"/>
    </row>
    <row r="551" spans="1:22" hidden="1">
      <c r="A551" s="786">
        <v>551</v>
      </c>
      <c r="B551" s="767"/>
      <c r="C551" s="767" t="s">
        <v>938</v>
      </c>
      <c r="D551" s="767" t="s">
        <v>939</v>
      </c>
      <c r="E551" s="767"/>
      <c r="F551" s="806" t="s">
        <v>1411</v>
      </c>
      <c r="G551" s="778"/>
      <c r="H551" s="815">
        <v>-711372.96782782651</v>
      </c>
      <c r="I551" s="815">
        <v>-331192.24310089502</v>
      </c>
      <c r="J551" s="815">
        <v>-102097.14204432323</v>
      </c>
      <c r="K551" s="815">
        <v>-140986.14169894985</v>
      </c>
      <c r="L551" s="815">
        <v>-56337.906087480202</v>
      </c>
      <c r="M551" s="815">
        <v>-46017.757236900965</v>
      </c>
      <c r="N551" s="815">
        <v>-31617.317562690816</v>
      </c>
      <c r="O551" s="815">
        <v>-3124.4600965864042</v>
      </c>
      <c r="P551" s="772">
        <v>0</v>
      </c>
      <c r="Q551" s="774"/>
      <c r="R551" s="774">
        <v>738</v>
      </c>
      <c r="S551" s="774"/>
      <c r="T551" s="774"/>
      <c r="U551" s="774"/>
      <c r="V551" s="774"/>
    </row>
    <row r="552" spans="1:22" hidden="1">
      <c r="A552" s="786">
        <v>552</v>
      </c>
      <c r="B552" s="767"/>
      <c r="C552" s="767"/>
      <c r="D552" s="767"/>
      <c r="E552" s="767" t="s">
        <v>940</v>
      </c>
      <c r="F552" s="806" t="s">
        <v>1410</v>
      </c>
      <c r="G552" s="778"/>
      <c r="H552" s="815">
        <v>0</v>
      </c>
      <c r="I552" s="815">
        <v>0</v>
      </c>
      <c r="J552" s="815">
        <v>0</v>
      </c>
      <c r="K552" s="815">
        <v>0</v>
      </c>
      <c r="L552" s="815">
        <v>0</v>
      </c>
      <c r="M552" s="815">
        <v>0</v>
      </c>
      <c r="N552" s="815">
        <v>0</v>
      </c>
      <c r="O552" s="815">
        <v>0</v>
      </c>
      <c r="P552" s="772">
        <v>0</v>
      </c>
      <c r="R552" s="774">
        <v>739</v>
      </c>
    </row>
    <row r="553" spans="1:22" hidden="1">
      <c r="A553" s="786">
        <v>553</v>
      </c>
      <c r="B553" s="767"/>
      <c r="C553" s="767"/>
      <c r="D553" s="767"/>
      <c r="E553" s="767" t="s">
        <v>941</v>
      </c>
      <c r="F553" s="806" t="s">
        <v>1411</v>
      </c>
      <c r="G553" s="778"/>
      <c r="H553" s="808">
        <v>5120216.086258308</v>
      </c>
      <c r="I553" s="808">
        <v>2383806.9865758563</v>
      </c>
      <c r="J553" s="808">
        <v>734859.84525471402</v>
      </c>
      <c r="K553" s="808">
        <v>1014769.3872466246</v>
      </c>
      <c r="L553" s="808">
        <v>405500.72333510779</v>
      </c>
      <c r="M553" s="808">
        <v>331219.86849932885</v>
      </c>
      <c r="N553" s="808">
        <v>227570.4943964197</v>
      </c>
      <c r="O553" s="808">
        <v>22488.780950256554</v>
      </c>
      <c r="P553" s="772">
        <v>0</v>
      </c>
      <c r="R553" s="774">
        <v>740</v>
      </c>
    </row>
    <row r="554" spans="1:22" hidden="1">
      <c r="A554" s="786">
        <v>554</v>
      </c>
      <c r="B554" s="767"/>
      <c r="C554" s="767"/>
      <c r="D554" s="767"/>
      <c r="E554" s="767" t="s">
        <v>939</v>
      </c>
      <c r="F554" s="806"/>
      <c r="G554" s="778"/>
      <c r="H554" s="788">
        <v>4408843.1184304813</v>
      </c>
      <c r="I554" s="788">
        <v>2052614.7434749613</v>
      </c>
      <c r="J554" s="788">
        <v>632762.70321039075</v>
      </c>
      <c r="K554" s="788">
        <v>873783.24554767471</v>
      </c>
      <c r="L554" s="788">
        <v>349162.81724762759</v>
      </c>
      <c r="M554" s="788">
        <v>285202.11126242788</v>
      </c>
      <c r="N554" s="788">
        <v>195953.17683372888</v>
      </c>
      <c r="O554" s="788">
        <v>19364.32085367015</v>
      </c>
      <c r="P554" s="772">
        <v>0</v>
      </c>
      <c r="R554" s="774"/>
    </row>
    <row r="555" spans="1:22" hidden="1">
      <c r="A555" s="786">
        <v>555</v>
      </c>
      <c r="B555" s="767"/>
      <c r="C555" s="767"/>
      <c r="D555" s="767"/>
      <c r="E555" s="767"/>
      <c r="F555" s="806"/>
      <c r="G555" s="778"/>
      <c r="H555" s="788"/>
      <c r="I555" s="788"/>
      <c r="J555" s="788"/>
      <c r="K555" s="788"/>
      <c r="L555" s="788"/>
      <c r="M555" s="788"/>
      <c r="N555" s="788"/>
      <c r="O555" s="788"/>
      <c r="P555" s="772"/>
      <c r="R555" s="774"/>
    </row>
    <row r="556" spans="1:22" hidden="1">
      <c r="A556" s="786">
        <v>556</v>
      </c>
      <c r="B556" s="767"/>
      <c r="C556" s="767" t="s">
        <v>942</v>
      </c>
      <c r="D556" s="767" t="s">
        <v>943</v>
      </c>
      <c r="E556" s="767"/>
      <c r="F556" s="806" t="s">
        <v>1411</v>
      </c>
      <c r="G556" s="778"/>
      <c r="H556" s="815">
        <v>10038.209999999999</v>
      </c>
      <c r="I556" s="815">
        <v>4673.4658708910656</v>
      </c>
      <c r="J556" s="815">
        <v>1440.6965102570437</v>
      </c>
      <c r="K556" s="815">
        <v>1989.4606085261701</v>
      </c>
      <c r="L556" s="815">
        <v>794.98625593442591</v>
      </c>
      <c r="M556" s="815">
        <v>649.35825757274756</v>
      </c>
      <c r="N556" s="815">
        <v>446.15312597567566</v>
      </c>
      <c r="O556" s="815">
        <v>44.08937084287075</v>
      </c>
      <c r="P556" s="772">
        <v>0</v>
      </c>
      <c r="Q556" s="774"/>
      <c r="R556" s="774">
        <v>744</v>
      </c>
      <c r="S556" s="774"/>
      <c r="T556" s="774"/>
      <c r="U556" s="774"/>
      <c r="V556" s="774"/>
    </row>
    <row r="557" spans="1:22" hidden="1">
      <c r="A557" s="786">
        <v>557</v>
      </c>
      <c r="B557" s="767"/>
      <c r="C557" s="767"/>
      <c r="D557" s="767"/>
      <c r="E557" s="767" t="s">
        <v>940</v>
      </c>
      <c r="F557" s="806" t="s">
        <v>1410</v>
      </c>
      <c r="G557" s="778"/>
      <c r="H557" s="815">
        <v>6193.4311441797709</v>
      </c>
      <c r="I557" s="815">
        <v>5050.00623636611</v>
      </c>
      <c r="J557" s="815">
        <v>876.54023136238834</v>
      </c>
      <c r="K557" s="815">
        <v>51.016626607271931</v>
      </c>
      <c r="L557" s="815">
        <v>13.052402525292866</v>
      </c>
      <c r="M557" s="815">
        <v>0.20243415971550438</v>
      </c>
      <c r="N557" s="815">
        <v>85.787527348944977</v>
      </c>
      <c r="O557" s="815">
        <v>116.82568581004632</v>
      </c>
      <c r="P557" s="772">
        <v>0</v>
      </c>
      <c r="R557" s="774">
        <v>745</v>
      </c>
    </row>
    <row r="558" spans="1:22" hidden="1">
      <c r="A558" s="786">
        <v>558</v>
      </c>
      <c r="B558" s="767"/>
      <c r="C558" s="767"/>
      <c r="D558" s="767"/>
      <c r="E558" s="767" t="s">
        <v>941</v>
      </c>
      <c r="F558" s="806" t="s">
        <v>1411</v>
      </c>
      <c r="G558" s="778"/>
      <c r="H558" s="808">
        <v>711941.7149087959</v>
      </c>
      <c r="I558" s="808">
        <v>331457.03334458178</v>
      </c>
      <c r="J558" s="808">
        <v>102178.76933990396</v>
      </c>
      <c r="K558" s="808">
        <v>141098.86098991934</v>
      </c>
      <c r="L558" s="808">
        <v>56382.948591320383</v>
      </c>
      <c r="M558" s="808">
        <v>46054.548718001468</v>
      </c>
      <c r="N558" s="808">
        <v>31642.5958033397</v>
      </c>
      <c r="O558" s="808">
        <v>3126.9581217291993</v>
      </c>
      <c r="P558" s="772">
        <v>0</v>
      </c>
      <c r="R558" s="774">
        <v>746</v>
      </c>
    </row>
    <row r="559" spans="1:22" hidden="1">
      <c r="A559" s="786">
        <v>559</v>
      </c>
      <c r="B559" s="767"/>
      <c r="C559" s="767"/>
      <c r="D559" s="767"/>
      <c r="E559" s="767" t="s">
        <v>943</v>
      </c>
      <c r="F559" s="806"/>
      <c r="G559" s="778"/>
      <c r="H559" s="788">
        <v>728173.35605297564</v>
      </c>
      <c r="I559" s="788">
        <v>341180.50545183895</v>
      </c>
      <c r="J559" s="788">
        <v>104496.00608152339</v>
      </c>
      <c r="K559" s="788">
        <v>143139.33822505278</v>
      </c>
      <c r="L559" s="788">
        <v>57190.987249780104</v>
      </c>
      <c r="M559" s="788">
        <v>46704.10940973393</v>
      </c>
      <c r="N559" s="788">
        <v>32174.536456664322</v>
      </c>
      <c r="O559" s="788">
        <v>3287.8731783821163</v>
      </c>
      <c r="P559" s="772">
        <v>0</v>
      </c>
      <c r="R559" s="774"/>
    </row>
    <row r="560" spans="1:22" hidden="1">
      <c r="A560" s="786">
        <v>560</v>
      </c>
      <c r="B560" s="767"/>
      <c r="C560" s="767"/>
      <c r="D560" s="767"/>
      <c r="E560" s="767"/>
      <c r="F560" s="806"/>
      <c r="G560" s="778"/>
      <c r="H560" s="788"/>
      <c r="I560" s="788"/>
      <c r="J560" s="788"/>
      <c r="K560" s="788"/>
      <c r="L560" s="788"/>
      <c r="M560" s="788"/>
      <c r="N560" s="788"/>
      <c r="O560" s="788"/>
      <c r="P560" s="772"/>
      <c r="R560" s="774"/>
    </row>
    <row r="561" spans="1:22" hidden="1">
      <c r="A561" s="786">
        <v>561</v>
      </c>
      <c r="B561" s="767"/>
      <c r="C561" s="764">
        <v>922</v>
      </c>
      <c r="D561" s="820" t="s">
        <v>944</v>
      </c>
      <c r="E561" s="767"/>
      <c r="F561" s="806" t="s">
        <v>1411</v>
      </c>
      <c r="G561" s="778"/>
      <c r="H561" s="815">
        <v>-2212940.2228372735</v>
      </c>
      <c r="I561" s="815">
        <v>-1030273.3859674252</v>
      </c>
      <c r="J561" s="815">
        <v>-317603.96091027232</v>
      </c>
      <c r="K561" s="815">
        <v>-438579.92633725342</v>
      </c>
      <c r="L561" s="815">
        <v>-175256.05285803927</v>
      </c>
      <c r="M561" s="815">
        <v>-143152.11648433932</v>
      </c>
      <c r="N561" s="815">
        <v>-98355.204564973043</v>
      </c>
      <c r="O561" s="815">
        <v>-9719.5757149708552</v>
      </c>
      <c r="P561" s="772">
        <v>0</v>
      </c>
      <c r="Q561" s="774"/>
      <c r="R561" s="774">
        <v>749</v>
      </c>
    </row>
    <row r="562" spans="1:22" hidden="1">
      <c r="A562" s="786">
        <v>562</v>
      </c>
      <c r="B562" s="767"/>
      <c r="C562" s="767"/>
      <c r="D562" s="767"/>
      <c r="E562" s="767"/>
      <c r="F562" s="806"/>
      <c r="G562" s="778"/>
      <c r="H562" s="788"/>
      <c r="I562" s="788"/>
      <c r="J562" s="788"/>
      <c r="K562" s="788"/>
      <c r="L562" s="788"/>
      <c r="M562" s="788"/>
      <c r="N562" s="788"/>
      <c r="O562" s="788"/>
      <c r="P562" s="772"/>
      <c r="R562" s="774"/>
    </row>
    <row r="563" spans="1:22" hidden="1">
      <c r="A563" s="786">
        <v>563</v>
      </c>
      <c r="B563" s="767"/>
      <c r="C563" s="767" t="s">
        <v>945</v>
      </c>
      <c r="D563" s="767" t="s">
        <v>946</v>
      </c>
      <c r="E563" s="767"/>
      <c r="F563" s="806" t="s">
        <v>1411</v>
      </c>
      <c r="G563" s="778"/>
      <c r="H563" s="815">
        <v>11617.77</v>
      </c>
      <c r="I563" s="815">
        <v>5408.8579130006347</v>
      </c>
      <c r="J563" s="815">
        <v>1667.3969458667407</v>
      </c>
      <c r="K563" s="815">
        <v>2302.5116802614298</v>
      </c>
      <c r="L563" s="815">
        <v>920.08111751072113</v>
      </c>
      <c r="M563" s="815">
        <v>751.53786223648842</v>
      </c>
      <c r="N563" s="815">
        <v>516.35743846427067</v>
      </c>
      <c r="O563" s="815">
        <v>51.027042659715086</v>
      </c>
      <c r="P563" s="772">
        <v>0</v>
      </c>
      <c r="Q563" s="774"/>
      <c r="R563" s="774">
        <v>754</v>
      </c>
      <c r="S563" s="774"/>
      <c r="T563" s="774"/>
      <c r="U563" s="774"/>
      <c r="V563" s="774"/>
    </row>
    <row r="564" spans="1:22" hidden="1">
      <c r="A564" s="786">
        <v>564</v>
      </c>
      <c r="B564" s="767"/>
      <c r="C564" s="767"/>
      <c r="D564" s="767"/>
      <c r="E564" s="767" t="s">
        <v>940</v>
      </c>
      <c r="F564" s="806" t="s">
        <v>1410</v>
      </c>
      <c r="G564" s="778"/>
      <c r="H564" s="815">
        <v>64394.99995555231</v>
      </c>
      <c r="I564" s="815">
        <v>52506.461086910473</v>
      </c>
      <c r="J564" s="815">
        <v>9113.6571708986194</v>
      </c>
      <c r="K564" s="815">
        <v>530.43548747530053</v>
      </c>
      <c r="L564" s="815">
        <v>135.70982553442082</v>
      </c>
      <c r="M564" s="815">
        <v>2.1047699413163601</v>
      </c>
      <c r="N564" s="815">
        <v>891.95918889219604</v>
      </c>
      <c r="O564" s="815">
        <v>1214.6724258999752</v>
      </c>
      <c r="P564" s="772">
        <v>0</v>
      </c>
      <c r="Q564" s="774"/>
      <c r="R564" s="774">
        <v>755</v>
      </c>
      <c r="S564" s="774"/>
      <c r="T564" s="774"/>
      <c r="U564" s="774"/>
      <c r="V564" s="774"/>
    </row>
    <row r="565" spans="1:22" hidden="1">
      <c r="A565" s="786">
        <v>565</v>
      </c>
      <c r="B565" s="767"/>
      <c r="C565" s="767"/>
      <c r="D565" s="767"/>
      <c r="E565" s="767" t="s">
        <v>941</v>
      </c>
      <c r="F565" s="806" t="s">
        <v>1411</v>
      </c>
      <c r="G565" s="778"/>
      <c r="H565" s="815">
        <v>1379817.0627600451</v>
      </c>
      <c r="I565" s="815">
        <v>642398.1915981262</v>
      </c>
      <c r="J565" s="815">
        <v>198033.07831889563</v>
      </c>
      <c r="K565" s="815">
        <v>273464.26238675939</v>
      </c>
      <c r="L565" s="815">
        <v>109276.01640113577</v>
      </c>
      <c r="M565" s="815">
        <v>89258.503621961427</v>
      </c>
      <c r="N565" s="815">
        <v>61326.640489187739</v>
      </c>
      <c r="O565" s="815">
        <v>6060.3699439788861</v>
      </c>
      <c r="P565" s="772">
        <v>0</v>
      </c>
      <c r="R565" s="774">
        <v>756</v>
      </c>
    </row>
    <row r="566" spans="1:22" hidden="1">
      <c r="A566" s="786"/>
      <c r="B566" s="767"/>
      <c r="C566" s="767"/>
      <c r="D566" s="767"/>
      <c r="E566" s="767" t="s">
        <v>718</v>
      </c>
      <c r="F566" s="806" t="s">
        <v>1411</v>
      </c>
      <c r="G566" s="778"/>
      <c r="H566" s="815">
        <v>2614.2646240441059</v>
      </c>
      <c r="I566" s="815">
        <v>1217.1170455637002</v>
      </c>
      <c r="J566" s="815">
        <v>375.20254315747388</v>
      </c>
      <c r="K566" s="815">
        <v>518.1179204060511</v>
      </c>
      <c r="L566" s="815">
        <v>207.03934720340015</v>
      </c>
      <c r="M566" s="815">
        <v>169.11325038063106</v>
      </c>
      <c r="N566" s="815">
        <v>116.19226277841393</v>
      </c>
      <c r="O566" s="815">
        <v>11.48225455443537</v>
      </c>
      <c r="P566" s="772">
        <v>0</v>
      </c>
      <c r="R566" s="774">
        <v>757</v>
      </c>
    </row>
    <row r="567" spans="1:22" hidden="1">
      <c r="A567" s="786">
        <v>567</v>
      </c>
      <c r="B567" s="767"/>
      <c r="C567" s="767"/>
      <c r="D567" s="767"/>
      <c r="E567" s="767" t="s">
        <v>941</v>
      </c>
      <c r="F567" s="806" t="s">
        <v>1411</v>
      </c>
      <c r="G567" s="778"/>
      <c r="H567" s="808">
        <v>10013.740211972934</v>
      </c>
      <c r="I567" s="808">
        <v>4662.0735291077763</v>
      </c>
      <c r="J567" s="808">
        <v>1437.1845755378733</v>
      </c>
      <c r="K567" s="808">
        <v>1984.6109710530716</v>
      </c>
      <c r="L567" s="808">
        <v>793.04834617091774</v>
      </c>
      <c r="M567" s="808">
        <v>647.77534000911521</v>
      </c>
      <c r="N567" s="808">
        <v>445.06555434485335</v>
      </c>
      <c r="O567" s="808">
        <v>43.981895749326014</v>
      </c>
      <c r="P567" s="772">
        <v>0</v>
      </c>
      <c r="R567" s="774">
        <v>758</v>
      </c>
    </row>
    <row r="568" spans="1:22" hidden="1">
      <c r="A568" s="786">
        <v>568</v>
      </c>
      <c r="B568" s="767"/>
      <c r="C568" s="767"/>
      <c r="D568" s="767"/>
      <c r="E568" s="767" t="s">
        <v>946</v>
      </c>
      <c r="F568" s="806"/>
      <c r="G568" s="778"/>
      <c r="H568" s="788">
        <v>1468457.837551614</v>
      </c>
      <c r="I568" s="788">
        <v>706192.70117270865</v>
      </c>
      <c r="J568" s="788">
        <v>210626.51955435632</v>
      </c>
      <c r="K568" s="788">
        <v>278799.93844595522</v>
      </c>
      <c r="L568" s="788">
        <v>111331.89503755524</v>
      </c>
      <c r="M568" s="788">
        <v>90829.034844528971</v>
      </c>
      <c r="N568" s="788">
        <v>63296.21493366747</v>
      </c>
      <c r="O568" s="788">
        <v>7381.5335628423381</v>
      </c>
      <c r="P568" s="772">
        <v>0</v>
      </c>
      <c r="R568" s="774"/>
    </row>
    <row r="569" spans="1:22" hidden="1">
      <c r="A569" s="786">
        <v>569</v>
      </c>
      <c r="B569" s="767"/>
      <c r="C569" s="767"/>
      <c r="D569" s="767"/>
      <c r="E569" s="767"/>
      <c r="F569" s="806"/>
      <c r="G569" s="778"/>
      <c r="H569" s="788"/>
      <c r="I569" s="788"/>
      <c r="J569" s="788"/>
      <c r="K569" s="788"/>
      <c r="L569" s="788"/>
      <c r="M569" s="788"/>
      <c r="N569" s="788"/>
      <c r="O569" s="788"/>
      <c r="P569" s="772"/>
      <c r="R569" s="774"/>
    </row>
    <row r="570" spans="1:22" hidden="1">
      <c r="A570" s="786">
        <v>570</v>
      </c>
      <c r="B570" s="767"/>
      <c r="C570" s="767" t="s">
        <v>947</v>
      </c>
      <c r="D570" s="767" t="s">
        <v>948</v>
      </c>
      <c r="E570" s="767"/>
      <c r="F570" s="806"/>
      <c r="G570" s="778"/>
      <c r="H570" s="815"/>
      <c r="I570" s="815"/>
      <c r="J570" s="815"/>
      <c r="K570" s="815"/>
      <c r="L570" s="815"/>
      <c r="M570" s="815"/>
      <c r="N570" s="815"/>
      <c r="O570" s="815"/>
      <c r="P570" s="772"/>
      <c r="Q570" s="774"/>
      <c r="R570" s="774"/>
      <c r="S570" s="774"/>
      <c r="T570" s="774"/>
      <c r="U570" s="774"/>
      <c r="V570" s="774"/>
    </row>
    <row r="571" spans="1:22" hidden="1">
      <c r="A571" s="786">
        <v>571</v>
      </c>
      <c r="B571" s="767"/>
      <c r="C571" s="767"/>
      <c r="D571" s="767"/>
      <c r="E571" s="767" t="s">
        <v>941</v>
      </c>
      <c r="F571" s="806" t="s">
        <v>1411</v>
      </c>
      <c r="G571" s="778"/>
      <c r="H571" s="815">
        <v>188629.22901337341</v>
      </c>
      <c r="I571" s="815">
        <v>87819.667455302828</v>
      </c>
      <c r="J571" s="815">
        <v>27072.303923911113</v>
      </c>
      <c r="K571" s="815">
        <v>37384.197056922319</v>
      </c>
      <c r="L571" s="815">
        <v>14938.68374273293</v>
      </c>
      <c r="M571" s="815">
        <v>12202.170255395626</v>
      </c>
      <c r="N571" s="815">
        <v>8383.7178316351401</v>
      </c>
      <c r="O571" s="815">
        <v>828.48874747344553</v>
      </c>
      <c r="P571" s="772"/>
      <c r="Q571" s="774"/>
      <c r="R571" s="774">
        <v>763</v>
      </c>
      <c r="S571" s="774"/>
      <c r="T571" s="774"/>
      <c r="U571" s="774"/>
      <c r="V571" s="774"/>
    </row>
    <row r="572" spans="1:22" hidden="1">
      <c r="A572" s="786">
        <v>572</v>
      </c>
      <c r="B572" s="767"/>
      <c r="C572" s="767"/>
      <c r="D572" s="767"/>
      <c r="E572" s="767"/>
      <c r="F572" s="806"/>
      <c r="G572" s="778"/>
      <c r="H572" s="788"/>
      <c r="I572" s="788"/>
      <c r="J572" s="788"/>
      <c r="K572" s="788"/>
      <c r="L572" s="788"/>
      <c r="M572" s="788"/>
      <c r="N572" s="788"/>
      <c r="O572" s="788"/>
      <c r="P572" s="772"/>
      <c r="R572" s="774"/>
    </row>
    <row r="573" spans="1:22" hidden="1">
      <c r="A573" s="786">
        <v>573</v>
      </c>
      <c r="B573" s="767"/>
      <c r="C573" s="767" t="s">
        <v>949</v>
      </c>
      <c r="D573" s="767" t="s">
        <v>950</v>
      </c>
      <c r="E573" s="767"/>
      <c r="F573" s="806" t="s">
        <v>1411</v>
      </c>
      <c r="G573" s="778"/>
      <c r="H573" s="815">
        <v>1291372.9153491019</v>
      </c>
      <c r="I573" s="815">
        <v>601221.45745876257</v>
      </c>
      <c r="J573" s="815">
        <v>185339.46316962046</v>
      </c>
      <c r="K573" s="815">
        <v>255935.62457894773</v>
      </c>
      <c r="L573" s="815">
        <v>102271.59214526364</v>
      </c>
      <c r="M573" s="815">
        <v>83537.171088045783</v>
      </c>
      <c r="N573" s="815">
        <v>57395.69733880079</v>
      </c>
      <c r="O573" s="815">
        <v>5671.9095696608947</v>
      </c>
      <c r="P573" s="772">
        <v>0</v>
      </c>
      <c r="Q573" s="774"/>
      <c r="R573" s="774">
        <v>766</v>
      </c>
      <c r="S573" s="774"/>
      <c r="T573" s="774"/>
      <c r="U573" s="774"/>
      <c r="V573" s="774"/>
    </row>
    <row r="574" spans="1:22" hidden="1">
      <c r="A574" s="786">
        <v>574</v>
      </c>
      <c r="B574" s="767"/>
      <c r="C574" s="767" t="s">
        <v>13</v>
      </c>
      <c r="D574" s="767" t="s">
        <v>950</v>
      </c>
      <c r="E574" s="767"/>
      <c r="F574" s="806" t="s">
        <v>1411</v>
      </c>
      <c r="G574" s="778"/>
      <c r="H574" s="815">
        <v>387.5</v>
      </c>
      <c r="I574" s="815">
        <v>180.4074655710817</v>
      </c>
      <c r="J574" s="815">
        <v>55.614486818327613</v>
      </c>
      <c r="K574" s="815">
        <v>76.798152838393591</v>
      </c>
      <c r="L574" s="815">
        <v>30.68845682393475</v>
      </c>
      <c r="M574" s="815">
        <v>25.066852039301796</v>
      </c>
      <c r="N574" s="815">
        <v>17.222625977696655</v>
      </c>
      <c r="O574" s="815">
        <v>1.7019599312638825</v>
      </c>
      <c r="P574" s="772">
        <v>0</v>
      </c>
      <c r="Q574" s="774"/>
      <c r="R574" s="774">
        <v>767</v>
      </c>
      <c r="S574" s="774"/>
      <c r="T574" s="774"/>
      <c r="U574" s="774"/>
      <c r="V574" s="774"/>
    </row>
    <row r="575" spans="1:22" hidden="1">
      <c r="A575" s="786">
        <v>575</v>
      </c>
      <c r="B575" s="767"/>
      <c r="C575" s="767"/>
      <c r="D575" s="767"/>
      <c r="E575" s="767"/>
      <c r="F575" s="806"/>
      <c r="G575" s="778"/>
      <c r="H575" s="788"/>
      <c r="I575" s="788"/>
      <c r="J575" s="788"/>
      <c r="K575" s="788"/>
      <c r="L575" s="788"/>
      <c r="M575" s="788"/>
      <c r="N575" s="788"/>
      <c r="O575" s="788"/>
      <c r="P575" s="772"/>
      <c r="R575" s="774"/>
    </row>
    <row r="576" spans="1:22" hidden="1">
      <c r="A576" s="786">
        <v>576</v>
      </c>
      <c r="B576" s="767"/>
      <c r="C576" s="767" t="s">
        <v>951</v>
      </c>
      <c r="D576" s="767" t="s">
        <v>952</v>
      </c>
      <c r="E576" s="767"/>
      <c r="F576" s="806" t="s">
        <v>1412</v>
      </c>
      <c r="G576" s="778"/>
      <c r="H576" s="815">
        <v>8058659.0305050146</v>
      </c>
      <c r="I576" s="815">
        <v>3712754.6810864457</v>
      </c>
      <c r="J576" s="815">
        <v>1164882.2011046198</v>
      </c>
      <c r="K576" s="815">
        <v>1617240.1659182955</v>
      </c>
      <c r="L576" s="815">
        <v>641429.11578074796</v>
      </c>
      <c r="M576" s="815">
        <v>530153.1094373716</v>
      </c>
      <c r="N576" s="815">
        <v>355127.88592096494</v>
      </c>
      <c r="O576" s="815">
        <v>37071.871256569422</v>
      </c>
      <c r="P576" s="772">
        <v>0</v>
      </c>
      <c r="Q576" s="774"/>
      <c r="R576" s="774">
        <v>774</v>
      </c>
      <c r="S576" s="774"/>
      <c r="T576" s="774"/>
      <c r="U576" s="774"/>
      <c r="V576" s="774"/>
    </row>
    <row r="577" spans="1:22" hidden="1">
      <c r="A577" s="786">
        <v>577</v>
      </c>
      <c r="B577" s="767"/>
      <c r="C577" s="767"/>
      <c r="D577" s="767"/>
      <c r="E577" s="767"/>
      <c r="F577" s="806"/>
      <c r="G577" s="778"/>
      <c r="H577" s="788"/>
      <c r="I577" s="788"/>
      <c r="J577" s="788"/>
      <c r="K577" s="788"/>
      <c r="L577" s="788"/>
      <c r="M577" s="788"/>
      <c r="N577" s="788"/>
      <c r="O577" s="788"/>
      <c r="P577" s="772"/>
      <c r="R577" s="774"/>
    </row>
    <row r="578" spans="1:22" hidden="1">
      <c r="A578" s="786">
        <v>578</v>
      </c>
      <c r="B578" s="767"/>
      <c r="C578" s="767" t="s">
        <v>953</v>
      </c>
      <c r="D578" s="767" t="s">
        <v>954</v>
      </c>
      <c r="E578" s="767"/>
      <c r="F578" s="806" t="s">
        <v>1413</v>
      </c>
      <c r="G578" s="778"/>
      <c r="H578" s="815">
        <v>0</v>
      </c>
      <c r="I578" s="815">
        <v>0</v>
      </c>
      <c r="J578" s="815">
        <v>0</v>
      </c>
      <c r="K578" s="815">
        <v>0</v>
      </c>
      <c r="L578" s="815">
        <v>0</v>
      </c>
      <c r="M578" s="815">
        <v>0</v>
      </c>
      <c r="N578" s="815">
        <v>0</v>
      </c>
      <c r="O578" s="815">
        <v>0</v>
      </c>
      <c r="P578" s="772">
        <v>0</v>
      </c>
      <c r="Q578" s="774"/>
      <c r="R578" s="774">
        <v>779</v>
      </c>
      <c r="S578" s="774"/>
      <c r="T578" s="774"/>
      <c r="U578" s="774"/>
      <c r="V578" s="774"/>
    </row>
    <row r="579" spans="1:22" hidden="1">
      <c r="A579" s="786">
        <v>579</v>
      </c>
      <c r="B579" s="767"/>
      <c r="C579" s="767"/>
      <c r="D579" s="767"/>
      <c r="E579" s="767"/>
      <c r="F579" s="806"/>
      <c r="G579" s="778"/>
      <c r="H579" s="788"/>
      <c r="I579" s="788"/>
      <c r="J579" s="788"/>
      <c r="K579" s="788"/>
      <c r="L579" s="788"/>
      <c r="M579" s="788"/>
      <c r="N579" s="788"/>
      <c r="O579" s="788"/>
      <c r="P579" s="772"/>
      <c r="R579" s="774"/>
    </row>
    <row r="580" spans="1:22" hidden="1">
      <c r="A580" s="786">
        <v>580</v>
      </c>
      <c r="B580" s="767"/>
      <c r="C580" s="767" t="s">
        <v>955</v>
      </c>
      <c r="D580" s="767" t="s">
        <v>956</v>
      </c>
      <c r="E580" s="767"/>
      <c r="F580" s="806" t="s">
        <v>1414</v>
      </c>
      <c r="G580" s="778"/>
      <c r="H580" s="815">
        <v>1504990.2081587384</v>
      </c>
      <c r="I580" s="815">
        <v>639416.32448315783</v>
      </c>
      <c r="J580" s="815">
        <v>227159.40623123143</v>
      </c>
      <c r="K580" s="815">
        <v>329879.42840540304</v>
      </c>
      <c r="L580" s="815">
        <v>126034.00917857968</v>
      </c>
      <c r="M580" s="815">
        <v>108431.31096335285</v>
      </c>
      <c r="N580" s="815">
        <v>66300.92439959792</v>
      </c>
      <c r="O580" s="815">
        <v>7768.8044974153845</v>
      </c>
      <c r="P580" s="772">
        <v>0</v>
      </c>
      <c r="Q580" s="774"/>
      <c r="R580" s="774">
        <v>786</v>
      </c>
      <c r="S580" s="774"/>
      <c r="T580" s="774"/>
      <c r="U580" s="774"/>
      <c r="V580" s="774"/>
    </row>
    <row r="581" spans="1:22" hidden="1">
      <c r="A581" s="786">
        <v>581</v>
      </c>
      <c r="B581" s="767"/>
      <c r="C581" s="767"/>
      <c r="D581" s="767"/>
      <c r="E581" s="767" t="s">
        <v>957</v>
      </c>
      <c r="F581" s="806" t="s">
        <v>1414</v>
      </c>
      <c r="G581" s="778"/>
      <c r="H581" s="815">
        <v>0</v>
      </c>
      <c r="I581" s="815">
        <v>0</v>
      </c>
      <c r="J581" s="815">
        <v>0</v>
      </c>
      <c r="K581" s="815">
        <v>0</v>
      </c>
      <c r="L581" s="815">
        <v>0</v>
      </c>
      <c r="M581" s="815">
        <v>0</v>
      </c>
      <c r="N581" s="815">
        <v>0</v>
      </c>
      <c r="O581" s="815">
        <v>0</v>
      </c>
      <c r="P581" s="772">
        <v>0</v>
      </c>
      <c r="Q581" s="774"/>
      <c r="R581" s="774">
        <v>787</v>
      </c>
      <c r="S581" s="774"/>
      <c r="T581" s="774"/>
      <c r="U581" s="774"/>
      <c r="V581" s="774"/>
    </row>
    <row r="582" spans="1:22" hidden="1">
      <c r="A582" s="786">
        <v>582</v>
      </c>
      <c r="B582" s="767"/>
      <c r="C582" s="767"/>
      <c r="D582" s="767"/>
      <c r="E582" s="767"/>
      <c r="F582" s="806"/>
      <c r="G582" s="778"/>
      <c r="H582" s="788"/>
      <c r="I582" s="788"/>
      <c r="J582" s="788"/>
      <c r="K582" s="788"/>
      <c r="L582" s="788"/>
      <c r="M582" s="788"/>
      <c r="N582" s="788"/>
      <c r="O582" s="788"/>
      <c r="P582" s="772"/>
      <c r="R582" s="774"/>
    </row>
    <row r="583" spans="1:22" hidden="1">
      <c r="A583" s="786">
        <v>583</v>
      </c>
      <c r="B583" s="767"/>
      <c r="C583" s="767" t="s">
        <v>958</v>
      </c>
      <c r="D583" s="767" t="s">
        <v>959</v>
      </c>
      <c r="E583" s="767"/>
      <c r="F583" s="806" t="s">
        <v>1412</v>
      </c>
      <c r="G583" s="778"/>
      <c r="H583" s="815">
        <v>-8722010.6267794874</v>
      </c>
      <c r="I583" s="815">
        <v>-4018371.5008267239</v>
      </c>
      <c r="J583" s="815">
        <v>-1260769.9244404023</v>
      </c>
      <c r="K583" s="815">
        <v>-1750363.9079155871</v>
      </c>
      <c r="L583" s="815">
        <v>-694228.59845391149</v>
      </c>
      <c r="M583" s="815">
        <v>-573792.86514411191</v>
      </c>
      <c r="N583" s="815">
        <v>-384360.37349929695</v>
      </c>
      <c r="O583" s="815">
        <v>-40123.456499453932</v>
      </c>
      <c r="P583" s="772">
        <v>0</v>
      </c>
      <c r="Q583" s="774"/>
      <c r="R583" s="774">
        <v>795</v>
      </c>
      <c r="S583" s="774"/>
      <c r="T583" s="774"/>
      <c r="U583" s="774"/>
      <c r="V583" s="774"/>
    </row>
    <row r="584" spans="1:22" hidden="1">
      <c r="A584" s="786">
        <v>584</v>
      </c>
      <c r="B584" s="767"/>
      <c r="C584" s="767"/>
      <c r="D584" s="767"/>
      <c r="E584" s="767"/>
      <c r="F584" s="806"/>
      <c r="G584" s="778"/>
      <c r="H584" s="788"/>
      <c r="I584" s="788"/>
      <c r="J584" s="788"/>
      <c r="K584" s="788"/>
      <c r="L584" s="788"/>
      <c r="M584" s="788"/>
      <c r="N584" s="788"/>
      <c r="O584" s="788"/>
      <c r="P584" s="772"/>
      <c r="R584" s="774"/>
    </row>
    <row r="585" spans="1:22" hidden="1">
      <c r="A585" s="786">
        <v>585</v>
      </c>
      <c r="B585" s="767"/>
      <c r="C585" s="767" t="s">
        <v>960</v>
      </c>
      <c r="D585" s="767" t="s">
        <v>961</v>
      </c>
      <c r="E585" s="767"/>
      <c r="F585" s="806"/>
      <c r="G585" s="778"/>
      <c r="H585" s="815"/>
      <c r="I585" s="815"/>
      <c r="J585" s="815"/>
      <c r="K585" s="815"/>
      <c r="L585" s="815"/>
      <c r="M585" s="815"/>
      <c r="N585" s="815"/>
      <c r="O585" s="815"/>
      <c r="P585" s="772"/>
      <c r="Q585" s="774"/>
      <c r="R585" s="774"/>
      <c r="S585" s="774"/>
      <c r="T585" s="774"/>
      <c r="U585" s="774"/>
      <c r="V585" s="774"/>
    </row>
    <row r="586" spans="1:22" hidden="1">
      <c r="A586" s="786">
        <v>586</v>
      </c>
      <c r="B586" s="767"/>
      <c r="C586" s="767"/>
      <c r="D586" s="767"/>
      <c r="E586" s="767" t="s">
        <v>962</v>
      </c>
      <c r="F586" s="806" t="s">
        <v>1412</v>
      </c>
      <c r="G586" s="778"/>
      <c r="H586" s="815">
        <v>46294.94</v>
      </c>
      <c r="I586" s="815">
        <v>21328.828350347114</v>
      </c>
      <c r="J586" s="815">
        <v>6691.9510309430198</v>
      </c>
      <c r="K586" s="815">
        <v>9290.6321217173554</v>
      </c>
      <c r="L586" s="815">
        <v>3684.8466124347092</v>
      </c>
      <c r="M586" s="815">
        <v>3045.5943475596437</v>
      </c>
      <c r="N586" s="815">
        <v>2040.1190953487492</v>
      </c>
      <c r="O586" s="815">
        <v>212.96844164941101</v>
      </c>
      <c r="P586" s="772">
        <v>0</v>
      </c>
      <c r="Q586" s="774"/>
      <c r="R586" s="774">
        <v>798</v>
      </c>
      <c r="S586" s="774"/>
      <c r="T586" s="774"/>
      <c r="U586" s="774"/>
      <c r="V586" s="774"/>
    </row>
    <row r="587" spans="1:22" hidden="1">
      <c r="A587" s="786">
        <v>587</v>
      </c>
      <c r="B587" s="767"/>
      <c r="C587" s="767"/>
      <c r="D587" s="767"/>
      <c r="E587" s="767" t="s">
        <v>7</v>
      </c>
      <c r="F587" s="806" t="s">
        <v>1412</v>
      </c>
      <c r="G587" s="778"/>
      <c r="H587" s="815">
        <v>0</v>
      </c>
      <c r="I587" s="815">
        <v>0</v>
      </c>
      <c r="J587" s="815">
        <v>0</v>
      </c>
      <c r="K587" s="815">
        <v>0</v>
      </c>
      <c r="L587" s="815">
        <v>0</v>
      </c>
      <c r="M587" s="815">
        <v>0</v>
      </c>
      <c r="N587" s="815">
        <v>0</v>
      </c>
      <c r="O587" s="815">
        <v>0</v>
      </c>
      <c r="P587" s="772">
        <v>0</v>
      </c>
      <c r="Q587" s="774"/>
      <c r="R587" s="774">
        <v>799</v>
      </c>
      <c r="S587" s="774"/>
      <c r="T587" s="774"/>
      <c r="U587" s="774"/>
      <c r="V587" s="774"/>
    </row>
    <row r="588" spans="1:22" hidden="1">
      <c r="A588" s="786">
        <v>588</v>
      </c>
      <c r="B588" s="767"/>
      <c r="C588" s="767"/>
      <c r="D588" s="767"/>
      <c r="E588" s="767" t="s">
        <v>963</v>
      </c>
      <c r="F588" s="806" t="s">
        <v>1412</v>
      </c>
      <c r="G588" s="778"/>
      <c r="H588" s="815">
        <v>118789.42476409205</v>
      </c>
      <c r="I588" s="815">
        <v>54728.21113127681</v>
      </c>
      <c r="J588" s="815">
        <v>17171.056135188726</v>
      </c>
      <c r="K588" s="815">
        <v>23839.081451095968</v>
      </c>
      <c r="L588" s="815">
        <v>9455.0464788383415</v>
      </c>
      <c r="M588" s="815">
        <v>7814.7719947661735</v>
      </c>
      <c r="N588" s="815">
        <v>5234.7961523811837</v>
      </c>
      <c r="O588" s="815">
        <v>546.46142054485074</v>
      </c>
      <c r="P588" s="772">
        <v>0</v>
      </c>
      <c r="Q588" s="774"/>
      <c r="R588" s="774">
        <v>800</v>
      </c>
      <c r="S588" s="774"/>
      <c r="T588" s="774"/>
      <c r="U588" s="774"/>
      <c r="V588" s="774"/>
    </row>
    <row r="589" spans="1:22" hidden="1">
      <c r="A589" s="786">
        <v>589</v>
      </c>
      <c r="B589" s="767"/>
      <c r="C589" s="767"/>
      <c r="D589" s="767"/>
      <c r="E589" s="767" t="s">
        <v>963</v>
      </c>
      <c r="F589" s="806" t="s">
        <v>1412</v>
      </c>
      <c r="G589" s="778"/>
      <c r="H589" s="815">
        <v>0</v>
      </c>
      <c r="I589" s="815">
        <v>0</v>
      </c>
      <c r="J589" s="815">
        <v>0</v>
      </c>
      <c r="K589" s="815">
        <v>0</v>
      </c>
      <c r="L589" s="815">
        <v>0</v>
      </c>
      <c r="M589" s="815">
        <v>0</v>
      </c>
      <c r="N589" s="815">
        <v>0</v>
      </c>
      <c r="O589" s="815">
        <v>0</v>
      </c>
      <c r="P589" s="772">
        <v>0</v>
      </c>
      <c r="Q589" s="774"/>
      <c r="R589" s="774">
        <v>801</v>
      </c>
      <c r="S589" s="774"/>
      <c r="T589" s="774"/>
      <c r="U589" s="774"/>
      <c r="V589" s="774"/>
    </row>
    <row r="590" spans="1:22" hidden="1">
      <c r="A590" s="786">
        <v>590</v>
      </c>
      <c r="B590" s="767"/>
      <c r="C590" s="767"/>
      <c r="D590" s="767"/>
      <c r="E590" s="767" t="s">
        <v>7</v>
      </c>
      <c r="F590" s="806" t="s">
        <v>1412</v>
      </c>
      <c r="G590" s="778"/>
      <c r="H590" s="815">
        <v>0</v>
      </c>
      <c r="I590" s="815">
        <v>0</v>
      </c>
      <c r="J590" s="815">
        <v>0</v>
      </c>
      <c r="K590" s="815">
        <v>0</v>
      </c>
      <c r="L590" s="815">
        <v>0</v>
      </c>
      <c r="M590" s="815">
        <v>0</v>
      </c>
      <c r="N590" s="815">
        <v>0</v>
      </c>
      <c r="O590" s="815">
        <v>0</v>
      </c>
      <c r="P590" s="772">
        <v>0</v>
      </c>
      <c r="Q590" s="774"/>
      <c r="R590" s="774">
        <v>802</v>
      </c>
      <c r="S590" s="774"/>
      <c r="T590" s="774"/>
      <c r="U590" s="774"/>
      <c r="V590" s="774"/>
    </row>
    <row r="591" spans="1:22" hidden="1">
      <c r="A591" s="786">
        <v>591</v>
      </c>
      <c r="B591" s="767"/>
      <c r="C591" s="767"/>
      <c r="D591" s="767"/>
      <c r="E591" s="767"/>
      <c r="F591" s="806"/>
      <c r="G591" s="778"/>
      <c r="H591" s="788"/>
      <c r="I591" s="788"/>
      <c r="J591" s="788"/>
      <c r="K591" s="788"/>
      <c r="L591" s="788"/>
      <c r="M591" s="788"/>
      <c r="N591" s="788"/>
      <c r="O591" s="788"/>
      <c r="P591" s="772"/>
      <c r="R591" s="774"/>
    </row>
    <row r="592" spans="1:22" hidden="1">
      <c r="A592" s="786">
        <v>592</v>
      </c>
      <c r="B592" s="767"/>
      <c r="C592" s="767" t="s">
        <v>964</v>
      </c>
      <c r="D592" s="767" t="s">
        <v>748</v>
      </c>
      <c r="E592" s="767"/>
      <c r="F592" s="806" t="s">
        <v>1411</v>
      </c>
      <c r="G592" s="778"/>
      <c r="H592" s="815">
        <v>184602.37212868125</v>
      </c>
      <c r="I592" s="815">
        <v>85944.893146180839</v>
      </c>
      <c r="J592" s="815">
        <v>26494.3643648582</v>
      </c>
      <c r="K592" s="815">
        <v>36586.119197596061</v>
      </c>
      <c r="L592" s="815">
        <v>14619.772713979279</v>
      </c>
      <c r="M592" s="815">
        <v>11941.678318074279</v>
      </c>
      <c r="N592" s="815">
        <v>8204.742218755744</v>
      </c>
      <c r="O592" s="815">
        <v>810.80216923685157</v>
      </c>
      <c r="P592" s="772">
        <v>0</v>
      </c>
      <c r="Q592" s="774"/>
      <c r="R592" s="774">
        <v>808</v>
      </c>
      <c r="S592" s="774"/>
      <c r="T592" s="774"/>
      <c r="U592" s="774"/>
      <c r="V592" s="774"/>
    </row>
    <row r="593" spans="1:22" hidden="1">
      <c r="A593" s="786">
        <v>593</v>
      </c>
      <c r="B593" s="767"/>
      <c r="C593" s="767"/>
      <c r="D593" s="767"/>
      <c r="E593" s="767"/>
      <c r="F593" s="806"/>
      <c r="G593" s="778"/>
      <c r="H593" s="788"/>
      <c r="I593" s="788"/>
      <c r="J593" s="788"/>
      <c r="K593" s="788"/>
      <c r="L593" s="788"/>
      <c r="M593" s="788"/>
      <c r="N593" s="788"/>
      <c r="O593" s="788"/>
      <c r="P593" s="772"/>
      <c r="R593" s="774"/>
    </row>
    <row r="594" spans="1:22" hidden="1">
      <c r="A594" s="786">
        <v>594</v>
      </c>
      <c r="B594" s="767"/>
      <c r="C594" s="767" t="s">
        <v>965</v>
      </c>
      <c r="D594" s="767" t="s">
        <v>966</v>
      </c>
      <c r="E594" s="767"/>
      <c r="F594" s="806" t="s">
        <v>1415</v>
      </c>
      <c r="G594" s="778"/>
      <c r="H594" s="815">
        <v>1613842.6044818785</v>
      </c>
      <c r="I594" s="815">
        <v>743399.80027853744</v>
      </c>
      <c r="J594" s="815">
        <v>230043.72116820188</v>
      </c>
      <c r="K594" s="815">
        <v>324539.3650277147</v>
      </c>
      <c r="L594" s="815">
        <v>130068.06627652282</v>
      </c>
      <c r="M594" s="815">
        <v>107962.43300842587</v>
      </c>
      <c r="N594" s="815">
        <v>71011.503906053666</v>
      </c>
      <c r="O594" s="815">
        <v>6817.7148164219461</v>
      </c>
      <c r="P594" s="772">
        <v>0</v>
      </c>
      <c r="Q594" s="774"/>
      <c r="R594" s="774">
        <v>814</v>
      </c>
      <c r="S594" s="774"/>
      <c r="T594" s="774"/>
      <c r="U594" s="774"/>
      <c r="V594" s="774"/>
    </row>
    <row r="595" spans="1:22" hidden="1">
      <c r="A595" s="786">
        <v>595</v>
      </c>
      <c r="B595" s="767"/>
      <c r="C595" s="767"/>
      <c r="D595" s="767"/>
      <c r="E595" s="767"/>
      <c r="F595" s="806"/>
      <c r="G595" s="778"/>
      <c r="H595" s="788"/>
      <c r="I595" s="788"/>
      <c r="J595" s="788"/>
      <c r="K595" s="788"/>
      <c r="L595" s="788"/>
      <c r="M595" s="788"/>
      <c r="N595" s="788"/>
      <c r="O595" s="788"/>
      <c r="P595" s="772"/>
      <c r="R595" s="774"/>
    </row>
    <row r="596" spans="1:22" hidden="1">
      <c r="A596" s="786">
        <v>596</v>
      </c>
      <c r="B596" s="767"/>
      <c r="C596" s="767" t="s">
        <v>967</v>
      </c>
      <c r="D596" s="767"/>
      <c r="E596" s="767"/>
      <c r="F596" s="806"/>
      <c r="G596" s="778"/>
      <c r="H596" s="815">
        <v>8678091.6868191902</v>
      </c>
      <c r="I596" s="815">
        <v>3998137.3341609417</v>
      </c>
      <c r="J596" s="815">
        <v>1254421.425110989</v>
      </c>
      <c r="K596" s="815">
        <v>1741550.0998763735</v>
      </c>
      <c r="L596" s="815">
        <v>690732.86960893543</v>
      </c>
      <c r="M596" s="815">
        <v>570903.58015327062</v>
      </c>
      <c r="N596" s="815">
        <v>382424.95964930649</v>
      </c>
      <c r="O596" s="815">
        <v>39921.418259373298</v>
      </c>
      <c r="P596" s="772">
        <v>0</v>
      </c>
      <c r="Q596" s="774"/>
      <c r="R596" s="774"/>
      <c r="S596" s="774"/>
      <c r="T596" s="774"/>
      <c r="U596" s="774"/>
      <c r="V596" s="774"/>
    </row>
    <row r="597" spans="1:22" hidden="1">
      <c r="A597" s="786">
        <v>597</v>
      </c>
      <c r="B597" s="767"/>
      <c r="C597" s="767"/>
      <c r="D597" s="767"/>
      <c r="E597" s="767"/>
      <c r="F597" s="806"/>
      <c r="G597" s="778"/>
      <c r="H597" s="788"/>
      <c r="I597" s="788"/>
      <c r="J597" s="788"/>
      <c r="K597" s="788"/>
      <c r="L597" s="788"/>
      <c r="M597" s="788"/>
      <c r="N597" s="788"/>
      <c r="O597" s="788"/>
      <c r="P597" s="772"/>
      <c r="R597" s="774"/>
    </row>
    <row r="598" spans="1:22" hidden="1">
      <c r="A598" s="786">
        <v>598</v>
      </c>
      <c r="B598" s="767"/>
      <c r="C598" s="767"/>
      <c r="D598" s="767"/>
      <c r="E598" s="767"/>
      <c r="F598" s="806"/>
      <c r="G598" s="778"/>
      <c r="H598" s="788"/>
      <c r="I598" s="788"/>
      <c r="J598" s="788"/>
      <c r="K598" s="788"/>
      <c r="L598" s="788"/>
      <c r="M598" s="788"/>
      <c r="N598" s="788"/>
      <c r="O598" s="788"/>
      <c r="P598" s="772"/>
      <c r="R598" s="774"/>
    </row>
    <row r="599" spans="1:22" ht="13.5" hidden="1" thickBot="1">
      <c r="A599" s="786">
        <v>599</v>
      </c>
      <c r="B599" s="767"/>
      <c r="C599" s="767" t="s">
        <v>968</v>
      </c>
      <c r="D599" s="767"/>
      <c r="E599" s="767"/>
      <c r="F599" s="806"/>
      <c r="G599" s="778"/>
      <c r="H599" s="814">
        <v>167580764.75903341</v>
      </c>
      <c r="I599" s="814">
        <v>75285956.901894167</v>
      </c>
      <c r="J599" s="814">
        <v>22620147.642693497</v>
      </c>
      <c r="K599" s="814">
        <v>35193817.722888887</v>
      </c>
      <c r="L599" s="814">
        <v>14335647.268913005</v>
      </c>
      <c r="M599" s="814">
        <v>13044391.894951452</v>
      </c>
      <c r="N599" s="814">
        <v>6529809.0947091198</v>
      </c>
      <c r="O599" s="814">
        <v>570994.23298328172</v>
      </c>
      <c r="P599" s="772">
        <v>0</v>
      </c>
      <c r="Q599" s="774"/>
      <c r="R599" s="774"/>
      <c r="S599" s="774"/>
      <c r="T599" s="774"/>
      <c r="U599" s="774"/>
      <c r="V599" s="774"/>
    </row>
    <row r="600" spans="1:22" ht="13.5" hidden="1" thickTop="1">
      <c r="A600" s="786">
        <v>600</v>
      </c>
      <c r="B600" s="767"/>
      <c r="C600" s="767"/>
      <c r="D600" s="767"/>
      <c r="E600" s="767"/>
      <c r="F600" s="806"/>
      <c r="H600" s="817"/>
      <c r="I600" s="817"/>
      <c r="J600" s="817"/>
      <c r="K600" s="817"/>
      <c r="L600" s="819"/>
      <c r="M600" s="817"/>
      <c r="N600" s="817"/>
      <c r="O600" s="817"/>
      <c r="P600" s="772"/>
      <c r="R600" s="774"/>
    </row>
    <row r="601" spans="1:22" hidden="1">
      <c r="A601" s="786">
        <v>601</v>
      </c>
      <c r="B601" s="767"/>
      <c r="C601" s="781" t="s">
        <v>714</v>
      </c>
      <c r="D601" s="767"/>
      <c r="E601" s="767"/>
      <c r="F601" s="806"/>
      <c r="G601" s="778"/>
      <c r="H601" s="817" t="s">
        <v>969</v>
      </c>
      <c r="I601" s="817"/>
      <c r="J601" s="817"/>
      <c r="K601" s="817"/>
      <c r="L601" s="817"/>
      <c r="M601" s="817"/>
      <c r="N601" s="817"/>
      <c r="O601" s="817"/>
      <c r="P601" s="772"/>
      <c r="R601" s="774"/>
    </row>
    <row r="602" spans="1:22" hidden="1">
      <c r="A602" s="786">
        <v>602</v>
      </c>
      <c r="B602" s="767"/>
      <c r="C602" s="767"/>
      <c r="D602" s="767"/>
      <c r="E602" s="767"/>
      <c r="F602" s="806"/>
      <c r="G602" s="778"/>
      <c r="H602" s="810"/>
      <c r="I602" s="810"/>
      <c r="J602" s="810"/>
      <c r="K602" s="810"/>
      <c r="L602" s="810"/>
      <c r="M602" s="810"/>
      <c r="N602" s="810"/>
      <c r="O602" s="810"/>
      <c r="P602" s="772"/>
      <c r="R602" s="774"/>
    </row>
    <row r="603" spans="1:22" hidden="1">
      <c r="A603" s="786">
        <v>603</v>
      </c>
      <c r="B603" s="767"/>
      <c r="C603" s="777" t="s">
        <v>575</v>
      </c>
      <c r="D603" s="767"/>
      <c r="E603" s="777" t="s">
        <v>576</v>
      </c>
      <c r="F603" s="806" t="s">
        <v>577</v>
      </c>
      <c r="G603" s="778"/>
      <c r="H603" s="777" t="s">
        <v>578</v>
      </c>
      <c r="I603" s="777" t="s">
        <v>579</v>
      </c>
      <c r="J603" s="777" t="s">
        <v>580</v>
      </c>
      <c r="K603" s="777" t="s">
        <v>581</v>
      </c>
      <c r="L603" s="777" t="s">
        <v>582</v>
      </c>
      <c r="M603" s="777" t="s">
        <v>583</v>
      </c>
      <c r="N603" s="777" t="s">
        <v>584</v>
      </c>
      <c r="O603" s="777" t="s">
        <v>585</v>
      </c>
      <c r="P603" s="772"/>
      <c r="R603" s="774"/>
    </row>
    <row r="604" spans="1:22" ht="38.25" hidden="1">
      <c r="A604" s="786">
        <v>604</v>
      </c>
      <c r="B604" s="767"/>
      <c r="C604" s="797" t="s">
        <v>656</v>
      </c>
      <c r="D604" s="781"/>
      <c r="E604" s="782" t="s">
        <v>587</v>
      </c>
      <c r="F604" s="806" t="s">
        <v>1391</v>
      </c>
      <c r="G604" s="783"/>
      <c r="H604" s="784" t="s">
        <v>588</v>
      </c>
      <c r="I604" s="784" t="s">
        <v>589</v>
      </c>
      <c r="J604" s="784" t="s">
        <v>590</v>
      </c>
      <c r="K604" s="784" t="s">
        <v>591</v>
      </c>
      <c r="L604" s="784" t="s">
        <v>592</v>
      </c>
      <c r="M604" s="784" t="s">
        <v>593</v>
      </c>
      <c r="N604" s="784" t="s">
        <v>594</v>
      </c>
      <c r="O604" s="784" t="s">
        <v>595</v>
      </c>
      <c r="P604" s="772"/>
      <c r="R604" s="774"/>
    </row>
    <row r="605" spans="1:22" hidden="1">
      <c r="A605" s="786">
        <v>605</v>
      </c>
      <c r="B605" s="767"/>
      <c r="C605" s="767" t="s">
        <v>970</v>
      </c>
      <c r="D605" s="767" t="s">
        <v>971</v>
      </c>
      <c r="E605" s="767"/>
      <c r="F605" s="806" t="s">
        <v>1392</v>
      </c>
      <c r="G605" s="778"/>
      <c r="H605" s="815">
        <v>68355332.98983033</v>
      </c>
      <c r="I605" s="815">
        <v>28589599.263582557</v>
      </c>
      <c r="J605" s="815">
        <v>9134774.9940248821</v>
      </c>
      <c r="K605" s="815">
        <v>15501875.911249105</v>
      </c>
      <c r="L605" s="815">
        <v>6319414.5774461674</v>
      </c>
      <c r="M605" s="815">
        <v>5976445.022956348</v>
      </c>
      <c r="N605" s="815">
        <v>2723221.5989881512</v>
      </c>
      <c r="O605" s="815">
        <v>110001.6215831265</v>
      </c>
      <c r="P605" s="772">
        <v>0</v>
      </c>
      <c r="Q605" s="774"/>
      <c r="R605" s="774">
        <v>827</v>
      </c>
      <c r="S605" s="774"/>
      <c r="T605" s="774"/>
      <c r="U605" s="774"/>
      <c r="V605" s="774"/>
    </row>
    <row r="606" spans="1:22" hidden="1">
      <c r="A606" s="786">
        <v>606</v>
      </c>
      <c r="B606" s="767"/>
      <c r="C606" s="767"/>
      <c r="D606" s="767"/>
      <c r="E606" s="767"/>
      <c r="F606" s="806"/>
      <c r="G606" s="778"/>
      <c r="H606" s="788"/>
      <c r="I606" s="788"/>
      <c r="J606" s="788"/>
      <c r="K606" s="788"/>
      <c r="L606" s="788"/>
      <c r="M606" s="788"/>
      <c r="N606" s="788"/>
      <c r="O606" s="788"/>
      <c r="P606" s="772"/>
      <c r="R606" s="774"/>
    </row>
    <row r="607" spans="1:22" hidden="1">
      <c r="A607" s="786">
        <v>607</v>
      </c>
      <c r="B607" s="767"/>
      <c r="C607" s="767" t="s">
        <v>972</v>
      </c>
      <c r="D607" s="767" t="s">
        <v>973</v>
      </c>
      <c r="E607" s="767"/>
      <c r="F607" s="806" t="s">
        <v>1392</v>
      </c>
      <c r="G607" s="778"/>
      <c r="H607" s="815">
        <v>0</v>
      </c>
      <c r="I607" s="815">
        <v>0</v>
      </c>
      <c r="J607" s="815">
        <v>0</v>
      </c>
      <c r="K607" s="815">
        <v>0</v>
      </c>
      <c r="L607" s="815">
        <v>0</v>
      </c>
      <c r="M607" s="815">
        <v>0</v>
      </c>
      <c r="N607" s="815">
        <v>0</v>
      </c>
      <c r="O607" s="815">
        <v>0</v>
      </c>
      <c r="P607" s="772">
        <v>0</v>
      </c>
      <c r="Q607" s="774"/>
      <c r="R607" s="774">
        <v>831</v>
      </c>
      <c r="S607" s="774"/>
      <c r="T607" s="774"/>
      <c r="U607" s="774"/>
      <c r="V607" s="774"/>
    </row>
    <row r="608" spans="1:22" hidden="1">
      <c r="A608" s="786">
        <v>608</v>
      </c>
      <c r="B608" s="767"/>
      <c r="C608" s="767"/>
      <c r="D608" s="767"/>
      <c r="E608" s="767"/>
      <c r="F608" s="806"/>
      <c r="G608" s="778"/>
      <c r="H608" s="788"/>
      <c r="I608" s="788"/>
      <c r="J608" s="788"/>
      <c r="K608" s="788"/>
      <c r="L608" s="788"/>
      <c r="M608" s="788"/>
      <c r="N608" s="788"/>
      <c r="O608" s="788"/>
      <c r="P608" s="772"/>
      <c r="R608" s="774"/>
    </row>
    <row r="609" spans="1:22" hidden="1">
      <c r="A609" s="786">
        <v>609</v>
      </c>
      <c r="B609" s="767"/>
      <c r="C609" s="767" t="s">
        <v>974</v>
      </c>
      <c r="D609" s="767" t="s">
        <v>975</v>
      </c>
      <c r="E609" s="767"/>
      <c r="F609" s="806" t="s">
        <v>1392</v>
      </c>
      <c r="G609" s="778"/>
      <c r="H609" s="815">
        <v>2834113.4949658196</v>
      </c>
      <c r="I609" s="815">
        <v>1185367.1914763253</v>
      </c>
      <c r="J609" s="815">
        <v>378741.3205622728</v>
      </c>
      <c r="K609" s="815">
        <v>642730.76870085625</v>
      </c>
      <c r="L609" s="815">
        <v>262012.30175981272</v>
      </c>
      <c r="M609" s="815">
        <v>247792.27531525388</v>
      </c>
      <c r="N609" s="815">
        <v>112908.80675869083</v>
      </c>
      <c r="O609" s="815">
        <v>4560.8303926080553</v>
      </c>
      <c r="P609" s="772">
        <v>0</v>
      </c>
      <c r="Q609" s="774"/>
      <c r="R609" s="774">
        <v>838</v>
      </c>
      <c r="S609" s="774"/>
      <c r="T609" s="774"/>
      <c r="U609" s="774"/>
      <c r="V609" s="774"/>
    </row>
    <row r="610" spans="1:22" hidden="1">
      <c r="A610" s="786">
        <v>610</v>
      </c>
      <c r="B610" s="767"/>
      <c r="C610" s="767"/>
      <c r="D610" s="767"/>
      <c r="E610" s="767"/>
      <c r="F610" s="806"/>
      <c r="G610" s="778"/>
      <c r="H610" s="788"/>
      <c r="I610" s="788"/>
      <c r="J610" s="788"/>
      <c r="K610" s="788"/>
      <c r="L610" s="788"/>
      <c r="M610" s="788"/>
      <c r="N610" s="788"/>
      <c r="O610" s="788"/>
      <c r="P610" s="772"/>
      <c r="R610" s="774"/>
    </row>
    <row r="611" spans="1:22" hidden="1">
      <c r="A611" s="786">
        <v>611</v>
      </c>
      <c r="B611" s="767"/>
      <c r="C611" s="767" t="s">
        <v>976</v>
      </c>
      <c r="D611" s="767" t="s">
        <v>977</v>
      </c>
      <c r="E611" s="767"/>
      <c r="F611" s="806" t="s">
        <v>1392</v>
      </c>
      <c r="G611" s="778"/>
      <c r="H611" s="815">
        <v>0</v>
      </c>
      <c r="I611" s="815">
        <v>0</v>
      </c>
      <c r="J611" s="815">
        <v>0</v>
      </c>
      <c r="K611" s="815">
        <v>0</v>
      </c>
      <c r="L611" s="815">
        <v>0</v>
      </c>
      <c r="M611" s="815">
        <v>0</v>
      </c>
      <c r="N611" s="815">
        <v>0</v>
      </c>
      <c r="O611" s="815">
        <v>0</v>
      </c>
      <c r="P611" s="772">
        <v>0</v>
      </c>
      <c r="Q611" s="774"/>
      <c r="R611" s="774">
        <v>841</v>
      </c>
      <c r="S611" s="774"/>
      <c r="T611" s="774"/>
      <c r="U611" s="774"/>
      <c r="V611" s="774"/>
    </row>
    <row r="612" spans="1:22" hidden="1">
      <c r="A612" s="786">
        <v>612</v>
      </c>
      <c r="B612" s="767"/>
      <c r="C612" s="767"/>
      <c r="D612" s="767"/>
      <c r="E612" s="820" t="s">
        <v>978</v>
      </c>
      <c r="F612" s="806" t="s">
        <v>1392</v>
      </c>
      <c r="G612" s="778"/>
      <c r="H612" s="815">
        <v>13312684.231893834</v>
      </c>
      <c r="I612" s="815">
        <v>5568026.5264611328</v>
      </c>
      <c r="J612" s="815">
        <v>1779061.9942257556</v>
      </c>
      <c r="K612" s="815">
        <v>3019099.900210625</v>
      </c>
      <c r="L612" s="815">
        <v>1230750.6542683942</v>
      </c>
      <c r="M612" s="815">
        <v>1163954.9094395954</v>
      </c>
      <c r="N612" s="815">
        <v>530366.65399897809</v>
      </c>
      <c r="O612" s="815">
        <v>21423.593289353321</v>
      </c>
      <c r="P612" s="772">
        <v>0</v>
      </c>
      <c r="Q612" s="774"/>
      <c r="R612" s="774">
        <v>842</v>
      </c>
      <c r="S612" s="774"/>
      <c r="T612" s="774"/>
      <c r="U612" s="774"/>
      <c r="V612" s="774"/>
    </row>
    <row r="613" spans="1:22" hidden="1">
      <c r="A613" s="786">
        <v>613</v>
      </c>
      <c r="B613" s="767"/>
      <c r="C613" s="767"/>
      <c r="D613" s="767"/>
      <c r="E613" s="820" t="s">
        <v>979</v>
      </c>
      <c r="F613" s="806" t="s">
        <v>1392</v>
      </c>
      <c r="G613" s="778"/>
      <c r="H613" s="815">
        <v>0</v>
      </c>
      <c r="I613" s="815">
        <v>0</v>
      </c>
      <c r="J613" s="815">
        <v>0</v>
      </c>
      <c r="K613" s="815">
        <v>0</v>
      </c>
      <c r="L613" s="815">
        <v>0</v>
      </c>
      <c r="M613" s="815">
        <v>0</v>
      </c>
      <c r="N613" s="815">
        <v>0</v>
      </c>
      <c r="O613" s="815">
        <v>0</v>
      </c>
      <c r="P613" s="772">
        <v>0</v>
      </c>
      <c r="Q613" s="774"/>
      <c r="R613" s="774">
        <v>843</v>
      </c>
      <c r="S613" s="774"/>
      <c r="T613" s="774"/>
      <c r="U613" s="774"/>
      <c r="V613" s="774"/>
    </row>
    <row r="614" spans="1:22" hidden="1">
      <c r="A614" s="786">
        <v>614</v>
      </c>
      <c r="B614" s="767"/>
      <c r="C614" s="767"/>
      <c r="D614" s="767"/>
      <c r="E614" s="820" t="s">
        <v>979</v>
      </c>
      <c r="F614" s="806" t="s">
        <v>1392</v>
      </c>
      <c r="G614" s="778"/>
      <c r="H614" s="815">
        <v>4220823.0662045786</v>
      </c>
      <c r="I614" s="815">
        <v>1765358.0890788403</v>
      </c>
      <c r="J614" s="815">
        <v>564056.4870791469</v>
      </c>
      <c r="K614" s="815">
        <v>957213.90788010485</v>
      </c>
      <c r="L614" s="815">
        <v>390212.87215969793</v>
      </c>
      <c r="M614" s="815">
        <v>369035.09797180962</v>
      </c>
      <c r="N614" s="815">
        <v>168154.2029954821</v>
      </c>
      <c r="O614" s="815">
        <v>6792.4090394972445</v>
      </c>
      <c r="P614" s="772">
        <v>0</v>
      </c>
      <c r="Q614" s="774"/>
      <c r="R614" s="774">
        <v>844</v>
      </c>
      <c r="S614" s="774"/>
      <c r="T614" s="774"/>
      <c r="U614" s="774"/>
      <c r="V614" s="774"/>
    </row>
    <row r="615" spans="1:22" hidden="1">
      <c r="A615" s="786">
        <v>615</v>
      </c>
      <c r="B615" s="767"/>
      <c r="C615" s="767"/>
      <c r="D615" s="767"/>
      <c r="E615" s="820" t="s">
        <v>980</v>
      </c>
      <c r="F615" s="806" t="s">
        <v>1392</v>
      </c>
      <c r="G615" s="778"/>
      <c r="H615" s="815">
        <v>0</v>
      </c>
      <c r="I615" s="815">
        <v>0</v>
      </c>
      <c r="J615" s="815">
        <v>0</v>
      </c>
      <c r="K615" s="815">
        <v>0</v>
      </c>
      <c r="L615" s="815">
        <v>0</v>
      </c>
      <c r="M615" s="815">
        <v>0</v>
      </c>
      <c r="N615" s="815">
        <v>0</v>
      </c>
      <c r="O615" s="815">
        <v>0</v>
      </c>
      <c r="P615" s="772">
        <v>0</v>
      </c>
      <c r="Q615" s="774"/>
      <c r="R615" s="774">
        <v>845</v>
      </c>
      <c r="S615" s="774"/>
      <c r="T615" s="774"/>
      <c r="U615" s="774"/>
      <c r="V615" s="774"/>
    </row>
    <row r="616" spans="1:22" hidden="1">
      <c r="A616" s="786">
        <v>616</v>
      </c>
      <c r="B616" s="767"/>
      <c r="C616" s="767"/>
      <c r="D616" s="767"/>
      <c r="E616" s="767" t="s">
        <v>981</v>
      </c>
      <c r="F616" s="806"/>
      <c r="G616" s="778"/>
      <c r="H616" s="815">
        <v>17533507.298098415</v>
      </c>
      <c r="I616" s="815">
        <v>7333384.6155399736</v>
      </c>
      <c r="J616" s="815">
        <v>2343118.4813049026</v>
      </c>
      <c r="K616" s="815">
        <v>3976313.8080907296</v>
      </c>
      <c r="L616" s="815">
        <v>1620963.5264280923</v>
      </c>
      <c r="M616" s="815">
        <v>1532990.007411405</v>
      </c>
      <c r="N616" s="815">
        <v>698520.85699446022</v>
      </c>
      <c r="O616" s="815">
        <v>28216.002328850565</v>
      </c>
      <c r="P616" s="772">
        <v>0</v>
      </c>
      <c r="Q616" s="774"/>
      <c r="R616" s="774"/>
      <c r="S616" s="774"/>
      <c r="T616" s="774"/>
      <c r="U616" s="774"/>
      <c r="V616" s="774"/>
    </row>
    <row r="617" spans="1:22" hidden="1">
      <c r="A617" s="786">
        <v>617</v>
      </c>
      <c r="B617" s="767"/>
      <c r="C617" s="767"/>
      <c r="D617" s="767"/>
      <c r="E617" s="767"/>
      <c r="F617" s="806"/>
      <c r="G617" s="778"/>
      <c r="H617" s="788"/>
      <c r="I617" s="788"/>
      <c r="J617" s="788"/>
      <c r="K617" s="788"/>
      <c r="L617" s="788"/>
      <c r="M617" s="788"/>
      <c r="N617" s="788"/>
      <c r="O617" s="788"/>
      <c r="P617" s="772"/>
      <c r="R617" s="774"/>
    </row>
    <row r="618" spans="1:22" hidden="1">
      <c r="A618" s="786">
        <v>618</v>
      </c>
      <c r="B618" s="767"/>
      <c r="C618" s="767" t="s">
        <v>982</v>
      </c>
      <c r="D618" s="767" t="s">
        <v>983</v>
      </c>
      <c r="E618" s="767"/>
      <c r="F618" s="806" t="s">
        <v>1416</v>
      </c>
      <c r="G618" s="778"/>
      <c r="H618" s="815">
        <v>11977688.546938295</v>
      </c>
      <c r="I618" s="815">
        <v>5344937.8780345945</v>
      </c>
      <c r="J618" s="815">
        <v>1589828.4147197879</v>
      </c>
      <c r="K618" s="815">
        <v>2545403.3493050504</v>
      </c>
      <c r="L618" s="815">
        <v>1030681.3221895869</v>
      </c>
      <c r="M618" s="815">
        <v>1011271.668189406</v>
      </c>
      <c r="N618" s="815">
        <v>441633.64743724972</v>
      </c>
      <c r="O618" s="815">
        <v>13932.267062616806</v>
      </c>
      <c r="P618" s="772">
        <v>0</v>
      </c>
      <c r="Q618" s="774"/>
      <c r="R618" s="774">
        <v>853</v>
      </c>
      <c r="S618" s="774"/>
      <c r="T618" s="774"/>
      <c r="U618" s="774"/>
      <c r="V618" s="774"/>
    </row>
    <row r="619" spans="1:22" hidden="1">
      <c r="A619" s="786">
        <v>619</v>
      </c>
      <c r="B619" s="767"/>
      <c r="C619" s="767"/>
      <c r="D619" s="767"/>
      <c r="E619" s="767"/>
      <c r="F619" s="806"/>
      <c r="G619" s="778"/>
      <c r="H619" s="788"/>
      <c r="I619" s="788"/>
      <c r="J619" s="788"/>
      <c r="K619" s="788"/>
      <c r="L619" s="788"/>
      <c r="M619" s="788"/>
      <c r="N619" s="788"/>
      <c r="O619" s="788"/>
      <c r="P619" s="772"/>
      <c r="R619" s="774"/>
    </row>
    <row r="620" spans="1:22" hidden="1">
      <c r="A620" s="786">
        <v>620</v>
      </c>
      <c r="B620" s="767"/>
      <c r="C620" s="767" t="s">
        <v>984</v>
      </c>
      <c r="D620" s="767" t="s">
        <v>985</v>
      </c>
      <c r="E620" s="767"/>
      <c r="F620" s="806"/>
      <c r="G620" s="778"/>
      <c r="H620" s="788"/>
      <c r="I620" s="788"/>
      <c r="J620" s="788"/>
      <c r="K620" s="788"/>
      <c r="L620" s="788"/>
      <c r="M620" s="788"/>
      <c r="N620" s="788"/>
      <c r="O620" s="788"/>
      <c r="P620" s="772"/>
      <c r="R620" s="774"/>
    </row>
    <row r="621" spans="1:22" hidden="1">
      <c r="A621" s="786">
        <v>621</v>
      </c>
      <c r="B621" s="767"/>
      <c r="C621" s="767"/>
      <c r="D621" s="767"/>
      <c r="E621" s="767" t="s">
        <v>986</v>
      </c>
      <c r="F621" s="806" t="s">
        <v>1417</v>
      </c>
      <c r="G621" s="778"/>
      <c r="H621" s="815">
        <v>1381.5064272959444</v>
      </c>
      <c r="I621" s="815">
        <v>650.71686662460058</v>
      </c>
      <c r="J621" s="815">
        <v>198.72736563521792</v>
      </c>
      <c r="K621" s="815">
        <v>312.71428444181481</v>
      </c>
      <c r="L621" s="815">
        <v>132.96148058784786</v>
      </c>
      <c r="M621" s="815">
        <v>0</v>
      </c>
      <c r="N621" s="815">
        <v>83.657742287654486</v>
      </c>
      <c r="O621" s="815">
        <v>2.7286877188084278</v>
      </c>
      <c r="P621" s="772">
        <v>0</v>
      </c>
      <c r="Q621" s="774"/>
      <c r="R621" s="774">
        <v>856</v>
      </c>
      <c r="S621" s="774"/>
      <c r="T621" s="774"/>
      <c r="U621" s="774"/>
      <c r="V621" s="774"/>
    </row>
    <row r="622" spans="1:22" hidden="1">
      <c r="A622" s="786">
        <v>622</v>
      </c>
      <c r="B622" s="767"/>
      <c r="C622" s="767"/>
      <c r="D622" s="767"/>
      <c r="E622" s="767" t="s">
        <v>987</v>
      </c>
      <c r="F622" s="806" t="s">
        <v>1404</v>
      </c>
      <c r="G622" s="778"/>
      <c r="H622" s="815">
        <v>76494.772119496251</v>
      </c>
      <c r="I622" s="815">
        <v>32706.269730672426</v>
      </c>
      <c r="J622" s="815">
        <v>9988.4160941551927</v>
      </c>
      <c r="K622" s="815">
        <v>15717.615848258931</v>
      </c>
      <c r="L622" s="815">
        <v>6682.8973873893356</v>
      </c>
      <c r="M622" s="815">
        <v>7057.626467844636</v>
      </c>
      <c r="N622" s="815">
        <v>4204.7975466072976</v>
      </c>
      <c r="O622" s="815">
        <v>137.14904456842265</v>
      </c>
      <c r="P622" s="772">
        <v>0</v>
      </c>
      <c r="Q622" s="774"/>
      <c r="R622" s="774">
        <v>857</v>
      </c>
      <c r="S622" s="774"/>
      <c r="T622" s="774"/>
      <c r="U622" s="774"/>
      <c r="V622" s="774"/>
    </row>
    <row r="623" spans="1:22" hidden="1">
      <c r="A623" s="786">
        <v>623</v>
      </c>
      <c r="B623" s="767"/>
      <c r="C623" s="767"/>
      <c r="D623" s="767"/>
      <c r="E623" s="767" t="s">
        <v>988</v>
      </c>
      <c r="F623" s="806" t="s">
        <v>1399</v>
      </c>
      <c r="G623" s="778"/>
      <c r="H623" s="815">
        <v>1686292.405655317</v>
      </c>
      <c r="I623" s="815">
        <v>742498.98904561717</v>
      </c>
      <c r="J623" s="815">
        <v>226757.40502201027</v>
      </c>
      <c r="K623" s="815">
        <v>356821.91743789823</v>
      </c>
      <c r="L623" s="815">
        <v>151715.39264163465</v>
      </c>
      <c r="M623" s="815">
        <v>109927.66356998996</v>
      </c>
      <c r="N623" s="815">
        <v>95457.475071499735</v>
      </c>
      <c r="O623" s="815">
        <v>3113.5628666672915</v>
      </c>
      <c r="P623" s="772">
        <v>0</v>
      </c>
      <c r="Q623" s="774"/>
      <c r="R623" s="774">
        <v>858</v>
      </c>
      <c r="S623" s="774"/>
      <c r="T623" s="774"/>
      <c r="U623" s="774"/>
      <c r="V623" s="774"/>
    </row>
    <row r="624" spans="1:22" hidden="1">
      <c r="A624" s="786">
        <v>624</v>
      </c>
      <c r="B624" s="767"/>
      <c r="C624" s="767"/>
      <c r="D624" s="767"/>
      <c r="E624" s="767" t="s">
        <v>989</v>
      </c>
      <c r="F624" s="806" t="s">
        <v>1418</v>
      </c>
      <c r="G624" s="778"/>
      <c r="H624" s="815">
        <v>3857981.4426840572</v>
      </c>
      <c r="I624" s="815">
        <v>1824302.5110451146</v>
      </c>
      <c r="J624" s="815">
        <v>554795.24311439774</v>
      </c>
      <c r="K624" s="815">
        <v>869171.13743679703</v>
      </c>
      <c r="L624" s="815">
        <v>369558.69004865742</v>
      </c>
      <c r="M624" s="815">
        <v>0</v>
      </c>
      <c r="N624" s="815">
        <v>232521.82147465803</v>
      </c>
      <c r="O624" s="815">
        <v>7632.0395644317732</v>
      </c>
      <c r="P624" s="772">
        <v>0</v>
      </c>
      <c r="Q624" s="774"/>
      <c r="R624" s="774">
        <v>860</v>
      </c>
      <c r="S624" s="774"/>
      <c r="T624" s="774"/>
      <c r="U624" s="774"/>
      <c r="V624" s="774"/>
    </row>
    <row r="625" spans="1:22" hidden="1">
      <c r="A625" s="786">
        <v>625</v>
      </c>
      <c r="B625" s="767"/>
      <c r="C625" s="767"/>
      <c r="D625" s="767"/>
      <c r="E625" s="767" t="s">
        <v>990</v>
      </c>
      <c r="F625" s="806" t="s">
        <v>1419</v>
      </c>
      <c r="G625" s="778"/>
      <c r="H625" s="815">
        <v>1773583.5291496383</v>
      </c>
      <c r="I625" s="815">
        <v>1056437.5878978437</v>
      </c>
      <c r="J625" s="815">
        <v>249882.05298102053</v>
      </c>
      <c r="K625" s="815">
        <v>273756.94702816859</v>
      </c>
      <c r="L625" s="815">
        <v>116397.39790923089</v>
      </c>
      <c r="M625" s="815">
        <v>0</v>
      </c>
      <c r="N625" s="815">
        <v>73235.823444447888</v>
      </c>
      <c r="O625" s="815">
        <v>3873.7198889268825</v>
      </c>
      <c r="P625" s="772">
        <v>0</v>
      </c>
      <c r="Q625" s="774"/>
      <c r="R625" s="774">
        <v>861</v>
      </c>
      <c r="S625" s="774"/>
      <c r="T625" s="774"/>
      <c r="U625" s="774"/>
      <c r="V625" s="774"/>
    </row>
    <row r="626" spans="1:22" hidden="1">
      <c r="A626" s="786">
        <v>626</v>
      </c>
      <c r="B626" s="767"/>
      <c r="C626" s="767"/>
      <c r="D626" s="767"/>
      <c r="E626" s="767" t="s">
        <v>991</v>
      </c>
      <c r="F626" s="806" t="s">
        <v>1420</v>
      </c>
      <c r="G626" s="778"/>
      <c r="H626" s="815">
        <v>493919.89480047929</v>
      </c>
      <c r="I626" s="815">
        <v>328628.53192535974</v>
      </c>
      <c r="J626" s="815">
        <v>68772.072592759519</v>
      </c>
      <c r="K626" s="815">
        <v>56349.278682372322</v>
      </c>
      <c r="L626" s="815">
        <v>23958.878428080021</v>
      </c>
      <c r="M626" s="815">
        <v>0</v>
      </c>
      <c r="N626" s="815">
        <v>15074.634158524495</v>
      </c>
      <c r="O626" s="815">
        <v>1136.4990133831323</v>
      </c>
      <c r="P626" s="772">
        <v>0</v>
      </c>
      <c r="Q626" s="774"/>
      <c r="R626" s="774">
        <v>862</v>
      </c>
      <c r="S626" s="774"/>
      <c r="T626" s="774"/>
      <c r="U626" s="774"/>
      <c r="V626" s="774"/>
    </row>
    <row r="627" spans="1:22" hidden="1">
      <c r="A627" s="786">
        <v>627</v>
      </c>
      <c r="B627" s="767"/>
      <c r="C627" s="767"/>
      <c r="D627" s="767"/>
      <c r="E627" s="767" t="s">
        <v>992</v>
      </c>
      <c r="F627" s="806" t="s">
        <v>1421</v>
      </c>
      <c r="G627" s="778"/>
      <c r="H627" s="815">
        <v>650995.11945848539</v>
      </c>
      <c r="I627" s="815">
        <v>437050.81841159082</v>
      </c>
      <c r="J627" s="815">
        <v>90549.964094005511</v>
      </c>
      <c r="K627" s="815">
        <v>72008.850796887913</v>
      </c>
      <c r="L627" s="815">
        <v>30617.096479854303</v>
      </c>
      <c r="M627" s="815">
        <v>0</v>
      </c>
      <c r="N627" s="815">
        <v>19263.903768096294</v>
      </c>
      <c r="O627" s="815">
        <v>1504.4859080504971</v>
      </c>
      <c r="P627" s="772">
        <v>0</v>
      </c>
      <c r="Q627" s="774"/>
      <c r="R627" s="774">
        <v>863</v>
      </c>
      <c r="S627" s="774"/>
      <c r="T627" s="774"/>
      <c r="U627" s="774"/>
      <c r="V627" s="774"/>
    </row>
    <row r="628" spans="1:22" hidden="1">
      <c r="A628" s="786">
        <v>628</v>
      </c>
      <c r="B628" s="767"/>
      <c r="C628" s="767"/>
      <c r="D628" s="767"/>
      <c r="E628" s="767" t="s">
        <v>993</v>
      </c>
      <c r="F628" s="806" t="s">
        <v>1407</v>
      </c>
      <c r="G628" s="778"/>
      <c r="H628" s="815">
        <v>2890422.3862622199</v>
      </c>
      <c r="I628" s="815">
        <v>1550764.4195252308</v>
      </c>
      <c r="J628" s="815">
        <v>692547.28082281898</v>
      </c>
      <c r="K628" s="815">
        <v>252243.96264776727</v>
      </c>
      <c r="L628" s="815">
        <v>30751.341220432958</v>
      </c>
      <c r="M628" s="815">
        <v>0</v>
      </c>
      <c r="N628" s="815">
        <v>358140.47534154245</v>
      </c>
      <c r="O628" s="815">
        <v>5974.9067044273097</v>
      </c>
      <c r="P628" s="772">
        <v>0</v>
      </c>
      <c r="Q628" s="774"/>
      <c r="R628" s="774">
        <v>864</v>
      </c>
      <c r="S628" s="774"/>
      <c r="T628" s="774"/>
      <c r="U628" s="774"/>
      <c r="V628" s="774"/>
    </row>
    <row r="629" spans="1:22" hidden="1">
      <c r="A629" s="786">
        <v>629</v>
      </c>
      <c r="B629" s="767"/>
      <c r="C629" s="767"/>
      <c r="D629" s="767"/>
      <c r="E629" s="767" t="s">
        <v>994</v>
      </c>
      <c r="F629" s="806" t="s">
        <v>1422</v>
      </c>
      <c r="G629" s="778"/>
      <c r="H629" s="815">
        <v>1560444.0640836393</v>
      </c>
      <c r="I629" s="815">
        <v>1140935.3841029417</v>
      </c>
      <c r="J629" s="815">
        <v>317426.93609341636</v>
      </c>
      <c r="K629" s="815">
        <v>81568.98288514922</v>
      </c>
      <c r="L629" s="815">
        <v>20512.761002132225</v>
      </c>
      <c r="M629" s="815">
        <v>0</v>
      </c>
      <c r="N629" s="815">
        <v>0</v>
      </c>
      <c r="O629" s="815">
        <v>0</v>
      </c>
      <c r="P629" s="772">
        <v>0</v>
      </c>
      <c r="Q629" s="774"/>
      <c r="R629" s="774">
        <v>865</v>
      </c>
      <c r="S629" s="774"/>
      <c r="T629" s="774"/>
      <c r="U629" s="774"/>
      <c r="V629" s="774"/>
    </row>
    <row r="630" spans="1:22" hidden="1">
      <c r="A630" s="786">
        <v>630</v>
      </c>
      <c r="B630" s="767"/>
      <c r="C630" s="767"/>
      <c r="D630" s="767"/>
      <c r="E630" s="767" t="s">
        <v>995</v>
      </c>
      <c r="F630" s="806" t="s">
        <v>1403</v>
      </c>
      <c r="G630" s="778"/>
      <c r="H630" s="815">
        <v>492335.50963888469</v>
      </c>
      <c r="I630" s="815">
        <v>331573.70658342168</v>
      </c>
      <c r="J630" s="815">
        <v>85294.850504316491</v>
      </c>
      <c r="K630" s="815">
        <v>37230.8042591341</v>
      </c>
      <c r="L630" s="815">
        <v>6534.9822364867341</v>
      </c>
      <c r="M630" s="815">
        <v>3836.6676295777634</v>
      </c>
      <c r="N630" s="815">
        <v>27864.498425947932</v>
      </c>
      <c r="O630" s="815">
        <v>0</v>
      </c>
      <c r="P630" s="772">
        <v>0</v>
      </c>
      <c r="Q630" s="774"/>
      <c r="R630" s="774">
        <v>866</v>
      </c>
      <c r="S630" s="774"/>
      <c r="T630" s="774"/>
      <c r="U630" s="774"/>
      <c r="V630" s="774"/>
    </row>
    <row r="631" spans="1:22" hidden="1">
      <c r="A631" s="786">
        <v>631</v>
      </c>
      <c r="B631" s="767"/>
      <c r="C631" s="767"/>
      <c r="D631" s="767"/>
      <c r="E631" s="767" t="s">
        <v>996</v>
      </c>
      <c r="F631" s="806" t="s">
        <v>1423</v>
      </c>
      <c r="G631" s="778"/>
      <c r="H631" s="815">
        <v>16888.27491198029</v>
      </c>
      <c r="I631" s="815">
        <v>0</v>
      </c>
      <c r="J631" s="815">
        <v>0</v>
      </c>
      <c r="K631" s="815">
        <v>0</v>
      </c>
      <c r="L631" s="815">
        <v>0</v>
      </c>
      <c r="M631" s="815">
        <v>0</v>
      </c>
      <c r="N631" s="815">
        <v>0</v>
      </c>
      <c r="O631" s="815">
        <v>16888.27491198029</v>
      </c>
      <c r="P631" s="772">
        <v>0</v>
      </c>
      <c r="Q631" s="774"/>
      <c r="R631" s="774">
        <v>867</v>
      </c>
      <c r="S631" s="774"/>
      <c r="T631" s="774"/>
      <c r="U631" s="774"/>
      <c r="V631" s="774"/>
    </row>
    <row r="632" spans="1:22" hidden="1">
      <c r="A632" s="786">
        <v>632</v>
      </c>
      <c r="B632" s="767"/>
      <c r="C632" s="767"/>
      <c r="D632" s="767"/>
      <c r="E632" s="767" t="s">
        <v>997</v>
      </c>
      <c r="F632" s="806" t="s">
        <v>1424</v>
      </c>
      <c r="G632" s="778"/>
      <c r="H632" s="815">
        <v>0</v>
      </c>
      <c r="I632" s="815">
        <v>0</v>
      </c>
      <c r="J632" s="815">
        <v>0</v>
      </c>
      <c r="K632" s="815">
        <v>0</v>
      </c>
      <c r="L632" s="815">
        <v>0</v>
      </c>
      <c r="M632" s="815">
        <v>0</v>
      </c>
      <c r="N632" s="815">
        <v>0</v>
      </c>
      <c r="O632" s="815">
        <v>0</v>
      </c>
      <c r="P632" s="772">
        <v>0</v>
      </c>
      <c r="Q632" s="774"/>
      <c r="R632" s="774">
        <v>868</v>
      </c>
      <c r="S632" s="774"/>
      <c r="T632" s="774"/>
      <c r="U632" s="774"/>
      <c r="V632" s="774"/>
    </row>
    <row r="633" spans="1:22" hidden="1">
      <c r="A633" s="786">
        <v>633</v>
      </c>
      <c r="B633" s="767"/>
      <c r="C633" s="767"/>
      <c r="D633" s="767"/>
      <c r="E633" s="767" t="s">
        <v>998</v>
      </c>
      <c r="F633" s="806" t="s">
        <v>1402</v>
      </c>
      <c r="G633" s="778"/>
      <c r="H633" s="815">
        <v>119374.86383537661</v>
      </c>
      <c r="I633" s="815">
        <v>0</v>
      </c>
      <c r="J633" s="815">
        <v>0</v>
      </c>
      <c r="K633" s="815">
        <v>0</v>
      </c>
      <c r="L633" s="815">
        <v>0</v>
      </c>
      <c r="M633" s="815">
        <v>0</v>
      </c>
      <c r="N633" s="815">
        <v>0</v>
      </c>
      <c r="O633" s="815">
        <v>119374.86383537661</v>
      </c>
      <c r="P633" s="772">
        <v>0</v>
      </c>
      <c r="Q633" s="774"/>
      <c r="R633" s="774">
        <v>869</v>
      </c>
      <c r="S633" s="774"/>
      <c r="T633" s="774"/>
      <c r="U633" s="774"/>
      <c r="V633" s="774"/>
    </row>
    <row r="634" spans="1:22" hidden="1">
      <c r="A634" s="786">
        <v>634</v>
      </c>
      <c r="B634" s="767"/>
      <c r="C634" s="767"/>
      <c r="D634" s="767" t="s">
        <v>999</v>
      </c>
      <c r="F634" s="806"/>
      <c r="G634" s="778"/>
      <c r="H634" s="815">
        <v>13620113.769026872</v>
      </c>
      <c r="I634" s="815">
        <v>7445548.9351344174</v>
      </c>
      <c r="J634" s="815">
        <v>2296212.9486845359</v>
      </c>
      <c r="K634" s="815">
        <v>2015182.2113068751</v>
      </c>
      <c r="L634" s="815">
        <v>756862.39883448649</v>
      </c>
      <c r="M634" s="815">
        <v>120821.95766741235</v>
      </c>
      <c r="N634" s="815">
        <v>825847.08697361185</v>
      </c>
      <c r="O634" s="815">
        <v>159638.23042553102</v>
      </c>
      <c r="P634" s="772">
        <v>0</v>
      </c>
      <c r="Q634" s="774"/>
      <c r="R634" s="774"/>
      <c r="S634" s="774"/>
      <c r="T634" s="774"/>
      <c r="U634" s="774"/>
      <c r="V634" s="774"/>
    </row>
    <row r="635" spans="1:22" hidden="1">
      <c r="A635" s="786">
        <v>635</v>
      </c>
      <c r="B635" s="767"/>
      <c r="C635" s="767"/>
      <c r="D635" s="767"/>
      <c r="F635" s="806"/>
      <c r="G635" s="778"/>
      <c r="H635" s="810"/>
      <c r="I635" s="810"/>
      <c r="J635" s="810"/>
      <c r="K635" s="810"/>
      <c r="L635" s="810"/>
      <c r="M635" s="810"/>
      <c r="N635" s="810"/>
      <c r="O635" s="810"/>
      <c r="P635" s="772"/>
      <c r="R635" s="774"/>
    </row>
    <row r="636" spans="1:22" hidden="1">
      <c r="A636" s="786">
        <v>636</v>
      </c>
      <c r="B636" s="767"/>
      <c r="C636" s="767" t="s">
        <v>1000</v>
      </c>
      <c r="D636" s="767" t="s">
        <v>1001</v>
      </c>
      <c r="E636" s="767"/>
      <c r="F636" s="806"/>
      <c r="G636" s="778"/>
      <c r="H636" s="788"/>
      <c r="I636" s="788"/>
      <c r="J636" s="788"/>
      <c r="K636" s="788"/>
      <c r="L636" s="788"/>
      <c r="M636" s="788"/>
      <c r="N636" s="788"/>
      <c r="O636" s="788"/>
      <c r="P636" s="772"/>
      <c r="R636" s="774"/>
    </row>
    <row r="637" spans="1:22" hidden="1">
      <c r="A637" s="786">
        <v>637</v>
      </c>
      <c r="B637" s="767"/>
      <c r="E637" s="767" t="s">
        <v>727</v>
      </c>
      <c r="F637" s="806" t="s">
        <v>1425</v>
      </c>
      <c r="G637" s="778"/>
      <c r="H637" s="815">
        <v>950711.49909151671</v>
      </c>
      <c r="I637" s="815">
        <v>495560.87430194515</v>
      </c>
      <c r="J637" s="815">
        <v>150329.85939754997</v>
      </c>
      <c r="K637" s="815">
        <v>155322.02021153335</v>
      </c>
      <c r="L637" s="815">
        <v>59861.75290967647</v>
      </c>
      <c r="M637" s="815">
        <v>31683.68796637917</v>
      </c>
      <c r="N637" s="815">
        <v>49789.084880623173</v>
      </c>
      <c r="O637" s="815">
        <v>8164.2194238091706</v>
      </c>
      <c r="P637" s="772">
        <v>0</v>
      </c>
      <c r="Q637" s="774"/>
      <c r="R637" s="774">
        <v>873</v>
      </c>
      <c r="S637" s="774"/>
      <c r="T637" s="774"/>
      <c r="U637" s="774"/>
      <c r="V637" s="774"/>
    </row>
    <row r="638" spans="1:22" hidden="1">
      <c r="A638" s="786">
        <v>638</v>
      </c>
      <c r="B638" s="767"/>
      <c r="C638" s="767"/>
      <c r="E638" s="767" t="s">
        <v>835</v>
      </c>
      <c r="F638" s="806" t="s">
        <v>1426</v>
      </c>
      <c r="G638" s="778"/>
      <c r="H638" s="815">
        <v>0</v>
      </c>
      <c r="I638" s="815">
        <v>0</v>
      </c>
      <c r="J638" s="815">
        <v>0</v>
      </c>
      <c r="K638" s="815">
        <v>0</v>
      </c>
      <c r="L638" s="815">
        <v>0</v>
      </c>
      <c r="M638" s="815">
        <v>0</v>
      </c>
      <c r="N638" s="815">
        <v>0</v>
      </c>
      <c r="O638" s="815">
        <v>0</v>
      </c>
      <c r="P638" s="772">
        <v>0</v>
      </c>
      <c r="Q638" s="774"/>
      <c r="R638" s="774">
        <v>874</v>
      </c>
      <c r="S638" s="774"/>
      <c r="T638" s="774"/>
      <c r="U638" s="774"/>
      <c r="V638" s="774"/>
    </row>
    <row r="639" spans="1:22" hidden="1">
      <c r="A639" s="786">
        <v>639</v>
      </c>
      <c r="B639" s="767"/>
      <c r="C639" s="767"/>
      <c r="E639" s="767" t="s">
        <v>1002</v>
      </c>
      <c r="F639" s="806" t="s">
        <v>1426</v>
      </c>
      <c r="G639" s="778"/>
      <c r="H639" s="815">
        <v>0</v>
      </c>
      <c r="I639" s="815">
        <v>0</v>
      </c>
      <c r="J639" s="815">
        <v>0</v>
      </c>
      <c r="K639" s="815">
        <v>0</v>
      </c>
      <c r="L639" s="815">
        <v>0</v>
      </c>
      <c r="M639" s="815">
        <v>0</v>
      </c>
      <c r="N639" s="815">
        <v>0</v>
      </c>
      <c r="O639" s="815">
        <v>0</v>
      </c>
      <c r="P639" s="772">
        <v>0</v>
      </c>
      <c r="Q639" s="774"/>
      <c r="R639" s="774">
        <v>875</v>
      </c>
      <c r="S639" s="774"/>
      <c r="T639" s="774"/>
      <c r="U639" s="774"/>
      <c r="V639" s="774"/>
    </row>
    <row r="640" spans="1:22" hidden="1">
      <c r="A640" s="786">
        <v>640</v>
      </c>
      <c r="C640" s="767"/>
      <c r="E640" s="767" t="s">
        <v>738</v>
      </c>
      <c r="F640" s="806" t="s">
        <v>1392</v>
      </c>
      <c r="G640" s="778"/>
      <c r="H640" s="815">
        <v>0</v>
      </c>
      <c r="I640" s="815">
        <v>0</v>
      </c>
      <c r="J640" s="815">
        <v>0</v>
      </c>
      <c r="K640" s="815">
        <v>0</v>
      </c>
      <c r="L640" s="815">
        <v>0</v>
      </c>
      <c r="M640" s="815">
        <v>0</v>
      </c>
      <c r="N640" s="815">
        <v>0</v>
      </c>
      <c r="O640" s="815">
        <v>0</v>
      </c>
      <c r="P640" s="772">
        <v>0</v>
      </c>
      <c r="Q640" s="774"/>
      <c r="R640" s="774">
        <v>876</v>
      </c>
      <c r="S640" s="774"/>
      <c r="T640" s="774"/>
      <c r="U640" s="774"/>
      <c r="V640" s="774"/>
    </row>
    <row r="641" spans="1:22" hidden="1">
      <c r="A641" s="786">
        <v>641</v>
      </c>
      <c r="C641" s="767"/>
      <c r="E641" s="767" t="s">
        <v>1003</v>
      </c>
      <c r="F641" s="806" t="s">
        <v>1410</v>
      </c>
      <c r="G641" s="778"/>
      <c r="H641" s="815">
        <v>58680.065445934095</v>
      </c>
      <c r="I641" s="815">
        <v>47846.611927028032</v>
      </c>
      <c r="J641" s="815">
        <v>8304.8373260232675</v>
      </c>
      <c r="K641" s="815">
        <v>483.36034073112569</v>
      </c>
      <c r="L641" s="815">
        <v>123.66583507279715</v>
      </c>
      <c r="M641" s="815">
        <v>1.9179755880165923</v>
      </c>
      <c r="N641" s="815">
        <v>812.79949709485857</v>
      </c>
      <c r="O641" s="815">
        <v>1106.8725443959936</v>
      </c>
      <c r="P641" s="772">
        <v>0</v>
      </c>
      <c r="Q641" s="774"/>
      <c r="R641" s="774">
        <v>877</v>
      </c>
      <c r="S641" s="774"/>
      <c r="T641" s="774"/>
      <c r="U641" s="774"/>
      <c r="V641" s="774"/>
    </row>
    <row r="642" spans="1:22" hidden="1">
      <c r="A642" s="786">
        <v>642</v>
      </c>
      <c r="C642" s="767"/>
      <c r="E642" s="767" t="s">
        <v>1004</v>
      </c>
      <c r="F642" s="806" t="s">
        <v>1426</v>
      </c>
      <c r="G642" s="778"/>
      <c r="H642" s="815">
        <v>688224.33278071217</v>
      </c>
      <c r="I642" s="815">
        <v>299115.32149701659</v>
      </c>
      <c r="J642" s="815">
        <v>91608.086514104216</v>
      </c>
      <c r="K642" s="815">
        <v>150334.17808981429</v>
      </c>
      <c r="L642" s="815">
        <v>61050.430957629877</v>
      </c>
      <c r="M642" s="815">
        <v>58964.47168987427</v>
      </c>
      <c r="N642" s="815">
        <v>26223.842871400004</v>
      </c>
      <c r="O642" s="815">
        <v>928.0011608728696</v>
      </c>
      <c r="P642" s="772">
        <v>0</v>
      </c>
      <c r="Q642" s="774"/>
      <c r="R642" s="774">
        <v>878</v>
      </c>
      <c r="S642" s="774"/>
      <c r="T642" s="774"/>
      <c r="U642" s="774"/>
      <c r="V642" s="774"/>
    </row>
    <row r="643" spans="1:22" hidden="1">
      <c r="A643" s="786">
        <v>643</v>
      </c>
      <c r="C643" s="767"/>
      <c r="E643" s="767" t="s">
        <v>1005</v>
      </c>
      <c r="F643" s="806" t="s">
        <v>1411</v>
      </c>
      <c r="G643" s="778"/>
      <c r="H643" s="815">
        <v>1197013.9756094757</v>
      </c>
      <c r="I643" s="815">
        <v>557453.87395975622</v>
      </c>
      <c r="J643" s="815">
        <v>172851.94842007381</v>
      </c>
      <c r="K643" s="815">
        <v>236736.4748949919</v>
      </c>
      <c r="L643" s="815">
        <v>94535.227170479338</v>
      </c>
      <c r="M643" s="815">
        <v>75774.404992364609</v>
      </c>
      <c r="N643" s="815">
        <v>54078.590551750036</v>
      </c>
      <c r="O643" s="815">
        <v>5583.4556200598818</v>
      </c>
      <c r="P643" s="772">
        <v>0</v>
      </c>
      <c r="Q643" s="774"/>
      <c r="R643" s="774">
        <v>879</v>
      </c>
      <c r="S643" s="774"/>
      <c r="T643" s="774"/>
      <c r="U643" s="774"/>
      <c r="V643" s="774"/>
    </row>
    <row r="644" spans="1:22" hidden="1">
      <c r="A644" s="786">
        <v>644</v>
      </c>
      <c r="C644" s="767"/>
      <c r="E644" s="767" t="s">
        <v>728</v>
      </c>
      <c r="F644" s="806" t="s">
        <v>1426</v>
      </c>
      <c r="G644" s="778"/>
      <c r="H644" s="815">
        <v>465.80667581591388</v>
      </c>
      <c r="I644" s="815">
        <v>202.44839793615398</v>
      </c>
      <c r="J644" s="815">
        <v>62.002542230060826</v>
      </c>
      <c r="K644" s="815">
        <v>101.74976446211539</v>
      </c>
      <c r="L644" s="815">
        <v>41.320390673492206</v>
      </c>
      <c r="M644" s="815">
        <v>39.908563590199826</v>
      </c>
      <c r="N644" s="815">
        <v>17.748923560564968</v>
      </c>
      <c r="O644" s="815">
        <v>0.62809336332668408</v>
      </c>
      <c r="P644" s="772">
        <v>0</v>
      </c>
      <c r="Q644" s="774"/>
      <c r="R644" s="774">
        <v>880</v>
      </c>
      <c r="S644" s="774"/>
      <c r="T644" s="774"/>
      <c r="U644" s="774"/>
      <c r="V644" s="774"/>
    </row>
    <row r="645" spans="1:22" hidden="1">
      <c r="A645" s="786">
        <v>645</v>
      </c>
      <c r="C645" s="767"/>
      <c r="E645" s="820" t="s">
        <v>718</v>
      </c>
      <c r="F645" s="806" t="s">
        <v>1426</v>
      </c>
      <c r="G645" s="778"/>
      <c r="H645" s="815">
        <v>93755.589993043803</v>
      </c>
      <c r="I645" s="815">
        <v>40747.953984136882</v>
      </c>
      <c r="J645" s="815">
        <v>12479.608450578087</v>
      </c>
      <c r="K645" s="815">
        <v>20479.760583270196</v>
      </c>
      <c r="L645" s="815">
        <v>8316.7927972490725</v>
      </c>
      <c r="M645" s="815">
        <v>8032.6262362388006</v>
      </c>
      <c r="N645" s="815">
        <v>3572.4279761499997</v>
      </c>
      <c r="O645" s="815">
        <v>126.41996542076319</v>
      </c>
      <c r="P645" s="772">
        <v>0</v>
      </c>
      <c r="Q645" s="774"/>
      <c r="R645" s="774">
        <v>881</v>
      </c>
      <c r="S645" s="774"/>
      <c r="T645" s="774"/>
      <c r="U645" s="774"/>
      <c r="V645" s="774"/>
    </row>
    <row r="646" spans="1:22" hidden="1">
      <c r="A646" s="786">
        <v>646</v>
      </c>
      <c r="C646" s="767"/>
      <c r="E646" s="820" t="s">
        <v>723</v>
      </c>
      <c r="F646" s="806" t="s">
        <v>1392</v>
      </c>
      <c r="G646" s="778"/>
      <c r="H646" s="815">
        <v>0</v>
      </c>
      <c r="I646" s="815">
        <v>0</v>
      </c>
      <c r="J646" s="815">
        <v>0</v>
      </c>
      <c r="K646" s="815">
        <v>0</v>
      </c>
      <c r="L646" s="815">
        <v>0</v>
      </c>
      <c r="M646" s="815">
        <v>0</v>
      </c>
      <c r="N646" s="815">
        <v>0</v>
      </c>
      <c r="O646" s="815">
        <v>0</v>
      </c>
      <c r="P646" s="772">
        <v>0</v>
      </c>
      <c r="Q646" s="774"/>
      <c r="R646" s="774">
        <v>882</v>
      </c>
      <c r="S646" s="774"/>
      <c r="T646" s="774"/>
      <c r="U646" s="774"/>
      <c r="V646" s="774"/>
    </row>
    <row r="647" spans="1:22" hidden="1">
      <c r="A647" s="786">
        <v>647</v>
      </c>
      <c r="C647" s="767"/>
      <c r="D647" s="767" t="s">
        <v>1006</v>
      </c>
      <c r="E647" s="767"/>
      <c r="F647" s="806"/>
      <c r="G647" s="778"/>
      <c r="H647" s="815">
        <v>2988851.269596498</v>
      </c>
      <c r="I647" s="815">
        <v>1440927.0840678189</v>
      </c>
      <c r="J647" s="815">
        <v>435636.34265055938</v>
      </c>
      <c r="K647" s="815">
        <v>563457.54388480296</v>
      </c>
      <c r="L647" s="815">
        <v>223929.19006078108</v>
      </c>
      <c r="M647" s="815">
        <v>174497.01742403506</v>
      </c>
      <c r="N647" s="815">
        <v>134494.49470057862</v>
      </c>
      <c r="O647" s="815">
        <v>15909.596807922006</v>
      </c>
      <c r="P647" s="772">
        <v>0</v>
      </c>
      <c r="Q647" s="774"/>
      <c r="R647" s="774"/>
      <c r="S647" s="774"/>
      <c r="T647" s="774"/>
      <c r="U647" s="774"/>
      <c r="V647" s="774"/>
    </row>
    <row r="648" spans="1:22" hidden="1">
      <c r="A648" s="786">
        <v>648</v>
      </c>
      <c r="B648" s="767"/>
      <c r="C648" s="767"/>
      <c r="D648" s="767"/>
      <c r="E648" s="767"/>
      <c r="F648" s="806"/>
      <c r="G648" s="778"/>
      <c r="H648" s="788"/>
      <c r="I648" s="788"/>
      <c r="J648" s="788"/>
      <c r="K648" s="788"/>
      <c r="L648" s="788"/>
      <c r="M648" s="788"/>
      <c r="N648" s="788"/>
      <c r="O648" s="788"/>
      <c r="P648" s="772"/>
      <c r="R648" s="774"/>
    </row>
    <row r="649" spans="1:22" hidden="1">
      <c r="A649" s="786">
        <v>649</v>
      </c>
      <c r="B649" s="767"/>
      <c r="C649" s="767" t="s">
        <v>1007</v>
      </c>
      <c r="D649" s="767" t="s">
        <v>1008</v>
      </c>
      <c r="E649" s="767"/>
      <c r="F649" s="806" t="s">
        <v>1426</v>
      </c>
      <c r="G649" s="778"/>
      <c r="H649" s="815">
        <v>0</v>
      </c>
      <c r="I649" s="815">
        <v>0</v>
      </c>
      <c r="J649" s="815">
        <v>0</v>
      </c>
      <c r="K649" s="815">
        <v>0</v>
      </c>
      <c r="L649" s="815">
        <v>0</v>
      </c>
      <c r="M649" s="815">
        <v>0</v>
      </c>
      <c r="N649" s="815">
        <v>0</v>
      </c>
      <c r="O649" s="815">
        <v>0</v>
      </c>
      <c r="P649" s="772">
        <v>0</v>
      </c>
      <c r="Q649" s="774"/>
      <c r="R649" s="774">
        <v>886</v>
      </c>
      <c r="S649" s="774"/>
      <c r="T649" s="774"/>
      <c r="U649" s="774"/>
      <c r="V649" s="774"/>
    </row>
    <row r="650" spans="1:22" hidden="1">
      <c r="A650" s="786">
        <v>650</v>
      </c>
      <c r="B650" s="767"/>
      <c r="F650" s="806"/>
      <c r="H650" s="813"/>
      <c r="I650" s="813"/>
      <c r="J650" s="813"/>
      <c r="K650" s="813"/>
      <c r="L650" s="813"/>
      <c r="M650" s="813"/>
      <c r="N650" s="813"/>
      <c r="O650" s="813"/>
      <c r="P650" s="772"/>
      <c r="R650" s="774"/>
    </row>
    <row r="651" spans="1:22" hidden="1">
      <c r="A651" s="786">
        <v>651</v>
      </c>
      <c r="B651" s="767"/>
      <c r="C651" s="767" t="s">
        <v>1009</v>
      </c>
      <c r="D651" s="767" t="s">
        <v>1010</v>
      </c>
      <c r="E651" s="767"/>
      <c r="F651" s="806" t="s">
        <v>1392</v>
      </c>
      <c r="G651" s="778"/>
      <c r="H651" s="815">
        <v>0</v>
      </c>
      <c r="I651" s="815">
        <v>0</v>
      </c>
      <c r="J651" s="815">
        <v>0</v>
      </c>
      <c r="K651" s="815">
        <v>0</v>
      </c>
      <c r="L651" s="815">
        <v>0</v>
      </c>
      <c r="M651" s="815">
        <v>0</v>
      </c>
      <c r="N651" s="815">
        <v>0</v>
      </c>
      <c r="O651" s="815">
        <v>0</v>
      </c>
      <c r="P651" s="772">
        <v>0</v>
      </c>
      <c r="Q651" s="774"/>
      <c r="R651" s="774">
        <v>890</v>
      </c>
      <c r="S651" s="774"/>
      <c r="T651" s="774"/>
      <c r="U651" s="774"/>
      <c r="V651" s="774"/>
    </row>
    <row r="652" spans="1:22" hidden="1">
      <c r="A652" s="786">
        <v>652</v>
      </c>
      <c r="B652" s="767"/>
      <c r="C652" s="767"/>
      <c r="D652" s="767"/>
      <c r="E652" s="767"/>
      <c r="F652" s="806"/>
      <c r="G652" s="778"/>
      <c r="H652" s="788"/>
      <c r="I652" s="788"/>
      <c r="J652" s="788"/>
      <c r="K652" s="788"/>
      <c r="L652" s="788"/>
      <c r="M652" s="788"/>
      <c r="N652" s="788"/>
      <c r="O652" s="788"/>
      <c r="P652" s="772"/>
      <c r="R652" s="774"/>
    </row>
    <row r="653" spans="1:22" hidden="1">
      <c r="A653" s="786">
        <v>653</v>
      </c>
      <c r="B653" s="767"/>
      <c r="C653" s="767" t="s">
        <v>1011</v>
      </c>
      <c r="D653" s="767" t="s">
        <v>1012</v>
      </c>
      <c r="E653" s="767"/>
      <c r="F653" s="806" t="s">
        <v>1392</v>
      </c>
      <c r="G653" s="778"/>
      <c r="H653" s="808">
        <v>0</v>
      </c>
      <c r="I653" s="808">
        <v>0</v>
      </c>
      <c r="J653" s="808">
        <v>0</v>
      </c>
      <c r="K653" s="808">
        <v>0</v>
      </c>
      <c r="L653" s="808">
        <v>0</v>
      </c>
      <c r="M653" s="808">
        <v>0</v>
      </c>
      <c r="N653" s="808">
        <v>0</v>
      </c>
      <c r="O653" s="808">
        <v>0</v>
      </c>
      <c r="P653" s="772">
        <v>0</v>
      </c>
      <c r="Q653" s="774"/>
      <c r="R653" s="774">
        <v>896</v>
      </c>
      <c r="S653" s="774"/>
      <c r="T653" s="774"/>
      <c r="U653" s="774"/>
      <c r="V653" s="774"/>
    </row>
    <row r="654" spans="1:22" hidden="1">
      <c r="A654" s="786">
        <v>654</v>
      </c>
      <c r="B654" s="767"/>
      <c r="C654" s="767"/>
      <c r="D654" s="767"/>
      <c r="E654" s="767"/>
      <c r="F654" s="806"/>
      <c r="G654" s="778"/>
      <c r="H654" s="810"/>
      <c r="I654" s="810"/>
      <c r="J654" s="810"/>
      <c r="K654" s="810"/>
      <c r="L654" s="810"/>
      <c r="M654" s="810"/>
      <c r="N654" s="810"/>
      <c r="O654" s="810"/>
      <c r="P654" s="772"/>
      <c r="R654" s="774"/>
    </row>
    <row r="655" spans="1:22" hidden="1">
      <c r="A655" s="786">
        <v>655</v>
      </c>
      <c r="B655" s="767"/>
      <c r="C655" s="767"/>
      <c r="D655" s="767"/>
      <c r="E655" s="767"/>
      <c r="F655" s="806"/>
      <c r="G655" s="778"/>
      <c r="H655" s="788"/>
      <c r="I655" s="788"/>
      <c r="J655" s="788"/>
      <c r="K655" s="788"/>
      <c r="L655" s="788"/>
      <c r="M655" s="788"/>
      <c r="N655" s="788"/>
      <c r="O655" s="788"/>
      <c r="P655" s="772"/>
      <c r="R655" s="774"/>
    </row>
    <row r="656" spans="1:22" ht="13.5" hidden="1" thickBot="1">
      <c r="A656" s="786">
        <v>656</v>
      </c>
      <c r="C656" s="767" t="s">
        <v>1013</v>
      </c>
      <c r="D656" s="767"/>
      <c r="E656" s="767"/>
      <c r="F656" s="806"/>
      <c r="G656" s="778"/>
      <c r="H656" s="814">
        <v>117309607.36845624</v>
      </c>
      <c r="I656" s="814">
        <v>51339764.967835687</v>
      </c>
      <c r="J656" s="814">
        <v>16178312.501946941</v>
      </c>
      <c r="K656" s="814">
        <v>25244963.592537418</v>
      </c>
      <c r="L656" s="814">
        <v>10213863.316718927</v>
      </c>
      <c r="M656" s="814">
        <v>9063817.9489638619</v>
      </c>
      <c r="N656" s="814">
        <v>4936626.4918527426</v>
      </c>
      <c r="O656" s="814">
        <v>332258.54860065493</v>
      </c>
      <c r="P656" s="772">
        <v>0</v>
      </c>
      <c r="Q656" s="774"/>
      <c r="R656" s="774"/>
      <c r="S656" s="774"/>
      <c r="T656" s="774"/>
      <c r="U656" s="774"/>
      <c r="V656" s="774"/>
    </row>
    <row r="657" spans="1:21" ht="13.5" hidden="1" thickTop="1">
      <c r="A657" s="786">
        <v>657</v>
      </c>
      <c r="F657" s="806"/>
      <c r="H657" s="813"/>
      <c r="I657" s="813"/>
      <c r="J657" s="813"/>
      <c r="K657" s="813"/>
      <c r="L657" s="813"/>
      <c r="M657" s="813"/>
      <c r="N657" s="813"/>
      <c r="O657" s="813"/>
      <c r="P657" s="772"/>
      <c r="R657" s="774"/>
    </row>
    <row r="658" spans="1:21" hidden="1">
      <c r="A658" s="786">
        <v>658</v>
      </c>
      <c r="B658" s="767"/>
      <c r="C658" s="769"/>
      <c r="D658" s="769"/>
      <c r="E658" s="769"/>
      <c r="F658" s="806"/>
      <c r="H658" s="817" t="s">
        <v>1014</v>
      </c>
      <c r="I658" s="817"/>
      <c r="J658" s="819"/>
      <c r="K658" s="819"/>
      <c r="L658" s="819"/>
      <c r="M658" s="819"/>
      <c r="N658" s="819"/>
      <c r="O658" s="819"/>
      <c r="P658" s="772"/>
      <c r="R658" s="774"/>
    </row>
    <row r="659" spans="1:21" hidden="1">
      <c r="A659" s="786">
        <v>659</v>
      </c>
      <c r="B659" s="767"/>
      <c r="F659" s="806"/>
      <c r="H659" s="813"/>
      <c r="I659" s="813"/>
      <c r="J659" s="813"/>
      <c r="K659" s="813"/>
      <c r="L659" s="813"/>
      <c r="M659" s="813"/>
      <c r="N659" s="813"/>
      <c r="O659" s="813"/>
      <c r="P659" s="772"/>
      <c r="R659" s="774"/>
    </row>
    <row r="660" spans="1:21" hidden="1">
      <c r="A660" s="786">
        <v>660</v>
      </c>
      <c r="B660" s="767"/>
      <c r="F660" s="806"/>
      <c r="H660" s="813"/>
      <c r="I660" s="813"/>
      <c r="J660" s="813"/>
      <c r="K660" s="813"/>
      <c r="L660" s="813"/>
      <c r="M660" s="813"/>
      <c r="N660" s="813"/>
      <c r="O660" s="813"/>
      <c r="P660" s="772"/>
      <c r="R660" s="774"/>
    </row>
    <row r="661" spans="1:21" hidden="1">
      <c r="A661" s="786">
        <v>661</v>
      </c>
      <c r="B661" s="767"/>
      <c r="C661" s="767" t="s">
        <v>1015</v>
      </c>
      <c r="D661" s="767" t="s">
        <v>1016</v>
      </c>
      <c r="E661" s="767"/>
      <c r="F661" s="806"/>
      <c r="G661" s="778"/>
      <c r="H661" s="810"/>
      <c r="I661" s="810"/>
      <c r="J661" s="810"/>
      <c r="K661" s="810"/>
      <c r="L661" s="810"/>
      <c r="M661" s="810"/>
      <c r="N661" s="810"/>
      <c r="O661" s="810"/>
      <c r="P661" s="772"/>
      <c r="R661" s="774"/>
    </row>
    <row r="662" spans="1:21" hidden="1">
      <c r="A662" s="786">
        <v>662</v>
      </c>
      <c r="B662" s="767"/>
      <c r="D662" s="767"/>
      <c r="E662" s="767" t="s">
        <v>727</v>
      </c>
      <c r="F662" s="806" t="s">
        <v>1396</v>
      </c>
      <c r="G662" s="778"/>
      <c r="H662" s="815">
        <v>80507.37</v>
      </c>
      <c r="I662" s="815">
        <v>35925.703835732143</v>
      </c>
      <c r="J662" s="815">
        <v>10685.943612474097</v>
      </c>
      <c r="K662" s="815">
        <v>17108.787596094498</v>
      </c>
      <c r="L662" s="815">
        <v>6927.6674069820247</v>
      </c>
      <c r="M662" s="815">
        <v>6797.2064929216076</v>
      </c>
      <c r="N662" s="815">
        <v>2968.4160945868502</v>
      </c>
      <c r="O662" s="815">
        <v>93.644961208781567</v>
      </c>
      <c r="P662" s="772">
        <v>0</v>
      </c>
      <c r="Q662" s="774"/>
      <c r="R662" s="774">
        <v>901</v>
      </c>
      <c r="S662" s="787"/>
      <c r="T662" s="787"/>
      <c r="U662" s="787"/>
    </row>
    <row r="663" spans="1:21" hidden="1">
      <c r="A663" s="786">
        <v>663</v>
      </c>
      <c r="B663" s="767"/>
      <c r="D663" s="767"/>
      <c r="E663" s="767" t="s">
        <v>1017</v>
      </c>
      <c r="F663" s="806" t="s">
        <v>1392</v>
      </c>
      <c r="G663" s="778"/>
      <c r="H663" s="815">
        <v>0</v>
      </c>
      <c r="I663" s="815">
        <v>0</v>
      </c>
      <c r="J663" s="815">
        <v>0</v>
      </c>
      <c r="K663" s="815">
        <v>0</v>
      </c>
      <c r="L663" s="815">
        <v>0</v>
      </c>
      <c r="M663" s="815">
        <v>0</v>
      </c>
      <c r="N663" s="815">
        <v>0</v>
      </c>
      <c r="O663" s="815">
        <v>0</v>
      </c>
      <c r="P663" s="772">
        <v>0</v>
      </c>
      <c r="Q663" s="774"/>
      <c r="R663" s="774">
        <v>902</v>
      </c>
      <c r="S663" s="787"/>
      <c r="T663" s="787"/>
      <c r="U663" s="787"/>
    </row>
    <row r="664" spans="1:21" hidden="1">
      <c r="A664" s="786">
        <v>664</v>
      </c>
      <c r="B664" s="767"/>
      <c r="C664" s="767"/>
      <c r="D664" s="767"/>
      <c r="E664" s="767" t="s">
        <v>1005</v>
      </c>
      <c r="F664" s="806" t="s">
        <v>1411</v>
      </c>
      <c r="G664" s="778"/>
      <c r="H664" s="815">
        <v>19056.665592395184</v>
      </c>
      <c r="I664" s="815">
        <v>8874.7602581894116</v>
      </c>
      <c r="J664" s="815">
        <v>2751.8323471186814</v>
      </c>
      <c r="K664" s="815">
        <v>3768.8848480647639</v>
      </c>
      <c r="L664" s="815">
        <v>1505.0168566091006</v>
      </c>
      <c r="M664" s="815">
        <v>1206.3413843326068</v>
      </c>
      <c r="N664" s="815">
        <v>860.94033724881092</v>
      </c>
      <c r="O664" s="815">
        <v>88.889560831806179</v>
      </c>
      <c r="P664" s="772">
        <v>0</v>
      </c>
      <c r="Q664" s="774"/>
      <c r="R664" s="774">
        <v>903</v>
      </c>
      <c r="S664" s="787"/>
      <c r="T664" s="787"/>
      <c r="U664" s="787"/>
    </row>
    <row r="665" spans="1:21" hidden="1">
      <c r="A665" s="786">
        <v>665</v>
      </c>
      <c r="B665" s="767"/>
      <c r="C665" s="767"/>
      <c r="D665" s="767"/>
      <c r="E665" s="767" t="s">
        <v>1002</v>
      </c>
      <c r="F665" s="806" t="s">
        <v>1392</v>
      </c>
      <c r="G665" s="778"/>
      <c r="H665" s="815">
        <v>0</v>
      </c>
      <c r="I665" s="815">
        <v>0</v>
      </c>
      <c r="J665" s="815">
        <v>0</v>
      </c>
      <c r="K665" s="815">
        <v>0</v>
      </c>
      <c r="L665" s="815">
        <v>0</v>
      </c>
      <c r="M665" s="815">
        <v>0</v>
      </c>
      <c r="N665" s="815">
        <v>0</v>
      </c>
      <c r="O665" s="815">
        <v>0</v>
      </c>
      <c r="P665" s="772">
        <v>0</v>
      </c>
      <c r="Q665" s="774"/>
      <c r="R665" s="774">
        <v>904</v>
      </c>
      <c r="S665" s="787"/>
      <c r="T665" s="787"/>
      <c r="U665" s="787"/>
    </row>
    <row r="666" spans="1:21" hidden="1">
      <c r="A666" s="786">
        <v>666</v>
      </c>
      <c r="B666" s="767"/>
      <c r="D666" s="767"/>
      <c r="E666" s="767" t="s">
        <v>1003</v>
      </c>
      <c r="F666" s="806" t="s">
        <v>1410</v>
      </c>
      <c r="G666" s="778"/>
      <c r="H666" s="815">
        <v>0</v>
      </c>
      <c r="I666" s="815">
        <v>0</v>
      </c>
      <c r="J666" s="815">
        <v>0</v>
      </c>
      <c r="K666" s="815">
        <v>0</v>
      </c>
      <c r="L666" s="815">
        <v>0</v>
      </c>
      <c r="M666" s="815">
        <v>0</v>
      </c>
      <c r="N666" s="815">
        <v>0</v>
      </c>
      <c r="O666" s="815">
        <v>0</v>
      </c>
      <c r="P666" s="772">
        <v>0</v>
      </c>
      <c r="Q666" s="774"/>
      <c r="R666" s="774">
        <v>905</v>
      </c>
      <c r="S666" s="787"/>
      <c r="T666" s="787"/>
      <c r="U666" s="787"/>
    </row>
    <row r="667" spans="1:21" hidden="1">
      <c r="A667" s="786">
        <v>667</v>
      </c>
      <c r="B667" s="767"/>
      <c r="C667" s="767"/>
      <c r="D667" s="767"/>
      <c r="E667" s="767" t="s">
        <v>835</v>
      </c>
      <c r="F667" s="806" t="s">
        <v>1392</v>
      </c>
      <c r="G667" s="778"/>
      <c r="H667" s="815">
        <v>0</v>
      </c>
      <c r="I667" s="815">
        <v>0</v>
      </c>
      <c r="J667" s="815">
        <v>0</v>
      </c>
      <c r="K667" s="815">
        <v>0</v>
      </c>
      <c r="L667" s="815">
        <v>0</v>
      </c>
      <c r="M667" s="815">
        <v>0</v>
      </c>
      <c r="N667" s="815">
        <v>0</v>
      </c>
      <c r="O667" s="815">
        <v>0</v>
      </c>
      <c r="P667" s="772">
        <v>0</v>
      </c>
      <c r="Q667" s="774"/>
      <c r="R667" s="774">
        <v>906</v>
      </c>
      <c r="S667" s="787"/>
      <c r="T667" s="787"/>
      <c r="U667" s="787"/>
    </row>
    <row r="668" spans="1:21" hidden="1">
      <c r="A668" s="786">
        <v>668</v>
      </c>
      <c r="D668" s="767"/>
      <c r="E668" s="767" t="s">
        <v>788</v>
      </c>
      <c r="F668" s="806" t="s">
        <v>1392</v>
      </c>
      <c r="H668" s="823">
        <v>0</v>
      </c>
      <c r="I668" s="823">
        <v>0</v>
      </c>
      <c r="J668" s="823">
        <v>0</v>
      </c>
      <c r="K668" s="823">
        <v>0</v>
      </c>
      <c r="L668" s="823">
        <v>0</v>
      </c>
      <c r="M668" s="823">
        <v>0</v>
      </c>
      <c r="N668" s="823">
        <v>0</v>
      </c>
      <c r="O668" s="823">
        <v>0</v>
      </c>
      <c r="P668" s="772">
        <v>0</v>
      </c>
      <c r="R668" s="774">
        <v>907</v>
      </c>
    </row>
    <row r="669" spans="1:21" hidden="1">
      <c r="A669" s="786">
        <v>669</v>
      </c>
      <c r="B669" s="767"/>
      <c r="C669" s="767"/>
      <c r="D669" s="767" t="s">
        <v>1018</v>
      </c>
      <c r="E669" s="767"/>
      <c r="F669" s="806"/>
      <c r="G669" s="778"/>
      <c r="H669" s="788">
        <v>99564.035592395172</v>
      </c>
      <c r="I669" s="788">
        <v>44800.464093921546</v>
      </c>
      <c r="J669" s="788">
        <v>13437.77595959278</v>
      </c>
      <c r="K669" s="788">
        <v>20877.67244415926</v>
      </c>
      <c r="L669" s="788">
        <v>8432.6842635911253</v>
      </c>
      <c r="M669" s="788">
        <v>8003.5478772542119</v>
      </c>
      <c r="N669" s="788">
        <v>3829.3564318356612</v>
      </c>
      <c r="O669" s="788">
        <v>182.53452204058777</v>
      </c>
      <c r="P669" s="772">
        <v>0</v>
      </c>
      <c r="Q669" s="774"/>
      <c r="R669" s="774"/>
      <c r="S669" s="787"/>
      <c r="T669" s="787"/>
      <c r="U669" s="787"/>
    </row>
    <row r="670" spans="1:21" hidden="1">
      <c r="A670" s="786">
        <v>670</v>
      </c>
      <c r="B670" s="767"/>
      <c r="C670" s="767"/>
      <c r="D670" s="767"/>
      <c r="E670" s="767"/>
      <c r="F670" s="806"/>
      <c r="G670" s="778"/>
      <c r="H670" s="788"/>
      <c r="I670" s="788"/>
      <c r="J670" s="788"/>
      <c r="K670" s="788"/>
      <c r="L670" s="788"/>
      <c r="M670" s="788"/>
      <c r="N670" s="788"/>
      <c r="O670" s="788"/>
      <c r="P670" s="772"/>
      <c r="R670" s="774"/>
      <c r="S670" s="775"/>
      <c r="T670" s="775"/>
      <c r="U670" s="775"/>
    </row>
    <row r="671" spans="1:21" hidden="1">
      <c r="A671" s="786">
        <v>671</v>
      </c>
      <c r="B671" s="767"/>
      <c r="C671" s="767" t="s">
        <v>1019</v>
      </c>
      <c r="D671" s="767" t="s">
        <v>1020</v>
      </c>
      <c r="E671" s="767"/>
      <c r="F671" s="806" t="s">
        <v>1392</v>
      </c>
      <c r="G671" s="778"/>
      <c r="H671" s="815">
        <v>0</v>
      </c>
      <c r="I671" s="815">
        <v>0</v>
      </c>
      <c r="J671" s="815">
        <v>0</v>
      </c>
      <c r="K671" s="815">
        <v>0</v>
      </c>
      <c r="L671" s="815">
        <v>0</v>
      </c>
      <c r="M671" s="815">
        <v>0</v>
      </c>
      <c r="N671" s="815">
        <v>0</v>
      </c>
      <c r="O671" s="815">
        <v>0</v>
      </c>
      <c r="P671" s="772">
        <v>0</v>
      </c>
      <c r="Q671" s="774"/>
      <c r="R671" s="774">
        <v>913</v>
      </c>
      <c r="S671" s="787"/>
      <c r="T671" s="787"/>
      <c r="U671" s="787"/>
    </row>
    <row r="672" spans="1:21" hidden="1">
      <c r="A672" s="786">
        <v>672</v>
      </c>
      <c r="B672" s="767"/>
      <c r="C672" s="767"/>
      <c r="D672" s="767"/>
      <c r="E672" s="767"/>
      <c r="F672" s="806"/>
      <c r="G672" s="778"/>
      <c r="H672" s="788"/>
      <c r="I672" s="788"/>
      <c r="J672" s="788"/>
      <c r="K672" s="788"/>
      <c r="L672" s="788"/>
      <c r="M672" s="788"/>
      <c r="N672" s="788"/>
      <c r="O672" s="788"/>
      <c r="P672" s="772"/>
      <c r="R672" s="774"/>
      <c r="S672" s="775"/>
      <c r="T672" s="775"/>
      <c r="U672" s="775"/>
    </row>
    <row r="673" spans="1:21" hidden="1">
      <c r="A673" s="786">
        <v>673</v>
      </c>
      <c r="B673" s="767"/>
      <c r="C673" s="767" t="s">
        <v>1021</v>
      </c>
      <c r="D673" s="767" t="s">
        <v>1022</v>
      </c>
      <c r="E673" s="767"/>
      <c r="F673" s="806"/>
      <c r="G673" s="778"/>
      <c r="H673" s="810"/>
      <c r="I673" s="810"/>
      <c r="J673" s="810"/>
      <c r="K673" s="810"/>
      <c r="L673" s="810"/>
      <c r="M673" s="810"/>
      <c r="N673" s="810"/>
      <c r="O673" s="810"/>
      <c r="P673" s="772"/>
      <c r="R673" s="774"/>
      <c r="S673" s="767"/>
      <c r="T673" s="767"/>
      <c r="U673" s="767"/>
    </row>
    <row r="674" spans="1:21" hidden="1">
      <c r="A674" s="786">
        <v>674</v>
      </c>
      <c r="B674" s="767"/>
      <c r="D674" s="767"/>
      <c r="E674" s="767" t="s">
        <v>727</v>
      </c>
      <c r="F674" s="806" t="s">
        <v>1425</v>
      </c>
      <c r="G674" s="778"/>
      <c r="H674" s="815">
        <v>3023.6000000000008</v>
      </c>
      <c r="I674" s="815">
        <v>790.24652572821606</v>
      </c>
      <c r="J674" s="815">
        <v>312.52092157666857</v>
      </c>
      <c r="K674" s="815">
        <v>969.41612455716643</v>
      </c>
      <c r="L674" s="815">
        <v>410.78729680166271</v>
      </c>
      <c r="M674" s="815">
        <v>480.67438918910074</v>
      </c>
      <c r="N674" s="815">
        <v>80.647362784510648</v>
      </c>
      <c r="O674" s="815">
        <v>-20.692620637322221</v>
      </c>
      <c r="P674" s="772">
        <v>0</v>
      </c>
      <c r="Q674" s="774"/>
      <c r="R674" s="774">
        <v>916</v>
      </c>
      <c r="S674" s="787"/>
      <c r="T674" s="787"/>
      <c r="U674" s="787"/>
    </row>
    <row r="675" spans="1:21" hidden="1">
      <c r="A675" s="786">
        <v>675</v>
      </c>
      <c r="B675" s="767"/>
      <c r="C675" s="767"/>
      <c r="D675" s="767"/>
      <c r="E675" s="767" t="s">
        <v>738</v>
      </c>
      <c r="F675" s="806" t="s">
        <v>1392</v>
      </c>
      <c r="G675" s="778"/>
      <c r="H675" s="815">
        <v>0</v>
      </c>
      <c r="I675" s="815">
        <v>0</v>
      </c>
      <c r="J675" s="815">
        <v>0</v>
      </c>
      <c r="K675" s="815">
        <v>0</v>
      </c>
      <c r="L675" s="815">
        <v>0</v>
      </c>
      <c r="M675" s="815">
        <v>0</v>
      </c>
      <c r="N675" s="815">
        <v>0</v>
      </c>
      <c r="O675" s="815">
        <v>0</v>
      </c>
      <c r="P675" s="772">
        <v>0</v>
      </c>
      <c r="Q675" s="774"/>
      <c r="R675" s="774">
        <v>917</v>
      </c>
      <c r="S675" s="787"/>
      <c r="T675" s="787"/>
      <c r="U675" s="787"/>
    </row>
    <row r="676" spans="1:21" hidden="1">
      <c r="A676" s="786">
        <v>676</v>
      </c>
      <c r="B676" s="767"/>
      <c r="C676" s="767"/>
      <c r="D676" s="767"/>
      <c r="E676" s="767" t="s">
        <v>1017</v>
      </c>
      <c r="F676" s="806" t="s">
        <v>1426</v>
      </c>
      <c r="G676" s="778"/>
      <c r="H676" s="815">
        <v>281345.59732807055</v>
      </c>
      <c r="I676" s="815">
        <v>118984.5409371893</v>
      </c>
      <c r="J676" s="815">
        <v>37555.700219824816</v>
      </c>
      <c r="K676" s="815">
        <v>63135.756158659664</v>
      </c>
      <c r="L676" s="815">
        <v>25710.345333901929</v>
      </c>
      <c r="M676" s="815">
        <v>24457.906674290789</v>
      </c>
      <c r="N676" s="815">
        <v>11069.494729492701</v>
      </c>
      <c r="O676" s="815">
        <v>431.85327471136674</v>
      </c>
      <c r="P676" s="772">
        <v>0</v>
      </c>
      <c r="Q676" s="774"/>
      <c r="R676" s="774">
        <v>918</v>
      </c>
      <c r="S676" s="787"/>
      <c r="T676" s="787"/>
      <c r="U676" s="787"/>
    </row>
    <row r="677" spans="1:21" hidden="1">
      <c r="A677" s="786">
        <v>677</v>
      </c>
      <c r="B677" s="767"/>
      <c r="C677" s="767"/>
      <c r="D677" s="767"/>
      <c r="E677" s="767" t="s">
        <v>1005</v>
      </c>
      <c r="F677" s="806" t="s">
        <v>1411</v>
      </c>
      <c r="G677" s="778"/>
      <c r="H677" s="815">
        <v>1101916.1325233215</v>
      </c>
      <c r="I677" s="815">
        <v>513166.45366743952</v>
      </c>
      <c r="J677" s="815">
        <v>159119.57118561532</v>
      </c>
      <c r="K677" s="815">
        <v>217928.73446667287</v>
      </c>
      <c r="L677" s="815">
        <v>87024.791717965301</v>
      </c>
      <c r="M677" s="815">
        <v>69754.439793343801</v>
      </c>
      <c r="N677" s="815">
        <v>49782.268684670576</v>
      </c>
      <c r="O677" s="815">
        <v>5139.8730076141019</v>
      </c>
      <c r="P677" s="772">
        <v>0</v>
      </c>
      <c r="Q677" s="774"/>
      <c r="R677" s="774">
        <v>919</v>
      </c>
      <c r="S677" s="787"/>
      <c r="T677" s="787"/>
      <c r="U677" s="787"/>
    </row>
    <row r="678" spans="1:21" hidden="1">
      <c r="A678" s="786">
        <v>678</v>
      </c>
      <c r="B678" s="767"/>
      <c r="C678" s="767"/>
      <c r="D678" s="767"/>
      <c r="E678" s="767" t="s">
        <v>1003</v>
      </c>
      <c r="F678" s="806" t="s">
        <v>1410</v>
      </c>
      <c r="G678" s="778"/>
      <c r="H678" s="815">
        <v>738703.81661462539</v>
      </c>
      <c r="I678" s="815">
        <v>602325.0753723121</v>
      </c>
      <c r="J678" s="815">
        <v>104546.83345146244</v>
      </c>
      <c r="K678" s="815">
        <v>6084.8624790170334</v>
      </c>
      <c r="L678" s="815">
        <v>1556.7880447795208</v>
      </c>
      <c r="M678" s="815">
        <v>24.144756422382404</v>
      </c>
      <c r="N678" s="815">
        <v>10232.06238922187</v>
      </c>
      <c r="O678" s="815">
        <v>13934.050121409951</v>
      </c>
      <c r="P678" s="772">
        <v>0</v>
      </c>
      <c r="Q678" s="774"/>
      <c r="R678" s="774">
        <v>920</v>
      </c>
      <c r="S678" s="787"/>
      <c r="T678" s="787"/>
      <c r="U678" s="787"/>
    </row>
    <row r="679" spans="1:21" hidden="1">
      <c r="A679" s="786">
        <v>679</v>
      </c>
      <c r="B679" s="767"/>
      <c r="C679" s="767"/>
      <c r="D679" s="767"/>
      <c r="E679" s="767" t="s">
        <v>835</v>
      </c>
      <c r="F679" s="806" t="s">
        <v>1392</v>
      </c>
      <c r="G679" s="778"/>
      <c r="H679" s="815">
        <v>0</v>
      </c>
      <c r="I679" s="815">
        <v>0</v>
      </c>
      <c r="J679" s="815">
        <v>0</v>
      </c>
      <c r="K679" s="815">
        <v>0</v>
      </c>
      <c r="L679" s="815">
        <v>0</v>
      </c>
      <c r="M679" s="815">
        <v>0</v>
      </c>
      <c r="N679" s="815">
        <v>0</v>
      </c>
      <c r="O679" s="815">
        <v>0</v>
      </c>
      <c r="P679" s="772">
        <v>0</v>
      </c>
      <c r="Q679" s="774"/>
      <c r="R679" s="774">
        <v>921</v>
      </c>
      <c r="S679" s="787"/>
      <c r="T679" s="787"/>
      <c r="U679" s="787"/>
    </row>
    <row r="680" spans="1:21" hidden="1">
      <c r="A680" s="786">
        <v>680</v>
      </c>
      <c r="B680" s="767"/>
      <c r="C680" s="767"/>
      <c r="D680" s="767"/>
      <c r="E680" s="767" t="s">
        <v>1002</v>
      </c>
      <c r="F680" s="806" t="s">
        <v>1392</v>
      </c>
      <c r="G680" s="778"/>
      <c r="H680" s="815">
        <v>0</v>
      </c>
      <c r="I680" s="815">
        <v>0</v>
      </c>
      <c r="J680" s="815">
        <v>0</v>
      </c>
      <c r="K680" s="815">
        <v>0</v>
      </c>
      <c r="L680" s="815">
        <v>0</v>
      </c>
      <c r="M680" s="815">
        <v>0</v>
      </c>
      <c r="N680" s="815">
        <v>0</v>
      </c>
      <c r="O680" s="815">
        <v>0</v>
      </c>
      <c r="P680" s="772">
        <v>0</v>
      </c>
      <c r="Q680" s="774"/>
      <c r="R680" s="774">
        <v>922</v>
      </c>
      <c r="S680" s="787"/>
      <c r="T680" s="787"/>
      <c r="U680" s="787"/>
    </row>
    <row r="681" spans="1:21" hidden="1">
      <c r="A681" s="786">
        <v>681</v>
      </c>
      <c r="B681" s="767"/>
      <c r="C681" s="767"/>
      <c r="D681" s="767"/>
      <c r="E681" s="767" t="s">
        <v>728</v>
      </c>
      <c r="F681" s="806" t="s">
        <v>1392</v>
      </c>
      <c r="G681" s="778"/>
      <c r="H681" s="815">
        <v>0</v>
      </c>
      <c r="I681" s="815">
        <v>0</v>
      </c>
      <c r="J681" s="815">
        <v>0</v>
      </c>
      <c r="K681" s="815">
        <v>0</v>
      </c>
      <c r="L681" s="815">
        <v>0</v>
      </c>
      <c r="M681" s="815">
        <v>0</v>
      </c>
      <c r="N681" s="815">
        <v>0</v>
      </c>
      <c r="O681" s="815">
        <v>0</v>
      </c>
      <c r="P681" s="772">
        <v>0</v>
      </c>
      <c r="Q681" s="774"/>
      <c r="R681" s="774">
        <v>923</v>
      </c>
      <c r="S681" s="787"/>
      <c r="T681" s="787"/>
      <c r="U681" s="787"/>
    </row>
    <row r="682" spans="1:21" hidden="1">
      <c r="A682" s="786">
        <v>682</v>
      </c>
      <c r="E682" s="767" t="s">
        <v>719</v>
      </c>
      <c r="F682" s="806" t="s">
        <v>1426</v>
      </c>
      <c r="H682" s="815">
        <v>519890.58234160021</v>
      </c>
      <c r="I682" s="815">
        <v>219868.17232953195</v>
      </c>
      <c r="J682" s="815">
        <v>69398.117628134787</v>
      </c>
      <c r="K682" s="815">
        <v>116666.78045659236</v>
      </c>
      <c r="L682" s="815">
        <v>47509.420921413868</v>
      </c>
      <c r="M682" s="815">
        <v>45195.074899026687</v>
      </c>
      <c r="N682" s="815">
        <v>20455.006638801424</v>
      </c>
      <c r="O682" s="815">
        <v>798.00946809917946</v>
      </c>
      <c r="P682" s="772">
        <v>0</v>
      </c>
      <c r="R682" s="774">
        <v>924</v>
      </c>
    </row>
    <row r="683" spans="1:21" hidden="1">
      <c r="A683" s="786">
        <v>683</v>
      </c>
      <c r="C683" s="767"/>
      <c r="D683" s="767"/>
      <c r="E683" s="767" t="s">
        <v>718</v>
      </c>
      <c r="F683" s="806" t="s">
        <v>1426</v>
      </c>
      <c r="G683" s="778"/>
      <c r="H683" s="815">
        <v>48447.124171576521</v>
      </c>
      <c r="I683" s="815">
        <v>20488.889408709103</v>
      </c>
      <c r="J683" s="815">
        <v>6467.0131296873287</v>
      </c>
      <c r="K683" s="815">
        <v>10871.845329494277</v>
      </c>
      <c r="L683" s="815">
        <v>4427.2677614826989</v>
      </c>
      <c r="M683" s="815">
        <v>4211.6004404522246</v>
      </c>
      <c r="N683" s="815">
        <v>1906.1438699216433</v>
      </c>
      <c r="O683" s="815">
        <v>74.364231829250258</v>
      </c>
      <c r="P683" s="772">
        <v>0</v>
      </c>
      <c r="Q683" s="774"/>
      <c r="R683" s="774">
        <v>925</v>
      </c>
      <c r="S683" s="787"/>
      <c r="T683" s="787"/>
      <c r="U683" s="787"/>
    </row>
    <row r="684" spans="1:21" hidden="1">
      <c r="A684" s="786">
        <v>684</v>
      </c>
      <c r="B684" s="767"/>
      <c r="C684" s="767"/>
      <c r="D684" s="767" t="s">
        <v>1023</v>
      </c>
      <c r="E684" s="767"/>
      <c r="F684" s="806"/>
      <c r="G684" s="778"/>
      <c r="H684" s="815">
        <v>2693326.8529791944</v>
      </c>
      <c r="I684" s="815">
        <v>1475623.3782409104</v>
      </c>
      <c r="J684" s="815">
        <v>377399.7565363014</v>
      </c>
      <c r="K684" s="815">
        <v>415657.39501499338</v>
      </c>
      <c r="L684" s="815">
        <v>166639.40107634501</v>
      </c>
      <c r="M684" s="815">
        <v>144123.840952725</v>
      </c>
      <c r="N684" s="815">
        <v>93525.623674892719</v>
      </c>
      <c r="O684" s="815">
        <v>20357.457483026526</v>
      </c>
      <c r="P684" s="772">
        <v>0</v>
      </c>
      <c r="Q684" s="774"/>
      <c r="R684" s="774"/>
      <c r="S684" s="787"/>
      <c r="T684" s="787"/>
      <c r="U684" s="787"/>
    </row>
    <row r="685" spans="1:21" hidden="1">
      <c r="A685" s="786">
        <v>685</v>
      </c>
      <c r="B685" s="767"/>
      <c r="C685" s="767"/>
      <c r="D685" s="767"/>
      <c r="E685" s="767"/>
      <c r="F685" s="806"/>
      <c r="G685" s="778"/>
      <c r="H685" s="817"/>
      <c r="I685" s="817"/>
      <c r="J685" s="817"/>
      <c r="K685" s="817"/>
      <c r="L685" s="817"/>
      <c r="M685" s="817"/>
      <c r="N685" s="817"/>
      <c r="O685" s="817"/>
      <c r="P685" s="772"/>
      <c r="R685" s="774"/>
      <c r="S685" s="768"/>
      <c r="T685" s="768"/>
      <c r="U685" s="768"/>
    </row>
    <row r="686" spans="1:21" hidden="1">
      <c r="A686" s="786">
        <v>686</v>
      </c>
      <c r="B686" s="767"/>
      <c r="C686" s="781" t="s">
        <v>714</v>
      </c>
      <c r="D686" s="767"/>
      <c r="E686" s="767"/>
      <c r="F686" s="806"/>
      <c r="G686" s="778"/>
      <c r="H686" s="817" t="s">
        <v>1024</v>
      </c>
      <c r="I686" s="817"/>
      <c r="J686" s="817"/>
      <c r="K686" s="817"/>
      <c r="L686" s="817"/>
      <c r="M686" s="817"/>
      <c r="N686" s="817"/>
      <c r="O686" s="817"/>
      <c r="P686" s="772"/>
      <c r="R686" s="774"/>
      <c r="S686" s="768"/>
      <c r="T686" s="768"/>
      <c r="U686" s="768"/>
    </row>
    <row r="687" spans="1:21" hidden="1">
      <c r="A687" s="786">
        <v>687</v>
      </c>
      <c r="B687" s="767"/>
      <c r="C687" s="767"/>
      <c r="D687" s="767"/>
      <c r="E687" s="767"/>
      <c r="F687" s="806"/>
      <c r="G687" s="778"/>
      <c r="H687" s="810"/>
      <c r="I687" s="810"/>
      <c r="J687" s="810"/>
      <c r="K687" s="810"/>
      <c r="L687" s="810"/>
      <c r="M687" s="810"/>
      <c r="N687" s="810"/>
      <c r="O687" s="810"/>
      <c r="P687" s="772"/>
      <c r="R687" s="774"/>
      <c r="S687" s="767"/>
      <c r="T687" s="767"/>
      <c r="U687" s="767"/>
    </row>
    <row r="688" spans="1:21" hidden="1">
      <c r="A688" s="786">
        <v>688</v>
      </c>
      <c r="B688" s="767"/>
      <c r="C688" s="767"/>
      <c r="D688" s="767"/>
      <c r="E688" s="767"/>
      <c r="F688" s="806"/>
      <c r="G688" s="778"/>
      <c r="H688" s="810"/>
      <c r="I688" s="810"/>
      <c r="J688" s="810"/>
      <c r="K688" s="810"/>
      <c r="L688" s="810"/>
      <c r="M688" s="810"/>
      <c r="N688" s="810"/>
      <c r="O688" s="810"/>
      <c r="P688" s="772"/>
      <c r="R688" s="774"/>
      <c r="S688" s="767"/>
      <c r="T688" s="767"/>
      <c r="U688" s="767"/>
    </row>
    <row r="689" spans="1:21" hidden="1">
      <c r="A689" s="786">
        <v>689</v>
      </c>
      <c r="B689" s="767"/>
      <c r="C689" s="777" t="s">
        <v>575</v>
      </c>
      <c r="D689" s="767"/>
      <c r="E689" s="777" t="s">
        <v>576</v>
      </c>
      <c r="F689" s="806" t="s">
        <v>577</v>
      </c>
      <c r="G689" s="778"/>
      <c r="H689" s="777" t="s">
        <v>578</v>
      </c>
      <c r="I689" s="777" t="s">
        <v>579</v>
      </c>
      <c r="J689" s="777" t="s">
        <v>580</v>
      </c>
      <c r="K689" s="777" t="s">
        <v>581</v>
      </c>
      <c r="L689" s="777" t="s">
        <v>582</v>
      </c>
      <c r="M689" s="777" t="s">
        <v>583</v>
      </c>
      <c r="N689" s="777" t="s">
        <v>584</v>
      </c>
      <c r="O689" s="777" t="s">
        <v>585</v>
      </c>
      <c r="P689" s="772"/>
      <c r="R689" s="774"/>
      <c r="S689" s="779"/>
      <c r="T689" s="779"/>
      <c r="U689" s="779"/>
    </row>
    <row r="690" spans="1:21" ht="38.25" hidden="1">
      <c r="A690" s="786">
        <v>690</v>
      </c>
      <c r="B690" s="767"/>
      <c r="C690" s="797" t="s">
        <v>656</v>
      </c>
      <c r="D690" s="781"/>
      <c r="E690" s="782" t="s">
        <v>587</v>
      </c>
      <c r="F690" s="806" t="s">
        <v>1391</v>
      </c>
      <c r="G690" s="783"/>
      <c r="H690" s="784" t="s">
        <v>588</v>
      </c>
      <c r="I690" s="784" t="s">
        <v>589</v>
      </c>
      <c r="J690" s="784" t="s">
        <v>590</v>
      </c>
      <c r="K690" s="784" t="s">
        <v>591</v>
      </c>
      <c r="L690" s="784" t="s">
        <v>592</v>
      </c>
      <c r="M690" s="784" t="s">
        <v>593</v>
      </c>
      <c r="N690" s="784" t="s">
        <v>594</v>
      </c>
      <c r="O690" s="784" t="s">
        <v>595</v>
      </c>
      <c r="P690" s="772"/>
      <c r="R690" s="774"/>
      <c r="S690" s="782"/>
      <c r="T690" s="782"/>
      <c r="U690" s="782"/>
    </row>
    <row r="691" spans="1:21" hidden="1">
      <c r="A691" s="786">
        <v>691</v>
      </c>
      <c r="B691" s="767"/>
      <c r="C691" s="767" t="s">
        <v>1025</v>
      </c>
      <c r="D691" s="764" t="s">
        <v>1026</v>
      </c>
      <c r="F691" s="806" t="s">
        <v>1392</v>
      </c>
      <c r="G691" s="783"/>
      <c r="H691" s="815">
        <v>0</v>
      </c>
      <c r="I691" s="815">
        <v>0</v>
      </c>
      <c r="J691" s="815">
        <v>0</v>
      </c>
      <c r="K691" s="815">
        <v>0</v>
      </c>
      <c r="L691" s="815">
        <v>0</v>
      </c>
      <c r="M691" s="815">
        <v>0</v>
      </c>
      <c r="N691" s="815">
        <v>0</v>
      </c>
      <c r="O691" s="815">
        <v>0</v>
      </c>
      <c r="P691" s="772">
        <v>0</v>
      </c>
      <c r="Q691" s="774"/>
      <c r="R691" s="774">
        <v>930</v>
      </c>
      <c r="S691" s="787"/>
      <c r="T691" s="787"/>
      <c r="U691" s="787"/>
    </row>
    <row r="692" spans="1:21" hidden="1">
      <c r="A692" s="786">
        <v>692</v>
      </c>
      <c r="B692" s="767"/>
      <c r="C692" s="782"/>
      <c r="D692" s="781"/>
      <c r="E692" s="782"/>
      <c r="F692" s="806"/>
      <c r="G692" s="783"/>
      <c r="H692" s="824"/>
      <c r="I692" s="824"/>
      <c r="J692" s="824"/>
      <c r="K692" s="824"/>
      <c r="L692" s="824"/>
      <c r="M692" s="824"/>
      <c r="N692" s="824"/>
      <c r="O692" s="824"/>
      <c r="P692" s="772"/>
      <c r="R692" s="774"/>
      <c r="S692" s="825"/>
      <c r="T692" s="825"/>
      <c r="U692" s="825"/>
    </row>
    <row r="693" spans="1:21" hidden="1">
      <c r="A693" s="786">
        <v>693</v>
      </c>
      <c r="B693" s="767"/>
      <c r="C693" s="767" t="s">
        <v>1027</v>
      </c>
      <c r="D693" s="767" t="s">
        <v>1028</v>
      </c>
      <c r="E693" s="767"/>
      <c r="F693" s="806" t="s">
        <v>1427</v>
      </c>
      <c r="G693" s="778"/>
      <c r="H693" s="815">
        <v>67255.186318601714</v>
      </c>
      <c r="I693" s="815">
        <v>32941.285221345694</v>
      </c>
      <c r="J693" s="815">
        <v>9243.7005728128552</v>
      </c>
      <c r="K693" s="815">
        <v>12560.245700798803</v>
      </c>
      <c r="L693" s="815">
        <v>5077.4318583487366</v>
      </c>
      <c r="M693" s="815">
        <v>4602.951402436408</v>
      </c>
      <c r="N693" s="815">
        <v>2502.8751773266113</v>
      </c>
      <c r="O693" s="815">
        <v>326.69638553260171</v>
      </c>
      <c r="P693" s="772">
        <v>0</v>
      </c>
      <c r="Q693" s="774"/>
      <c r="R693" s="774">
        <v>936</v>
      </c>
      <c r="S693" s="787"/>
      <c r="T693" s="787"/>
      <c r="U693" s="787"/>
    </row>
    <row r="694" spans="1:21" hidden="1">
      <c r="A694" s="786">
        <v>694</v>
      </c>
      <c r="B694" s="767"/>
      <c r="C694" s="767"/>
      <c r="D694" s="767"/>
      <c r="E694" s="767"/>
      <c r="F694" s="806"/>
      <c r="G694" s="778"/>
      <c r="H694" s="788"/>
      <c r="I694" s="788"/>
      <c r="J694" s="788"/>
      <c r="K694" s="788"/>
      <c r="L694" s="788"/>
      <c r="M694" s="788"/>
      <c r="N694" s="788"/>
      <c r="O694" s="788"/>
      <c r="P694" s="772"/>
      <c r="R694" s="774"/>
      <c r="S694" s="775"/>
      <c r="T694" s="775"/>
      <c r="U694" s="775"/>
    </row>
    <row r="695" spans="1:21" hidden="1">
      <c r="A695" s="786">
        <v>695</v>
      </c>
      <c r="B695" s="767"/>
      <c r="C695" s="767" t="s">
        <v>1029</v>
      </c>
      <c r="D695" s="767" t="s">
        <v>1028</v>
      </c>
      <c r="E695" s="767"/>
      <c r="F695" s="806" t="s">
        <v>1427</v>
      </c>
      <c r="G695" s="778"/>
      <c r="H695" s="815">
        <v>0</v>
      </c>
      <c r="I695" s="815">
        <v>0</v>
      </c>
      <c r="J695" s="815">
        <v>0</v>
      </c>
      <c r="K695" s="815">
        <v>0</v>
      </c>
      <c r="L695" s="815">
        <v>0</v>
      </c>
      <c r="M695" s="815">
        <v>0</v>
      </c>
      <c r="N695" s="815">
        <v>0</v>
      </c>
      <c r="O695" s="815">
        <v>0</v>
      </c>
      <c r="P695" s="772">
        <v>0</v>
      </c>
      <c r="Q695" s="774"/>
      <c r="R695" s="774">
        <v>944</v>
      </c>
      <c r="S695" s="787"/>
      <c r="T695" s="787"/>
      <c r="U695" s="787"/>
    </row>
    <row r="696" spans="1:21" hidden="1">
      <c r="A696" s="786">
        <v>696</v>
      </c>
      <c r="B696" s="767"/>
      <c r="C696" s="767"/>
      <c r="D696" s="767"/>
      <c r="E696" s="767"/>
      <c r="F696" s="806"/>
      <c r="G696" s="778"/>
      <c r="H696" s="788"/>
      <c r="I696" s="788"/>
      <c r="J696" s="788"/>
      <c r="K696" s="788"/>
      <c r="L696" s="788"/>
      <c r="M696" s="788"/>
      <c r="N696" s="788"/>
      <c r="O696" s="788"/>
      <c r="P696" s="772"/>
      <c r="R696" s="774"/>
      <c r="S696" s="775"/>
      <c r="T696" s="775"/>
      <c r="U696" s="775"/>
    </row>
    <row r="697" spans="1:21" hidden="1">
      <c r="A697" s="786">
        <v>697</v>
      </c>
      <c r="B697" s="767"/>
      <c r="C697" s="767" t="s">
        <v>1030</v>
      </c>
      <c r="D697" s="767" t="s">
        <v>1031</v>
      </c>
      <c r="E697" s="767"/>
      <c r="F697" s="806" t="s">
        <v>1392</v>
      </c>
      <c r="G697" s="778"/>
      <c r="H697" s="815">
        <v>0</v>
      </c>
      <c r="I697" s="815">
        <v>0</v>
      </c>
      <c r="J697" s="815">
        <v>0</v>
      </c>
      <c r="K697" s="815">
        <v>0</v>
      </c>
      <c r="L697" s="815">
        <v>0</v>
      </c>
      <c r="M697" s="815">
        <v>0</v>
      </c>
      <c r="N697" s="815">
        <v>0</v>
      </c>
      <c r="O697" s="815">
        <v>0</v>
      </c>
      <c r="P697" s="772">
        <v>0</v>
      </c>
      <c r="Q697" s="774"/>
      <c r="R697" s="774">
        <v>952</v>
      </c>
      <c r="S697" s="787"/>
      <c r="T697" s="787"/>
      <c r="U697" s="787"/>
    </row>
    <row r="698" spans="1:21" hidden="1">
      <c r="A698" s="786">
        <v>698</v>
      </c>
      <c r="B698" s="767"/>
      <c r="C698" s="767"/>
      <c r="D698" s="767"/>
      <c r="E698" s="767"/>
      <c r="F698" s="806"/>
      <c r="G698" s="778"/>
      <c r="H698" s="788"/>
      <c r="I698" s="788"/>
      <c r="J698" s="788"/>
      <c r="K698" s="788"/>
      <c r="L698" s="788"/>
      <c r="M698" s="788"/>
      <c r="N698" s="788"/>
      <c r="O698" s="788"/>
      <c r="P698" s="772"/>
      <c r="R698" s="774"/>
      <c r="S698" s="775"/>
      <c r="T698" s="775"/>
      <c r="U698" s="775"/>
    </row>
    <row r="699" spans="1:21" hidden="1">
      <c r="A699" s="786">
        <v>699</v>
      </c>
      <c r="B699" s="767"/>
      <c r="C699" s="767" t="s">
        <v>1032</v>
      </c>
      <c r="D699" s="767" t="s">
        <v>1033</v>
      </c>
      <c r="E699" s="767"/>
      <c r="F699" s="806" t="s">
        <v>1427</v>
      </c>
      <c r="G699" s="778"/>
      <c r="H699" s="808">
        <v>4274599.2278883681</v>
      </c>
      <c r="I699" s="808">
        <v>2093679.3142727313</v>
      </c>
      <c r="J699" s="808">
        <v>587510.30952758505</v>
      </c>
      <c r="K699" s="808">
        <v>798302.99362166738</v>
      </c>
      <c r="L699" s="808">
        <v>322710.96831903857</v>
      </c>
      <c r="M699" s="808">
        <v>292553.9811555075</v>
      </c>
      <c r="N699" s="808">
        <v>159077.52079994135</v>
      </c>
      <c r="O699" s="808">
        <v>20764.140191896713</v>
      </c>
      <c r="P699" s="772">
        <v>0</v>
      </c>
      <c r="Q699" s="774"/>
      <c r="R699" s="774">
        <v>961</v>
      </c>
      <c r="S699" s="787"/>
      <c r="T699" s="787"/>
      <c r="U699" s="787"/>
    </row>
    <row r="700" spans="1:21" hidden="1">
      <c r="A700" s="786">
        <v>700</v>
      </c>
      <c r="B700" s="767"/>
      <c r="C700" s="767"/>
      <c r="D700" s="767"/>
      <c r="E700" s="767"/>
      <c r="F700" s="806"/>
      <c r="G700" s="778"/>
      <c r="H700" s="788"/>
      <c r="I700" s="788"/>
      <c r="J700" s="788"/>
      <c r="K700" s="788"/>
      <c r="L700" s="788"/>
      <c r="M700" s="788"/>
      <c r="N700" s="788"/>
      <c r="O700" s="788"/>
      <c r="P700" s="772"/>
      <c r="R700" s="774"/>
      <c r="S700" s="775"/>
      <c r="T700" s="775"/>
      <c r="U700" s="775"/>
    </row>
    <row r="701" spans="1:21" hidden="1">
      <c r="A701" s="786">
        <v>701</v>
      </c>
      <c r="B701" s="767"/>
      <c r="C701" s="767"/>
      <c r="D701" s="767"/>
      <c r="E701" s="767"/>
      <c r="F701" s="806"/>
      <c r="G701" s="778"/>
      <c r="H701" s="788"/>
      <c r="I701" s="788"/>
      <c r="J701" s="788"/>
      <c r="K701" s="788"/>
      <c r="L701" s="788"/>
      <c r="M701" s="788"/>
      <c r="N701" s="788"/>
      <c r="O701" s="788"/>
      <c r="P701" s="772"/>
      <c r="R701" s="774"/>
      <c r="S701" s="775"/>
      <c r="T701" s="775"/>
      <c r="U701" s="775"/>
    </row>
    <row r="702" spans="1:21" hidden="1">
      <c r="A702" s="786">
        <v>702</v>
      </c>
      <c r="B702" s="767"/>
      <c r="C702" s="767" t="s">
        <v>1034</v>
      </c>
      <c r="D702" s="767"/>
      <c r="E702" s="767"/>
      <c r="F702" s="806"/>
      <c r="G702" s="778"/>
      <c r="H702" s="815">
        <v>7134745.3027785588</v>
      </c>
      <c r="I702" s="815">
        <v>3647044.4418289089</v>
      </c>
      <c r="J702" s="815">
        <v>987591.54259629198</v>
      </c>
      <c r="K702" s="815">
        <v>1247398.3067816189</v>
      </c>
      <c r="L702" s="815">
        <v>502860.48551732342</v>
      </c>
      <c r="M702" s="815">
        <v>449284.32138792309</v>
      </c>
      <c r="N702" s="815">
        <v>258935.37608399632</v>
      </c>
      <c r="O702" s="815">
        <v>41630.828582496426</v>
      </c>
      <c r="P702" s="772">
        <v>0</v>
      </c>
      <c r="Q702" s="774"/>
      <c r="R702" s="774"/>
      <c r="S702" s="787"/>
      <c r="T702" s="787"/>
      <c r="U702" s="787"/>
    </row>
    <row r="703" spans="1:21" hidden="1">
      <c r="A703" s="786">
        <v>703</v>
      </c>
      <c r="B703" s="767"/>
      <c r="F703" s="806"/>
      <c r="H703" s="813"/>
      <c r="I703" s="813"/>
      <c r="J703" s="813"/>
      <c r="K703" s="813"/>
      <c r="L703" s="813"/>
      <c r="M703" s="813"/>
      <c r="N703" s="813"/>
      <c r="O703" s="813"/>
      <c r="P703" s="772"/>
      <c r="R703" s="774"/>
    </row>
    <row r="704" spans="1:21" hidden="1">
      <c r="A704" s="786">
        <v>704</v>
      </c>
      <c r="B704" s="767"/>
      <c r="F704" s="806"/>
      <c r="H704" s="813"/>
      <c r="I704" s="813"/>
      <c r="J704" s="813"/>
      <c r="K704" s="813"/>
      <c r="L704" s="813"/>
      <c r="M704" s="813"/>
      <c r="N704" s="813"/>
      <c r="O704" s="813"/>
      <c r="P704" s="772"/>
      <c r="R704" s="774"/>
    </row>
    <row r="705" spans="1:22" hidden="1">
      <c r="A705" s="786">
        <v>705</v>
      </c>
      <c r="C705" s="768"/>
      <c r="D705" s="795"/>
      <c r="E705" s="795"/>
      <c r="F705" s="806"/>
      <c r="H705" s="817" t="s">
        <v>1035</v>
      </c>
      <c r="I705" s="817"/>
      <c r="J705" s="817"/>
      <c r="K705" s="817"/>
      <c r="L705" s="817"/>
      <c r="M705" s="817"/>
      <c r="N705" s="817"/>
      <c r="O705" s="817"/>
      <c r="P705" s="772"/>
      <c r="R705" s="774"/>
    </row>
    <row r="706" spans="1:22" hidden="1">
      <c r="A706" s="786">
        <v>706</v>
      </c>
      <c r="B706" s="767"/>
      <c r="C706" s="767"/>
      <c r="D706" s="767"/>
      <c r="E706" s="767"/>
      <c r="F706" s="806"/>
      <c r="G706" s="778"/>
      <c r="H706" s="788"/>
      <c r="I706" s="788"/>
      <c r="J706" s="788"/>
      <c r="K706" s="788"/>
      <c r="L706" s="788"/>
      <c r="M706" s="788"/>
      <c r="N706" s="788"/>
      <c r="O706" s="788"/>
      <c r="P706" s="772"/>
      <c r="R706" s="774"/>
    </row>
    <row r="707" spans="1:22" hidden="1">
      <c r="A707" s="786">
        <v>707</v>
      </c>
      <c r="B707" s="767"/>
      <c r="D707" s="767"/>
      <c r="E707" s="767"/>
      <c r="F707" s="806"/>
      <c r="G707" s="778"/>
      <c r="H707" s="788"/>
      <c r="I707" s="788"/>
      <c r="J707" s="788"/>
      <c r="K707" s="788"/>
      <c r="L707" s="788"/>
      <c r="M707" s="788"/>
      <c r="N707" s="788"/>
      <c r="O707" s="788"/>
      <c r="P707" s="772"/>
      <c r="R707" s="774"/>
    </row>
    <row r="708" spans="1:22" hidden="1">
      <c r="A708" s="786">
        <v>708</v>
      </c>
      <c r="B708" s="767"/>
      <c r="C708" s="767" t="s">
        <v>1036</v>
      </c>
      <c r="D708" s="767" t="s">
        <v>1037</v>
      </c>
      <c r="E708" s="767"/>
      <c r="F708" s="806" t="s">
        <v>1428</v>
      </c>
      <c r="G708" s="778"/>
      <c r="H708" s="815">
        <v>24634547.458652236</v>
      </c>
      <c r="I708" s="815">
        <v>11462723.525937947</v>
      </c>
      <c r="J708" s="815">
        <v>3480165.3976608487</v>
      </c>
      <c r="K708" s="815">
        <v>4906632.285933746</v>
      </c>
      <c r="L708" s="815">
        <v>1962287.4728191437</v>
      </c>
      <c r="M708" s="815">
        <v>1634344.14362378</v>
      </c>
      <c r="N708" s="815">
        <v>1084056.0841745278</v>
      </c>
      <c r="O708" s="815">
        <v>104338.54850223867</v>
      </c>
      <c r="P708" s="772">
        <v>0</v>
      </c>
      <c r="Q708" s="774"/>
      <c r="R708" s="774">
        <v>974</v>
      </c>
      <c r="S708" s="774"/>
      <c r="T708" s="774"/>
      <c r="U708" s="774"/>
      <c r="V708" s="774"/>
    </row>
    <row r="709" spans="1:22" hidden="1">
      <c r="A709" s="786">
        <v>709</v>
      </c>
      <c r="B709" s="767"/>
      <c r="C709" s="767"/>
      <c r="D709" s="767"/>
      <c r="E709" s="767"/>
      <c r="F709" s="806"/>
      <c r="G709" s="778"/>
      <c r="H709" s="810"/>
      <c r="I709" s="810"/>
      <c r="J709" s="810"/>
      <c r="K709" s="810"/>
      <c r="L709" s="810"/>
      <c r="M709" s="810"/>
      <c r="N709" s="810"/>
      <c r="O709" s="810"/>
      <c r="P709" s="772"/>
      <c r="R709" s="774"/>
    </row>
    <row r="710" spans="1:22" hidden="1">
      <c r="A710" s="786">
        <v>710</v>
      </c>
      <c r="B710" s="767"/>
      <c r="C710" s="767"/>
      <c r="D710" s="767"/>
      <c r="E710" s="767"/>
      <c r="F710" s="806"/>
      <c r="G710" s="778"/>
      <c r="H710" s="788"/>
      <c r="I710" s="788"/>
      <c r="J710" s="788"/>
      <c r="K710" s="788"/>
      <c r="L710" s="788"/>
      <c r="M710" s="788"/>
      <c r="N710" s="788"/>
      <c r="O710" s="788"/>
      <c r="P710" s="772"/>
      <c r="R710" s="774"/>
    </row>
    <row r="711" spans="1:22" hidden="1">
      <c r="A711" s="786">
        <v>711</v>
      </c>
      <c r="C711" s="795"/>
      <c r="D711" s="795"/>
      <c r="E711" s="795"/>
      <c r="F711" s="806"/>
      <c r="H711" s="817" t="s">
        <v>1038</v>
      </c>
      <c r="I711" s="817"/>
      <c r="J711" s="817"/>
      <c r="K711" s="817"/>
      <c r="L711" s="817"/>
      <c r="M711" s="817"/>
      <c r="N711" s="817"/>
      <c r="O711" s="817"/>
      <c r="P711" s="772"/>
      <c r="R711" s="774"/>
    </row>
    <row r="712" spans="1:22" hidden="1">
      <c r="A712" s="786">
        <v>712</v>
      </c>
      <c r="B712" s="767"/>
      <c r="C712" s="767"/>
      <c r="D712" s="767"/>
      <c r="E712" s="767"/>
      <c r="F712" s="806"/>
      <c r="G712" s="778"/>
      <c r="H712" s="810"/>
      <c r="I712" s="810"/>
      <c r="J712" s="810"/>
      <c r="K712" s="810"/>
      <c r="L712" s="810"/>
      <c r="M712" s="810"/>
      <c r="N712" s="810"/>
      <c r="O712" s="810"/>
      <c r="P712" s="772"/>
      <c r="R712" s="774"/>
    </row>
    <row r="713" spans="1:22" hidden="1">
      <c r="A713" s="786">
        <v>713</v>
      </c>
      <c r="B713" s="767"/>
      <c r="C713" s="767"/>
      <c r="D713" s="767"/>
      <c r="E713" s="767"/>
      <c r="F713" s="806"/>
      <c r="G713" s="778"/>
      <c r="H713" s="788"/>
      <c r="I713" s="788"/>
      <c r="J713" s="788"/>
      <c r="K713" s="788"/>
      <c r="L713" s="788"/>
      <c r="M713" s="788"/>
      <c r="N713" s="788"/>
      <c r="O713" s="788"/>
      <c r="P713" s="772"/>
      <c r="R713" s="774"/>
    </row>
    <row r="714" spans="1:22" hidden="1">
      <c r="A714" s="786">
        <v>714</v>
      </c>
      <c r="B714" s="767"/>
      <c r="C714" s="767" t="s">
        <v>1039</v>
      </c>
      <c r="D714" s="767" t="s">
        <v>1040</v>
      </c>
      <c r="E714" s="767"/>
      <c r="F714" s="806" t="s">
        <v>1428</v>
      </c>
      <c r="G714" s="778"/>
      <c r="H714" s="815">
        <v>0</v>
      </c>
      <c r="I714" s="815">
        <v>0</v>
      </c>
      <c r="J714" s="815">
        <v>0</v>
      </c>
      <c r="K714" s="815">
        <v>0</v>
      </c>
      <c r="L714" s="815">
        <v>0</v>
      </c>
      <c r="M714" s="815">
        <v>0</v>
      </c>
      <c r="N714" s="815">
        <v>0</v>
      </c>
      <c r="O714" s="815">
        <v>0</v>
      </c>
      <c r="P714" s="772">
        <v>0</v>
      </c>
      <c r="Q714" s="774"/>
      <c r="R714" s="774">
        <v>979</v>
      </c>
      <c r="S714" s="774"/>
      <c r="T714" s="774"/>
      <c r="U714" s="774"/>
      <c r="V714" s="774"/>
    </row>
    <row r="715" spans="1:22" hidden="1">
      <c r="A715" s="786">
        <v>715</v>
      </c>
      <c r="B715" s="767"/>
      <c r="C715" s="767"/>
      <c r="D715" s="767"/>
      <c r="E715" s="767"/>
      <c r="F715" s="806"/>
      <c r="G715" s="778"/>
      <c r="H715" s="788"/>
      <c r="I715" s="788"/>
      <c r="J715" s="788"/>
      <c r="K715" s="788"/>
      <c r="L715" s="788"/>
      <c r="M715" s="788"/>
      <c r="N715" s="788"/>
      <c r="O715" s="788"/>
      <c r="P715" s="772"/>
      <c r="R715" s="774"/>
    </row>
    <row r="716" spans="1:22" hidden="1">
      <c r="A716" s="786">
        <v>716</v>
      </c>
      <c r="B716" s="767"/>
      <c r="C716" s="767" t="s">
        <v>1041</v>
      </c>
      <c r="D716" s="767" t="s">
        <v>1042</v>
      </c>
      <c r="E716" s="767"/>
      <c r="F716" s="806" t="s">
        <v>1428</v>
      </c>
      <c r="G716" s="778"/>
      <c r="H716" s="808">
        <v>0</v>
      </c>
      <c r="I716" s="808">
        <v>0</v>
      </c>
      <c r="J716" s="808">
        <v>0</v>
      </c>
      <c r="K716" s="808">
        <v>0</v>
      </c>
      <c r="L716" s="808">
        <v>0</v>
      </c>
      <c r="M716" s="808">
        <v>0</v>
      </c>
      <c r="N716" s="808">
        <v>0</v>
      </c>
      <c r="O716" s="808">
        <v>0</v>
      </c>
      <c r="P716" s="772">
        <v>0</v>
      </c>
      <c r="Q716" s="774"/>
      <c r="R716" s="774">
        <v>984</v>
      </c>
      <c r="S716" s="774"/>
      <c r="T716" s="774"/>
      <c r="U716" s="774"/>
      <c r="V716" s="774"/>
    </row>
    <row r="717" spans="1:22" hidden="1">
      <c r="A717" s="786">
        <v>717</v>
      </c>
      <c r="B717" s="767"/>
      <c r="C717" s="767"/>
      <c r="D717" s="767"/>
      <c r="E717" s="767"/>
      <c r="F717" s="806"/>
      <c r="G717" s="778"/>
      <c r="H717" s="788"/>
      <c r="I717" s="788"/>
      <c r="J717" s="788"/>
      <c r="K717" s="788"/>
      <c r="L717" s="788"/>
      <c r="M717" s="788"/>
      <c r="N717" s="788"/>
      <c r="O717" s="788"/>
      <c r="P717" s="772"/>
      <c r="R717" s="774"/>
    </row>
    <row r="718" spans="1:22" hidden="1">
      <c r="A718" s="786">
        <v>718</v>
      </c>
      <c r="B718" s="767"/>
      <c r="C718" s="767" t="s">
        <v>1043</v>
      </c>
      <c r="D718" s="767"/>
      <c r="E718" s="767"/>
      <c r="F718" s="806"/>
      <c r="G718" s="778"/>
      <c r="H718" s="815">
        <v>0</v>
      </c>
      <c r="I718" s="815">
        <v>0</v>
      </c>
      <c r="J718" s="815">
        <v>0</v>
      </c>
      <c r="K718" s="815">
        <v>0</v>
      </c>
      <c r="L718" s="815">
        <v>0</v>
      </c>
      <c r="M718" s="815">
        <v>0</v>
      </c>
      <c r="N718" s="815">
        <v>0</v>
      </c>
      <c r="O718" s="815">
        <v>0</v>
      </c>
      <c r="P718" s="772">
        <v>0</v>
      </c>
      <c r="Q718" s="774"/>
      <c r="R718" s="774"/>
      <c r="S718" s="774"/>
      <c r="T718" s="774"/>
      <c r="U718" s="774"/>
      <c r="V718" s="774"/>
    </row>
    <row r="719" spans="1:22" hidden="1">
      <c r="A719" s="786">
        <v>719</v>
      </c>
      <c r="B719" s="767"/>
      <c r="C719" s="767"/>
      <c r="D719" s="767"/>
      <c r="E719" s="767"/>
      <c r="F719" s="806"/>
      <c r="G719" s="778"/>
      <c r="H719" s="788"/>
      <c r="I719" s="788"/>
      <c r="J719" s="788"/>
      <c r="K719" s="788"/>
      <c r="L719" s="788"/>
      <c r="M719" s="788"/>
      <c r="N719" s="788"/>
      <c r="O719" s="788"/>
      <c r="P719" s="772"/>
      <c r="Q719" s="774"/>
      <c r="R719" s="774"/>
      <c r="S719" s="774"/>
      <c r="T719" s="774"/>
      <c r="U719" s="774"/>
      <c r="V719" s="774"/>
    </row>
    <row r="720" spans="1:22" hidden="1">
      <c r="A720" s="786">
        <v>720</v>
      </c>
      <c r="B720" s="767"/>
      <c r="C720" s="767"/>
      <c r="D720" s="767"/>
      <c r="E720" s="767"/>
      <c r="F720" s="806"/>
      <c r="G720" s="778"/>
      <c r="H720" s="788"/>
      <c r="I720" s="788"/>
      <c r="J720" s="788"/>
      <c r="K720" s="788"/>
      <c r="L720" s="788"/>
      <c r="M720" s="788"/>
      <c r="N720" s="788"/>
      <c r="O720" s="788"/>
      <c r="P720" s="772"/>
      <c r="R720" s="774"/>
    </row>
    <row r="721" spans="1:22" hidden="1">
      <c r="A721" s="786">
        <v>721</v>
      </c>
      <c r="C721" s="768"/>
      <c r="D721" s="795"/>
      <c r="E721" s="795"/>
      <c r="F721" s="806"/>
      <c r="H721" s="817" t="s">
        <v>1044</v>
      </c>
      <c r="I721" s="817"/>
      <c r="J721" s="817"/>
      <c r="K721" s="817"/>
      <c r="L721" s="817"/>
      <c r="M721" s="817"/>
      <c r="N721" s="817"/>
      <c r="O721" s="817"/>
      <c r="P721" s="772"/>
      <c r="R721" s="774"/>
    </row>
    <row r="722" spans="1:22" hidden="1">
      <c r="A722" s="786">
        <v>722</v>
      </c>
      <c r="B722" s="767"/>
      <c r="C722" s="767"/>
      <c r="D722" s="767"/>
      <c r="E722" s="767"/>
      <c r="F722" s="806"/>
      <c r="G722" s="778"/>
      <c r="H722" s="810"/>
      <c r="I722" s="810"/>
      <c r="J722" s="810"/>
      <c r="K722" s="810"/>
      <c r="L722" s="810"/>
      <c r="M722" s="810"/>
      <c r="N722" s="810"/>
      <c r="O722" s="810"/>
      <c r="P722" s="772"/>
      <c r="R722" s="774"/>
    </row>
    <row r="723" spans="1:22" hidden="1">
      <c r="A723" s="786">
        <v>723</v>
      </c>
      <c r="B723" s="767"/>
      <c r="C723" s="767"/>
      <c r="D723" s="767"/>
      <c r="E723" s="767"/>
      <c r="F723" s="806"/>
      <c r="G723" s="778"/>
      <c r="H723" s="788"/>
      <c r="I723" s="788"/>
      <c r="J723" s="788"/>
      <c r="K723" s="788"/>
      <c r="L723" s="788"/>
      <c r="M723" s="788"/>
      <c r="N723" s="788"/>
      <c r="O723" s="788"/>
      <c r="P723" s="772"/>
      <c r="R723" s="774"/>
    </row>
    <row r="724" spans="1:22" hidden="1">
      <c r="A724" s="786">
        <v>724</v>
      </c>
      <c r="B724" s="767"/>
      <c r="C724" s="764" t="s">
        <v>1045</v>
      </c>
      <c r="D724" s="767" t="s">
        <v>1046</v>
      </c>
      <c r="E724" s="767"/>
      <c r="F724" s="806" t="s">
        <v>1428</v>
      </c>
      <c r="G724" s="778"/>
      <c r="H724" s="815">
        <v>28405098.48003557</v>
      </c>
      <c r="I724" s="815">
        <v>12749356.139754828</v>
      </c>
      <c r="J724" s="815">
        <v>3920288.4522887897</v>
      </c>
      <c r="K724" s="815">
        <v>5939456.9978457568</v>
      </c>
      <c r="L724" s="815">
        <v>2393405.9169148458</v>
      </c>
      <c r="M724" s="815">
        <v>2119968.4457000578</v>
      </c>
      <c r="N724" s="815">
        <v>1194401.6045742068</v>
      </c>
      <c r="O724" s="815">
        <v>88220.922957078554</v>
      </c>
      <c r="P724" s="772">
        <v>0</v>
      </c>
      <c r="Q724" s="774"/>
      <c r="R724" s="774">
        <v>1032</v>
      </c>
      <c r="S724" s="774"/>
      <c r="T724" s="774"/>
      <c r="U724" s="774"/>
      <c r="V724" s="774"/>
    </row>
    <row r="725" spans="1:22" hidden="1">
      <c r="A725" s="786">
        <v>725</v>
      </c>
      <c r="B725" s="767"/>
      <c r="C725" s="764"/>
      <c r="D725" s="767"/>
      <c r="E725" s="767"/>
      <c r="F725" s="806"/>
      <c r="G725" s="778"/>
      <c r="H725" s="788"/>
      <c r="I725" s="788"/>
      <c r="J725" s="788"/>
      <c r="K725" s="788"/>
      <c r="L725" s="788"/>
      <c r="M725" s="788"/>
      <c r="N725" s="788"/>
      <c r="O725" s="788"/>
      <c r="P725" s="772"/>
      <c r="R725" s="774"/>
    </row>
    <row r="726" spans="1:22" hidden="1">
      <c r="A726" s="786">
        <v>726</v>
      </c>
      <c r="B726" s="767"/>
      <c r="C726" s="764" t="s">
        <v>1047</v>
      </c>
      <c r="D726" s="767" t="s">
        <v>1048</v>
      </c>
      <c r="E726" s="767"/>
      <c r="F726" s="806" t="s">
        <v>1428</v>
      </c>
      <c r="G726" s="778"/>
      <c r="H726" s="815">
        <v>0</v>
      </c>
      <c r="I726" s="815">
        <v>0</v>
      </c>
      <c r="J726" s="815">
        <v>0</v>
      </c>
      <c r="K726" s="815">
        <v>0</v>
      </c>
      <c r="L726" s="815">
        <v>0</v>
      </c>
      <c r="M726" s="815">
        <v>0</v>
      </c>
      <c r="N726" s="815">
        <v>0</v>
      </c>
      <c r="O726" s="815">
        <v>0</v>
      </c>
      <c r="P726" s="772">
        <v>0</v>
      </c>
      <c r="Q726" s="774"/>
      <c r="R726" s="774">
        <v>1047</v>
      </c>
      <c r="S726" s="774"/>
      <c r="T726" s="774"/>
      <c r="U726" s="774"/>
      <c r="V726" s="774"/>
    </row>
    <row r="727" spans="1:22" hidden="1">
      <c r="A727" s="786">
        <v>727</v>
      </c>
      <c r="B727" s="767"/>
      <c r="C727" s="764"/>
      <c r="D727" s="767"/>
      <c r="E727" s="767"/>
      <c r="F727" s="806"/>
      <c r="G727" s="778"/>
      <c r="H727" s="788"/>
      <c r="I727" s="788"/>
      <c r="J727" s="788"/>
      <c r="K727" s="788"/>
      <c r="L727" s="788"/>
      <c r="M727" s="788"/>
      <c r="N727" s="788"/>
      <c r="O727" s="788"/>
      <c r="P727" s="772"/>
      <c r="R727" s="774"/>
    </row>
    <row r="728" spans="1:22" hidden="1">
      <c r="A728" s="786">
        <v>728</v>
      </c>
      <c r="B728" s="767"/>
      <c r="C728" s="764" t="s">
        <v>1049</v>
      </c>
      <c r="D728" s="767" t="s">
        <v>1050</v>
      </c>
      <c r="E728" s="767"/>
      <c r="F728" s="806" t="s">
        <v>1428</v>
      </c>
      <c r="G728" s="778"/>
      <c r="H728" s="815">
        <v>-44361347.421951048</v>
      </c>
      <c r="I728" s="815">
        <v>-19910253.170456775</v>
      </c>
      <c r="J728" s="815">
        <v>-6156900.0053913267</v>
      </c>
      <c r="K728" s="815">
        <v>-9260882.4810423218</v>
      </c>
      <c r="L728" s="815">
        <v>-3730702.6687141131</v>
      </c>
      <c r="M728" s="815">
        <v>-3258582.3517988832</v>
      </c>
      <c r="N728" s="815">
        <v>-1893926.392436441</v>
      </c>
      <c r="O728" s="815">
        <v>-150100.35211117874</v>
      </c>
      <c r="P728" s="772">
        <v>0</v>
      </c>
      <c r="Q728" s="774"/>
      <c r="R728" s="774">
        <v>1063</v>
      </c>
      <c r="S728" s="774"/>
      <c r="T728" s="774"/>
      <c r="U728" s="774"/>
      <c r="V728" s="774"/>
    </row>
    <row r="729" spans="1:22" hidden="1">
      <c r="A729" s="786">
        <v>729</v>
      </c>
      <c r="B729" s="767"/>
      <c r="C729" s="764"/>
      <c r="D729" s="767"/>
      <c r="E729" s="767"/>
      <c r="F729" s="806"/>
      <c r="G729" s="778"/>
      <c r="H729" s="788"/>
      <c r="I729" s="788"/>
      <c r="J729" s="788"/>
      <c r="K729" s="788"/>
      <c r="L729" s="788"/>
      <c r="M729" s="788"/>
      <c r="N729" s="788"/>
      <c r="O729" s="788"/>
      <c r="P729" s="772"/>
      <c r="R729" s="774"/>
    </row>
    <row r="730" spans="1:22" hidden="1">
      <c r="A730" s="786">
        <v>730</v>
      </c>
      <c r="B730" s="767"/>
      <c r="C730" s="764" t="s">
        <v>1051</v>
      </c>
      <c r="D730" s="767" t="s">
        <v>1052</v>
      </c>
      <c r="E730" s="767"/>
      <c r="F730" s="806" t="s">
        <v>1428</v>
      </c>
      <c r="G730" s="778"/>
      <c r="H730" s="808">
        <v>0</v>
      </c>
      <c r="I730" s="808">
        <v>0</v>
      </c>
      <c r="J730" s="808">
        <v>0</v>
      </c>
      <c r="K730" s="808">
        <v>0</v>
      </c>
      <c r="L730" s="808">
        <v>0</v>
      </c>
      <c r="M730" s="808">
        <v>0</v>
      </c>
      <c r="N730" s="808">
        <v>0</v>
      </c>
      <c r="O730" s="808">
        <v>0</v>
      </c>
      <c r="P730" s="772">
        <v>0</v>
      </c>
      <c r="Q730" s="774"/>
      <c r="R730" s="774">
        <v>1078</v>
      </c>
      <c r="S730" s="774"/>
      <c r="T730" s="774"/>
      <c r="U730" s="774"/>
      <c r="V730" s="774"/>
    </row>
    <row r="731" spans="1:22" hidden="1">
      <c r="A731" s="786">
        <v>731</v>
      </c>
      <c r="B731" s="767"/>
      <c r="C731" s="767"/>
      <c r="D731" s="767"/>
      <c r="E731" s="767"/>
      <c r="F731" s="806"/>
      <c r="G731" s="778"/>
      <c r="H731" s="788"/>
      <c r="I731" s="788"/>
      <c r="J731" s="788"/>
      <c r="K731" s="788"/>
      <c r="L731" s="788"/>
      <c r="M731" s="788"/>
      <c r="N731" s="788"/>
      <c r="O731" s="788"/>
      <c r="P731" s="772"/>
      <c r="R731" s="774"/>
    </row>
    <row r="732" spans="1:22" hidden="1">
      <c r="A732" s="786">
        <v>732</v>
      </c>
      <c r="B732" s="767"/>
      <c r="C732" s="767" t="s">
        <v>1053</v>
      </c>
      <c r="D732" s="767"/>
      <c r="E732" s="767"/>
      <c r="F732" s="806"/>
      <c r="G732" s="778"/>
      <c r="H732" s="815">
        <v>-15956248.941915479</v>
      </c>
      <c r="I732" s="815">
        <v>-7160897.0307019483</v>
      </c>
      <c r="J732" s="815">
        <v>-2236611.5531025366</v>
      </c>
      <c r="K732" s="815">
        <v>-3321425.4831965645</v>
      </c>
      <c r="L732" s="815">
        <v>-1337296.7517992675</v>
      </c>
      <c r="M732" s="815">
        <v>-1138613.9060988259</v>
      </c>
      <c r="N732" s="815">
        <v>-699524.78786223417</v>
      </c>
      <c r="O732" s="815">
        <v>-61879.42915410018</v>
      </c>
      <c r="P732" s="772">
        <v>0</v>
      </c>
      <c r="Q732" s="774"/>
      <c r="R732" s="774"/>
      <c r="S732" s="774"/>
      <c r="T732" s="774"/>
      <c r="U732" s="774"/>
      <c r="V732" s="774"/>
    </row>
    <row r="733" spans="1:22" hidden="1">
      <c r="A733" s="786">
        <v>733</v>
      </c>
      <c r="B733" s="767"/>
      <c r="C733" s="767"/>
      <c r="D733" s="767"/>
      <c r="E733" s="767"/>
      <c r="F733" s="806"/>
      <c r="G733" s="778"/>
      <c r="H733" s="810"/>
      <c r="I733" s="810"/>
      <c r="J733" s="810"/>
      <c r="K733" s="810"/>
      <c r="L733" s="810"/>
      <c r="M733" s="810"/>
      <c r="N733" s="810"/>
      <c r="O733" s="810"/>
      <c r="P733" s="772"/>
      <c r="R733" s="774"/>
    </row>
    <row r="734" spans="1:22" hidden="1">
      <c r="A734" s="786">
        <v>734</v>
      </c>
      <c r="B734" s="767"/>
      <c r="C734" s="767"/>
      <c r="D734" s="767"/>
      <c r="E734" s="767"/>
      <c r="F734" s="806"/>
      <c r="G734" s="778"/>
      <c r="H734" s="810"/>
      <c r="I734" s="810"/>
      <c r="J734" s="810"/>
      <c r="K734" s="810"/>
      <c r="L734" s="810"/>
      <c r="M734" s="810"/>
      <c r="N734" s="810"/>
      <c r="O734" s="810"/>
      <c r="P734" s="772"/>
      <c r="R734" s="774"/>
    </row>
    <row r="735" spans="1:22" hidden="1">
      <c r="A735" s="786">
        <v>735</v>
      </c>
      <c r="B735" s="767"/>
      <c r="C735" s="767"/>
      <c r="D735" s="767"/>
      <c r="E735" s="767"/>
      <c r="F735" s="806"/>
      <c r="G735" s="778"/>
      <c r="H735" s="810"/>
      <c r="I735" s="810"/>
      <c r="J735" s="810"/>
      <c r="K735" s="810"/>
      <c r="L735" s="810"/>
      <c r="M735" s="810"/>
      <c r="N735" s="810"/>
      <c r="O735" s="810"/>
      <c r="P735" s="772"/>
      <c r="R735" s="774"/>
    </row>
    <row r="736" spans="1:22" hidden="1">
      <c r="A736" s="786">
        <v>736</v>
      </c>
      <c r="B736" s="767"/>
      <c r="C736" s="767"/>
      <c r="D736" s="767"/>
      <c r="E736" s="767"/>
      <c r="F736" s="806"/>
      <c r="G736" s="778"/>
      <c r="H736" s="810"/>
      <c r="I736" s="810"/>
      <c r="J736" s="810"/>
      <c r="K736" s="810"/>
      <c r="L736" s="810"/>
      <c r="M736" s="810"/>
      <c r="N736" s="810"/>
      <c r="O736" s="810"/>
      <c r="P736" s="772"/>
      <c r="R736" s="774"/>
    </row>
    <row r="737" spans="1:22" hidden="1">
      <c r="A737" s="786">
        <v>737</v>
      </c>
      <c r="B737" s="767"/>
      <c r="C737" s="767"/>
      <c r="D737" s="767"/>
      <c r="E737" s="767"/>
      <c r="F737" s="806"/>
      <c r="G737" s="778"/>
      <c r="H737" s="810"/>
      <c r="I737" s="810"/>
      <c r="J737" s="810"/>
      <c r="K737" s="810"/>
      <c r="L737" s="810"/>
      <c r="M737" s="810"/>
      <c r="N737" s="810"/>
      <c r="O737" s="810"/>
      <c r="P737" s="772"/>
      <c r="R737" s="774"/>
    </row>
    <row r="738" spans="1:22" hidden="1">
      <c r="A738" s="786">
        <v>738</v>
      </c>
      <c r="B738" s="767"/>
      <c r="C738" s="767" t="s">
        <v>1054</v>
      </c>
      <c r="D738" s="767" t="s">
        <v>642</v>
      </c>
      <c r="E738" s="767"/>
      <c r="F738" s="806" t="s">
        <v>1428</v>
      </c>
      <c r="G738" s="778"/>
      <c r="H738" s="826">
        <v>0</v>
      </c>
      <c r="I738" s="815">
        <v>0</v>
      </c>
      <c r="J738" s="815">
        <v>0</v>
      </c>
      <c r="K738" s="815">
        <v>0</v>
      </c>
      <c r="L738" s="815">
        <v>0</v>
      </c>
      <c r="M738" s="815">
        <v>0</v>
      </c>
      <c r="N738" s="815">
        <v>0</v>
      </c>
      <c r="O738" s="815">
        <v>0</v>
      </c>
      <c r="P738" s="772">
        <v>0</v>
      </c>
      <c r="Q738" s="774"/>
      <c r="R738" s="774">
        <v>1175</v>
      </c>
      <c r="S738" s="774"/>
      <c r="T738" s="774"/>
      <c r="U738" s="774"/>
      <c r="V738" s="774"/>
    </row>
    <row r="739" spans="1:22" hidden="1">
      <c r="A739" s="786">
        <v>739</v>
      </c>
      <c r="B739" s="767"/>
      <c r="C739" s="767"/>
      <c r="D739" s="767"/>
      <c r="E739" s="767"/>
      <c r="F739" s="806"/>
      <c r="G739" s="778"/>
      <c r="H739" s="815"/>
      <c r="I739" s="815"/>
      <c r="J739" s="815"/>
      <c r="K739" s="815"/>
      <c r="L739" s="815"/>
      <c r="M739" s="815"/>
      <c r="N739" s="815"/>
      <c r="O739" s="815"/>
      <c r="P739" s="772"/>
      <c r="Q739" s="774"/>
      <c r="R739" s="774"/>
      <c r="S739" s="774"/>
      <c r="T739" s="774"/>
      <c r="U739" s="774"/>
      <c r="V739" s="774"/>
    </row>
    <row r="740" spans="1:22" hidden="1">
      <c r="A740" s="786">
        <v>740</v>
      </c>
      <c r="B740" s="767"/>
      <c r="C740" s="767" t="s">
        <v>1055</v>
      </c>
      <c r="D740" s="767" t="s">
        <v>1056</v>
      </c>
      <c r="E740" s="767"/>
      <c r="F740" s="806" t="s">
        <v>1428</v>
      </c>
      <c r="G740" s="778"/>
      <c r="H740" s="815">
        <v>3728126.5134482095</v>
      </c>
      <c r="I740" s="815">
        <v>1517203.6165807017</v>
      </c>
      <c r="J740" s="815">
        <v>493380.9529268216</v>
      </c>
      <c r="K740" s="815">
        <v>864568.03298505128</v>
      </c>
      <c r="L740" s="815">
        <v>356167.87343910942</v>
      </c>
      <c r="M740" s="815">
        <v>364210.331526978</v>
      </c>
      <c r="N740" s="815">
        <v>129589.22637265443</v>
      </c>
      <c r="O740" s="815">
        <v>3006.4796168935641</v>
      </c>
      <c r="P740" s="772">
        <v>0</v>
      </c>
      <c r="Q740" s="774"/>
      <c r="R740" s="774">
        <v>1208</v>
      </c>
      <c r="S740" s="774"/>
      <c r="T740" s="774"/>
      <c r="U740" s="774"/>
      <c r="V740" s="774"/>
    </row>
    <row r="741" spans="1:22" hidden="1">
      <c r="A741" s="786">
        <v>741</v>
      </c>
      <c r="B741" s="767"/>
      <c r="C741" s="767"/>
      <c r="D741" s="767"/>
      <c r="E741" s="767"/>
      <c r="F741" s="806"/>
      <c r="G741" s="778"/>
      <c r="H741" s="788"/>
      <c r="I741" s="788"/>
      <c r="J741" s="788"/>
      <c r="K741" s="788"/>
      <c r="L741" s="788"/>
      <c r="M741" s="788"/>
      <c r="N741" s="788"/>
      <c r="O741" s="788"/>
      <c r="P741" s="772"/>
      <c r="Q741" s="774"/>
      <c r="R741" s="774"/>
    </row>
    <row r="742" spans="1:22" hidden="1">
      <c r="A742" s="786">
        <v>742</v>
      </c>
      <c r="B742" s="767"/>
      <c r="D742" s="767"/>
      <c r="E742" s="767"/>
      <c r="F742" s="806"/>
      <c r="G742" s="778"/>
      <c r="H742" s="788"/>
      <c r="I742" s="788"/>
      <c r="J742" s="788"/>
      <c r="K742" s="788"/>
      <c r="L742" s="788"/>
      <c r="M742" s="788"/>
      <c r="N742" s="788"/>
      <c r="O742" s="788"/>
      <c r="P742" s="772"/>
      <c r="R742" s="774"/>
    </row>
    <row r="743" spans="1:22" ht="13.5" hidden="1" thickBot="1">
      <c r="A743" s="786">
        <v>743</v>
      </c>
      <c r="B743" s="767"/>
      <c r="C743" s="767" t="s">
        <v>1057</v>
      </c>
      <c r="D743" s="767"/>
      <c r="E743" s="767"/>
      <c r="F743" s="806"/>
      <c r="G743" s="778"/>
      <c r="H743" s="814">
        <v>304496977.56201744</v>
      </c>
      <c r="I743" s="814">
        <v>136140411.71897557</v>
      </c>
      <c r="J743" s="814">
        <v>41527966.0276426</v>
      </c>
      <c r="K743" s="814">
        <v>64142396.5893149</v>
      </c>
      <c r="L743" s="814">
        <v>26036020.951908052</v>
      </c>
      <c r="M743" s="814">
        <v>23419632.858456291</v>
      </c>
      <c r="N743" s="814">
        <v>12240194.37263263</v>
      </c>
      <c r="O743" s="814">
        <v>990355.04308740539</v>
      </c>
      <c r="P743" s="772">
        <v>0</v>
      </c>
      <c r="Q743" s="774"/>
      <c r="R743" s="774"/>
      <c r="S743" s="774"/>
      <c r="T743" s="774"/>
      <c r="U743" s="774"/>
      <c r="V743" s="774"/>
    </row>
    <row r="744" spans="1:22" ht="13.5" hidden="1" thickTop="1">
      <c r="A744" s="786">
        <v>744</v>
      </c>
      <c r="B744" s="767"/>
      <c r="D744" s="767"/>
      <c r="E744" s="767"/>
      <c r="F744" s="806"/>
      <c r="G744" s="778"/>
      <c r="H744" s="788"/>
      <c r="I744" s="788"/>
      <c r="J744" s="788"/>
      <c r="K744" s="788"/>
      <c r="L744" s="788"/>
      <c r="M744" s="788"/>
      <c r="N744" s="788"/>
      <c r="O744" s="788"/>
      <c r="P744" s="772"/>
      <c r="R744" s="774"/>
    </row>
    <row r="745" spans="1:22" hidden="1">
      <c r="A745" s="786">
        <v>745</v>
      </c>
      <c r="B745" s="767"/>
      <c r="C745" s="767"/>
      <c r="D745" s="767"/>
      <c r="E745" s="767"/>
      <c r="F745" s="806"/>
      <c r="H745" s="817"/>
      <c r="I745" s="817"/>
      <c r="J745" s="817"/>
      <c r="K745" s="817"/>
      <c r="L745" s="819"/>
      <c r="M745" s="817"/>
      <c r="N745" s="817"/>
      <c r="O745" s="817"/>
      <c r="P745" s="772"/>
      <c r="R745" s="774"/>
    </row>
    <row r="746" spans="1:22" hidden="1">
      <c r="A746" s="786">
        <v>746</v>
      </c>
      <c r="B746" s="767"/>
      <c r="C746" s="781" t="s">
        <v>714</v>
      </c>
      <c r="D746" s="767"/>
      <c r="E746" s="767"/>
      <c r="F746" s="806"/>
      <c r="H746" s="817" t="s">
        <v>1058</v>
      </c>
      <c r="I746" s="817"/>
      <c r="J746" s="817"/>
      <c r="K746" s="817"/>
      <c r="L746" s="819"/>
      <c r="M746" s="817"/>
      <c r="N746" s="817"/>
      <c r="O746" s="817"/>
      <c r="P746" s="772"/>
      <c r="R746" s="774"/>
    </row>
    <row r="747" spans="1:22" hidden="1">
      <c r="A747" s="786">
        <v>747</v>
      </c>
      <c r="B747" s="767"/>
      <c r="C747" s="767"/>
      <c r="D747" s="767"/>
      <c r="E747" s="767"/>
      <c r="F747" s="806"/>
      <c r="G747" s="778"/>
      <c r="H747" s="810"/>
      <c r="I747" s="810"/>
      <c r="J747" s="810"/>
      <c r="K747" s="810"/>
      <c r="L747" s="810"/>
      <c r="M747" s="810"/>
      <c r="N747" s="810"/>
      <c r="O747" s="810"/>
      <c r="P747" s="772"/>
      <c r="R747" s="774"/>
    </row>
    <row r="748" spans="1:22" hidden="1">
      <c r="A748" s="786">
        <v>748</v>
      </c>
      <c r="B748" s="767"/>
      <c r="C748" s="777" t="s">
        <v>575</v>
      </c>
      <c r="D748" s="767"/>
      <c r="E748" s="777" t="s">
        <v>576</v>
      </c>
      <c r="F748" s="806" t="s">
        <v>577</v>
      </c>
      <c r="G748" s="778"/>
      <c r="H748" s="777" t="s">
        <v>578</v>
      </c>
      <c r="I748" s="777" t="s">
        <v>579</v>
      </c>
      <c r="J748" s="777" t="s">
        <v>580</v>
      </c>
      <c r="K748" s="777" t="s">
        <v>581</v>
      </c>
      <c r="L748" s="777" t="s">
        <v>582</v>
      </c>
      <c r="M748" s="777" t="s">
        <v>583</v>
      </c>
      <c r="N748" s="777" t="s">
        <v>584</v>
      </c>
      <c r="O748" s="777" t="s">
        <v>585</v>
      </c>
      <c r="P748" s="772"/>
      <c r="R748" s="774"/>
    </row>
    <row r="749" spans="1:22" ht="38.25" hidden="1">
      <c r="A749" s="786">
        <v>749</v>
      </c>
      <c r="B749" s="767"/>
      <c r="C749" s="797" t="s">
        <v>656</v>
      </c>
      <c r="D749" s="781"/>
      <c r="E749" s="782" t="s">
        <v>587</v>
      </c>
      <c r="F749" s="806" t="s">
        <v>1391</v>
      </c>
      <c r="G749" s="783"/>
      <c r="H749" s="784" t="s">
        <v>588</v>
      </c>
      <c r="I749" s="784" t="s">
        <v>589</v>
      </c>
      <c r="J749" s="784" t="s">
        <v>590</v>
      </c>
      <c r="K749" s="784" t="s">
        <v>591</v>
      </c>
      <c r="L749" s="784" t="s">
        <v>592</v>
      </c>
      <c r="M749" s="784" t="s">
        <v>593</v>
      </c>
      <c r="N749" s="784" t="s">
        <v>594</v>
      </c>
      <c r="O749" s="784" t="s">
        <v>595</v>
      </c>
      <c r="P749" s="772"/>
      <c r="R749" s="774"/>
    </row>
    <row r="750" spans="1:22" hidden="1">
      <c r="A750" s="786">
        <v>750</v>
      </c>
      <c r="B750" s="767"/>
      <c r="C750" s="767" t="s">
        <v>1059</v>
      </c>
      <c r="D750" s="767" t="s">
        <v>1060</v>
      </c>
      <c r="E750" s="767"/>
      <c r="F750" s="806" t="s">
        <v>1392</v>
      </c>
      <c r="G750" s="778"/>
      <c r="H750" s="815">
        <v>385939.21107992763</v>
      </c>
      <c r="I750" s="815">
        <v>161418.96911715591</v>
      </c>
      <c r="J750" s="815">
        <v>51575.607935537679</v>
      </c>
      <c r="K750" s="815">
        <v>87524.725544625922</v>
      </c>
      <c r="L750" s="815">
        <v>35679.877045868838</v>
      </c>
      <c r="M750" s="815">
        <v>33743.445848848292</v>
      </c>
      <c r="N750" s="815">
        <v>15375.508384483623</v>
      </c>
      <c r="O750" s="815">
        <v>621.07720340738786</v>
      </c>
      <c r="P750" s="772">
        <v>0</v>
      </c>
      <c r="Q750" s="774"/>
      <c r="R750" s="774">
        <v>1217</v>
      </c>
      <c r="S750" s="774"/>
      <c r="T750" s="774"/>
      <c r="U750" s="774"/>
      <c r="V750" s="774"/>
    </row>
    <row r="751" spans="1:22" hidden="1">
      <c r="A751" s="786">
        <v>751</v>
      </c>
      <c r="B751" s="767"/>
      <c r="C751" s="767"/>
      <c r="D751" s="767"/>
      <c r="E751" s="767" t="s">
        <v>718</v>
      </c>
      <c r="F751" s="806" t="s">
        <v>1392</v>
      </c>
      <c r="G751" s="778"/>
      <c r="H751" s="815">
        <v>257580.06455378761</v>
      </c>
      <c r="I751" s="815">
        <v>107732.7913094377</v>
      </c>
      <c r="J751" s="815">
        <v>34422.126697785461</v>
      </c>
      <c r="K751" s="815">
        <v>58414.962275414713</v>
      </c>
      <c r="L751" s="815">
        <v>23813.141471242663</v>
      </c>
      <c r="M751" s="815">
        <v>22520.746041048289</v>
      </c>
      <c r="N751" s="815">
        <v>10261.783017954074</v>
      </c>
      <c r="O751" s="815">
        <v>414.51374090472956</v>
      </c>
      <c r="P751" s="772">
        <v>0</v>
      </c>
      <c r="Q751" s="774"/>
      <c r="R751" s="774">
        <v>1219</v>
      </c>
      <c r="S751" s="774"/>
      <c r="T751" s="774"/>
      <c r="U751" s="774"/>
      <c r="V751" s="774"/>
    </row>
    <row r="752" spans="1:22" hidden="1">
      <c r="A752" s="786">
        <v>752</v>
      </c>
      <c r="B752" s="767"/>
      <c r="C752" s="767"/>
      <c r="D752" s="767"/>
      <c r="E752" s="767" t="s">
        <v>1061</v>
      </c>
      <c r="F752" s="806"/>
      <c r="G752" s="778"/>
      <c r="H752" s="815">
        <v>643519.27563371544</v>
      </c>
      <c r="I752" s="815">
        <v>269151.7604265936</v>
      </c>
      <c r="J752" s="815">
        <v>85997.73463332314</v>
      </c>
      <c r="K752" s="815">
        <v>145939.68782004062</v>
      </c>
      <c r="L752" s="815">
        <v>59493.018517111501</v>
      </c>
      <c r="M752" s="815">
        <v>56264.191889896581</v>
      </c>
      <c r="N752" s="815">
        <v>25637.291402437695</v>
      </c>
      <c r="O752" s="815">
        <v>1035.5909443121175</v>
      </c>
      <c r="P752" s="772">
        <v>0</v>
      </c>
      <c r="Q752" s="774"/>
      <c r="R752" s="774"/>
      <c r="S752" s="774"/>
      <c r="T752" s="774"/>
      <c r="U752" s="774"/>
      <c r="V752" s="774"/>
    </row>
    <row r="753" spans="1:22" hidden="1">
      <c r="A753" s="786">
        <v>753</v>
      </c>
      <c r="B753" s="767"/>
      <c r="C753" s="767"/>
      <c r="D753" s="767"/>
      <c r="E753" s="767"/>
      <c r="F753" s="806"/>
      <c r="G753" s="778"/>
      <c r="H753" s="788"/>
      <c r="I753" s="788"/>
      <c r="J753" s="788"/>
      <c r="K753" s="788"/>
      <c r="L753" s="788"/>
      <c r="M753" s="788"/>
      <c r="N753" s="788"/>
      <c r="O753" s="788"/>
      <c r="P753" s="772"/>
      <c r="R753" s="774"/>
    </row>
    <row r="754" spans="1:22" hidden="1">
      <c r="A754" s="786">
        <v>754</v>
      </c>
      <c r="B754" s="767"/>
      <c r="C754" s="767" t="s">
        <v>1062</v>
      </c>
      <c r="D754" s="767" t="s">
        <v>1063</v>
      </c>
      <c r="E754" s="767"/>
      <c r="F754" s="806" t="s">
        <v>1392</v>
      </c>
      <c r="G754" s="778"/>
      <c r="H754" s="815">
        <v>13617809.5442557</v>
      </c>
      <c r="I754" s="815">
        <v>5695645.104617998</v>
      </c>
      <c r="J754" s="815">
        <v>1819837.9066746335</v>
      </c>
      <c r="K754" s="815">
        <v>3088297.3501055515</v>
      </c>
      <c r="L754" s="815">
        <v>1258959.3288889138</v>
      </c>
      <c r="M754" s="815">
        <v>1190632.6326644151</v>
      </c>
      <c r="N754" s="815">
        <v>542522.6015260783</v>
      </c>
      <c r="O754" s="815">
        <v>21914.619778111071</v>
      </c>
      <c r="P754" s="772">
        <v>0</v>
      </c>
      <c r="Q754" s="774"/>
      <c r="R754" s="774">
        <v>1225</v>
      </c>
      <c r="S754" s="774"/>
      <c r="T754" s="774"/>
      <c r="U754" s="774"/>
      <c r="V754" s="774"/>
    </row>
    <row r="755" spans="1:22" hidden="1">
      <c r="A755" s="786">
        <v>755</v>
      </c>
      <c r="B755" s="767"/>
      <c r="C755" s="767"/>
      <c r="D755" s="767"/>
      <c r="E755" s="767" t="s">
        <v>718</v>
      </c>
      <c r="F755" s="806" t="s">
        <v>1392</v>
      </c>
      <c r="G755" s="778"/>
      <c r="H755" s="815">
        <v>32158954.560471315</v>
      </c>
      <c r="I755" s="815">
        <v>13450473.919224745</v>
      </c>
      <c r="J755" s="815">
        <v>4297613.6769998781</v>
      </c>
      <c r="K755" s="815">
        <v>7293126.9767363071</v>
      </c>
      <c r="L755" s="815">
        <v>2973078.4323017863</v>
      </c>
      <c r="M755" s="815">
        <v>2811722.4438801641</v>
      </c>
      <c r="N755" s="815">
        <v>1281186.9364016301</v>
      </c>
      <c r="O755" s="815">
        <v>51752.174926808249</v>
      </c>
      <c r="P755" s="772">
        <v>0</v>
      </c>
      <c r="Q755" s="774"/>
      <c r="R755" s="774">
        <v>1226</v>
      </c>
      <c r="S755" s="774"/>
      <c r="T755" s="774"/>
      <c r="U755" s="774"/>
      <c r="V755" s="774"/>
    </row>
    <row r="756" spans="1:22" hidden="1">
      <c r="A756" s="786">
        <v>756</v>
      </c>
      <c r="B756" s="767"/>
      <c r="C756" s="767"/>
      <c r="D756" s="767"/>
      <c r="E756" s="767" t="s">
        <v>1064</v>
      </c>
      <c r="F756" s="806"/>
      <c r="G756" s="778"/>
      <c r="H756" s="815">
        <v>45776764.10472703</v>
      </c>
      <c r="I756" s="815">
        <v>19146119.023842745</v>
      </c>
      <c r="J756" s="815">
        <v>6117451.5836745119</v>
      </c>
      <c r="K756" s="815">
        <v>10381424.326841859</v>
      </c>
      <c r="L756" s="815">
        <v>4232037.7611907003</v>
      </c>
      <c r="M756" s="815">
        <v>4002355.0765445791</v>
      </c>
      <c r="N756" s="815">
        <v>1823709.5379277084</v>
      </c>
      <c r="O756" s="815">
        <v>73666.794704919317</v>
      </c>
      <c r="P756" s="772">
        <v>0</v>
      </c>
      <c r="Q756" s="774"/>
      <c r="R756" s="774"/>
      <c r="S756" s="774"/>
      <c r="T756" s="774"/>
      <c r="U756" s="774"/>
      <c r="V756" s="774"/>
    </row>
    <row r="757" spans="1:22" hidden="1">
      <c r="A757" s="786">
        <v>757</v>
      </c>
      <c r="B757" s="767"/>
      <c r="C757" s="767"/>
      <c r="D757" s="767"/>
      <c r="E757" s="767"/>
      <c r="F757" s="806"/>
      <c r="G757" s="778"/>
      <c r="H757" s="788"/>
      <c r="I757" s="788"/>
      <c r="J757" s="788"/>
      <c r="K757" s="788"/>
      <c r="L757" s="788"/>
      <c r="M757" s="788"/>
      <c r="N757" s="788"/>
      <c r="O757" s="788"/>
      <c r="P757" s="772"/>
      <c r="R757" s="774"/>
    </row>
    <row r="758" spans="1:22" hidden="1">
      <c r="A758" s="786">
        <v>758</v>
      </c>
      <c r="B758" s="767"/>
      <c r="C758" s="767" t="s">
        <v>1065</v>
      </c>
      <c r="D758" s="767" t="s">
        <v>1066</v>
      </c>
      <c r="E758" s="767"/>
      <c r="F758" s="806"/>
      <c r="G758" s="778"/>
      <c r="H758" s="815"/>
      <c r="I758" s="815"/>
      <c r="J758" s="815"/>
      <c r="K758" s="815"/>
      <c r="L758" s="815"/>
      <c r="M758" s="815"/>
      <c r="N758" s="815"/>
      <c r="O758" s="815"/>
      <c r="P758" s="772"/>
      <c r="Q758" s="774"/>
      <c r="R758" s="774"/>
      <c r="S758" s="774"/>
      <c r="T758" s="774"/>
      <c r="U758" s="774"/>
      <c r="V758" s="774"/>
    </row>
    <row r="759" spans="1:22" hidden="1">
      <c r="A759" s="786">
        <v>759</v>
      </c>
      <c r="B759" s="767"/>
      <c r="C759" s="767"/>
      <c r="D759" s="767"/>
      <c r="E759" s="767" t="s">
        <v>788</v>
      </c>
      <c r="F759" s="806" t="s">
        <v>1392</v>
      </c>
      <c r="G759" s="778"/>
      <c r="H759" s="815">
        <v>12254273.458731979</v>
      </c>
      <c r="I759" s="815">
        <v>5125346.5110560739</v>
      </c>
      <c r="J759" s="815">
        <v>1637619.5662366494</v>
      </c>
      <c r="K759" s="815">
        <v>2779069.5799556524</v>
      </c>
      <c r="L759" s="815">
        <v>1132901.135053263</v>
      </c>
      <c r="M759" s="815">
        <v>1071415.9147360274</v>
      </c>
      <c r="N759" s="815">
        <v>488200.41835932538</v>
      </c>
      <c r="O759" s="815">
        <v>19720.333334988438</v>
      </c>
      <c r="P759" s="772">
        <v>0</v>
      </c>
      <c r="Q759" s="774"/>
      <c r="R759" s="774">
        <v>1230</v>
      </c>
      <c r="S759" s="774"/>
      <c r="T759" s="774"/>
      <c r="U759" s="774"/>
      <c r="V759" s="774"/>
    </row>
    <row r="760" spans="1:22" hidden="1">
      <c r="A760" s="786">
        <v>760</v>
      </c>
      <c r="B760" s="767"/>
      <c r="C760" s="767"/>
      <c r="D760" s="767"/>
      <c r="E760" s="767" t="s">
        <v>727</v>
      </c>
      <c r="F760" s="806" t="s">
        <v>1392</v>
      </c>
      <c r="G760" s="778"/>
      <c r="H760" s="815">
        <v>-119616.25699999859</v>
      </c>
      <c r="I760" s="815">
        <v>-50029.466662805149</v>
      </c>
      <c r="J760" s="815">
        <v>-15985.111117592012</v>
      </c>
      <c r="K760" s="815">
        <v>-27127.018359458991</v>
      </c>
      <c r="L760" s="815">
        <v>-11058.460037021532</v>
      </c>
      <c r="M760" s="815">
        <v>-10458.291292629156</v>
      </c>
      <c r="N760" s="815">
        <v>-4765.4156655337556</v>
      </c>
      <c r="O760" s="815">
        <v>-192.49386495800482</v>
      </c>
      <c r="P760" s="772">
        <v>0</v>
      </c>
      <c r="Q760" s="774"/>
      <c r="R760" s="774">
        <v>1231</v>
      </c>
      <c r="S760" s="774"/>
      <c r="T760" s="774"/>
      <c r="U760" s="774"/>
      <c r="V760" s="774"/>
    </row>
    <row r="761" spans="1:22" hidden="1">
      <c r="A761" s="786">
        <v>761</v>
      </c>
      <c r="B761" s="767"/>
      <c r="C761" s="767"/>
      <c r="D761" s="767"/>
      <c r="E761" s="767" t="s">
        <v>719</v>
      </c>
      <c r="F761" s="806" t="s">
        <v>1392</v>
      </c>
      <c r="G761" s="778"/>
      <c r="H761" s="815">
        <v>628249.13569485024</v>
      </c>
      <c r="I761" s="815">
        <v>262765.02858789527</v>
      </c>
      <c r="J761" s="815">
        <v>83957.084893681647</v>
      </c>
      <c r="K761" s="815">
        <v>142476.6688553768</v>
      </c>
      <c r="L761" s="815">
        <v>58081.302112428588</v>
      </c>
      <c r="M761" s="815">
        <v>54929.092668727484</v>
      </c>
      <c r="N761" s="815">
        <v>25028.941284279754</v>
      </c>
      <c r="O761" s="815">
        <v>1011.0172924607494</v>
      </c>
      <c r="P761" s="772">
        <v>0</v>
      </c>
      <c r="Q761" s="774"/>
      <c r="R761" s="774">
        <v>1232</v>
      </c>
      <c r="S761" s="774"/>
      <c r="T761" s="774"/>
      <c r="U761" s="774"/>
      <c r="V761" s="774"/>
    </row>
    <row r="762" spans="1:22" hidden="1">
      <c r="A762" s="786">
        <v>762</v>
      </c>
      <c r="B762" s="767"/>
      <c r="C762" s="767"/>
      <c r="D762" s="767"/>
      <c r="E762" s="767" t="s">
        <v>718</v>
      </c>
      <c r="F762" s="806" t="s">
        <v>1392</v>
      </c>
      <c r="G762" s="778"/>
      <c r="H762" s="815">
        <v>170013136.34682584</v>
      </c>
      <c r="I762" s="815">
        <v>71107947.618713483</v>
      </c>
      <c r="J762" s="815">
        <v>22719979.241236117</v>
      </c>
      <c r="K762" s="815">
        <v>38556209.554605976</v>
      </c>
      <c r="L762" s="815">
        <v>15717625.021990854</v>
      </c>
      <c r="M762" s="815">
        <v>14864592.38971675</v>
      </c>
      <c r="N762" s="815">
        <v>6773186.8862415571</v>
      </c>
      <c r="O762" s="815">
        <v>273595.63432112022</v>
      </c>
      <c r="P762" s="772">
        <v>0</v>
      </c>
      <c r="Q762" s="774"/>
      <c r="R762" s="774">
        <v>1233</v>
      </c>
      <c r="S762" s="774"/>
      <c r="T762" s="774"/>
      <c r="U762" s="774"/>
      <c r="V762" s="774"/>
    </row>
    <row r="763" spans="1:22" hidden="1">
      <c r="A763" s="786">
        <v>763</v>
      </c>
      <c r="B763" s="767"/>
      <c r="C763" s="767"/>
      <c r="D763" s="767"/>
      <c r="E763" s="767" t="s">
        <v>1067</v>
      </c>
      <c r="F763" s="806"/>
      <c r="G763" s="778"/>
      <c r="H763" s="815">
        <v>182776042.68425268</v>
      </c>
      <c r="I763" s="815">
        <v>76446029.691694647</v>
      </c>
      <c r="J763" s="815">
        <v>24425570.781248856</v>
      </c>
      <c r="K763" s="815">
        <v>41450628.785057545</v>
      </c>
      <c r="L763" s="815">
        <v>16897548.999119524</v>
      </c>
      <c r="M763" s="815">
        <v>15980479.105828876</v>
      </c>
      <c r="N763" s="815">
        <v>7281650.8302196283</v>
      </c>
      <c r="O763" s="815">
        <v>294134.49108361138</v>
      </c>
      <c r="P763" s="772">
        <v>0</v>
      </c>
      <c r="Q763" s="774"/>
      <c r="R763" s="774"/>
      <c r="S763" s="774"/>
      <c r="T763" s="774"/>
      <c r="U763" s="774"/>
      <c r="V763" s="774"/>
    </row>
    <row r="764" spans="1:22" hidden="1">
      <c r="A764" s="786">
        <v>764</v>
      </c>
      <c r="B764" s="767"/>
      <c r="C764" s="767"/>
      <c r="D764" s="767"/>
      <c r="E764" s="767"/>
      <c r="F764" s="806"/>
      <c r="G764" s="778"/>
      <c r="H764" s="788"/>
      <c r="I764" s="788"/>
      <c r="J764" s="788"/>
      <c r="K764" s="788"/>
      <c r="L764" s="788"/>
      <c r="M764" s="788"/>
      <c r="N764" s="788"/>
      <c r="O764" s="788"/>
      <c r="P764" s="772"/>
      <c r="R764" s="774"/>
    </row>
    <row r="765" spans="1:22" hidden="1">
      <c r="A765" s="786">
        <v>765</v>
      </c>
      <c r="B765" s="767"/>
      <c r="C765" s="767" t="s">
        <v>1068</v>
      </c>
      <c r="D765" s="767" t="s">
        <v>1069</v>
      </c>
      <c r="E765" s="767"/>
      <c r="F765" s="806" t="s">
        <v>1392</v>
      </c>
      <c r="G765" s="778"/>
      <c r="H765" s="815">
        <v>8411544.4657448363</v>
      </c>
      <c r="I765" s="815">
        <v>3518126.1643364197</v>
      </c>
      <c r="J765" s="815">
        <v>1124090.2894620665</v>
      </c>
      <c r="K765" s="815">
        <v>1907601.2481620165</v>
      </c>
      <c r="L765" s="815">
        <v>777642.86107088276</v>
      </c>
      <c r="M765" s="815">
        <v>735438.34634169517</v>
      </c>
      <c r="N765" s="815">
        <v>335109.17975300533</v>
      </c>
      <c r="O765" s="815">
        <v>13536.376618751399</v>
      </c>
      <c r="P765" s="772">
        <v>0</v>
      </c>
      <c r="Q765" s="774"/>
      <c r="R765" s="774">
        <v>1239</v>
      </c>
      <c r="S765" s="774"/>
      <c r="T765" s="774"/>
      <c r="U765" s="774"/>
      <c r="V765" s="774"/>
    </row>
    <row r="766" spans="1:22" hidden="1">
      <c r="A766" s="786">
        <v>766</v>
      </c>
      <c r="B766" s="767"/>
      <c r="C766" s="767"/>
      <c r="D766" s="767"/>
      <c r="E766" s="767" t="s">
        <v>718</v>
      </c>
      <c r="F766" s="806" t="s">
        <v>1392</v>
      </c>
      <c r="G766" s="778"/>
      <c r="H766" s="815">
        <v>44486336.313749619</v>
      </c>
      <c r="I766" s="815">
        <v>18606397.954411004</v>
      </c>
      <c r="J766" s="815">
        <v>5945003.1879016636</v>
      </c>
      <c r="K766" s="815">
        <v>10088776.326851353</v>
      </c>
      <c r="L766" s="815">
        <v>4112738.3907281579</v>
      </c>
      <c r="M766" s="815">
        <v>3889530.3646816611</v>
      </c>
      <c r="N766" s="815">
        <v>1772299.9305332564</v>
      </c>
      <c r="O766" s="815">
        <v>71590.158642528055</v>
      </c>
      <c r="P766" s="772">
        <v>0</v>
      </c>
      <c r="Q766" s="774"/>
      <c r="R766" s="774">
        <v>1240</v>
      </c>
      <c r="S766" s="774"/>
      <c r="T766" s="774"/>
      <c r="U766" s="774"/>
      <c r="V766" s="774"/>
    </row>
    <row r="767" spans="1:22" hidden="1">
      <c r="A767" s="786">
        <v>767</v>
      </c>
      <c r="B767" s="767"/>
      <c r="C767" s="767"/>
      <c r="D767" s="767"/>
      <c r="E767" s="767" t="s">
        <v>1070</v>
      </c>
      <c r="F767" s="806"/>
      <c r="G767" s="778"/>
      <c r="H767" s="815">
        <v>52897880.779494472</v>
      </c>
      <c r="I767" s="815">
        <v>22124524.118747424</v>
      </c>
      <c r="J767" s="815">
        <v>7069093.4773637298</v>
      </c>
      <c r="K767" s="815">
        <v>11996377.575013369</v>
      </c>
      <c r="L767" s="815">
        <v>4890381.2517990405</v>
      </c>
      <c r="M767" s="815">
        <v>4624968.7110233568</v>
      </c>
      <c r="N767" s="815">
        <v>2107409.1102862619</v>
      </c>
      <c r="O767" s="815">
        <v>85126.535261279452</v>
      </c>
      <c r="P767" s="772">
        <v>0</v>
      </c>
      <c r="Q767" s="774"/>
      <c r="R767" s="774"/>
      <c r="S767" s="774"/>
      <c r="T767" s="774"/>
      <c r="U767" s="774"/>
      <c r="V767" s="774"/>
    </row>
    <row r="768" spans="1:22" hidden="1">
      <c r="A768" s="786">
        <v>768</v>
      </c>
      <c r="B768" s="767"/>
      <c r="C768" s="767"/>
      <c r="D768" s="767"/>
      <c r="E768" s="767"/>
      <c r="F768" s="806"/>
      <c r="G768" s="778"/>
      <c r="H768" s="788"/>
      <c r="I768" s="788"/>
      <c r="J768" s="788"/>
      <c r="K768" s="788"/>
      <c r="L768" s="788"/>
      <c r="M768" s="788"/>
      <c r="N768" s="788"/>
      <c r="O768" s="788"/>
      <c r="P768" s="772"/>
      <c r="R768" s="774"/>
    </row>
    <row r="769" spans="1:22" hidden="1">
      <c r="A769" s="786">
        <v>769</v>
      </c>
      <c r="B769" s="767"/>
      <c r="C769" s="767" t="s">
        <v>1071</v>
      </c>
      <c r="D769" s="767" t="s">
        <v>1072</v>
      </c>
      <c r="E769" s="767"/>
      <c r="F769" s="806" t="s">
        <v>1392</v>
      </c>
      <c r="G769" s="778"/>
      <c r="H769" s="815">
        <v>2020188.2665008439</v>
      </c>
      <c r="I769" s="815">
        <v>844943.18804420775</v>
      </c>
      <c r="J769" s="815">
        <v>269971.11202427908</v>
      </c>
      <c r="K769" s="815">
        <v>458145.78694710933</v>
      </c>
      <c r="L769" s="815">
        <v>186765.34254336057</v>
      </c>
      <c r="M769" s="815">
        <v>176629.14629587191</v>
      </c>
      <c r="N769" s="815">
        <v>80482.678976576877</v>
      </c>
      <c r="O769" s="815">
        <v>3251.011669438577</v>
      </c>
      <c r="P769" s="772">
        <v>0</v>
      </c>
      <c r="Q769" s="774"/>
      <c r="R769" s="774">
        <v>1246</v>
      </c>
      <c r="S769" s="774"/>
      <c r="T769" s="774"/>
      <c r="U769" s="774"/>
      <c r="V769" s="774"/>
    </row>
    <row r="770" spans="1:22" hidden="1">
      <c r="A770" s="786">
        <v>770</v>
      </c>
      <c r="B770" s="767"/>
      <c r="C770" s="767"/>
      <c r="D770" s="767"/>
      <c r="E770" s="767" t="s">
        <v>718</v>
      </c>
      <c r="F770" s="806" t="s">
        <v>1392</v>
      </c>
      <c r="G770" s="778"/>
      <c r="H770" s="815">
        <v>13147103.839471312</v>
      </c>
      <c r="I770" s="815">
        <v>5498772.5727722393</v>
      </c>
      <c r="J770" s="815">
        <v>1756934.3918567188</v>
      </c>
      <c r="K770" s="815">
        <v>2981548.9647620078</v>
      </c>
      <c r="L770" s="815">
        <v>1215442.8340904161</v>
      </c>
      <c r="M770" s="815">
        <v>1149477.8808171181</v>
      </c>
      <c r="N770" s="815">
        <v>523770.06407261448</v>
      </c>
      <c r="O770" s="815">
        <v>21157.131100198923</v>
      </c>
      <c r="P770" s="772">
        <v>0</v>
      </c>
      <c r="Q770" s="774"/>
      <c r="R770" s="774">
        <v>1247</v>
      </c>
      <c r="S770" s="774"/>
      <c r="T770" s="774"/>
      <c r="U770" s="774"/>
      <c r="V770" s="774"/>
    </row>
    <row r="771" spans="1:22" hidden="1">
      <c r="A771" s="786">
        <v>771</v>
      </c>
      <c r="B771" s="767"/>
      <c r="C771" s="767"/>
      <c r="D771" s="767"/>
      <c r="E771" s="767" t="s">
        <v>1073</v>
      </c>
      <c r="F771" s="806"/>
      <c r="G771" s="778"/>
      <c r="H771" s="815">
        <v>15167292.105972158</v>
      </c>
      <c r="I771" s="815">
        <v>6343715.7608164474</v>
      </c>
      <c r="J771" s="815">
        <v>2026905.5038809979</v>
      </c>
      <c r="K771" s="815">
        <v>3439694.7517091171</v>
      </c>
      <c r="L771" s="815">
        <v>1402208.1766337766</v>
      </c>
      <c r="M771" s="815">
        <v>1326107.0271129899</v>
      </c>
      <c r="N771" s="815">
        <v>604252.74304919131</v>
      </c>
      <c r="O771" s="815">
        <v>24408.142769637499</v>
      </c>
      <c r="P771" s="772">
        <v>0</v>
      </c>
      <c r="Q771" s="774"/>
      <c r="R771" s="774"/>
      <c r="S771" s="774"/>
      <c r="T771" s="774"/>
      <c r="U771" s="774"/>
      <c r="V771" s="774"/>
    </row>
    <row r="772" spans="1:22" hidden="1">
      <c r="A772" s="786">
        <v>772</v>
      </c>
      <c r="B772" s="767"/>
      <c r="C772" s="767"/>
      <c r="D772" s="767"/>
      <c r="E772" s="767"/>
      <c r="F772" s="806"/>
      <c r="G772" s="778"/>
      <c r="H772" s="788"/>
      <c r="I772" s="788"/>
      <c r="J772" s="788"/>
      <c r="K772" s="788"/>
      <c r="L772" s="788"/>
      <c r="M772" s="788"/>
      <c r="N772" s="788"/>
      <c r="O772" s="788"/>
      <c r="P772" s="772"/>
      <c r="R772" s="774"/>
    </row>
    <row r="773" spans="1:22" hidden="1">
      <c r="A773" s="786">
        <v>773</v>
      </c>
      <c r="B773" s="767"/>
      <c r="C773" s="767" t="s">
        <v>1074</v>
      </c>
      <c r="D773" s="767" t="s">
        <v>1075</v>
      </c>
      <c r="E773" s="767"/>
      <c r="F773" s="806" t="s">
        <v>1392</v>
      </c>
      <c r="G773" s="778"/>
      <c r="H773" s="815">
        <v>93803.462205674878</v>
      </c>
      <c r="I773" s="815">
        <v>39233.272324133744</v>
      </c>
      <c r="J773" s="815">
        <v>12535.57671991503</v>
      </c>
      <c r="K773" s="815">
        <v>21273.097029228978</v>
      </c>
      <c r="L773" s="815">
        <v>8672.0807367825219</v>
      </c>
      <c r="M773" s="815">
        <v>8201.4264332321418</v>
      </c>
      <c r="N773" s="815">
        <v>3737.05464029218</v>
      </c>
      <c r="O773" s="815">
        <v>150.95432209028829</v>
      </c>
      <c r="P773" s="772">
        <v>0</v>
      </c>
      <c r="Q773" s="774"/>
      <c r="R773" s="774">
        <v>1253</v>
      </c>
      <c r="S773" s="774"/>
      <c r="T773" s="774"/>
      <c r="U773" s="774"/>
      <c r="V773" s="774"/>
    </row>
    <row r="774" spans="1:22" hidden="1">
      <c r="A774" s="786">
        <v>774</v>
      </c>
      <c r="B774" s="767"/>
      <c r="C774" s="767"/>
      <c r="D774" s="767"/>
      <c r="E774" s="767" t="s">
        <v>718</v>
      </c>
      <c r="F774" s="806" t="s">
        <v>1392</v>
      </c>
      <c r="G774" s="778"/>
      <c r="H774" s="815">
        <v>1112270.5031941724</v>
      </c>
      <c r="I774" s="815">
        <v>465206.83270982985</v>
      </c>
      <c r="J774" s="815">
        <v>148640.05974019933</v>
      </c>
      <c r="K774" s="815">
        <v>252244.82957056048</v>
      </c>
      <c r="L774" s="815">
        <v>102828.82292438504</v>
      </c>
      <c r="M774" s="815">
        <v>97248.05984026067</v>
      </c>
      <c r="N774" s="815">
        <v>44311.964052116135</v>
      </c>
      <c r="O774" s="815">
        <v>1789.9343568210265</v>
      </c>
      <c r="P774" s="772">
        <v>0</v>
      </c>
      <c r="Q774" s="774"/>
      <c r="R774" s="774">
        <v>1255</v>
      </c>
      <c r="S774" s="774"/>
      <c r="T774" s="774"/>
      <c r="U774" s="774"/>
      <c r="V774" s="774"/>
    </row>
    <row r="775" spans="1:22" hidden="1">
      <c r="A775" s="786">
        <v>775</v>
      </c>
      <c r="B775" s="767"/>
      <c r="C775" s="767"/>
      <c r="D775" s="767"/>
      <c r="E775" s="767" t="s">
        <v>1076</v>
      </c>
      <c r="F775" s="806"/>
      <c r="G775" s="778"/>
      <c r="H775" s="815">
        <v>1206073.9653998474</v>
      </c>
      <c r="I775" s="815">
        <v>504440.10503396357</v>
      </c>
      <c r="J775" s="815">
        <v>161175.63646011436</v>
      </c>
      <c r="K775" s="815">
        <v>273517.92659978947</v>
      </c>
      <c r="L775" s="815">
        <v>111500.90366116755</v>
      </c>
      <c r="M775" s="815">
        <v>105449.48627349282</v>
      </c>
      <c r="N775" s="815">
        <v>48049.018692408317</v>
      </c>
      <c r="O775" s="815">
        <v>1940.8886789113149</v>
      </c>
      <c r="P775" s="772">
        <v>0</v>
      </c>
      <c r="Q775" s="774"/>
      <c r="R775" s="774"/>
      <c r="S775" s="774"/>
      <c r="T775" s="774"/>
      <c r="U775" s="774"/>
      <c r="V775" s="774"/>
    </row>
    <row r="776" spans="1:22" hidden="1">
      <c r="A776" s="786">
        <v>776</v>
      </c>
      <c r="B776" s="767"/>
      <c r="C776" s="767"/>
      <c r="D776" s="767"/>
      <c r="E776" s="767"/>
      <c r="F776" s="806"/>
      <c r="G776" s="778"/>
      <c r="H776" s="788"/>
      <c r="I776" s="788"/>
      <c r="J776" s="788"/>
      <c r="K776" s="788"/>
      <c r="L776" s="788"/>
      <c r="M776" s="788"/>
      <c r="N776" s="788"/>
      <c r="O776" s="788"/>
      <c r="P776" s="772"/>
      <c r="R776" s="774"/>
    </row>
    <row r="777" spans="1:22" hidden="1">
      <c r="A777" s="786">
        <v>777</v>
      </c>
      <c r="B777" s="767"/>
      <c r="C777" s="767" t="s">
        <v>1077</v>
      </c>
      <c r="D777" s="767" t="s">
        <v>1078</v>
      </c>
      <c r="E777" s="767"/>
      <c r="F777" s="806" t="s">
        <v>1392</v>
      </c>
      <c r="G777" s="778"/>
      <c r="H777" s="815">
        <v>5577774.3200347871</v>
      </c>
      <c r="I777" s="815">
        <v>2332902.5785920913</v>
      </c>
      <c r="J777" s="815">
        <v>745394.85293047037</v>
      </c>
      <c r="K777" s="815">
        <v>1264948.3454786949</v>
      </c>
      <c r="L777" s="815">
        <v>515662.30176915141</v>
      </c>
      <c r="M777" s="815">
        <v>487676.09074635239</v>
      </c>
      <c r="N777" s="815">
        <v>222214.05175306549</v>
      </c>
      <c r="O777" s="815">
        <v>8976.098764961489</v>
      </c>
      <c r="P777" s="772">
        <v>0</v>
      </c>
      <c r="Q777" s="774"/>
      <c r="R777" s="774">
        <v>1262</v>
      </c>
      <c r="S777" s="774"/>
      <c r="T777" s="774"/>
      <c r="U777" s="774"/>
      <c r="V777" s="774"/>
    </row>
    <row r="778" spans="1:22" hidden="1">
      <c r="A778" s="786">
        <v>778</v>
      </c>
      <c r="B778" s="767"/>
      <c r="C778" s="767"/>
      <c r="D778" s="767"/>
      <c r="E778" s="767"/>
      <c r="F778" s="806"/>
      <c r="G778" s="778"/>
      <c r="H778" s="788"/>
      <c r="I778" s="788"/>
      <c r="J778" s="788"/>
      <c r="K778" s="788"/>
      <c r="L778" s="788"/>
      <c r="M778" s="788"/>
      <c r="N778" s="788"/>
      <c r="O778" s="788"/>
      <c r="P778" s="772"/>
      <c r="R778" s="774"/>
    </row>
    <row r="779" spans="1:22" hidden="1">
      <c r="A779" s="786">
        <v>779</v>
      </c>
      <c r="B779" s="767"/>
      <c r="C779" s="767"/>
      <c r="D779" s="767"/>
      <c r="E779" s="767"/>
      <c r="F779" s="806"/>
      <c r="G779" s="778"/>
      <c r="H779" s="827"/>
      <c r="I779" s="827"/>
      <c r="J779" s="827"/>
      <c r="K779" s="827"/>
      <c r="L779" s="827"/>
      <c r="M779" s="827"/>
      <c r="N779" s="827"/>
      <c r="O779" s="827"/>
      <c r="P779" s="772"/>
      <c r="R779" s="774"/>
    </row>
    <row r="780" spans="1:22" hidden="1">
      <c r="A780" s="786">
        <v>780</v>
      </c>
      <c r="B780" s="767"/>
      <c r="C780" s="767"/>
      <c r="D780" s="767"/>
      <c r="E780" s="767"/>
      <c r="F780" s="806"/>
      <c r="G780" s="778"/>
      <c r="H780" s="788"/>
      <c r="I780" s="788"/>
      <c r="J780" s="788"/>
      <c r="K780" s="788"/>
      <c r="L780" s="788"/>
      <c r="M780" s="788"/>
      <c r="N780" s="788"/>
      <c r="O780" s="788"/>
      <c r="P780" s="772"/>
      <c r="R780" s="774"/>
    </row>
    <row r="781" spans="1:22" hidden="1">
      <c r="A781" s="786">
        <v>781</v>
      </c>
      <c r="B781" s="767"/>
      <c r="C781" s="767" t="s">
        <v>1079</v>
      </c>
      <c r="D781" s="767"/>
      <c r="E781" s="767"/>
      <c r="F781" s="806"/>
      <c r="G781" s="778"/>
      <c r="H781" s="815">
        <v>304045347.2355147</v>
      </c>
      <c r="I781" s="815">
        <v>127166883.0391539</v>
      </c>
      <c r="J781" s="815">
        <v>40631589.570192009</v>
      </c>
      <c r="K781" s="815">
        <v>68952531.39852041</v>
      </c>
      <c r="L781" s="815">
        <v>28108832.412690472</v>
      </c>
      <c r="M781" s="815">
        <v>26583299.689419542</v>
      </c>
      <c r="N781" s="815">
        <v>12112922.5833307</v>
      </c>
      <c r="O781" s="815">
        <v>489288.54220763256</v>
      </c>
      <c r="P781" s="772">
        <v>0</v>
      </c>
      <c r="Q781" s="774"/>
      <c r="R781" s="774"/>
      <c r="S781" s="774"/>
      <c r="T781" s="774"/>
      <c r="U781" s="774"/>
      <c r="V781" s="774"/>
    </row>
    <row r="782" spans="1:22" hidden="1">
      <c r="A782" s="786">
        <v>782</v>
      </c>
      <c r="B782" s="767"/>
      <c r="C782" s="767"/>
      <c r="D782" s="767"/>
      <c r="E782" s="767"/>
      <c r="F782" s="806"/>
      <c r="G782" s="778"/>
      <c r="H782" s="810"/>
      <c r="I782" s="810"/>
      <c r="J782" s="810"/>
      <c r="K782" s="810"/>
      <c r="L782" s="810"/>
      <c r="M782" s="810"/>
      <c r="N782" s="810"/>
      <c r="O782" s="810"/>
      <c r="P782" s="772"/>
      <c r="R782" s="774"/>
    </row>
    <row r="783" spans="1:22" hidden="1">
      <c r="A783" s="786">
        <v>783</v>
      </c>
      <c r="B783" s="767"/>
      <c r="C783" s="767"/>
      <c r="D783" s="767"/>
      <c r="E783" s="767"/>
      <c r="F783" s="806"/>
      <c r="G783" s="778"/>
      <c r="H783" s="788"/>
      <c r="I783" s="788"/>
      <c r="J783" s="788"/>
      <c r="K783" s="788"/>
      <c r="L783" s="788"/>
      <c r="M783" s="788"/>
      <c r="N783" s="788"/>
      <c r="O783" s="788"/>
      <c r="P783" s="772"/>
      <c r="R783" s="774"/>
    </row>
    <row r="784" spans="1:22" hidden="1">
      <c r="A784" s="786">
        <v>784</v>
      </c>
      <c r="C784" s="769"/>
      <c r="D784" s="795"/>
      <c r="E784" s="795"/>
      <c r="F784" s="806"/>
      <c r="H784" s="817" t="s">
        <v>1080</v>
      </c>
      <c r="I784" s="817"/>
      <c r="J784" s="817"/>
      <c r="K784" s="817"/>
      <c r="L784" s="817"/>
      <c r="M784" s="817"/>
      <c r="N784" s="817"/>
      <c r="O784" s="817"/>
      <c r="P784" s="772"/>
      <c r="R784" s="774"/>
    </row>
    <row r="785" spans="1:22" hidden="1">
      <c r="A785" s="786">
        <v>785</v>
      </c>
      <c r="B785" s="767"/>
      <c r="D785" s="767"/>
      <c r="E785" s="767"/>
      <c r="F785" s="806"/>
      <c r="G785" s="778"/>
      <c r="H785" s="810"/>
      <c r="I785" s="810"/>
      <c r="J785" s="810"/>
      <c r="K785" s="810"/>
      <c r="L785" s="810"/>
      <c r="M785" s="810"/>
      <c r="N785" s="810"/>
      <c r="O785" s="810"/>
      <c r="P785" s="772"/>
      <c r="R785" s="774"/>
    </row>
    <row r="786" spans="1:22" hidden="1">
      <c r="A786" s="786">
        <v>786</v>
      </c>
      <c r="B786" s="767"/>
      <c r="C786" s="767"/>
      <c r="D786" s="767"/>
      <c r="E786" s="767"/>
      <c r="F786" s="806"/>
      <c r="G786" s="778"/>
      <c r="H786" s="788"/>
      <c r="I786" s="788"/>
      <c r="J786" s="788"/>
      <c r="K786" s="788"/>
      <c r="L786" s="788"/>
      <c r="M786" s="788"/>
      <c r="N786" s="788"/>
      <c r="O786" s="788"/>
      <c r="P786" s="772"/>
      <c r="R786" s="774"/>
    </row>
    <row r="787" spans="1:22" hidden="1">
      <c r="A787" s="786">
        <v>787</v>
      </c>
      <c r="B787" s="767"/>
      <c r="C787" s="767" t="s">
        <v>1081</v>
      </c>
      <c r="D787" s="767" t="s">
        <v>1060</v>
      </c>
      <c r="E787" s="767"/>
      <c r="F787" s="806" t="s">
        <v>1392</v>
      </c>
      <c r="G787" s="778"/>
      <c r="H787" s="815">
        <v>0</v>
      </c>
      <c r="I787" s="815">
        <v>0</v>
      </c>
      <c r="J787" s="815">
        <v>0</v>
      </c>
      <c r="K787" s="815">
        <v>0</v>
      </c>
      <c r="L787" s="815">
        <v>0</v>
      </c>
      <c r="M787" s="815">
        <v>0</v>
      </c>
      <c r="N787" s="815">
        <v>0</v>
      </c>
      <c r="O787" s="815">
        <v>0</v>
      </c>
      <c r="P787" s="772">
        <v>0</v>
      </c>
      <c r="Q787" s="774"/>
      <c r="R787" s="774">
        <v>1268</v>
      </c>
      <c r="S787" s="774"/>
      <c r="T787" s="774"/>
      <c r="U787" s="774"/>
      <c r="V787" s="774"/>
    </row>
    <row r="788" spans="1:22" hidden="1">
      <c r="A788" s="786">
        <v>788</v>
      </c>
      <c r="B788" s="767"/>
      <c r="C788" s="767"/>
      <c r="D788" s="767"/>
      <c r="E788" s="767"/>
      <c r="F788" s="806"/>
      <c r="G788" s="778"/>
      <c r="H788" s="788"/>
      <c r="I788" s="788"/>
      <c r="J788" s="788"/>
      <c r="K788" s="788"/>
      <c r="L788" s="788"/>
      <c r="M788" s="788"/>
      <c r="N788" s="788"/>
      <c r="O788" s="788"/>
      <c r="P788" s="772"/>
      <c r="R788" s="774"/>
    </row>
    <row r="789" spans="1:22" hidden="1">
      <c r="A789" s="786">
        <v>789</v>
      </c>
      <c r="B789" s="767"/>
      <c r="C789" s="767" t="s">
        <v>1082</v>
      </c>
      <c r="D789" s="767" t="s">
        <v>1063</v>
      </c>
      <c r="E789" s="767"/>
      <c r="F789" s="806" t="s">
        <v>1392</v>
      </c>
      <c r="G789" s="778"/>
      <c r="H789" s="815">
        <v>0</v>
      </c>
      <c r="I789" s="815">
        <v>0</v>
      </c>
      <c r="J789" s="815">
        <v>0</v>
      </c>
      <c r="K789" s="815">
        <v>0</v>
      </c>
      <c r="L789" s="815">
        <v>0</v>
      </c>
      <c r="M789" s="815">
        <v>0</v>
      </c>
      <c r="N789" s="815">
        <v>0</v>
      </c>
      <c r="O789" s="815">
        <v>0</v>
      </c>
      <c r="P789" s="772">
        <v>0</v>
      </c>
      <c r="Q789" s="774"/>
      <c r="R789" s="774">
        <v>1272</v>
      </c>
      <c r="S789" s="774"/>
      <c r="T789" s="774"/>
      <c r="U789" s="774"/>
      <c r="V789" s="774"/>
    </row>
    <row r="790" spans="1:22" hidden="1">
      <c r="A790" s="786">
        <v>790</v>
      </c>
      <c r="B790" s="767"/>
      <c r="C790" s="767"/>
      <c r="D790" s="767"/>
      <c r="E790" s="767"/>
      <c r="F790" s="806"/>
      <c r="G790" s="778"/>
      <c r="H790" s="788"/>
      <c r="I790" s="788"/>
      <c r="J790" s="788"/>
      <c r="K790" s="788"/>
      <c r="L790" s="788"/>
      <c r="M790" s="788"/>
      <c r="N790" s="788"/>
      <c r="O790" s="788"/>
      <c r="P790" s="772"/>
      <c r="R790" s="774"/>
    </row>
    <row r="791" spans="1:22" hidden="1">
      <c r="A791" s="786">
        <v>791</v>
      </c>
      <c r="B791" s="767"/>
      <c r="C791" s="767" t="s">
        <v>1083</v>
      </c>
      <c r="D791" s="767" t="s">
        <v>1084</v>
      </c>
      <c r="E791" s="767"/>
      <c r="F791" s="806" t="s">
        <v>1392</v>
      </c>
      <c r="G791" s="778"/>
      <c r="H791" s="815">
        <v>0</v>
      </c>
      <c r="I791" s="815">
        <v>0</v>
      </c>
      <c r="J791" s="815">
        <v>0</v>
      </c>
      <c r="K791" s="815">
        <v>0</v>
      </c>
      <c r="L791" s="815">
        <v>0</v>
      </c>
      <c r="M791" s="815">
        <v>0</v>
      </c>
      <c r="N791" s="815">
        <v>0</v>
      </c>
      <c r="O791" s="815">
        <v>0</v>
      </c>
      <c r="P791" s="772">
        <v>0</v>
      </c>
      <c r="Q791" s="774"/>
      <c r="R791" s="774">
        <v>1276</v>
      </c>
      <c r="S791" s="774"/>
      <c r="T791" s="774"/>
      <c r="U791" s="774"/>
      <c r="V791" s="774"/>
    </row>
    <row r="792" spans="1:22" hidden="1">
      <c r="A792" s="786">
        <v>792</v>
      </c>
      <c r="B792" s="767"/>
      <c r="C792" s="767"/>
      <c r="D792" s="767"/>
      <c r="E792" s="767"/>
      <c r="F792" s="806"/>
      <c r="G792" s="778"/>
      <c r="H792" s="788"/>
      <c r="I792" s="788"/>
      <c r="J792" s="788"/>
      <c r="K792" s="788"/>
      <c r="L792" s="788"/>
      <c r="M792" s="788"/>
      <c r="N792" s="788"/>
      <c r="O792" s="788"/>
      <c r="P792" s="772"/>
      <c r="R792" s="774"/>
    </row>
    <row r="793" spans="1:22" hidden="1">
      <c r="A793" s="786">
        <v>793</v>
      </c>
      <c r="B793" s="767"/>
      <c r="C793" s="767" t="s">
        <v>1085</v>
      </c>
      <c r="D793" s="767" t="s">
        <v>1069</v>
      </c>
      <c r="E793" s="767"/>
      <c r="F793" s="806" t="s">
        <v>1392</v>
      </c>
      <c r="G793" s="778"/>
      <c r="H793" s="815">
        <v>0</v>
      </c>
      <c r="I793" s="815">
        <v>0</v>
      </c>
      <c r="J793" s="815">
        <v>0</v>
      </c>
      <c r="K793" s="815">
        <v>0</v>
      </c>
      <c r="L793" s="815">
        <v>0</v>
      </c>
      <c r="M793" s="815">
        <v>0</v>
      </c>
      <c r="N793" s="815">
        <v>0</v>
      </c>
      <c r="O793" s="815">
        <v>0</v>
      </c>
      <c r="P793" s="772">
        <v>0</v>
      </c>
      <c r="Q793" s="774"/>
      <c r="R793" s="774">
        <v>1280</v>
      </c>
      <c r="S793" s="774"/>
      <c r="T793" s="774"/>
      <c r="U793" s="774"/>
      <c r="V793" s="774"/>
    </row>
    <row r="794" spans="1:22" hidden="1">
      <c r="A794" s="786">
        <v>794</v>
      </c>
      <c r="B794" s="767"/>
      <c r="C794" s="767"/>
      <c r="D794" s="767"/>
      <c r="E794" s="767"/>
      <c r="F794" s="806"/>
      <c r="G794" s="778"/>
      <c r="H794" s="788"/>
      <c r="I794" s="788"/>
      <c r="J794" s="788"/>
      <c r="K794" s="788"/>
      <c r="L794" s="788"/>
      <c r="M794" s="788"/>
      <c r="N794" s="788"/>
      <c r="O794" s="788"/>
      <c r="P794" s="772"/>
      <c r="R794" s="774"/>
    </row>
    <row r="795" spans="1:22" hidden="1">
      <c r="A795" s="786">
        <v>795</v>
      </c>
      <c r="B795" s="767"/>
      <c r="C795" s="767" t="s">
        <v>1086</v>
      </c>
      <c r="D795" s="767" t="s">
        <v>1060</v>
      </c>
      <c r="E795" s="767"/>
      <c r="F795" s="806" t="s">
        <v>1392</v>
      </c>
      <c r="G795" s="778"/>
      <c r="H795" s="815">
        <v>0</v>
      </c>
      <c r="I795" s="815">
        <v>0</v>
      </c>
      <c r="J795" s="815">
        <v>0</v>
      </c>
      <c r="K795" s="815">
        <v>0</v>
      </c>
      <c r="L795" s="815">
        <v>0</v>
      </c>
      <c r="M795" s="815">
        <v>0</v>
      </c>
      <c r="N795" s="815">
        <v>0</v>
      </c>
      <c r="O795" s="815">
        <v>0</v>
      </c>
      <c r="P795" s="772">
        <v>0</v>
      </c>
      <c r="Q795" s="774"/>
      <c r="R795" s="774">
        <v>1284</v>
      </c>
      <c r="S795" s="774"/>
      <c r="T795" s="774"/>
      <c r="U795" s="774"/>
      <c r="V795" s="774"/>
    </row>
    <row r="796" spans="1:22" hidden="1">
      <c r="A796" s="786">
        <v>796</v>
      </c>
      <c r="B796" s="767"/>
      <c r="C796" s="767"/>
      <c r="D796" s="767"/>
      <c r="E796" s="767"/>
      <c r="F796" s="806"/>
      <c r="G796" s="778"/>
      <c r="H796" s="788"/>
      <c r="I796" s="788"/>
      <c r="J796" s="788"/>
      <c r="K796" s="788"/>
      <c r="L796" s="788"/>
      <c r="M796" s="788"/>
      <c r="N796" s="788"/>
      <c r="O796" s="788"/>
      <c r="P796" s="772"/>
      <c r="R796" s="774"/>
    </row>
    <row r="797" spans="1:22" hidden="1">
      <c r="A797" s="786">
        <v>797</v>
      </c>
      <c r="B797" s="767"/>
      <c r="C797" s="767" t="s">
        <v>1087</v>
      </c>
      <c r="D797" s="767" t="s">
        <v>1088</v>
      </c>
      <c r="E797" s="767"/>
      <c r="F797" s="806" t="s">
        <v>1392</v>
      </c>
      <c r="G797" s="778"/>
      <c r="H797" s="815">
        <v>0</v>
      </c>
      <c r="I797" s="815">
        <v>0</v>
      </c>
      <c r="J797" s="815">
        <v>0</v>
      </c>
      <c r="K797" s="815">
        <v>0</v>
      </c>
      <c r="L797" s="815">
        <v>0</v>
      </c>
      <c r="M797" s="815">
        <v>0</v>
      </c>
      <c r="N797" s="815">
        <v>0</v>
      </c>
      <c r="O797" s="815">
        <v>0</v>
      </c>
      <c r="P797" s="772">
        <v>0</v>
      </c>
      <c r="Q797" s="774"/>
      <c r="R797" s="774">
        <v>1288</v>
      </c>
      <c r="S797" s="774"/>
      <c r="T797" s="774"/>
      <c r="U797" s="774"/>
      <c r="V797" s="774"/>
    </row>
    <row r="798" spans="1:22" hidden="1">
      <c r="A798" s="786">
        <v>798</v>
      </c>
      <c r="B798" s="767"/>
      <c r="C798" s="767"/>
      <c r="D798" s="767"/>
      <c r="E798" s="767"/>
      <c r="F798" s="806"/>
      <c r="G798" s="778"/>
      <c r="H798" s="788"/>
      <c r="I798" s="788"/>
      <c r="J798" s="788"/>
      <c r="K798" s="788"/>
      <c r="L798" s="788"/>
      <c r="M798" s="788"/>
      <c r="N798" s="788"/>
      <c r="O798" s="788"/>
      <c r="P798" s="772"/>
      <c r="R798" s="774"/>
    </row>
    <row r="799" spans="1:22" hidden="1">
      <c r="A799" s="786">
        <v>799</v>
      </c>
      <c r="B799" s="767"/>
      <c r="C799" s="767" t="s">
        <v>1089</v>
      </c>
      <c r="D799" s="767" t="s">
        <v>1090</v>
      </c>
      <c r="E799" s="767"/>
      <c r="F799" s="806" t="s">
        <v>1392</v>
      </c>
      <c r="G799" s="778"/>
      <c r="H799" s="828">
        <v>0</v>
      </c>
      <c r="I799" s="828">
        <v>0</v>
      </c>
      <c r="J799" s="828">
        <v>0</v>
      </c>
      <c r="K799" s="828">
        <v>0</v>
      </c>
      <c r="L799" s="828">
        <v>0</v>
      </c>
      <c r="M799" s="828">
        <v>0</v>
      </c>
      <c r="N799" s="828">
        <v>0</v>
      </c>
      <c r="O799" s="828">
        <v>0</v>
      </c>
      <c r="P799" s="772">
        <v>0</v>
      </c>
      <c r="Q799" s="774"/>
      <c r="R799" s="774">
        <v>1294</v>
      </c>
      <c r="S799" s="774"/>
      <c r="T799" s="774"/>
      <c r="U799" s="774"/>
      <c r="V799" s="774"/>
    </row>
    <row r="800" spans="1:22" hidden="1">
      <c r="A800" s="786">
        <v>800</v>
      </c>
      <c r="B800" s="767"/>
      <c r="C800" s="767"/>
      <c r="D800" s="767"/>
      <c r="E800" s="767"/>
      <c r="F800" s="806"/>
      <c r="G800" s="778"/>
      <c r="H800" s="788"/>
      <c r="I800" s="788"/>
      <c r="J800" s="788"/>
      <c r="K800" s="788"/>
      <c r="L800" s="788"/>
      <c r="M800" s="788"/>
      <c r="N800" s="788"/>
      <c r="O800" s="788"/>
      <c r="P800" s="772"/>
      <c r="R800" s="774"/>
    </row>
    <row r="801" spans="1:22" hidden="1">
      <c r="A801" s="786">
        <v>801</v>
      </c>
      <c r="B801" s="767"/>
      <c r="C801" s="764" t="s">
        <v>1091</v>
      </c>
      <c r="D801" s="767"/>
      <c r="E801" s="767"/>
      <c r="F801" s="806"/>
      <c r="G801" s="778"/>
      <c r="H801" s="815">
        <v>0</v>
      </c>
      <c r="I801" s="815">
        <v>0</v>
      </c>
      <c r="J801" s="815">
        <v>0</v>
      </c>
      <c r="K801" s="815">
        <v>0</v>
      </c>
      <c r="L801" s="815">
        <v>0</v>
      </c>
      <c r="M801" s="815">
        <v>0</v>
      </c>
      <c r="N801" s="815">
        <v>0</v>
      </c>
      <c r="O801" s="815">
        <v>0</v>
      </c>
      <c r="P801" s="772">
        <v>0</v>
      </c>
      <c r="Q801" s="774"/>
      <c r="R801" s="774"/>
      <c r="S801" s="774"/>
      <c r="T801" s="774"/>
      <c r="U801" s="774"/>
      <c r="V801" s="774"/>
    </row>
    <row r="802" spans="1:22" hidden="1">
      <c r="A802" s="786">
        <v>802</v>
      </c>
      <c r="B802" s="767"/>
      <c r="C802" s="767"/>
      <c r="D802" s="767"/>
      <c r="E802" s="767"/>
      <c r="F802" s="806"/>
      <c r="G802" s="778"/>
      <c r="H802" s="810"/>
      <c r="I802" s="810"/>
      <c r="J802" s="810"/>
      <c r="K802" s="810"/>
      <c r="L802" s="810"/>
      <c r="M802" s="810"/>
      <c r="N802" s="810"/>
      <c r="O802" s="810"/>
      <c r="P802" s="772"/>
      <c r="R802" s="774"/>
    </row>
    <row r="803" spans="1:22" hidden="1">
      <c r="A803" s="786">
        <v>803</v>
      </c>
      <c r="B803" s="767"/>
      <c r="C803" s="767"/>
      <c r="D803" s="767"/>
      <c r="E803" s="767"/>
      <c r="F803" s="806"/>
      <c r="G803" s="778"/>
      <c r="H803" s="788"/>
      <c r="I803" s="788"/>
      <c r="J803" s="788"/>
      <c r="K803" s="788"/>
      <c r="L803" s="788"/>
      <c r="M803" s="788"/>
      <c r="N803" s="788"/>
      <c r="O803" s="788"/>
      <c r="P803" s="772"/>
      <c r="R803" s="774"/>
    </row>
    <row r="804" spans="1:22" hidden="1">
      <c r="A804" s="786">
        <v>804</v>
      </c>
      <c r="C804" s="795"/>
      <c r="D804" s="795"/>
      <c r="E804" s="795"/>
      <c r="F804" s="806"/>
      <c r="H804" s="817" t="s">
        <v>1092</v>
      </c>
      <c r="I804" s="817"/>
      <c r="J804" s="817"/>
      <c r="K804" s="817"/>
      <c r="L804" s="817"/>
      <c r="M804" s="817"/>
      <c r="N804" s="817"/>
      <c r="O804" s="817"/>
      <c r="P804" s="772"/>
      <c r="R804" s="774"/>
    </row>
    <row r="805" spans="1:22" hidden="1">
      <c r="A805" s="786">
        <v>805</v>
      </c>
      <c r="B805" s="767"/>
      <c r="C805" s="767"/>
      <c r="D805" s="767"/>
      <c r="E805" s="767"/>
      <c r="F805" s="806"/>
      <c r="G805" s="778"/>
      <c r="H805" s="810"/>
      <c r="I805" s="810"/>
      <c r="J805" s="810"/>
      <c r="K805" s="810"/>
      <c r="L805" s="810"/>
      <c r="M805" s="810"/>
      <c r="N805" s="810"/>
      <c r="O805" s="810"/>
      <c r="P805" s="772"/>
      <c r="R805" s="774"/>
    </row>
    <row r="806" spans="1:22" hidden="1">
      <c r="A806" s="786">
        <v>806</v>
      </c>
      <c r="B806" s="767"/>
      <c r="C806" s="767"/>
      <c r="D806" s="767"/>
      <c r="E806" s="767"/>
      <c r="F806" s="806"/>
      <c r="G806" s="778"/>
      <c r="H806" s="788"/>
      <c r="I806" s="788"/>
      <c r="J806" s="788"/>
      <c r="K806" s="788"/>
      <c r="L806" s="788"/>
      <c r="M806" s="788"/>
      <c r="N806" s="788"/>
      <c r="O806" s="788"/>
      <c r="P806" s="772"/>
      <c r="R806" s="774"/>
    </row>
    <row r="807" spans="1:22" hidden="1">
      <c r="A807" s="786">
        <v>807</v>
      </c>
      <c r="B807" s="767"/>
      <c r="C807" s="767" t="s">
        <v>1093</v>
      </c>
      <c r="D807" s="767" t="s">
        <v>1060</v>
      </c>
      <c r="E807" s="767"/>
      <c r="F807" s="806" t="s">
        <v>1392</v>
      </c>
      <c r="G807" s="778"/>
      <c r="H807" s="815">
        <v>6422856.4128183629</v>
      </c>
      <c r="I807" s="815">
        <v>2686357.9319747845</v>
      </c>
      <c r="J807" s="815">
        <v>858328.75920236472</v>
      </c>
      <c r="K807" s="815">
        <v>1456599.1964678739</v>
      </c>
      <c r="L807" s="815">
        <v>593789.69670218136</v>
      </c>
      <c r="M807" s="815">
        <v>561563.32743287901</v>
      </c>
      <c r="N807" s="815">
        <v>255881.44400070078</v>
      </c>
      <c r="O807" s="815">
        <v>10336.057037579163</v>
      </c>
      <c r="P807" s="772">
        <v>0</v>
      </c>
      <c r="Q807" s="774"/>
      <c r="R807" s="774">
        <v>1302</v>
      </c>
      <c r="S807" s="774"/>
      <c r="T807" s="774"/>
      <c r="U807" s="774"/>
      <c r="V807" s="774"/>
    </row>
    <row r="808" spans="1:22" hidden="1">
      <c r="A808" s="786">
        <v>808</v>
      </c>
      <c r="B808" s="767"/>
      <c r="C808" s="767"/>
      <c r="D808" s="767"/>
      <c r="E808" s="767"/>
      <c r="F808" s="806"/>
      <c r="G808" s="778"/>
      <c r="H808" s="788"/>
      <c r="I808" s="788"/>
      <c r="J808" s="788"/>
      <c r="K808" s="788"/>
      <c r="L808" s="788"/>
      <c r="M808" s="788"/>
      <c r="N808" s="788"/>
      <c r="O808" s="788"/>
      <c r="P808" s="772"/>
      <c r="R808" s="774"/>
    </row>
    <row r="809" spans="1:22" hidden="1">
      <c r="A809" s="786">
        <v>809</v>
      </c>
      <c r="B809" s="767"/>
      <c r="C809" s="767" t="s">
        <v>1094</v>
      </c>
      <c r="D809" s="767" t="s">
        <v>1063</v>
      </c>
      <c r="E809" s="767"/>
      <c r="F809" s="806" t="s">
        <v>1392</v>
      </c>
      <c r="G809" s="778"/>
      <c r="H809" s="815">
        <v>56204825.082762524</v>
      </c>
      <c r="I809" s="815">
        <v>23507652.666032638</v>
      </c>
      <c r="J809" s="815">
        <v>7511022.3043744983</v>
      </c>
      <c r="K809" s="815">
        <v>12746338.667914497</v>
      </c>
      <c r="L809" s="815">
        <v>5196106.5130596934</v>
      </c>
      <c r="M809" s="815">
        <v>4914101.5402848376</v>
      </c>
      <c r="N809" s="815">
        <v>2239155.1169167939</v>
      </c>
      <c r="O809" s="815">
        <v>90448.274179568238</v>
      </c>
      <c r="P809" s="772">
        <v>0</v>
      </c>
      <c r="Q809" s="774"/>
      <c r="R809" s="774">
        <v>1307</v>
      </c>
      <c r="S809" s="774"/>
      <c r="T809" s="774"/>
      <c r="U809" s="774"/>
      <c r="V809" s="774"/>
    </row>
    <row r="810" spans="1:22" hidden="1">
      <c r="A810" s="786">
        <v>810</v>
      </c>
      <c r="B810" s="767"/>
      <c r="C810" s="767"/>
      <c r="D810" s="767"/>
      <c r="E810" s="767"/>
      <c r="F810" s="806"/>
      <c r="G810" s="778"/>
      <c r="H810" s="788"/>
      <c r="I810" s="788"/>
      <c r="J810" s="788"/>
      <c r="K810" s="788"/>
      <c r="L810" s="788"/>
      <c r="M810" s="788"/>
      <c r="N810" s="788"/>
      <c r="O810" s="788"/>
      <c r="P810" s="772"/>
      <c r="R810" s="774"/>
    </row>
    <row r="811" spans="1:22" hidden="1">
      <c r="A811" s="786">
        <v>811</v>
      </c>
      <c r="B811" s="767"/>
      <c r="C811" s="767" t="s">
        <v>1095</v>
      </c>
      <c r="D811" s="767" t="s">
        <v>1096</v>
      </c>
      <c r="E811" s="767"/>
      <c r="F811" s="806" t="s">
        <v>1392</v>
      </c>
      <c r="G811" s="778"/>
      <c r="H811" s="815">
        <v>-1754572.9134185612</v>
      </c>
      <c r="I811" s="815">
        <v>-733849.63951292878</v>
      </c>
      <c r="J811" s="815">
        <v>-234475.17660507618</v>
      </c>
      <c r="K811" s="815">
        <v>-397908.55214032758</v>
      </c>
      <c r="L811" s="815">
        <v>-162209.34287452107</v>
      </c>
      <c r="M811" s="815">
        <v>-153405.85872611383</v>
      </c>
      <c r="N811" s="815">
        <v>-69900.776513397446</v>
      </c>
      <c r="O811" s="815">
        <v>-2823.5670461964846</v>
      </c>
      <c r="P811" s="772">
        <v>0</v>
      </c>
      <c r="Q811" s="774"/>
      <c r="R811" s="774">
        <v>1312</v>
      </c>
      <c r="S811" s="774"/>
      <c r="T811" s="774"/>
      <c r="U811" s="774"/>
      <c r="V811" s="774"/>
    </row>
    <row r="812" spans="1:22" hidden="1">
      <c r="A812" s="786">
        <v>812</v>
      </c>
      <c r="B812" s="767"/>
      <c r="C812" s="767"/>
      <c r="D812" s="767"/>
      <c r="E812" s="767"/>
      <c r="F812" s="806"/>
      <c r="G812" s="778"/>
      <c r="H812" s="788"/>
      <c r="I812" s="788"/>
      <c r="J812" s="788"/>
      <c r="K812" s="788"/>
      <c r="L812" s="788"/>
      <c r="M812" s="788"/>
      <c r="N812" s="788"/>
      <c r="O812" s="788"/>
      <c r="P812" s="772"/>
      <c r="R812" s="774"/>
    </row>
    <row r="813" spans="1:22" hidden="1">
      <c r="A813" s="786">
        <v>813</v>
      </c>
      <c r="B813" s="767"/>
      <c r="C813" s="767" t="s">
        <v>1097</v>
      </c>
      <c r="D813" s="767" t="s">
        <v>1098</v>
      </c>
      <c r="E813" s="767"/>
      <c r="F813" s="806" t="s">
        <v>1392</v>
      </c>
      <c r="G813" s="778"/>
      <c r="H813" s="815">
        <v>19737628.463180393</v>
      </c>
      <c r="I813" s="815">
        <v>8255257.6879372606</v>
      </c>
      <c r="J813" s="815">
        <v>2637669.7624110505</v>
      </c>
      <c r="K813" s="815">
        <v>4476172.5798933934</v>
      </c>
      <c r="L813" s="815">
        <v>1824733.3686896898</v>
      </c>
      <c r="M813" s="815">
        <v>1725700.7790640977</v>
      </c>
      <c r="N813" s="815">
        <v>786331.2750116057</v>
      </c>
      <c r="O813" s="815">
        <v>31763.010173297462</v>
      </c>
      <c r="P813" s="772">
        <v>0</v>
      </c>
      <c r="Q813" s="774"/>
      <c r="R813" s="774">
        <v>1317</v>
      </c>
      <c r="S813" s="774"/>
      <c r="T813" s="774"/>
      <c r="U813" s="774"/>
      <c r="V813" s="774"/>
    </row>
    <row r="814" spans="1:22" hidden="1">
      <c r="A814" s="786">
        <v>814</v>
      </c>
      <c r="B814" s="767"/>
      <c r="C814" s="767"/>
      <c r="D814" s="767"/>
      <c r="E814" s="767"/>
      <c r="F814" s="806"/>
      <c r="G814" s="778"/>
      <c r="H814" s="788"/>
      <c r="I814" s="788"/>
      <c r="J814" s="788"/>
      <c r="K814" s="788"/>
      <c r="L814" s="788"/>
      <c r="M814" s="788"/>
      <c r="N814" s="788"/>
      <c r="O814" s="788"/>
      <c r="P814" s="772"/>
      <c r="R814" s="774"/>
    </row>
    <row r="815" spans="1:22" hidden="1">
      <c r="A815" s="786">
        <v>815</v>
      </c>
      <c r="B815" s="767"/>
      <c r="C815" s="767" t="s">
        <v>1099</v>
      </c>
      <c r="D815" s="767" t="s">
        <v>1072</v>
      </c>
      <c r="E815" s="767"/>
      <c r="F815" s="806" t="s">
        <v>1392</v>
      </c>
      <c r="G815" s="778"/>
      <c r="H815" s="815">
        <v>15056808.532999992</v>
      </c>
      <c r="I815" s="815">
        <v>6297506.0367419124</v>
      </c>
      <c r="J815" s="815">
        <v>2012140.8536994706</v>
      </c>
      <c r="K815" s="815">
        <v>3414638.8773020576</v>
      </c>
      <c r="L815" s="815">
        <v>1391994.0284309948</v>
      </c>
      <c r="M815" s="815">
        <v>1316447.224857237</v>
      </c>
      <c r="N815" s="815">
        <v>599851.1661847214</v>
      </c>
      <c r="O815" s="815">
        <v>24230.345783599209</v>
      </c>
      <c r="P815" s="772">
        <v>0</v>
      </c>
      <c r="Q815" s="774"/>
      <c r="R815" s="774">
        <v>1322</v>
      </c>
      <c r="S815" s="774"/>
      <c r="T815" s="774"/>
      <c r="U815" s="774"/>
      <c r="V815" s="774"/>
    </row>
    <row r="816" spans="1:22" hidden="1">
      <c r="A816" s="786">
        <v>816</v>
      </c>
      <c r="B816" s="767"/>
      <c r="C816" s="767"/>
      <c r="D816" s="767"/>
      <c r="E816" s="767"/>
      <c r="F816" s="806"/>
      <c r="G816" s="778"/>
      <c r="H816" s="788"/>
      <c r="I816" s="788"/>
      <c r="J816" s="788"/>
      <c r="K816" s="788"/>
      <c r="L816" s="788"/>
      <c r="M816" s="788"/>
      <c r="N816" s="788"/>
      <c r="O816" s="788"/>
      <c r="P816" s="772"/>
      <c r="R816" s="774"/>
    </row>
    <row r="817" spans="1:22" hidden="1">
      <c r="A817" s="786">
        <v>817</v>
      </c>
      <c r="B817" s="767"/>
      <c r="C817" s="767" t="s">
        <v>1100</v>
      </c>
      <c r="D817" s="767" t="s">
        <v>1088</v>
      </c>
      <c r="E817" s="767"/>
      <c r="F817" s="806" t="s">
        <v>1392</v>
      </c>
      <c r="G817" s="778"/>
      <c r="H817" s="815">
        <v>495321.06553625216</v>
      </c>
      <c r="I817" s="815">
        <v>207167.89972479531</v>
      </c>
      <c r="J817" s="815">
        <v>66193.028189146222</v>
      </c>
      <c r="K817" s="815">
        <v>112330.74814093925</v>
      </c>
      <c r="L817" s="815">
        <v>45792.171951406512</v>
      </c>
      <c r="M817" s="815">
        <v>43306.922626358741</v>
      </c>
      <c r="N817" s="815">
        <v>19733.193667607873</v>
      </c>
      <c r="O817" s="815">
        <v>797.10123599831002</v>
      </c>
      <c r="P817" s="772">
        <v>0</v>
      </c>
      <c r="Q817" s="774"/>
      <c r="R817" s="774">
        <v>1327</v>
      </c>
      <c r="S817" s="774"/>
      <c r="T817" s="774"/>
      <c r="U817" s="774"/>
      <c r="V817" s="774"/>
    </row>
    <row r="818" spans="1:22" hidden="1">
      <c r="A818" s="786">
        <v>818</v>
      </c>
      <c r="B818" s="767"/>
      <c r="C818" s="767"/>
      <c r="D818" s="767"/>
      <c r="E818" s="767"/>
      <c r="F818" s="806"/>
      <c r="G818" s="778"/>
      <c r="H818" s="788"/>
      <c r="I818" s="788"/>
      <c r="J818" s="788"/>
      <c r="K818" s="788"/>
      <c r="L818" s="788"/>
      <c r="M818" s="788"/>
      <c r="N818" s="788"/>
      <c r="O818" s="788"/>
      <c r="P818" s="772"/>
      <c r="R818" s="774"/>
    </row>
    <row r="819" spans="1:22" hidden="1">
      <c r="A819" s="786">
        <v>819</v>
      </c>
      <c r="B819" s="767"/>
      <c r="C819" s="767" t="s">
        <v>1101</v>
      </c>
      <c r="D819" s="767" t="s">
        <v>1102</v>
      </c>
      <c r="E819" s="767"/>
      <c r="F819" s="806" t="s">
        <v>1392</v>
      </c>
      <c r="G819" s="778"/>
      <c r="H819" s="815">
        <v>4799120.0052153217</v>
      </c>
      <c r="I819" s="815">
        <v>2007230.6251124714</v>
      </c>
      <c r="J819" s="815">
        <v>641338.12973287213</v>
      </c>
      <c r="K819" s="815">
        <v>1088362.2323236924</v>
      </c>
      <c r="L819" s="815">
        <v>443676.11996540596</v>
      </c>
      <c r="M819" s="815">
        <v>419596.76904809335</v>
      </c>
      <c r="N819" s="815">
        <v>191193.08885939981</v>
      </c>
      <c r="O819" s="815">
        <v>7723.0401733870376</v>
      </c>
      <c r="P819" s="772">
        <v>0</v>
      </c>
      <c r="Q819" s="774"/>
      <c r="R819" s="774">
        <v>1333</v>
      </c>
      <c r="S819" s="774"/>
      <c r="T819" s="774"/>
      <c r="U819" s="774"/>
      <c r="V819" s="774"/>
    </row>
    <row r="820" spans="1:22" hidden="1">
      <c r="A820" s="786">
        <v>820</v>
      </c>
      <c r="B820" s="767"/>
      <c r="C820" s="767"/>
      <c r="D820" s="767"/>
      <c r="E820" s="767"/>
      <c r="F820" s="806"/>
      <c r="G820" s="778"/>
      <c r="H820" s="788"/>
      <c r="I820" s="788"/>
      <c r="J820" s="788"/>
      <c r="K820" s="788"/>
      <c r="L820" s="788"/>
      <c r="M820" s="788"/>
      <c r="N820" s="788"/>
      <c r="O820" s="788"/>
      <c r="P820" s="772"/>
      <c r="R820" s="774"/>
    </row>
    <row r="821" spans="1:22" hidden="1">
      <c r="A821" s="786">
        <v>821</v>
      </c>
      <c r="B821" s="767"/>
      <c r="C821" s="767" t="s">
        <v>1103</v>
      </c>
      <c r="D821" s="767" t="s">
        <v>1104</v>
      </c>
      <c r="E821" s="767"/>
      <c r="F821" s="806" t="s">
        <v>1392</v>
      </c>
      <c r="G821" s="778"/>
      <c r="H821" s="828">
        <v>0</v>
      </c>
      <c r="I821" s="828">
        <v>0</v>
      </c>
      <c r="J821" s="828">
        <v>0</v>
      </c>
      <c r="K821" s="828">
        <v>0</v>
      </c>
      <c r="L821" s="828">
        <v>0</v>
      </c>
      <c r="M821" s="828">
        <v>0</v>
      </c>
      <c r="N821" s="828">
        <v>0</v>
      </c>
      <c r="O821" s="828">
        <v>0</v>
      </c>
      <c r="P821" s="772">
        <v>0</v>
      </c>
      <c r="Q821" s="774"/>
      <c r="R821" s="774">
        <v>1339</v>
      </c>
      <c r="S821" s="774"/>
      <c r="T821" s="774"/>
      <c r="U821" s="774"/>
      <c r="V821" s="774"/>
    </row>
    <row r="822" spans="1:22" hidden="1">
      <c r="A822" s="786">
        <v>822</v>
      </c>
      <c r="B822" s="767"/>
      <c r="C822" s="767"/>
      <c r="D822" s="767"/>
      <c r="E822" s="767"/>
      <c r="F822" s="806"/>
      <c r="G822" s="778"/>
      <c r="H822" s="788"/>
      <c r="I822" s="788"/>
      <c r="J822" s="788"/>
      <c r="K822" s="788"/>
      <c r="L822" s="788"/>
      <c r="M822" s="788"/>
      <c r="N822" s="788"/>
      <c r="O822" s="788"/>
      <c r="P822" s="772"/>
      <c r="R822" s="774"/>
    </row>
    <row r="823" spans="1:22" hidden="1">
      <c r="A823" s="786">
        <v>823</v>
      </c>
      <c r="B823" s="767"/>
      <c r="C823" s="767" t="s">
        <v>1105</v>
      </c>
      <c r="D823" s="767"/>
      <c r="E823" s="767"/>
      <c r="F823" s="806"/>
      <c r="G823" s="778"/>
      <c r="H823" s="815">
        <v>100961986.6490943</v>
      </c>
      <c r="I823" s="815">
        <v>42227323.208010934</v>
      </c>
      <c r="J823" s="815">
        <v>13492217.661004325</v>
      </c>
      <c r="K823" s="815">
        <v>22896533.749902125</v>
      </c>
      <c r="L823" s="815">
        <v>9333882.5559248496</v>
      </c>
      <c r="M823" s="815">
        <v>8827310.7045873888</v>
      </c>
      <c r="N823" s="815">
        <v>4022244.5081274323</v>
      </c>
      <c r="O823" s="815">
        <v>162474.2615372329</v>
      </c>
      <c r="P823" s="772">
        <v>0</v>
      </c>
      <c r="Q823" s="774"/>
      <c r="R823" s="774"/>
      <c r="S823" s="774"/>
      <c r="T823" s="774"/>
      <c r="U823" s="774"/>
      <c r="V823" s="774"/>
    </row>
    <row r="824" spans="1:22" hidden="1">
      <c r="A824" s="786">
        <v>824</v>
      </c>
      <c r="B824" s="767"/>
      <c r="C824" s="767"/>
      <c r="D824" s="767"/>
      <c r="E824" s="767"/>
      <c r="F824" s="806"/>
      <c r="G824" s="778"/>
      <c r="H824" s="788"/>
      <c r="I824" s="788"/>
      <c r="J824" s="788"/>
      <c r="K824" s="788"/>
      <c r="L824" s="788"/>
      <c r="M824" s="788"/>
      <c r="N824" s="788"/>
      <c r="O824" s="788"/>
      <c r="P824" s="772"/>
      <c r="R824" s="774"/>
    </row>
    <row r="825" spans="1:22" hidden="1">
      <c r="A825" s="786">
        <v>825</v>
      </c>
      <c r="B825" s="767"/>
      <c r="C825" s="781" t="s">
        <v>714</v>
      </c>
      <c r="D825" s="767"/>
      <c r="E825" s="767"/>
      <c r="F825" s="806"/>
      <c r="G825" s="778"/>
      <c r="H825" s="788"/>
      <c r="I825" s="788"/>
      <c r="J825" s="788"/>
      <c r="K825" s="788"/>
      <c r="L825" s="788"/>
      <c r="M825" s="788"/>
      <c r="N825" s="788"/>
      <c r="O825" s="788"/>
      <c r="P825" s="772"/>
      <c r="R825" s="774"/>
    </row>
    <row r="826" spans="1:22" hidden="1">
      <c r="A826" s="786">
        <v>826</v>
      </c>
      <c r="B826" s="767"/>
      <c r="C826" s="777" t="s">
        <v>575</v>
      </c>
      <c r="D826" s="767"/>
      <c r="E826" s="777" t="s">
        <v>576</v>
      </c>
      <c r="F826" s="806" t="s">
        <v>577</v>
      </c>
      <c r="G826" s="778"/>
      <c r="H826" s="777" t="s">
        <v>578</v>
      </c>
      <c r="I826" s="777" t="s">
        <v>579</v>
      </c>
      <c r="J826" s="777" t="s">
        <v>580</v>
      </c>
      <c r="K826" s="777" t="s">
        <v>581</v>
      </c>
      <c r="L826" s="777" t="s">
        <v>582</v>
      </c>
      <c r="M826" s="777" t="s">
        <v>583</v>
      </c>
      <c r="N826" s="777" t="s">
        <v>584</v>
      </c>
      <c r="O826" s="777" t="s">
        <v>585</v>
      </c>
      <c r="P826" s="772"/>
      <c r="R826" s="774"/>
    </row>
    <row r="827" spans="1:22" ht="38.25" hidden="1">
      <c r="A827" s="786">
        <v>827</v>
      </c>
      <c r="B827" s="767"/>
      <c r="C827" s="797" t="s">
        <v>656</v>
      </c>
      <c r="D827" s="781"/>
      <c r="E827" s="782" t="s">
        <v>587</v>
      </c>
      <c r="F827" s="806" t="s">
        <v>1391</v>
      </c>
      <c r="G827" s="783"/>
      <c r="H827" s="829" t="s">
        <v>588</v>
      </c>
      <c r="I827" s="829" t="s">
        <v>589</v>
      </c>
      <c r="J827" s="829" t="s">
        <v>590</v>
      </c>
      <c r="K827" s="829" t="s">
        <v>591</v>
      </c>
      <c r="L827" s="829" t="s">
        <v>592</v>
      </c>
      <c r="M827" s="829" t="s">
        <v>593</v>
      </c>
      <c r="N827" s="829" t="s">
        <v>594</v>
      </c>
      <c r="O827" s="829" t="s">
        <v>595</v>
      </c>
      <c r="P827" s="772"/>
      <c r="R827" s="774"/>
    </row>
    <row r="828" spans="1:22" hidden="1">
      <c r="A828" s="786">
        <v>828</v>
      </c>
      <c r="B828" s="767"/>
      <c r="C828" s="767" t="s">
        <v>1106</v>
      </c>
      <c r="D828" s="767" t="s">
        <v>1060</v>
      </c>
      <c r="E828" s="767"/>
      <c r="F828" s="806" t="s">
        <v>1392</v>
      </c>
      <c r="G828" s="778"/>
      <c r="H828" s="815">
        <v>976897.80883704626</v>
      </c>
      <c r="I828" s="815">
        <v>408587.24044659728</v>
      </c>
      <c r="J828" s="815">
        <v>130549.31174441053</v>
      </c>
      <c r="K828" s="815">
        <v>221544.50791448963</v>
      </c>
      <c r="L828" s="815">
        <v>90313.688542172851</v>
      </c>
      <c r="M828" s="815">
        <v>85412.151359568976</v>
      </c>
      <c r="N828" s="815">
        <v>38918.824569621131</v>
      </c>
      <c r="O828" s="815">
        <v>1572.0842601858994</v>
      </c>
      <c r="P828" s="772">
        <v>0</v>
      </c>
      <c r="Q828" s="774"/>
      <c r="R828" s="774">
        <v>1347</v>
      </c>
      <c r="S828" s="774"/>
      <c r="T828" s="774"/>
      <c r="U828" s="774"/>
      <c r="V828" s="774"/>
    </row>
    <row r="829" spans="1:22" hidden="1">
      <c r="A829" s="786">
        <v>829</v>
      </c>
      <c r="B829" s="767"/>
      <c r="C829" s="767"/>
      <c r="D829" s="767"/>
      <c r="E829" s="767" t="s">
        <v>1107</v>
      </c>
      <c r="F829" s="806"/>
      <c r="G829" s="778"/>
      <c r="H829" s="815">
        <v>976897.80883704626</v>
      </c>
      <c r="I829" s="815">
        <v>408587.24044659728</v>
      </c>
      <c r="J829" s="815">
        <v>130549.31174441053</v>
      </c>
      <c r="K829" s="815">
        <v>221544.50791448963</v>
      </c>
      <c r="L829" s="815">
        <v>90313.688542172851</v>
      </c>
      <c r="M829" s="815">
        <v>85412.151359568976</v>
      </c>
      <c r="N829" s="815">
        <v>38918.824569621131</v>
      </c>
      <c r="O829" s="815">
        <v>1572.0842601858994</v>
      </c>
      <c r="P829" s="772">
        <v>0</v>
      </c>
      <c r="Q829" s="774"/>
      <c r="R829" s="774"/>
      <c r="S829" s="774"/>
      <c r="T829" s="774"/>
      <c r="U829" s="774"/>
      <c r="V829" s="774"/>
    </row>
    <row r="830" spans="1:22" hidden="1">
      <c r="A830" s="786">
        <v>830</v>
      </c>
      <c r="B830" s="767"/>
      <c r="C830" s="767"/>
      <c r="D830" s="767"/>
      <c r="E830" s="767"/>
      <c r="F830" s="806"/>
      <c r="G830" s="778"/>
      <c r="H830" s="788"/>
      <c r="I830" s="788"/>
      <c r="J830" s="788"/>
      <c r="K830" s="788"/>
      <c r="L830" s="788"/>
      <c r="M830" s="788"/>
      <c r="N830" s="788"/>
      <c r="O830" s="788"/>
      <c r="P830" s="772"/>
      <c r="R830" s="774"/>
    </row>
    <row r="831" spans="1:22" hidden="1">
      <c r="A831" s="786">
        <v>831</v>
      </c>
      <c r="B831" s="767"/>
      <c r="C831" s="767" t="s">
        <v>1108</v>
      </c>
      <c r="D831" s="767" t="s">
        <v>1063</v>
      </c>
      <c r="E831" s="767"/>
      <c r="F831" s="806" t="s">
        <v>1392</v>
      </c>
      <c r="G831" s="778"/>
      <c r="H831" s="815">
        <v>12575345.454235533</v>
      </c>
      <c r="I831" s="815">
        <v>5259634.7850605482</v>
      </c>
      <c r="J831" s="815">
        <v>1680526.539365489</v>
      </c>
      <c r="K831" s="815">
        <v>2851883.4777917396</v>
      </c>
      <c r="L831" s="815">
        <v>1162584.0721416795</v>
      </c>
      <c r="M831" s="815">
        <v>1099487.8887226563</v>
      </c>
      <c r="N831" s="815">
        <v>500991.66894273763</v>
      </c>
      <c r="O831" s="815">
        <v>20237.022210684147</v>
      </c>
      <c r="P831" s="772">
        <v>0</v>
      </c>
      <c r="Q831" s="774"/>
      <c r="R831" s="774">
        <v>1352</v>
      </c>
      <c r="S831" s="774"/>
      <c r="T831" s="774"/>
      <c r="U831" s="774"/>
      <c r="V831" s="774"/>
    </row>
    <row r="832" spans="1:22" hidden="1">
      <c r="A832" s="786">
        <v>832</v>
      </c>
      <c r="B832" s="767"/>
      <c r="C832" s="767"/>
      <c r="D832" s="767"/>
      <c r="E832" s="767" t="s">
        <v>1109</v>
      </c>
      <c r="F832" s="806"/>
      <c r="G832" s="778"/>
      <c r="H832" s="815">
        <v>12575345.454235535</v>
      </c>
      <c r="I832" s="815">
        <v>5259634.7850605482</v>
      </c>
      <c r="J832" s="815">
        <v>1680526.539365489</v>
      </c>
      <c r="K832" s="815">
        <v>2851883.4777917396</v>
      </c>
      <c r="L832" s="815">
        <v>1162584.0721416795</v>
      </c>
      <c r="M832" s="815">
        <v>1099487.8887226563</v>
      </c>
      <c r="N832" s="815">
        <v>500991.66894273763</v>
      </c>
      <c r="O832" s="815">
        <v>20237.022210684147</v>
      </c>
      <c r="P832" s="772">
        <v>0</v>
      </c>
      <c r="Q832" s="774"/>
      <c r="R832" s="774"/>
      <c r="S832" s="774"/>
      <c r="T832" s="774"/>
      <c r="U832" s="774"/>
      <c r="V832" s="774"/>
    </row>
    <row r="833" spans="1:22" hidden="1">
      <c r="A833" s="786">
        <v>833</v>
      </c>
      <c r="B833" s="767"/>
      <c r="C833" s="767"/>
      <c r="D833" s="767"/>
      <c r="E833" s="767"/>
      <c r="F833" s="806"/>
      <c r="G833" s="778"/>
      <c r="H833" s="788"/>
      <c r="I833" s="788"/>
      <c r="J833" s="788"/>
      <c r="K833" s="788"/>
      <c r="L833" s="788"/>
      <c r="M833" s="788"/>
      <c r="N833" s="788"/>
      <c r="O833" s="788"/>
      <c r="P833" s="772"/>
      <c r="R833" s="774"/>
    </row>
    <row r="834" spans="1:22" hidden="1">
      <c r="A834" s="786">
        <v>834</v>
      </c>
      <c r="B834" s="767"/>
      <c r="C834" s="767" t="s">
        <v>1110</v>
      </c>
      <c r="D834" s="767" t="s">
        <v>1111</v>
      </c>
      <c r="E834" s="767"/>
      <c r="F834" s="806" t="s">
        <v>1392</v>
      </c>
      <c r="G834" s="778"/>
      <c r="H834" s="815">
        <v>350126.01659648248</v>
      </c>
      <c r="I834" s="815">
        <v>146440.11035301571</v>
      </c>
      <c r="J834" s="815">
        <v>46789.654022151051</v>
      </c>
      <c r="K834" s="815">
        <v>79402.876486405483</v>
      </c>
      <c r="L834" s="815">
        <v>32368.966054955097</v>
      </c>
      <c r="M834" s="815">
        <v>30612.225817214519</v>
      </c>
      <c r="N834" s="815">
        <v>13948.73946272896</v>
      </c>
      <c r="O834" s="815">
        <v>563.44440001168277</v>
      </c>
      <c r="P834" s="772">
        <v>0</v>
      </c>
      <c r="Q834" s="774"/>
      <c r="R834" s="774">
        <v>1357</v>
      </c>
      <c r="S834" s="774"/>
      <c r="T834" s="774"/>
      <c r="U834" s="774"/>
      <c r="V834" s="774"/>
    </row>
    <row r="835" spans="1:22" hidden="1">
      <c r="A835" s="786">
        <v>835</v>
      </c>
      <c r="B835" s="767"/>
      <c r="C835" s="767"/>
      <c r="D835" s="767"/>
      <c r="E835" s="767" t="s">
        <v>1112</v>
      </c>
      <c r="F835" s="806"/>
      <c r="G835" s="778"/>
      <c r="H835" s="815">
        <v>350126.01659648248</v>
      </c>
      <c r="I835" s="815">
        <v>146440.11035301571</v>
      </c>
      <c r="J835" s="815">
        <v>46789.654022151051</v>
      </c>
      <c r="K835" s="815">
        <v>79402.876486405483</v>
      </c>
      <c r="L835" s="815">
        <v>32368.966054955097</v>
      </c>
      <c r="M835" s="815">
        <v>30612.225817214519</v>
      </c>
      <c r="N835" s="815">
        <v>13948.73946272896</v>
      </c>
      <c r="O835" s="815">
        <v>563.44440001168277</v>
      </c>
      <c r="P835" s="772">
        <v>0</v>
      </c>
      <c r="Q835" s="774"/>
      <c r="R835" s="774"/>
      <c r="S835" s="774"/>
      <c r="T835" s="774"/>
      <c r="U835" s="774"/>
      <c r="V835" s="774"/>
    </row>
    <row r="836" spans="1:22" hidden="1">
      <c r="A836" s="786">
        <v>836</v>
      </c>
      <c r="B836" s="767"/>
      <c r="C836" s="767"/>
      <c r="D836" s="767"/>
      <c r="E836" s="767"/>
      <c r="F836" s="806"/>
      <c r="G836" s="778"/>
      <c r="H836" s="788"/>
      <c r="I836" s="788"/>
      <c r="J836" s="788"/>
      <c r="K836" s="788"/>
      <c r="L836" s="788"/>
      <c r="M836" s="788"/>
      <c r="N836" s="788"/>
      <c r="O836" s="788"/>
      <c r="P836" s="772"/>
      <c r="R836" s="774"/>
    </row>
    <row r="837" spans="1:22" hidden="1">
      <c r="A837" s="786">
        <v>837</v>
      </c>
      <c r="B837" s="767"/>
      <c r="C837" s="767" t="s">
        <v>1113</v>
      </c>
      <c r="D837" s="767" t="s">
        <v>1114</v>
      </c>
      <c r="E837" s="767"/>
      <c r="F837" s="806" t="s">
        <v>1392</v>
      </c>
      <c r="G837" s="778"/>
      <c r="H837" s="815">
        <v>324316669.78644621</v>
      </c>
      <c r="I837" s="815">
        <v>135645358.13282627</v>
      </c>
      <c r="J837" s="815">
        <v>43340580.401406474</v>
      </c>
      <c r="K837" s="815">
        <v>73549737.102839038</v>
      </c>
      <c r="L837" s="815">
        <v>29982905.519049693</v>
      </c>
      <c r="M837" s="815">
        <v>28355662.42205786</v>
      </c>
      <c r="N837" s="815">
        <v>12920515.802413775</v>
      </c>
      <c r="O837" s="815">
        <v>521910.40585313377</v>
      </c>
      <c r="P837" s="772">
        <v>0</v>
      </c>
      <c r="Q837" s="774"/>
      <c r="R837" s="774">
        <v>1365</v>
      </c>
      <c r="S837" s="774"/>
      <c r="T837" s="774"/>
      <c r="U837" s="774"/>
      <c r="V837" s="774"/>
    </row>
    <row r="838" spans="1:22" hidden="1">
      <c r="A838" s="786">
        <v>838</v>
      </c>
      <c r="B838" s="767"/>
      <c r="C838" s="767"/>
      <c r="D838" s="767"/>
      <c r="E838" s="767" t="s">
        <v>1115</v>
      </c>
      <c r="F838" s="806"/>
      <c r="G838" s="778"/>
      <c r="H838" s="815">
        <v>324316669.78644627</v>
      </c>
      <c r="I838" s="815">
        <v>135645358.13282627</v>
      </c>
      <c r="J838" s="815">
        <v>43340580.401406474</v>
      </c>
      <c r="K838" s="815">
        <v>73549737.102839038</v>
      </c>
      <c r="L838" s="815">
        <v>29982905.519049693</v>
      </c>
      <c r="M838" s="815">
        <v>28355662.42205786</v>
      </c>
      <c r="N838" s="815">
        <v>12920515.802413775</v>
      </c>
      <c r="O838" s="815">
        <v>521910.40585313377</v>
      </c>
      <c r="P838" s="772">
        <v>0</v>
      </c>
      <c r="Q838" s="774"/>
      <c r="R838" s="774"/>
      <c r="S838" s="774"/>
      <c r="T838" s="774"/>
      <c r="U838" s="774"/>
      <c r="V838" s="774"/>
    </row>
    <row r="839" spans="1:22" hidden="1">
      <c r="A839" s="786">
        <v>839</v>
      </c>
      <c r="B839" s="767"/>
      <c r="C839" s="767"/>
      <c r="D839" s="767"/>
      <c r="E839" s="767"/>
      <c r="F839" s="806"/>
      <c r="G839" s="778"/>
      <c r="H839" s="788"/>
      <c r="I839" s="788"/>
      <c r="J839" s="788"/>
      <c r="K839" s="788"/>
      <c r="L839" s="788"/>
      <c r="M839" s="788"/>
      <c r="N839" s="788"/>
      <c r="O839" s="788"/>
      <c r="P839" s="772"/>
      <c r="R839" s="774"/>
    </row>
    <row r="840" spans="1:22" hidden="1">
      <c r="A840" s="786">
        <v>840</v>
      </c>
      <c r="B840" s="767"/>
      <c r="C840" s="767" t="s">
        <v>1116</v>
      </c>
      <c r="D840" s="767" t="s">
        <v>1117</v>
      </c>
      <c r="E840" s="767"/>
      <c r="F840" s="806" t="s">
        <v>1392</v>
      </c>
      <c r="G840" s="778"/>
      <c r="H840" s="815">
        <v>29021301.901553459</v>
      </c>
      <c r="I840" s="815">
        <v>12138151.555728663</v>
      </c>
      <c r="J840" s="815">
        <v>3878308.4114855882</v>
      </c>
      <c r="K840" s="815">
        <v>6581558.4707591385</v>
      </c>
      <c r="L840" s="815">
        <v>2683004.0945075694</v>
      </c>
      <c r="M840" s="815">
        <v>2537391.1255038022</v>
      </c>
      <c r="N840" s="815">
        <v>1156185.37299532</v>
      </c>
      <c r="O840" s="815">
        <v>46702.87057338022</v>
      </c>
      <c r="P840" s="772">
        <v>0</v>
      </c>
      <c r="Q840" s="774"/>
      <c r="R840" s="774">
        <v>1372</v>
      </c>
      <c r="S840" s="774"/>
      <c r="T840" s="774"/>
      <c r="U840" s="774"/>
      <c r="V840" s="774"/>
    </row>
    <row r="841" spans="1:22" hidden="1">
      <c r="A841" s="786">
        <v>841</v>
      </c>
      <c r="B841" s="767"/>
      <c r="C841" s="767"/>
      <c r="D841" s="767"/>
      <c r="E841" s="767" t="s">
        <v>1118</v>
      </c>
      <c r="F841" s="806"/>
      <c r="G841" s="778"/>
      <c r="H841" s="815">
        <v>29021301.901553456</v>
      </c>
      <c r="I841" s="815">
        <v>12138151.555728663</v>
      </c>
      <c r="J841" s="815">
        <v>3878308.4114855882</v>
      </c>
      <c r="K841" s="815">
        <v>6581558.4707591385</v>
      </c>
      <c r="L841" s="815">
        <v>2683004.0945075694</v>
      </c>
      <c r="M841" s="815">
        <v>2537391.1255038022</v>
      </c>
      <c r="N841" s="815">
        <v>1156185.37299532</v>
      </c>
      <c r="O841" s="815">
        <v>46702.87057338022</v>
      </c>
      <c r="P841" s="772">
        <v>0</v>
      </c>
      <c r="Q841" s="774"/>
      <c r="R841" s="774"/>
      <c r="S841" s="774"/>
      <c r="T841" s="774"/>
      <c r="U841" s="774"/>
      <c r="V841" s="774"/>
    </row>
    <row r="842" spans="1:22" hidden="1">
      <c r="A842" s="786">
        <v>842</v>
      </c>
      <c r="B842" s="767"/>
      <c r="C842" s="767"/>
      <c r="D842" s="767"/>
      <c r="E842" s="767"/>
      <c r="F842" s="806"/>
      <c r="G842" s="778"/>
      <c r="H842" s="788"/>
      <c r="I842" s="788"/>
      <c r="J842" s="788"/>
      <c r="K842" s="788"/>
      <c r="L842" s="788"/>
      <c r="M842" s="788"/>
      <c r="N842" s="788"/>
      <c r="O842" s="788"/>
      <c r="P842" s="772"/>
      <c r="R842" s="774"/>
    </row>
    <row r="843" spans="1:22" hidden="1">
      <c r="A843" s="786">
        <v>843</v>
      </c>
      <c r="B843" s="767"/>
      <c r="C843" s="767" t="s">
        <v>1119</v>
      </c>
      <c r="D843" s="767" t="s">
        <v>1120</v>
      </c>
      <c r="E843" s="767"/>
      <c r="F843" s="806" t="s">
        <v>1392</v>
      </c>
      <c r="G843" s="778"/>
      <c r="H843" s="815">
        <v>19135021.713521142</v>
      </c>
      <c r="I843" s="815">
        <v>8003217.5802714666</v>
      </c>
      <c r="J843" s="815">
        <v>2557139.4390661712</v>
      </c>
      <c r="K843" s="815">
        <v>4339511.1864379821</v>
      </c>
      <c r="L843" s="815">
        <v>1769022.6916773973</v>
      </c>
      <c r="M843" s="815">
        <v>1673013.6520723128</v>
      </c>
      <c r="N843" s="815">
        <v>762323.90580440336</v>
      </c>
      <c r="O843" s="815">
        <v>30793.258191410154</v>
      </c>
      <c r="P843" s="772">
        <v>0</v>
      </c>
      <c r="Q843" s="774"/>
      <c r="R843" s="774">
        <v>1377</v>
      </c>
      <c r="S843" s="774"/>
      <c r="T843" s="774"/>
      <c r="U843" s="774"/>
      <c r="V843" s="774"/>
    </row>
    <row r="844" spans="1:22" hidden="1">
      <c r="A844" s="786">
        <v>844</v>
      </c>
      <c r="B844" s="767"/>
      <c r="C844" s="767"/>
      <c r="D844" s="767"/>
      <c r="E844" s="767" t="s">
        <v>1121</v>
      </c>
      <c r="F844" s="806"/>
      <c r="G844" s="778"/>
      <c r="H844" s="815">
        <v>19135021.713521142</v>
      </c>
      <c r="I844" s="815">
        <v>8003217.5802714666</v>
      </c>
      <c r="J844" s="815">
        <v>2557139.4390661712</v>
      </c>
      <c r="K844" s="815">
        <v>4339511.1864379821</v>
      </c>
      <c r="L844" s="815">
        <v>1769022.6916773973</v>
      </c>
      <c r="M844" s="815">
        <v>1673013.6520723128</v>
      </c>
      <c r="N844" s="815">
        <v>762323.90580440336</v>
      </c>
      <c r="O844" s="815">
        <v>30793.258191410154</v>
      </c>
      <c r="P844" s="772">
        <v>0</v>
      </c>
      <c r="Q844" s="774"/>
      <c r="R844" s="774"/>
      <c r="S844" s="774"/>
      <c r="T844" s="774"/>
      <c r="U844" s="774"/>
      <c r="V844" s="774"/>
    </row>
    <row r="845" spans="1:22" hidden="1">
      <c r="A845" s="786">
        <v>845</v>
      </c>
      <c r="B845" s="767"/>
      <c r="C845" s="767"/>
      <c r="D845" s="767"/>
      <c r="E845" s="767"/>
      <c r="F845" s="806"/>
      <c r="G845" s="778"/>
      <c r="H845" s="788"/>
      <c r="I845" s="788"/>
      <c r="J845" s="788"/>
      <c r="K845" s="788"/>
      <c r="L845" s="788"/>
      <c r="M845" s="788"/>
      <c r="N845" s="788"/>
      <c r="O845" s="788"/>
      <c r="P845" s="772"/>
      <c r="R845" s="774"/>
    </row>
    <row r="846" spans="1:22" hidden="1">
      <c r="A846" s="786">
        <v>846</v>
      </c>
      <c r="B846" s="767"/>
      <c r="C846" s="767" t="s">
        <v>1122</v>
      </c>
      <c r="D846" s="767" t="s">
        <v>1088</v>
      </c>
      <c r="E846" s="767"/>
      <c r="F846" s="806" t="s">
        <v>1392</v>
      </c>
      <c r="G846" s="778"/>
      <c r="H846" s="815">
        <v>881794.15030796116</v>
      </c>
      <c r="I846" s="815">
        <v>368810.16136702267</v>
      </c>
      <c r="J846" s="815">
        <v>117839.9811951611</v>
      </c>
      <c r="K846" s="815">
        <v>199976.54754125842</v>
      </c>
      <c r="L846" s="815">
        <v>81521.405339242992</v>
      </c>
      <c r="M846" s="815">
        <v>77097.046131924886</v>
      </c>
      <c r="N846" s="815">
        <v>35129.971151443366</v>
      </c>
      <c r="O846" s="815">
        <v>1419.0375819077944</v>
      </c>
      <c r="P846" s="772">
        <v>0</v>
      </c>
      <c r="Q846" s="774"/>
      <c r="R846" s="774">
        <v>1382</v>
      </c>
      <c r="S846" s="774"/>
      <c r="T846" s="774"/>
      <c r="U846" s="774"/>
      <c r="V846" s="774"/>
    </row>
    <row r="847" spans="1:22" hidden="1">
      <c r="A847" s="786">
        <v>847</v>
      </c>
      <c r="B847" s="767"/>
      <c r="C847" s="767"/>
      <c r="D847" s="767"/>
      <c r="E847" s="767"/>
      <c r="F847" s="806"/>
      <c r="G847" s="778"/>
      <c r="H847" s="788"/>
      <c r="I847" s="788"/>
      <c r="J847" s="788"/>
      <c r="K847" s="788"/>
      <c r="L847" s="788"/>
      <c r="M847" s="788"/>
      <c r="N847" s="788"/>
      <c r="O847" s="788"/>
      <c r="P847" s="772"/>
      <c r="R847" s="774"/>
    </row>
    <row r="848" spans="1:22" hidden="1">
      <c r="A848" s="786">
        <v>848</v>
      </c>
      <c r="B848" s="767"/>
      <c r="C848" s="767" t="s">
        <v>1123</v>
      </c>
      <c r="D848" s="767" t="s">
        <v>1124</v>
      </c>
      <c r="E848" s="767"/>
      <c r="F848" s="806" t="s">
        <v>1392</v>
      </c>
      <c r="G848" s="778"/>
      <c r="H848" s="828">
        <v>-119359.20448769673</v>
      </c>
      <c r="I848" s="828">
        <v>-49921.954520080297</v>
      </c>
      <c r="J848" s="828">
        <v>-15950.75949118891</v>
      </c>
      <c r="K848" s="828">
        <v>-27068.723037439697</v>
      </c>
      <c r="L848" s="828">
        <v>-11034.695667478469</v>
      </c>
      <c r="M848" s="828">
        <v>-10435.816671548551</v>
      </c>
      <c r="N848" s="828">
        <v>-4755.1748997740642</v>
      </c>
      <c r="O848" s="828">
        <v>-192.08020018675094</v>
      </c>
      <c r="P848" s="772">
        <v>0</v>
      </c>
      <c r="Q848" s="774"/>
      <c r="R848" s="774">
        <v>1387</v>
      </c>
      <c r="S848" s="774"/>
      <c r="T848" s="774"/>
      <c r="U848" s="774"/>
      <c r="V848" s="774"/>
    </row>
    <row r="849" spans="1:22" hidden="1">
      <c r="A849" s="786">
        <v>849</v>
      </c>
      <c r="B849" s="767"/>
      <c r="C849" s="767"/>
      <c r="D849" s="767"/>
      <c r="E849" s="767"/>
      <c r="F849" s="806"/>
      <c r="G849" s="778"/>
      <c r="H849" s="788"/>
      <c r="I849" s="788"/>
      <c r="J849" s="788"/>
      <c r="K849" s="788"/>
      <c r="L849" s="788"/>
      <c r="M849" s="788"/>
      <c r="N849" s="788"/>
      <c r="O849" s="788"/>
      <c r="P849" s="772"/>
      <c r="R849" s="774"/>
    </row>
    <row r="850" spans="1:22" hidden="1">
      <c r="A850" s="786">
        <v>850</v>
      </c>
      <c r="B850" s="767"/>
      <c r="C850" s="767" t="s">
        <v>1125</v>
      </c>
      <c r="D850" s="767"/>
      <c r="E850" s="767"/>
      <c r="F850" s="806"/>
      <c r="G850" s="778"/>
      <c r="H850" s="815">
        <v>387137797.62701017</v>
      </c>
      <c r="I850" s="815">
        <v>161920277.61153352</v>
      </c>
      <c r="J850" s="815">
        <v>51735782.978794254</v>
      </c>
      <c r="K850" s="815">
        <v>87796545.44673261</v>
      </c>
      <c r="L850" s="815">
        <v>35790685.741645232</v>
      </c>
      <c r="M850" s="815">
        <v>33848240.694993787</v>
      </c>
      <c r="N850" s="815">
        <v>15423259.110440256</v>
      </c>
      <c r="O850" s="815">
        <v>623006.04287052702</v>
      </c>
      <c r="P850" s="772">
        <v>0</v>
      </c>
      <c r="Q850" s="774"/>
      <c r="R850" s="774"/>
      <c r="S850" s="774"/>
      <c r="T850" s="774"/>
      <c r="U850" s="774"/>
      <c r="V850" s="774"/>
    </row>
    <row r="851" spans="1:22" hidden="1">
      <c r="A851" s="786">
        <v>851</v>
      </c>
      <c r="B851" s="767"/>
      <c r="C851" s="767"/>
      <c r="D851" s="767"/>
      <c r="E851" s="767"/>
      <c r="F851" s="806"/>
      <c r="G851" s="778"/>
      <c r="H851" s="788"/>
      <c r="I851" s="788"/>
      <c r="J851" s="788"/>
      <c r="K851" s="788"/>
      <c r="L851" s="788"/>
      <c r="M851" s="788"/>
      <c r="N851" s="788"/>
      <c r="O851" s="788"/>
      <c r="P851" s="772"/>
      <c r="R851" s="774"/>
    </row>
    <row r="852" spans="1:22" hidden="1">
      <c r="A852" s="786">
        <v>852</v>
      </c>
      <c r="B852" s="767"/>
      <c r="C852" s="767" t="s">
        <v>1126</v>
      </c>
      <c r="D852" s="767"/>
      <c r="E852" s="767"/>
      <c r="F852" s="806"/>
      <c r="G852" s="778"/>
      <c r="H852" s="788"/>
      <c r="I852" s="788"/>
      <c r="J852" s="788"/>
      <c r="K852" s="788"/>
      <c r="L852" s="788"/>
      <c r="M852" s="788"/>
      <c r="N852" s="788"/>
      <c r="O852" s="788"/>
      <c r="P852" s="772"/>
      <c r="R852" s="774"/>
    </row>
    <row r="853" spans="1:22" hidden="1">
      <c r="A853" s="786">
        <v>853</v>
      </c>
      <c r="B853" s="767"/>
      <c r="C853" s="767" t="s">
        <v>1127</v>
      </c>
      <c r="D853" s="767" t="s">
        <v>1126</v>
      </c>
      <c r="E853" s="767"/>
      <c r="F853" s="806" t="s">
        <v>1392</v>
      </c>
      <c r="G853" s="778"/>
      <c r="H853" s="815">
        <v>0</v>
      </c>
      <c r="I853" s="815">
        <v>0</v>
      </c>
      <c r="J853" s="815">
        <v>0</v>
      </c>
      <c r="K853" s="815">
        <v>0</v>
      </c>
      <c r="L853" s="815">
        <v>0</v>
      </c>
      <c r="M853" s="815">
        <v>0</v>
      </c>
      <c r="N853" s="815">
        <v>0</v>
      </c>
      <c r="O853" s="815">
        <v>0</v>
      </c>
      <c r="P853" s="772">
        <v>0</v>
      </c>
      <c r="Q853" s="774"/>
      <c r="R853" s="774">
        <v>1393</v>
      </c>
      <c r="S853" s="774"/>
      <c r="T853" s="774"/>
      <c r="U853" s="774"/>
      <c r="V853" s="774"/>
    </row>
    <row r="854" spans="1:22" hidden="1">
      <c r="A854" s="786">
        <v>854</v>
      </c>
      <c r="B854" s="767"/>
      <c r="C854" s="767"/>
      <c r="D854" s="767"/>
      <c r="E854" s="767"/>
      <c r="F854" s="806"/>
      <c r="G854" s="778"/>
      <c r="H854" s="788"/>
      <c r="I854" s="788"/>
      <c r="J854" s="788"/>
      <c r="K854" s="788"/>
      <c r="L854" s="788"/>
      <c r="M854" s="788"/>
      <c r="N854" s="788"/>
      <c r="O854" s="788"/>
      <c r="P854" s="772"/>
      <c r="R854" s="774"/>
    </row>
    <row r="855" spans="1:22" ht="13.5" thickBot="1">
      <c r="A855" s="786">
        <v>855</v>
      </c>
      <c r="B855" s="767"/>
      <c r="C855" s="767" t="s">
        <v>1128</v>
      </c>
      <c r="D855" s="767"/>
      <c r="E855" s="767"/>
      <c r="F855" s="806"/>
      <c r="G855" s="778"/>
      <c r="H855" s="814">
        <v>792145131.51161909</v>
      </c>
      <c r="I855" s="814">
        <v>331314483.85869837</v>
      </c>
      <c r="J855" s="814">
        <v>105859590.20999059</v>
      </c>
      <c r="K855" s="814">
        <v>179645610.59515515</v>
      </c>
      <c r="L855" s="814">
        <v>73233400.710260555</v>
      </c>
      <c r="M855" s="814">
        <v>69258851.089000717</v>
      </c>
      <c r="N855" s="814">
        <v>31558426.201898389</v>
      </c>
      <c r="O855" s="814">
        <v>1274768.8466153925</v>
      </c>
      <c r="P855" s="772">
        <v>0</v>
      </c>
      <c r="Q855" s="774"/>
      <c r="R855" s="774"/>
      <c r="S855" s="774"/>
      <c r="T855" s="774"/>
      <c r="U855" s="774"/>
      <c r="V855" s="774"/>
    </row>
    <row r="856" spans="1:22" ht="13.5" hidden="1" thickTop="1">
      <c r="A856" s="786">
        <v>856</v>
      </c>
      <c r="B856" s="767"/>
      <c r="C856" s="767"/>
      <c r="D856" s="767"/>
      <c r="E856" s="767"/>
      <c r="F856" s="806"/>
      <c r="G856" s="778"/>
      <c r="H856" s="810"/>
      <c r="I856" s="810"/>
      <c r="J856" s="810"/>
      <c r="K856" s="810"/>
      <c r="L856" s="810"/>
      <c r="M856" s="810"/>
      <c r="N856" s="810"/>
      <c r="O856" s="810"/>
      <c r="P856" s="772"/>
      <c r="R856" s="774"/>
    </row>
    <row r="857" spans="1:22" hidden="1">
      <c r="A857" s="786">
        <v>857</v>
      </c>
      <c r="B857" s="767"/>
      <c r="C857" s="767"/>
      <c r="D857" s="767"/>
      <c r="E857" s="767"/>
      <c r="F857" s="806"/>
      <c r="G857" s="830"/>
      <c r="H857" s="817" t="s">
        <v>1129</v>
      </c>
      <c r="I857" s="817"/>
      <c r="J857" s="817"/>
      <c r="K857" s="817"/>
      <c r="L857" s="817"/>
      <c r="M857" s="817"/>
      <c r="N857" s="817"/>
      <c r="O857" s="817"/>
      <c r="P857" s="772"/>
      <c r="R857" s="774"/>
    </row>
    <row r="858" spans="1:22" hidden="1">
      <c r="A858" s="786">
        <v>858</v>
      </c>
      <c r="B858" s="767"/>
      <c r="C858" s="767" t="s">
        <v>1130</v>
      </c>
      <c r="D858" s="775" t="s">
        <v>1060</v>
      </c>
      <c r="E858" s="767"/>
      <c r="F858" s="806"/>
      <c r="G858" s="778"/>
      <c r="H858" s="788"/>
      <c r="I858" s="788"/>
      <c r="J858" s="788"/>
      <c r="K858" s="788"/>
      <c r="L858" s="788"/>
      <c r="M858" s="788"/>
      <c r="N858" s="788"/>
      <c r="O858" s="788"/>
      <c r="P858" s="772"/>
      <c r="R858" s="774"/>
    </row>
    <row r="859" spans="1:22" hidden="1">
      <c r="A859" s="786">
        <v>859</v>
      </c>
      <c r="B859" s="767"/>
      <c r="E859" s="767" t="s">
        <v>210</v>
      </c>
      <c r="F859" s="806" t="s">
        <v>1396</v>
      </c>
      <c r="G859" s="778"/>
      <c r="H859" s="815">
        <v>8370406.054358732</v>
      </c>
      <c r="I859" s="815">
        <v>3735219.8797912677</v>
      </c>
      <c r="J859" s="815">
        <v>1111024.8305265619</v>
      </c>
      <c r="K859" s="815">
        <v>1778812.2910621346</v>
      </c>
      <c r="L859" s="815">
        <v>720274.29545873869</v>
      </c>
      <c r="M859" s="815">
        <v>706710.18542870681</v>
      </c>
      <c r="N859" s="815">
        <v>308628.24173719349</v>
      </c>
      <c r="O859" s="815">
        <v>9736.3303541299902</v>
      </c>
      <c r="P859" s="772">
        <v>0</v>
      </c>
      <c r="Q859" s="774"/>
      <c r="R859" s="774">
        <v>1402</v>
      </c>
      <c r="S859" s="774"/>
      <c r="T859" s="774"/>
      <c r="U859" s="774"/>
      <c r="V859" s="774"/>
    </row>
    <row r="860" spans="1:22" hidden="1">
      <c r="A860" s="786">
        <v>860</v>
      </c>
      <c r="B860" s="767"/>
      <c r="C860" s="767"/>
      <c r="D860" s="767"/>
      <c r="E860" s="767" t="s">
        <v>1131</v>
      </c>
      <c r="F860" s="806" t="s">
        <v>575</v>
      </c>
      <c r="G860" s="811"/>
      <c r="H860" s="831">
        <v>0</v>
      </c>
      <c r="I860" s="831">
        <v>0</v>
      </c>
      <c r="J860" s="831">
        <v>0</v>
      </c>
      <c r="K860" s="831">
        <v>0</v>
      </c>
      <c r="L860" s="831">
        <v>0</v>
      </c>
      <c r="M860" s="831">
        <v>0</v>
      </c>
      <c r="N860" s="831">
        <v>0</v>
      </c>
      <c r="O860" s="831">
        <v>0</v>
      </c>
      <c r="P860" s="772">
        <v>0</v>
      </c>
      <c r="Q860" s="774"/>
      <c r="R860" s="774"/>
      <c r="S860" s="774"/>
      <c r="T860" s="774"/>
      <c r="U860" s="774"/>
      <c r="V860" s="774"/>
    </row>
    <row r="861" spans="1:22" hidden="1">
      <c r="A861" s="786">
        <v>861</v>
      </c>
      <c r="B861" s="767"/>
      <c r="C861" s="767"/>
      <c r="D861" s="767"/>
      <c r="E861" s="767"/>
      <c r="F861" s="806"/>
      <c r="G861" s="778"/>
      <c r="H861" s="788">
        <v>8370406.0543587329</v>
      </c>
      <c r="I861" s="788">
        <v>3735219.8797912677</v>
      </c>
      <c r="J861" s="788">
        <v>1111024.8305265619</v>
      </c>
      <c r="K861" s="788">
        <v>1778812.2910621346</v>
      </c>
      <c r="L861" s="788">
        <v>720274.29545873869</v>
      </c>
      <c r="M861" s="788">
        <v>706710.18542870681</v>
      </c>
      <c r="N861" s="788">
        <v>308628.24173719349</v>
      </c>
      <c r="O861" s="788">
        <v>9736.3303541299902</v>
      </c>
      <c r="P861" s="772">
        <v>0</v>
      </c>
      <c r="Q861" s="774"/>
      <c r="R861" s="774"/>
      <c r="S861" s="774"/>
      <c r="T861" s="774"/>
      <c r="U861" s="774"/>
      <c r="V861" s="774"/>
    </row>
    <row r="862" spans="1:22" hidden="1">
      <c r="A862" s="786">
        <v>862</v>
      </c>
      <c r="B862" s="767"/>
      <c r="C862" s="767" t="s">
        <v>1132</v>
      </c>
      <c r="D862" s="775" t="s">
        <v>1063</v>
      </c>
      <c r="E862" s="767"/>
      <c r="F862" s="806"/>
      <c r="G862" s="778"/>
      <c r="H862" s="788"/>
      <c r="I862" s="788"/>
      <c r="J862" s="788"/>
      <c r="K862" s="788"/>
      <c r="L862" s="788"/>
      <c r="M862" s="788"/>
      <c r="N862" s="788"/>
      <c r="O862" s="788"/>
      <c r="P862" s="772"/>
      <c r="R862" s="774"/>
    </row>
    <row r="863" spans="1:22" hidden="1">
      <c r="A863" s="786">
        <v>863</v>
      </c>
      <c r="B863" s="767"/>
      <c r="E863" s="767" t="s">
        <v>210</v>
      </c>
      <c r="F863" s="806" t="s">
        <v>1396</v>
      </c>
      <c r="G863" s="778"/>
      <c r="H863" s="815">
        <v>16205308.146452697</v>
      </c>
      <c r="I863" s="815">
        <v>7231475.8392459862</v>
      </c>
      <c r="J863" s="815">
        <v>2150970.8872089679</v>
      </c>
      <c r="K863" s="815">
        <v>3443823.5282921181</v>
      </c>
      <c r="L863" s="815">
        <v>1394468.4202984229</v>
      </c>
      <c r="M863" s="815">
        <v>1368207.9759016312</v>
      </c>
      <c r="N863" s="815">
        <v>597511.72494728863</v>
      </c>
      <c r="O863" s="815">
        <v>18849.770558284483</v>
      </c>
      <c r="P863" s="772">
        <v>0</v>
      </c>
      <c r="Q863" s="774"/>
      <c r="R863" s="774">
        <v>1409</v>
      </c>
      <c r="S863" s="774"/>
      <c r="T863" s="774"/>
      <c r="U863" s="774"/>
      <c r="V863" s="774"/>
    </row>
    <row r="864" spans="1:22" hidden="1">
      <c r="A864" s="786">
        <v>864</v>
      </c>
      <c r="B864" s="767"/>
      <c r="C864" s="767"/>
      <c r="D864" s="767"/>
      <c r="E864" s="767" t="s">
        <v>1131</v>
      </c>
      <c r="F864" s="806" t="s">
        <v>575</v>
      </c>
      <c r="G864" s="811"/>
      <c r="H864" s="831">
        <v>0</v>
      </c>
      <c r="I864" s="831">
        <v>0</v>
      </c>
      <c r="J864" s="831">
        <v>0</v>
      </c>
      <c r="K864" s="831">
        <v>0</v>
      </c>
      <c r="L864" s="831">
        <v>0</v>
      </c>
      <c r="M864" s="831">
        <v>0</v>
      </c>
      <c r="N864" s="831">
        <v>0</v>
      </c>
      <c r="O864" s="831">
        <v>0</v>
      </c>
      <c r="P864" s="772">
        <v>0</v>
      </c>
      <c r="Q864" s="774"/>
      <c r="R864" s="774"/>
      <c r="S864" s="774"/>
      <c r="T864" s="774"/>
      <c r="U864" s="774"/>
      <c r="V864" s="774"/>
    </row>
    <row r="865" spans="1:22" hidden="1">
      <c r="A865" s="786">
        <v>865</v>
      </c>
      <c r="B865" s="767"/>
      <c r="C865" s="767"/>
      <c r="D865" s="767"/>
      <c r="E865" s="767"/>
      <c r="F865" s="806"/>
      <c r="G865" s="778"/>
      <c r="H865" s="788">
        <v>16205308.146452701</v>
      </c>
      <c r="I865" s="788">
        <v>7231475.8392459862</v>
      </c>
      <c r="J865" s="788">
        <v>2150970.8872089679</v>
      </c>
      <c r="K865" s="788">
        <v>3443823.5282921181</v>
      </c>
      <c r="L865" s="788">
        <v>1394468.4202984229</v>
      </c>
      <c r="M865" s="788">
        <v>1368207.9759016312</v>
      </c>
      <c r="N865" s="788">
        <v>597511.72494728863</v>
      </c>
      <c r="O865" s="788">
        <v>18849.770558284483</v>
      </c>
      <c r="P865" s="772">
        <v>0</v>
      </c>
      <c r="Q865" s="774"/>
      <c r="R865" s="774"/>
      <c r="S865" s="774"/>
      <c r="T865" s="774"/>
      <c r="U865" s="774"/>
      <c r="V865" s="774"/>
    </row>
    <row r="866" spans="1:22" hidden="1">
      <c r="A866" s="786">
        <v>866</v>
      </c>
      <c r="B866" s="767"/>
      <c r="C866" s="767" t="s">
        <v>1133</v>
      </c>
      <c r="D866" s="775" t="s">
        <v>1134</v>
      </c>
      <c r="E866" s="767"/>
      <c r="F866" s="806"/>
      <c r="G866" s="778"/>
      <c r="H866" s="810"/>
      <c r="I866" s="810"/>
      <c r="J866" s="810"/>
      <c r="K866" s="810"/>
      <c r="L866" s="810"/>
      <c r="M866" s="810"/>
      <c r="N866" s="810"/>
      <c r="O866" s="810"/>
      <c r="P866" s="772"/>
      <c r="R866" s="774"/>
    </row>
    <row r="867" spans="1:22" hidden="1">
      <c r="A867" s="786">
        <v>867</v>
      </c>
      <c r="B867" s="767"/>
      <c r="E867" s="767" t="s">
        <v>210</v>
      </c>
      <c r="F867" s="806" t="s">
        <v>1396</v>
      </c>
      <c r="G867" s="778"/>
      <c r="H867" s="815">
        <v>277787561.88258564</v>
      </c>
      <c r="I867" s="815">
        <v>123960249.57024294</v>
      </c>
      <c r="J867" s="815">
        <v>36871434.534800597</v>
      </c>
      <c r="K867" s="815">
        <v>59033208.923432894</v>
      </c>
      <c r="L867" s="815">
        <v>23903648.057550393</v>
      </c>
      <c r="M867" s="815">
        <v>23453497.726744447</v>
      </c>
      <c r="N867" s="815">
        <v>10242404.758325953</v>
      </c>
      <c r="O867" s="815">
        <v>323118.31148846063</v>
      </c>
      <c r="P867" s="772">
        <v>0</v>
      </c>
      <c r="Q867" s="774"/>
      <c r="R867" s="774">
        <v>1415</v>
      </c>
      <c r="S867" s="774"/>
      <c r="T867" s="774"/>
      <c r="U867" s="774"/>
      <c r="V867" s="774"/>
    </row>
    <row r="868" spans="1:22" hidden="1">
      <c r="A868" s="786">
        <v>868</v>
      </c>
      <c r="B868" s="767"/>
      <c r="C868" s="767"/>
      <c r="D868" s="767"/>
      <c r="E868" s="767" t="s">
        <v>1131</v>
      </c>
      <c r="F868" s="806" t="s">
        <v>575</v>
      </c>
      <c r="G868" s="811"/>
      <c r="H868" s="831">
        <v>0</v>
      </c>
      <c r="I868" s="831">
        <v>0</v>
      </c>
      <c r="J868" s="831">
        <v>0</v>
      </c>
      <c r="K868" s="831">
        <v>0</v>
      </c>
      <c r="L868" s="831">
        <v>0</v>
      </c>
      <c r="M868" s="831">
        <v>0</v>
      </c>
      <c r="N868" s="831">
        <v>0</v>
      </c>
      <c r="O868" s="831">
        <v>0</v>
      </c>
      <c r="P868" s="772">
        <v>0</v>
      </c>
      <c r="Q868" s="774"/>
      <c r="R868" s="774"/>
      <c r="S868" s="774"/>
      <c r="T868" s="774"/>
      <c r="U868" s="774"/>
      <c r="V868" s="774"/>
    </row>
    <row r="869" spans="1:22" hidden="1">
      <c r="A869" s="786">
        <v>869</v>
      </c>
      <c r="B869" s="767"/>
      <c r="C869" s="767"/>
      <c r="D869" s="767"/>
      <c r="E869" s="767"/>
      <c r="F869" s="806"/>
      <c r="G869" s="778"/>
      <c r="H869" s="788">
        <v>277787561.88258564</v>
      </c>
      <c r="I869" s="788">
        <v>123960249.57024294</v>
      </c>
      <c r="J869" s="788">
        <v>36871434.534800597</v>
      </c>
      <c r="K869" s="788">
        <v>59033208.923432894</v>
      </c>
      <c r="L869" s="788">
        <v>23903648.057550393</v>
      </c>
      <c r="M869" s="788">
        <v>23453497.726744447</v>
      </c>
      <c r="N869" s="788">
        <v>10242404.758325953</v>
      </c>
      <c r="O869" s="788">
        <v>323118.31148846063</v>
      </c>
      <c r="P869" s="772">
        <v>0</v>
      </c>
      <c r="Q869" s="774"/>
      <c r="R869" s="774"/>
      <c r="S869" s="774"/>
      <c r="T869" s="774"/>
      <c r="U869" s="774"/>
      <c r="V869" s="774"/>
    </row>
    <row r="870" spans="1:22" hidden="1">
      <c r="A870" s="786">
        <v>870</v>
      </c>
      <c r="B870" s="767"/>
      <c r="C870" s="767" t="s">
        <v>1135</v>
      </c>
      <c r="D870" s="775" t="s">
        <v>1136</v>
      </c>
      <c r="E870" s="767"/>
      <c r="F870" s="806"/>
      <c r="G870" s="778"/>
      <c r="H870" s="810"/>
      <c r="I870" s="810"/>
      <c r="J870" s="810"/>
      <c r="K870" s="810"/>
      <c r="L870" s="810"/>
      <c r="M870" s="810"/>
      <c r="N870" s="810"/>
      <c r="O870" s="810"/>
      <c r="P870" s="772"/>
      <c r="R870" s="774"/>
    </row>
    <row r="871" spans="1:22" hidden="1">
      <c r="A871" s="786">
        <v>871</v>
      </c>
      <c r="B871" s="767"/>
      <c r="E871" s="767" t="s">
        <v>210</v>
      </c>
      <c r="F871" s="806" t="s">
        <v>1396</v>
      </c>
      <c r="G871" s="778"/>
      <c r="H871" s="815">
        <v>45965109.663104855</v>
      </c>
      <c r="I871" s="815">
        <v>20511524.802433055</v>
      </c>
      <c r="J871" s="815">
        <v>6101063.4181830408</v>
      </c>
      <c r="K871" s="815">
        <v>9768140.4579139967</v>
      </c>
      <c r="L871" s="815">
        <v>3955302.3787939665</v>
      </c>
      <c r="M871" s="815">
        <v>3880816.6488348837</v>
      </c>
      <c r="N871" s="815">
        <v>1694796.0331260359</v>
      </c>
      <c r="O871" s="815">
        <v>53465.923819879426</v>
      </c>
      <c r="P871" s="772">
        <v>0</v>
      </c>
      <c r="Q871" s="774"/>
      <c r="R871" s="774">
        <v>1421</v>
      </c>
      <c r="S871" s="774"/>
      <c r="T871" s="774"/>
      <c r="U871" s="774"/>
      <c r="V871" s="774"/>
    </row>
    <row r="872" spans="1:22" hidden="1">
      <c r="A872" s="786">
        <v>872</v>
      </c>
      <c r="B872" s="767"/>
      <c r="C872" s="767"/>
      <c r="D872" s="767"/>
      <c r="E872" s="767" t="s">
        <v>1131</v>
      </c>
      <c r="F872" s="806" t="s">
        <v>575</v>
      </c>
      <c r="G872" s="811"/>
      <c r="H872" s="831">
        <v>0</v>
      </c>
      <c r="I872" s="831">
        <v>0</v>
      </c>
      <c r="J872" s="831">
        <v>0</v>
      </c>
      <c r="K872" s="831">
        <v>0</v>
      </c>
      <c r="L872" s="831">
        <v>0</v>
      </c>
      <c r="M872" s="831">
        <v>0</v>
      </c>
      <c r="N872" s="831">
        <v>0</v>
      </c>
      <c r="O872" s="831">
        <v>0</v>
      </c>
      <c r="P872" s="772">
        <v>0</v>
      </c>
      <c r="Q872" s="774"/>
      <c r="R872" s="774"/>
      <c r="S872" s="774"/>
      <c r="T872" s="774"/>
      <c r="U872" s="774"/>
      <c r="V872" s="774"/>
    </row>
    <row r="873" spans="1:22" hidden="1">
      <c r="A873" s="786">
        <v>873</v>
      </c>
      <c r="B873" s="767"/>
      <c r="C873" s="767"/>
      <c r="D873" s="767"/>
      <c r="E873" s="767"/>
      <c r="F873" s="806"/>
      <c r="G873" s="778"/>
      <c r="H873" s="788">
        <v>45965109.663104855</v>
      </c>
      <c r="I873" s="788">
        <v>20511524.802433055</v>
      </c>
      <c r="J873" s="788">
        <v>6101063.4181830408</v>
      </c>
      <c r="K873" s="788">
        <v>9768140.4579139967</v>
      </c>
      <c r="L873" s="788">
        <v>3955302.3787939665</v>
      </c>
      <c r="M873" s="788">
        <v>3880816.6488348837</v>
      </c>
      <c r="N873" s="788">
        <v>1694796.0331260359</v>
      </c>
      <c r="O873" s="788">
        <v>53465.923819879426</v>
      </c>
      <c r="P873" s="772">
        <v>0</v>
      </c>
      <c r="Q873" s="774"/>
      <c r="R873" s="774"/>
      <c r="S873" s="774"/>
      <c r="T873" s="774"/>
      <c r="U873" s="774"/>
      <c r="V873" s="774"/>
    </row>
    <row r="874" spans="1:22" hidden="1">
      <c r="A874" s="786">
        <v>874</v>
      </c>
      <c r="B874" s="767"/>
      <c r="C874" s="767" t="s">
        <v>1137</v>
      </c>
      <c r="D874" s="775" t="s">
        <v>1138</v>
      </c>
      <c r="E874" s="767"/>
      <c r="F874" s="806"/>
      <c r="G874" s="778"/>
      <c r="H874" s="810"/>
      <c r="I874" s="810"/>
      <c r="J874" s="810"/>
      <c r="K874" s="810"/>
      <c r="L874" s="810"/>
      <c r="M874" s="810"/>
      <c r="N874" s="810"/>
      <c r="O874" s="810"/>
      <c r="P874" s="772"/>
      <c r="R874" s="774"/>
    </row>
    <row r="875" spans="1:22" hidden="1">
      <c r="A875" s="786">
        <v>875</v>
      </c>
      <c r="B875" s="767"/>
      <c r="E875" s="767" t="s">
        <v>210</v>
      </c>
      <c r="F875" s="806" t="s">
        <v>1396</v>
      </c>
      <c r="G875" s="778"/>
      <c r="H875" s="815">
        <v>157402058.87639761</v>
      </c>
      <c r="I875" s="815">
        <v>70239280.581739724</v>
      </c>
      <c r="J875" s="815">
        <v>20892367.067021478</v>
      </c>
      <c r="K875" s="815">
        <v>33449836.859709207</v>
      </c>
      <c r="L875" s="815">
        <v>13544463.234482575</v>
      </c>
      <c r="M875" s="815">
        <v>13289395.698727695</v>
      </c>
      <c r="N875" s="815">
        <v>5803627.7286142344</v>
      </c>
      <c r="O875" s="815">
        <v>183087.70610271598</v>
      </c>
      <c r="P875" s="772">
        <v>0</v>
      </c>
      <c r="Q875" s="774"/>
      <c r="R875" s="774">
        <v>1428</v>
      </c>
      <c r="S875" s="774"/>
      <c r="T875" s="774"/>
      <c r="U875" s="774"/>
      <c r="V875" s="774"/>
    </row>
    <row r="876" spans="1:22" hidden="1">
      <c r="A876" s="786">
        <v>876</v>
      </c>
      <c r="B876" s="767"/>
      <c r="C876" s="767"/>
      <c r="D876" s="767"/>
      <c r="E876" s="767" t="s">
        <v>1131</v>
      </c>
      <c r="F876" s="806" t="s">
        <v>575</v>
      </c>
      <c r="G876" s="811"/>
      <c r="H876" s="831">
        <v>0</v>
      </c>
      <c r="I876" s="831">
        <v>0</v>
      </c>
      <c r="J876" s="831">
        <v>0</v>
      </c>
      <c r="K876" s="831">
        <v>0</v>
      </c>
      <c r="L876" s="831">
        <v>0</v>
      </c>
      <c r="M876" s="831">
        <v>0</v>
      </c>
      <c r="N876" s="831">
        <v>0</v>
      </c>
      <c r="O876" s="831">
        <v>0</v>
      </c>
      <c r="P876" s="772">
        <v>0</v>
      </c>
      <c r="Q876" s="774"/>
      <c r="R876" s="774"/>
      <c r="S876" s="774"/>
      <c r="T876" s="774"/>
      <c r="U876" s="774"/>
      <c r="V876" s="774"/>
    </row>
    <row r="877" spans="1:22" hidden="1">
      <c r="A877" s="786">
        <v>877</v>
      </c>
      <c r="B877" s="767"/>
      <c r="C877" s="767"/>
      <c r="D877" s="767"/>
      <c r="E877" s="767"/>
      <c r="F877" s="806"/>
      <c r="G877" s="778"/>
      <c r="H877" s="788">
        <v>157402058.87639764</v>
      </c>
      <c r="I877" s="788">
        <v>70239280.581739724</v>
      </c>
      <c r="J877" s="788">
        <v>20892367.067021478</v>
      </c>
      <c r="K877" s="788">
        <v>33449836.859709207</v>
      </c>
      <c r="L877" s="788">
        <v>13544463.234482575</v>
      </c>
      <c r="M877" s="788">
        <v>13289395.698727695</v>
      </c>
      <c r="N877" s="788">
        <v>5803627.7286142344</v>
      </c>
      <c r="O877" s="788">
        <v>183087.70610271598</v>
      </c>
      <c r="P877" s="772">
        <v>0</v>
      </c>
      <c r="Q877" s="774"/>
      <c r="R877" s="774"/>
      <c r="S877" s="774"/>
      <c r="T877" s="774"/>
      <c r="U877" s="774"/>
      <c r="V877" s="774"/>
    </row>
    <row r="878" spans="1:22" hidden="1">
      <c r="A878" s="786">
        <v>878</v>
      </c>
      <c r="B878" s="767"/>
      <c r="C878" s="767" t="s">
        <v>1139</v>
      </c>
      <c r="D878" s="775" t="s">
        <v>1140</v>
      </c>
      <c r="E878" s="767"/>
      <c r="F878" s="806"/>
      <c r="G878" s="778"/>
      <c r="H878" s="810"/>
      <c r="I878" s="810"/>
      <c r="J878" s="810"/>
      <c r="K878" s="810"/>
      <c r="L878" s="810"/>
      <c r="M878" s="810"/>
      <c r="N878" s="810"/>
      <c r="O878" s="810"/>
      <c r="P878" s="772"/>
      <c r="R878" s="774"/>
    </row>
    <row r="879" spans="1:22" hidden="1">
      <c r="A879" s="786">
        <v>879</v>
      </c>
      <c r="B879" s="767"/>
      <c r="E879" s="767" t="s">
        <v>210</v>
      </c>
      <c r="F879" s="806" t="s">
        <v>1396</v>
      </c>
      <c r="G879" s="778"/>
      <c r="H879" s="815">
        <v>76501643.27426371</v>
      </c>
      <c r="I879" s="815">
        <v>34138183.612482041</v>
      </c>
      <c r="J879" s="815">
        <v>10154253.533439117</v>
      </c>
      <c r="K879" s="815">
        <v>16257522.330335334</v>
      </c>
      <c r="L879" s="815">
        <v>6582974.2133134184</v>
      </c>
      <c r="M879" s="815">
        <v>6459004.5157728782</v>
      </c>
      <c r="N879" s="815">
        <v>2820719.5087563572</v>
      </c>
      <c r="O879" s="815">
        <v>88985.560164572176</v>
      </c>
      <c r="P879" s="772">
        <v>0</v>
      </c>
      <c r="Q879" s="774"/>
      <c r="R879" s="774">
        <v>1434</v>
      </c>
      <c r="S879" s="774"/>
      <c r="T879" s="774"/>
      <c r="U879" s="774"/>
      <c r="V879" s="774"/>
    </row>
    <row r="880" spans="1:22" hidden="1">
      <c r="A880" s="786">
        <v>880</v>
      </c>
      <c r="B880" s="767"/>
      <c r="C880" s="767"/>
      <c r="D880" s="767"/>
      <c r="E880" s="767" t="s">
        <v>1131</v>
      </c>
      <c r="F880" s="806" t="s">
        <v>575</v>
      </c>
      <c r="G880" s="811"/>
      <c r="H880" s="831">
        <v>0</v>
      </c>
      <c r="I880" s="831">
        <v>0</v>
      </c>
      <c r="J880" s="831">
        <v>0</v>
      </c>
      <c r="K880" s="831">
        <v>0</v>
      </c>
      <c r="L880" s="831">
        <v>0</v>
      </c>
      <c r="M880" s="831">
        <v>0</v>
      </c>
      <c r="N880" s="831">
        <v>0</v>
      </c>
      <c r="O880" s="831">
        <v>0</v>
      </c>
      <c r="P880" s="772">
        <v>0</v>
      </c>
      <c r="Q880" s="774"/>
      <c r="R880" s="774"/>
      <c r="S880" s="774"/>
      <c r="T880" s="774"/>
      <c r="U880" s="774"/>
      <c r="V880" s="774"/>
    </row>
    <row r="881" spans="1:22" hidden="1">
      <c r="A881" s="786">
        <v>881</v>
      </c>
      <c r="B881" s="767"/>
      <c r="C881" s="767"/>
      <c r="D881" s="767"/>
      <c r="E881" s="767"/>
      <c r="F881" s="806"/>
      <c r="G881" s="778"/>
      <c r="H881" s="788">
        <v>76501643.27426371</v>
      </c>
      <c r="I881" s="788">
        <v>34138183.612482041</v>
      </c>
      <c r="J881" s="788">
        <v>10154253.533439117</v>
      </c>
      <c r="K881" s="788">
        <v>16257522.330335334</v>
      </c>
      <c r="L881" s="788">
        <v>6582974.2133134184</v>
      </c>
      <c r="M881" s="788">
        <v>6459004.5157728782</v>
      </c>
      <c r="N881" s="788">
        <v>2820719.5087563572</v>
      </c>
      <c r="O881" s="788">
        <v>88985.560164572176</v>
      </c>
      <c r="P881" s="772">
        <v>0</v>
      </c>
      <c r="Q881" s="774"/>
      <c r="R881" s="774"/>
      <c r="S881" s="774"/>
      <c r="T881" s="774"/>
      <c r="U881" s="774"/>
      <c r="V881" s="774"/>
    </row>
    <row r="882" spans="1:22" hidden="1">
      <c r="A882" s="786">
        <v>882</v>
      </c>
      <c r="B882" s="767"/>
      <c r="C882" s="767" t="s">
        <v>1141</v>
      </c>
      <c r="D882" s="767" t="s">
        <v>1142</v>
      </c>
      <c r="E882" s="767"/>
      <c r="F882" s="806"/>
      <c r="G882" s="778"/>
      <c r="H882" s="810"/>
      <c r="I882" s="810"/>
      <c r="J882" s="810"/>
      <c r="K882" s="810"/>
      <c r="L882" s="810"/>
      <c r="M882" s="810"/>
      <c r="N882" s="810"/>
      <c r="O882" s="810"/>
      <c r="P882" s="772"/>
      <c r="R882" s="774"/>
    </row>
    <row r="883" spans="1:22" hidden="1">
      <c r="A883" s="786">
        <v>883</v>
      </c>
      <c r="B883" s="767"/>
      <c r="E883" s="767" t="s">
        <v>210</v>
      </c>
      <c r="F883" s="806" t="s">
        <v>1396</v>
      </c>
      <c r="G883" s="778"/>
      <c r="H883" s="815">
        <v>95169.4819133087</v>
      </c>
      <c r="I883" s="815">
        <v>42468.54196600381</v>
      </c>
      <c r="J883" s="815">
        <v>12632.082222459761</v>
      </c>
      <c r="K883" s="815">
        <v>20224.663303311925</v>
      </c>
      <c r="L883" s="815">
        <v>8189.3436338833826</v>
      </c>
      <c r="M883" s="815">
        <v>8035.1230004051486</v>
      </c>
      <c r="N883" s="815">
        <v>3509.028078112075</v>
      </c>
      <c r="O883" s="815">
        <v>110.69970913261277</v>
      </c>
      <c r="P883" s="772">
        <v>0</v>
      </c>
      <c r="Q883" s="774"/>
      <c r="R883" s="774">
        <v>1440</v>
      </c>
      <c r="S883" s="774"/>
      <c r="T883" s="774"/>
      <c r="U883" s="774"/>
      <c r="V883" s="774"/>
    </row>
    <row r="884" spans="1:22" hidden="1">
      <c r="A884" s="786">
        <v>884</v>
      </c>
      <c r="B884" s="767"/>
      <c r="C884" s="767"/>
      <c r="D884" s="767"/>
      <c r="E884" s="767" t="s">
        <v>1131</v>
      </c>
      <c r="F884" s="806" t="s">
        <v>575</v>
      </c>
      <c r="G884" s="811"/>
      <c r="H884" s="831">
        <v>0</v>
      </c>
      <c r="I884" s="831">
        <v>0</v>
      </c>
      <c r="J884" s="831">
        <v>0</v>
      </c>
      <c r="K884" s="831">
        <v>0</v>
      </c>
      <c r="L884" s="831">
        <v>0</v>
      </c>
      <c r="M884" s="831">
        <v>0</v>
      </c>
      <c r="N884" s="831">
        <v>0</v>
      </c>
      <c r="O884" s="831">
        <v>0</v>
      </c>
      <c r="P884" s="772">
        <v>0</v>
      </c>
      <c r="Q884" s="774"/>
      <c r="R884" s="774"/>
      <c r="S884" s="774"/>
      <c r="T884" s="774"/>
      <c r="U884" s="774"/>
      <c r="V884" s="774"/>
    </row>
    <row r="885" spans="1:22" hidden="1">
      <c r="A885" s="786">
        <v>885</v>
      </c>
      <c r="B885" s="767"/>
      <c r="C885" s="767"/>
      <c r="D885" s="767"/>
      <c r="E885" s="767"/>
      <c r="F885" s="806"/>
      <c r="G885" s="778"/>
      <c r="H885" s="788">
        <v>95169.481913308729</v>
      </c>
      <c r="I885" s="788">
        <v>42468.54196600381</v>
      </c>
      <c r="J885" s="788">
        <v>12632.082222459761</v>
      </c>
      <c r="K885" s="788">
        <v>20224.663303311925</v>
      </c>
      <c r="L885" s="788">
        <v>8189.3436338833826</v>
      </c>
      <c r="M885" s="788">
        <v>8035.1230004051486</v>
      </c>
      <c r="N885" s="788">
        <v>3509.028078112075</v>
      </c>
      <c r="O885" s="788">
        <v>110.69970913261277</v>
      </c>
      <c r="P885" s="772">
        <v>0</v>
      </c>
      <c r="Q885" s="774"/>
      <c r="R885" s="774"/>
      <c r="S885" s="774"/>
      <c r="T885" s="774"/>
      <c r="U885" s="774"/>
      <c r="V885" s="774"/>
    </row>
    <row r="886" spans="1:22" hidden="1">
      <c r="A886" s="786">
        <v>886</v>
      </c>
      <c r="B886" s="767"/>
      <c r="C886" s="767" t="s">
        <v>1143</v>
      </c>
      <c r="D886" s="767" t="s">
        <v>1144</v>
      </c>
      <c r="E886" s="767"/>
      <c r="F886" s="806"/>
      <c r="G886" s="778"/>
      <c r="H886" s="810"/>
      <c r="I886" s="810"/>
      <c r="J886" s="810"/>
      <c r="K886" s="810"/>
      <c r="L886" s="810"/>
      <c r="M886" s="810"/>
      <c r="N886" s="810"/>
      <c r="O886" s="810"/>
      <c r="P886" s="772"/>
      <c r="R886" s="774"/>
    </row>
    <row r="887" spans="1:22" hidden="1">
      <c r="A887" s="786">
        <v>887</v>
      </c>
      <c r="B887" s="767"/>
      <c r="E887" s="767" t="s">
        <v>210</v>
      </c>
      <c r="F887" s="806" t="s">
        <v>1396</v>
      </c>
      <c r="G887" s="778"/>
      <c r="H887" s="815">
        <v>66147.521128439505</v>
      </c>
      <c r="I887" s="815">
        <v>29517.747922061702</v>
      </c>
      <c r="J887" s="815">
        <v>8779.9251283881658</v>
      </c>
      <c r="K887" s="815">
        <v>14057.146432614112</v>
      </c>
      <c r="L887" s="815">
        <v>5692.0009456791995</v>
      </c>
      <c r="M887" s="815">
        <v>5584.8099385795149</v>
      </c>
      <c r="N887" s="815">
        <v>2438.948960010538</v>
      </c>
      <c r="O887" s="815">
        <v>76.941801106281062</v>
      </c>
      <c r="P887" s="772">
        <v>0</v>
      </c>
      <c r="Q887" s="774"/>
      <c r="R887" s="774">
        <v>1446</v>
      </c>
      <c r="S887" s="774"/>
      <c r="T887" s="774"/>
      <c r="U887" s="774"/>
      <c r="V887" s="774"/>
    </row>
    <row r="888" spans="1:22" hidden="1">
      <c r="A888" s="786">
        <v>888</v>
      </c>
      <c r="B888" s="767"/>
      <c r="C888" s="767"/>
      <c r="D888" s="767"/>
      <c r="E888" s="767" t="s">
        <v>1131</v>
      </c>
      <c r="F888" s="806" t="s">
        <v>575</v>
      </c>
      <c r="G888" s="811"/>
      <c r="H888" s="831">
        <v>0</v>
      </c>
      <c r="I888" s="831">
        <v>0</v>
      </c>
      <c r="J888" s="831">
        <v>0</v>
      </c>
      <c r="K888" s="831">
        <v>0</v>
      </c>
      <c r="L888" s="831">
        <v>0</v>
      </c>
      <c r="M888" s="831">
        <v>0</v>
      </c>
      <c r="N888" s="831">
        <v>0</v>
      </c>
      <c r="O888" s="831">
        <v>0</v>
      </c>
      <c r="P888" s="772">
        <v>0</v>
      </c>
      <c r="Q888" s="774"/>
      <c r="R888" s="774"/>
      <c r="S888" s="774"/>
      <c r="T888" s="774"/>
      <c r="U888" s="774"/>
      <c r="V888" s="774"/>
    </row>
    <row r="889" spans="1:22" hidden="1">
      <c r="A889" s="786">
        <v>889</v>
      </c>
      <c r="B889" s="767"/>
      <c r="C889" s="767"/>
      <c r="D889" s="767"/>
      <c r="E889" s="767"/>
      <c r="F889" s="806"/>
      <c r="G889" s="778"/>
      <c r="H889" s="788">
        <v>66147.521128439519</v>
      </c>
      <c r="I889" s="788">
        <v>29517.747922061702</v>
      </c>
      <c r="J889" s="788">
        <v>8779.9251283881658</v>
      </c>
      <c r="K889" s="788">
        <v>14057.146432614112</v>
      </c>
      <c r="L889" s="788">
        <v>5692.0009456791995</v>
      </c>
      <c r="M889" s="788">
        <v>5584.8099385795149</v>
      </c>
      <c r="N889" s="788">
        <v>2438.948960010538</v>
      </c>
      <c r="O889" s="788">
        <v>76.941801106281062</v>
      </c>
      <c r="P889" s="772">
        <v>0</v>
      </c>
      <c r="Q889" s="774"/>
      <c r="R889" s="774"/>
      <c r="S889" s="774"/>
      <c r="T889" s="774"/>
      <c r="U889" s="774"/>
      <c r="V889" s="774"/>
    </row>
    <row r="890" spans="1:22" hidden="1">
      <c r="A890" s="786">
        <v>890</v>
      </c>
      <c r="B890" s="767"/>
      <c r="C890" s="767" t="s">
        <v>1145</v>
      </c>
      <c r="D890" s="767" t="s">
        <v>1146</v>
      </c>
      <c r="E890" s="767"/>
      <c r="F890" s="806"/>
      <c r="G890" s="778"/>
      <c r="H890" s="810"/>
      <c r="I890" s="810"/>
      <c r="J890" s="810"/>
      <c r="K890" s="810"/>
      <c r="L890" s="810"/>
      <c r="M890" s="810"/>
      <c r="N890" s="810"/>
      <c r="O890" s="810"/>
      <c r="P890" s="772"/>
      <c r="R890" s="774"/>
    </row>
    <row r="891" spans="1:22" hidden="1">
      <c r="A891" s="786">
        <v>891</v>
      </c>
      <c r="B891" s="767"/>
      <c r="E891" s="767" t="s">
        <v>210</v>
      </c>
      <c r="F891" s="806" t="s">
        <v>1396</v>
      </c>
      <c r="G891" s="778"/>
      <c r="H891" s="815">
        <v>1524624.5217733565</v>
      </c>
      <c r="I891" s="815">
        <v>680350.24656654871</v>
      </c>
      <c r="J891" s="815">
        <v>202367.20774589179</v>
      </c>
      <c r="K891" s="815">
        <v>324001.10830620234</v>
      </c>
      <c r="L891" s="815">
        <v>131194.09573775466</v>
      </c>
      <c r="M891" s="815">
        <v>128723.46592200639</v>
      </c>
      <c r="N891" s="815">
        <v>56214.977195675521</v>
      </c>
      <c r="O891" s="815">
        <v>1773.4202992772359</v>
      </c>
      <c r="P891" s="772">
        <v>0</v>
      </c>
      <c r="Q891" s="774"/>
      <c r="R891" s="774">
        <v>1452</v>
      </c>
      <c r="S891" s="774"/>
      <c r="T891" s="774"/>
      <c r="U891" s="774"/>
      <c r="V891" s="774"/>
    </row>
    <row r="892" spans="1:22" hidden="1">
      <c r="A892" s="786">
        <v>892</v>
      </c>
      <c r="B892" s="767"/>
      <c r="C892" s="767"/>
      <c r="D892" s="767"/>
      <c r="E892" s="767" t="s">
        <v>1131</v>
      </c>
      <c r="F892" s="806" t="s">
        <v>575</v>
      </c>
      <c r="G892" s="811"/>
      <c r="H892" s="831">
        <v>0</v>
      </c>
      <c r="I892" s="831">
        <v>0</v>
      </c>
      <c r="J892" s="831">
        <v>0</v>
      </c>
      <c r="K892" s="831">
        <v>0</v>
      </c>
      <c r="L892" s="831">
        <v>0</v>
      </c>
      <c r="M892" s="831">
        <v>0</v>
      </c>
      <c r="N892" s="831">
        <v>0</v>
      </c>
      <c r="O892" s="831">
        <v>0</v>
      </c>
      <c r="P892" s="772">
        <v>0</v>
      </c>
      <c r="Q892" s="774"/>
      <c r="R892" s="774"/>
      <c r="S892" s="774"/>
      <c r="T892" s="774"/>
      <c r="U892" s="774"/>
      <c r="V892" s="774"/>
    </row>
    <row r="893" spans="1:22" hidden="1">
      <c r="A893" s="786">
        <v>893</v>
      </c>
      <c r="B893" s="767"/>
      <c r="C893" s="767"/>
      <c r="D893" s="767"/>
      <c r="E893" s="767"/>
      <c r="F893" s="806"/>
      <c r="G893" s="778"/>
      <c r="H893" s="788">
        <v>1524624.5217733565</v>
      </c>
      <c r="I893" s="788">
        <v>680350.24656654871</v>
      </c>
      <c r="J893" s="788">
        <v>202367.20774589179</v>
      </c>
      <c r="K893" s="788">
        <v>324001.10830620234</v>
      </c>
      <c r="L893" s="788">
        <v>131194.09573775466</v>
      </c>
      <c r="M893" s="788">
        <v>128723.46592200639</v>
      </c>
      <c r="N893" s="788">
        <v>56214.977195675521</v>
      </c>
      <c r="O893" s="788">
        <v>1773.4202992772359</v>
      </c>
      <c r="P893" s="772">
        <v>0</v>
      </c>
      <c r="Q893" s="774"/>
      <c r="R893" s="774"/>
      <c r="S893" s="774"/>
      <c r="T893" s="774"/>
      <c r="U893" s="774"/>
      <c r="V893" s="774"/>
    </row>
    <row r="894" spans="1:22" hidden="1">
      <c r="A894" s="786">
        <v>894</v>
      </c>
      <c r="B894" s="767"/>
      <c r="C894" s="767"/>
      <c r="D894" s="767"/>
      <c r="E894" s="767"/>
      <c r="F894" s="806"/>
      <c r="G894" s="778"/>
      <c r="H894" s="788"/>
      <c r="I894" s="788"/>
      <c r="J894" s="788"/>
      <c r="K894" s="788"/>
      <c r="L894" s="788"/>
      <c r="M894" s="788"/>
      <c r="N894" s="788"/>
      <c r="O894" s="788"/>
      <c r="P894" s="772"/>
      <c r="R894" s="774"/>
    </row>
    <row r="895" spans="1:22" hidden="1">
      <c r="A895" s="786">
        <v>895</v>
      </c>
      <c r="B895" s="767"/>
      <c r="C895" s="767" t="s">
        <v>1147</v>
      </c>
      <c r="D895" s="767" t="s">
        <v>1148</v>
      </c>
      <c r="E895" s="767"/>
      <c r="F895" s="806" t="s">
        <v>1392</v>
      </c>
      <c r="G895" s="778"/>
      <c r="H895" s="815">
        <v>8470059.1607269756</v>
      </c>
      <c r="I895" s="815">
        <v>3779689.199627405</v>
      </c>
      <c r="J895" s="815">
        <v>1124252.0353831972</v>
      </c>
      <c r="K895" s="815">
        <v>1799989.7786653847</v>
      </c>
      <c r="L895" s="815">
        <v>728849.45543467382</v>
      </c>
      <c r="M895" s="815">
        <v>715123.859128966</v>
      </c>
      <c r="N895" s="815">
        <v>312302.58713959664</v>
      </c>
      <c r="O895" s="815">
        <v>9852.2453477534164</v>
      </c>
      <c r="P895" s="772">
        <v>0</v>
      </c>
      <c r="Q895" s="774"/>
      <c r="R895" s="774">
        <v>1457</v>
      </c>
      <c r="S895" s="774"/>
      <c r="T895" s="774"/>
      <c r="U895" s="774"/>
      <c r="V895" s="774"/>
    </row>
    <row r="896" spans="1:22" hidden="1">
      <c r="A896" s="786">
        <v>896</v>
      </c>
      <c r="B896" s="767"/>
      <c r="C896" s="767" t="s">
        <v>1149</v>
      </c>
      <c r="D896" s="767" t="s">
        <v>1150</v>
      </c>
      <c r="E896" s="767"/>
      <c r="F896" s="806" t="s">
        <v>1392</v>
      </c>
      <c r="G896" s="778"/>
      <c r="H896" s="828">
        <v>0</v>
      </c>
      <c r="I896" s="828">
        <v>0</v>
      </c>
      <c r="J896" s="828">
        <v>0</v>
      </c>
      <c r="K896" s="828">
        <v>0</v>
      </c>
      <c r="L896" s="828">
        <v>0</v>
      </c>
      <c r="M896" s="828">
        <v>0</v>
      </c>
      <c r="N896" s="828">
        <v>0</v>
      </c>
      <c r="O896" s="828">
        <v>0</v>
      </c>
      <c r="P896" s="772">
        <v>0</v>
      </c>
      <c r="Q896" s="774"/>
      <c r="R896" s="774">
        <v>1461</v>
      </c>
      <c r="S896" s="774"/>
      <c r="T896" s="774"/>
      <c r="U896" s="774"/>
      <c r="V896" s="774"/>
    </row>
    <row r="897" spans="1:22" hidden="1">
      <c r="A897" s="786">
        <v>897</v>
      </c>
      <c r="B897" s="767"/>
      <c r="C897" s="767"/>
      <c r="D897" s="767"/>
      <c r="E897" s="767"/>
      <c r="F897" s="806"/>
      <c r="G897" s="778"/>
      <c r="H897" s="788"/>
      <c r="I897" s="788"/>
      <c r="J897" s="788"/>
      <c r="K897" s="788"/>
      <c r="L897" s="788"/>
      <c r="M897" s="788"/>
      <c r="N897" s="788"/>
      <c r="O897" s="788"/>
      <c r="P897" s="772"/>
      <c r="R897" s="774"/>
    </row>
    <row r="898" spans="1:22" ht="13.5" thickTop="1">
      <c r="A898" s="786">
        <v>898</v>
      </c>
      <c r="B898" s="767"/>
      <c r="C898" s="767" t="s">
        <v>1151</v>
      </c>
      <c r="D898" s="767"/>
      <c r="E898" s="767"/>
      <c r="F898" s="806"/>
      <c r="G898" s="778"/>
      <c r="H898" s="815">
        <v>592388088.5827055</v>
      </c>
      <c r="I898" s="815">
        <v>264347960.022017</v>
      </c>
      <c r="J898" s="815">
        <v>78629145.521659702</v>
      </c>
      <c r="K898" s="815">
        <v>125889617.08745319</v>
      </c>
      <c r="L898" s="815">
        <v>50975055.495649502</v>
      </c>
      <c r="M898" s="815">
        <v>50015100.009400204</v>
      </c>
      <c r="N898" s="815">
        <v>21842153.53688046</v>
      </c>
      <c r="O898" s="815">
        <v>689056.90964531247</v>
      </c>
      <c r="P898" s="772">
        <v>0</v>
      </c>
      <c r="Q898" s="774"/>
      <c r="R898" s="774"/>
      <c r="S898" s="774"/>
      <c r="T898" s="774"/>
      <c r="U898" s="774"/>
      <c r="V898" s="774"/>
    </row>
    <row r="899" spans="1:22" hidden="1">
      <c r="A899" s="786">
        <v>899</v>
      </c>
      <c r="B899" s="767"/>
      <c r="C899" s="781" t="s">
        <v>714</v>
      </c>
      <c r="D899" s="767"/>
      <c r="E899" s="767"/>
      <c r="F899" s="806"/>
      <c r="G899" s="778"/>
      <c r="H899" s="817" t="s">
        <v>1152</v>
      </c>
      <c r="I899" s="817"/>
      <c r="J899" s="817"/>
      <c r="K899" s="817"/>
      <c r="L899" s="817"/>
      <c r="M899" s="817"/>
      <c r="N899" s="817"/>
      <c r="O899" s="817"/>
      <c r="P899" s="772"/>
      <c r="R899" s="774"/>
    </row>
    <row r="900" spans="1:22" hidden="1">
      <c r="A900" s="786">
        <v>900</v>
      </c>
      <c r="B900" s="767"/>
      <c r="C900" s="777" t="s">
        <v>575</v>
      </c>
      <c r="D900" s="767"/>
      <c r="E900" s="777" t="s">
        <v>576</v>
      </c>
      <c r="F900" s="806" t="s">
        <v>577</v>
      </c>
      <c r="G900" s="778"/>
      <c r="H900" s="777" t="s">
        <v>578</v>
      </c>
      <c r="I900" s="777" t="s">
        <v>579</v>
      </c>
      <c r="J900" s="777" t="s">
        <v>580</v>
      </c>
      <c r="K900" s="777" t="s">
        <v>581</v>
      </c>
      <c r="L900" s="777" t="s">
        <v>582</v>
      </c>
      <c r="M900" s="777" t="s">
        <v>583</v>
      </c>
      <c r="N900" s="777" t="s">
        <v>584</v>
      </c>
      <c r="O900" s="777" t="s">
        <v>585</v>
      </c>
      <c r="P900" s="772"/>
      <c r="R900" s="774"/>
    </row>
    <row r="901" spans="1:22" ht="38.25" hidden="1">
      <c r="A901" s="786">
        <v>901</v>
      </c>
      <c r="B901" s="767"/>
      <c r="C901" s="797" t="s">
        <v>656</v>
      </c>
      <c r="D901" s="781"/>
      <c r="E901" s="782" t="s">
        <v>587</v>
      </c>
      <c r="F901" s="806" t="s">
        <v>1391</v>
      </c>
      <c r="G901" s="783"/>
      <c r="H901" s="829" t="s">
        <v>588</v>
      </c>
      <c r="I901" s="829" t="s">
        <v>589</v>
      </c>
      <c r="J901" s="829" t="s">
        <v>590</v>
      </c>
      <c r="K901" s="829" t="s">
        <v>591</v>
      </c>
      <c r="L901" s="829" t="s">
        <v>592</v>
      </c>
      <c r="M901" s="829" t="s">
        <v>593</v>
      </c>
      <c r="N901" s="829" t="s">
        <v>594</v>
      </c>
      <c r="O901" s="829" t="s">
        <v>595</v>
      </c>
      <c r="P901" s="772"/>
      <c r="R901" s="774"/>
    </row>
    <row r="902" spans="1:22" hidden="1">
      <c r="A902" s="786">
        <v>902</v>
      </c>
      <c r="B902" s="767"/>
      <c r="C902" s="767"/>
      <c r="D902" s="767"/>
      <c r="E902" s="767"/>
      <c r="F902" s="806"/>
      <c r="H902" s="817"/>
      <c r="I902" s="817"/>
      <c r="J902" s="817"/>
      <c r="K902" s="817"/>
      <c r="L902" s="819"/>
      <c r="M902" s="817"/>
      <c r="N902" s="817"/>
      <c r="O902" s="817"/>
      <c r="P902" s="772"/>
      <c r="R902" s="774"/>
    </row>
    <row r="903" spans="1:22" hidden="1">
      <c r="A903" s="786">
        <v>903</v>
      </c>
      <c r="B903" s="767"/>
      <c r="C903" s="767" t="s">
        <v>1153</v>
      </c>
      <c r="D903" s="775" t="s">
        <v>1060</v>
      </c>
      <c r="E903" s="767"/>
      <c r="F903" s="806"/>
      <c r="G903" s="778"/>
      <c r="H903" s="788"/>
      <c r="I903" s="788"/>
      <c r="J903" s="788"/>
      <c r="K903" s="788"/>
      <c r="L903" s="788"/>
      <c r="M903" s="788"/>
      <c r="N903" s="788"/>
      <c r="O903" s="788"/>
      <c r="P903" s="772"/>
      <c r="R903" s="774"/>
    </row>
    <row r="904" spans="1:22" hidden="1">
      <c r="A904" s="786">
        <v>904</v>
      </c>
      <c r="B904" s="767"/>
      <c r="C904" s="767"/>
      <c r="D904" s="767"/>
      <c r="E904" s="767" t="s">
        <v>1154</v>
      </c>
      <c r="F904" s="806" t="s">
        <v>1429</v>
      </c>
      <c r="G904" s="792"/>
      <c r="H904" s="815">
        <v>2118954.9007960064</v>
      </c>
      <c r="I904" s="815">
        <v>998069.69140466128</v>
      </c>
      <c r="J904" s="815">
        <v>304808.08269509324</v>
      </c>
      <c r="K904" s="815">
        <v>479641.24702906865</v>
      </c>
      <c r="L904" s="815">
        <v>203936.35189969305</v>
      </c>
      <c r="M904" s="815">
        <v>0</v>
      </c>
      <c r="N904" s="815">
        <v>128314.2658676759</v>
      </c>
      <c r="O904" s="815">
        <v>4185.2618998148109</v>
      </c>
      <c r="P904" s="772">
        <v>0</v>
      </c>
      <c r="Q904" s="774"/>
      <c r="R904" s="774">
        <v>1467</v>
      </c>
      <c r="S904" s="774"/>
      <c r="T904" s="774"/>
      <c r="U904" s="774"/>
      <c r="V904" s="774"/>
    </row>
    <row r="905" spans="1:22" hidden="1">
      <c r="A905" s="786">
        <v>905</v>
      </c>
      <c r="B905" s="767"/>
      <c r="C905" s="767"/>
      <c r="D905" s="767"/>
      <c r="E905" s="767" t="s">
        <v>1155</v>
      </c>
      <c r="F905" s="806" t="s">
        <v>575</v>
      </c>
      <c r="G905" s="811"/>
      <c r="H905" s="831">
        <v>0</v>
      </c>
      <c r="I905" s="809">
        <v>0</v>
      </c>
      <c r="J905" s="809">
        <v>0</v>
      </c>
      <c r="K905" s="809">
        <v>0</v>
      </c>
      <c r="L905" s="809">
        <v>0</v>
      </c>
      <c r="M905" s="809">
        <v>0</v>
      </c>
      <c r="N905" s="809">
        <v>0</v>
      </c>
      <c r="O905" s="809">
        <v>0</v>
      </c>
      <c r="P905" s="772">
        <v>0</v>
      </c>
      <c r="Q905" s="774"/>
      <c r="R905" s="774"/>
      <c r="S905" s="774"/>
      <c r="T905" s="774"/>
      <c r="U905" s="774"/>
      <c r="V905" s="774"/>
    </row>
    <row r="906" spans="1:22" hidden="1">
      <c r="A906" s="786">
        <v>906</v>
      </c>
      <c r="B906" s="767"/>
      <c r="C906" s="767"/>
      <c r="D906" s="767"/>
      <c r="E906" s="767"/>
      <c r="F906" s="806"/>
      <c r="G906" s="778"/>
      <c r="H906" s="788">
        <v>2118954.9007960074</v>
      </c>
      <c r="I906" s="788">
        <v>998069.69140466128</v>
      </c>
      <c r="J906" s="788">
        <v>304808.08269509324</v>
      </c>
      <c r="K906" s="788">
        <v>479641.24702906865</v>
      </c>
      <c r="L906" s="788">
        <v>203936.35189969305</v>
      </c>
      <c r="M906" s="788">
        <v>0</v>
      </c>
      <c r="N906" s="788">
        <v>128314.2658676759</v>
      </c>
      <c r="O906" s="788">
        <v>4185.2618998148109</v>
      </c>
      <c r="P906" s="772">
        <v>0</v>
      </c>
      <c r="Q906" s="774"/>
      <c r="R906" s="774"/>
      <c r="S906" s="774"/>
      <c r="T906" s="774"/>
      <c r="U906" s="774"/>
      <c r="V906" s="774"/>
    </row>
    <row r="907" spans="1:22" hidden="1">
      <c r="A907" s="786">
        <v>907</v>
      </c>
      <c r="B907" s="767"/>
      <c r="C907" s="767" t="s">
        <v>1156</v>
      </c>
      <c r="D907" s="775" t="s">
        <v>1063</v>
      </c>
      <c r="E907" s="767"/>
      <c r="F907" s="806"/>
      <c r="G907" s="778"/>
      <c r="H907" s="788"/>
      <c r="I907" s="788"/>
      <c r="J907" s="788"/>
      <c r="K907" s="788"/>
      <c r="L907" s="788"/>
      <c r="M907" s="788"/>
      <c r="N907" s="788"/>
      <c r="O907" s="788"/>
      <c r="P907" s="772"/>
      <c r="R907" s="774"/>
    </row>
    <row r="908" spans="1:22" hidden="1">
      <c r="A908" s="786">
        <v>908</v>
      </c>
      <c r="B908" s="767"/>
      <c r="C908" s="767"/>
      <c r="D908" s="767"/>
      <c r="E908" s="767" t="s">
        <v>1154</v>
      </c>
      <c r="F908" s="806" t="s">
        <v>1398</v>
      </c>
      <c r="G908" s="792"/>
      <c r="H908" s="815">
        <v>6594538.2045789845</v>
      </c>
      <c r="I908" s="815">
        <v>2819574.9760683775</v>
      </c>
      <c r="J908" s="815">
        <v>861091.41462949722</v>
      </c>
      <c r="K908" s="815">
        <v>1355000.025809898</v>
      </c>
      <c r="L908" s="815">
        <v>576125.93537209556</v>
      </c>
      <c r="M908" s="815">
        <v>608430.95660372823</v>
      </c>
      <c r="N908" s="815">
        <v>362491.41340411414</v>
      </c>
      <c r="O908" s="815">
        <v>11823.482691276045</v>
      </c>
      <c r="P908" s="772">
        <v>0</v>
      </c>
      <c r="Q908" s="774"/>
      <c r="R908" s="774">
        <v>1473</v>
      </c>
      <c r="S908" s="774"/>
      <c r="T908" s="774"/>
      <c r="U908" s="774"/>
      <c r="V908" s="774"/>
    </row>
    <row r="909" spans="1:22" hidden="1">
      <c r="A909" s="786">
        <v>909</v>
      </c>
      <c r="B909" s="767"/>
      <c r="C909" s="767"/>
      <c r="D909" s="767"/>
      <c r="E909" s="767" t="s">
        <v>1155</v>
      </c>
      <c r="F909" s="806" t="s">
        <v>575</v>
      </c>
      <c r="G909" s="811"/>
      <c r="H909" s="831">
        <v>0</v>
      </c>
      <c r="I909" s="809">
        <v>0</v>
      </c>
      <c r="J909" s="809">
        <v>0</v>
      </c>
      <c r="K909" s="809">
        <v>0</v>
      </c>
      <c r="L909" s="809">
        <v>0</v>
      </c>
      <c r="M909" s="809">
        <v>0</v>
      </c>
      <c r="N909" s="809">
        <v>0</v>
      </c>
      <c r="O909" s="809">
        <v>0</v>
      </c>
      <c r="P909" s="772">
        <v>0</v>
      </c>
      <c r="Q909" s="774"/>
      <c r="R909" s="774"/>
      <c r="S909" s="774"/>
      <c r="T909" s="774"/>
      <c r="U909" s="774"/>
      <c r="V909" s="774"/>
    </row>
    <row r="910" spans="1:22" hidden="1">
      <c r="A910" s="786">
        <v>910</v>
      </c>
      <c r="B910" s="767"/>
      <c r="C910" s="767"/>
      <c r="D910" s="767"/>
      <c r="E910" s="767"/>
      <c r="F910" s="806"/>
      <c r="G910" s="778"/>
      <c r="H910" s="788">
        <v>6594538.2045789873</v>
      </c>
      <c r="I910" s="788">
        <v>2819574.9760683775</v>
      </c>
      <c r="J910" s="788">
        <v>861091.41462949722</v>
      </c>
      <c r="K910" s="788">
        <v>1355000.025809898</v>
      </c>
      <c r="L910" s="788">
        <v>576125.93537209556</v>
      </c>
      <c r="M910" s="788">
        <v>608430.95660372823</v>
      </c>
      <c r="N910" s="788">
        <v>362491.41340411414</v>
      </c>
      <c r="O910" s="788">
        <v>11823.482691276045</v>
      </c>
      <c r="P910" s="772">
        <v>0</v>
      </c>
      <c r="Q910" s="774"/>
      <c r="R910" s="774"/>
      <c r="S910" s="774"/>
      <c r="T910" s="774"/>
      <c r="U910" s="774"/>
      <c r="V910" s="774"/>
    </row>
    <row r="911" spans="1:22" hidden="1">
      <c r="A911" s="786">
        <v>911</v>
      </c>
      <c r="B911" s="767"/>
      <c r="C911" s="767" t="s">
        <v>1157</v>
      </c>
      <c r="D911" s="775" t="s">
        <v>1134</v>
      </c>
      <c r="E911" s="767"/>
      <c r="F911" s="806"/>
      <c r="G911" s="778"/>
      <c r="H911" s="788"/>
      <c r="I911" s="788"/>
      <c r="J911" s="788"/>
      <c r="K911" s="788"/>
      <c r="L911" s="788"/>
      <c r="M911" s="788"/>
      <c r="N911" s="788"/>
      <c r="O911" s="788"/>
      <c r="P911" s="772"/>
      <c r="R911" s="774"/>
    </row>
    <row r="912" spans="1:22" hidden="1">
      <c r="A912" s="786">
        <v>912</v>
      </c>
      <c r="B912" s="767"/>
      <c r="C912" s="767"/>
      <c r="D912" s="767"/>
      <c r="E912" s="767" t="s">
        <v>1154</v>
      </c>
      <c r="F912" s="806" t="s">
        <v>1429</v>
      </c>
      <c r="G912" s="792"/>
      <c r="H912" s="815">
        <v>75171245.303331628</v>
      </c>
      <c r="I912" s="815">
        <v>35407144.141772896</v>
      </c>
      <c r="J912" s="815">
        <v>10813256.641801873</v>
      </c>
      <c r="K912" s="815">
        <v>17015572.074928775</v>
      </c>
      <c r="L912" s="815">
        <v>7234769.1445247205</v>
      </c>
      <c r="M912" s="815">
        <v>0</v>
      </c>
      <c r="N912" s="815">
        <v>4552028.5268141069</v>
      </c>
      <c r="O912" s="815">
        <v>148474.77348927059</v>
      </c>
      <c r="P912" s="772">
        <v>0</v>
      </c>
      <c r="Q912" s="774"/>
      <c r="R912" s="774">
        <v>1479</v>
      </c>
      <c r="S912" s="774"/>
      <c r="T912" s="774"/>
      <c r="U912" s="774"/>
      <c r="V912" s="774"/>
    </row>
    <row r="913" spans="1:22" hidden="1">
      <c r="A913" s="786">
        <v>913</v>
      </c>
      <c r="B913" s="767"/>
      <c r="C913" s="767"/>
      <c r="D913" s="767"/>
      <c r="E913" s="767" t="s">
        <v>1155</v>
      </c>
      <c r="F913" s="806" t="s">
        <v>575</v>
      </c>
      <c r="G913" s="811"/>
      <c r="H913" s="831">
        <v>5242060.5100000007</v>
      </c>
      <c r="I913" s="809">
        <v>0</v>
      </c>
      <c r="J913" s="809">
        <v>0</v>
      </c>
      <c r="K913" s="809">
        <v>0</v>
      </c>
      <c r="L913" s="809">
        <v>0</v>
      </c>
      <c r="M913" s="809">
        <v>5242060.5100000007</v>
      </c>
      <c r="N913" s="809">
        <v>0</v>
      </c>
      <c r="O913" s="809">
        <v>0</v>
      </c>
      <c r="P913" s="772">
        <v>0</v>
      </c>
      <c r="Q913" s="774"/>
      <c r="R913" s="774"/>
      <c r="S913" s="774"/>
      <c r="T913" s="774"/>
      <c r="U913" s="774"/>
      <c r="V913" s="774"/>
    </row>
    <row r="914" spans="1:22" hidden="1">
      <c r="A914" s="786">
        <v>914</v>
      </c>
      <c r="B914" s="767"/>
      <c r="F914" s="806"/>
      <c r="G914" s="778"/>
      <c r="H914" s="788">
        <v>80413305.813331634</v>
      </c>
      <c r="I914" s="788">
        <v>35407144.141772896</v>
      </c>
      <c r="J914" s="788">
        <v>10813256.641801873</v>
      </c>
      <c r="K914" s="788">
        <v>17015572.074928775</v>
      </c>
      <c r="L914" s="788">
        <v>7234769.1445247205</v>
      </c>
      <c r="M914" s="788">
        <v>5242060.5100000007</v>
      </c>
      <c r="N914" s="788">
        <v>4552028.5268141069</v>
      </c>
      <c r="O914" s="788">
        <v>148474.77348927059</v>
      </c>
      <c r="P914" s="772">
        <v>0</v>
      </c>
      <c r="Q914" s="774"/>
      <c r="R914" s="774"/>
      <c r="S914" s="774"/>
      <c r="T914" s="774"/>
      <c r="U914" s="774"/>
      <c r="V914" s="774"/>
    </row>
    <row r="915" spans="1:22" hidden="1">
      <c r="A915" s="786">
        <v>915</v>
      </c>
      <c r="B915" s="767"/>
      <c r="C915" s="767" t="s">
        <v>1158</v>
      </c>
      <c r="D915" s="775" t="s">
        <v>1159</v>
      </c>
      <c r="E915" s="767"/>
      <c r="F915" s="806"/>
      <c r="G915" s="778"/>
      <c r="H915" s="788"/>
      <c r="I915" s="788"/>
      <c r="J915" s="788"/>
      <c r="K915" s="788"/>
      <c r="L915" s="788"/>
      <c r="M915" s="788"/>
      <c r="N915" s="788"/>
      <c r="O915" s="788"/>
      <c r="P915" s="772"/>
      <c r="R915" s="774"/>
    </row>
    <row r="916" spans="1:22" hidden="1">
      <c r="A916" s="786">
        <v>916</v>
      </c>
      <c r="B916" s="767"/>
      <c r="C916" s="767"/>
      <c r="D916" s="767"/>
      <c r="E916" s="767" t="s">
        <v>1154</v>
      </c>
      <c r="F916" s="806" t="s">
        <v>1429</v>
      </c>
      <c r="G916" s="792"/>
      <c r="H916" s="815">
        <v>114903950.92052886</v>
      </c>
      <c r="I916" s="815">
        <v>54122034.779195674</v>
      </c>
      <c r="J916" s="815">
        <v>16528739.219990248</v>
      </c>
      <c r="K916" s="815">
        <v>26009366.356681656</v>
      </c>
      <c r="L916" s="815">
        <v>11058797.221588416</v>
      </c>
      <c r="M916" s="815">
        <v>0</v>
      </c>
      <c r="N916" s="815">
        <v>6958060.3636842212</v>
      </c>
      <c r="O916" s="815">
        <v>226952.97938867146</v>
      </c>
      <c r="P916" s="772">
        <v>0</v>
      </c>
      <c r="Q916" s="774"/>
      <c r="R916" s="774">
        <v>1485</v>
      </c>
      <c r="S916" s="774"/>
      <c r="T916" s="774"/>
      <c r="U916" s="774"/>
      <c r="V916" s="774"/>
    </row>
    <row r="917" spans="1:22" hidden="1">
      <c r="A917" s="786">
        <v>917</v>
      </c>
      <c r="B917" s="767"/>
      <c r="C917" s="767"/>
      <c r="D917" s="767"/>
      <c r="E917" s="767" t="s">
        <v>1160</v>
      </c>
      <c r="F917" s="806" t="s">
        <v>1430</v>
      </c>
      <c r="G917" s="792"/>
      <c r="H917" s="815">
        <v>543569.61721502536</v>
      </c>
      <c r="I917" s="815">
        <v>469000.64693982201</v>
      </c>
      <c r="J917" s="815">
        <v>73138.257971823434</v>
      </c>
      <c r="K917" s="815">
        <v>0</v>
      </c>
      <c r="L917" s="815">
        <v>0</v>
      </c>
      <c r="M917" s="815">
        <v>0</v>
      </c>
      <c r="N917" s="815">
        <v>0</v>
      </c>
      <c r="O917" s="815">
        <v>1430.7123033799292</v>
      </c>
      <c r="P917" s="772">
        <v>0</v>
      </c>
      <c r="Q917" s="774"/>
      <c r="R917" s="774"/>
      <c r="S917" s="774"/>
      <c r="T917" s="774"/>
      <c r="U917" s="774"/>
      <c r="V917" s="774"/>
    </row>
    <row r="918" spans="1:22" hidden="1">
      <c r="A918" s="786">
        <v>918</v>
      </c>
      <c r="B918" s="767"/>
      <c r="C918" s="767"/>
      <c r="D918" s="767"/>
      <c r="E918" s="767" t="s">
        <v>1155</v>
      </c>
      <c r="F918" s="806" t="s">
        <v>575</v>
      </c>
      <c r="G918" s="811"/>
      <c r="H918" s="831">
        <v>0</v>
      </c>
      <c r="I918" s="809">
        <v>0</v>
      </c>
      <c r="J918" s="809">
        <v>0</v>
      </c>
      <c r="K918" s="809">
        <v>0</v>
      </c>
      <c r="L918" s="809">
        <v>0</v>
      </c>
      <c r="M918" s="809">
        <v>0</v>
      </c>
      <c r="N918" s="809">
        <v>0</v>
      </c>
      <c r="O918" s="809">
        <v>0</v>
      </c>
      <c r="P918" s="772">
        <v>0</v>
      </c>
      <c r="Q918" s="774"/>
      <c r="R918" s="774"/>
      <c r="S918" s="774"/>
      <c r="T918" s="774"/>
      <c r="U918" s="774"/>
      <c r="V918" s="774"/>
    </row>
    <row r="919" spans="1:22" hidden="1">
      <c r="A919" s="786">
        <v>919</v>
      </c>
      <c r="B919" s="767"/>
      <c r="C919" s="767"/>
      <c r="D919" s="767"/>
      <c r="E919" s="767"/>
      <c r="F919" s="806"/>
      <c r="G919" s="792"/>
      <c r="H919" s="788">
        <v>115447520.53774393</v>
      </c>
      <c r="I919" s="788">
        <v>54591035.426135495</v>
      </c>
      <c r="J919" s="788">
        <v>16601877.477962071</v>
      </c>
      <c r="K919" s="788">
        <v>26009366.356681656</v>
      </c>
      <c r="L919" s="788">
        <v>11058797.221588416</v>
      </c>
      <c r="M919" s="788">
        <v>0</v>
      </c>
      <c r="N919" s="788">
        <v>6958060.3636842212</v>
      </c>
      <c r="O919" s="788">
        <v>228383.69169205139</v>
      </c>
      <c r="P919" s="772">
        <v>0</v>
      </c>
      <c r="Q919" s="774"/>
      <c r="R919" s="774"/>
      <c r="S919" s="774"/>
      <c r="T919" s="774"/>
      <c r="U919" s="774"/>
      <c r="V919" s="774"/>
    </row>
    <row r="920" spans="1:22" hidden="1">
      <c r="A920" s="786">
        <v>920</v>
      </c>
      <c r="B920" s="767"/>
      <c r="C920" s="767" t="s">
        <v>1161</v>
      </c>
      <c r="D920" s="775" t="s">
        <v>1140</v>
      </c>
      <c r="E920" s="767"/>
      <c r="F920" s="806"/>
      <c r="G920" s="792"/>
      <c r="H920" s="788"/>
      <c r="I920" s="788"/>
      <c r="J920" s="788"/>
      <c r="K920" s="788"/>
      <c r="L920" s="788"/>
      <c r="M920" s="788"/>
      <c r="N920" s="788"/>
      <c r="O920" s="788"/>
      <c r="P920" s="772"/>
      <c r="R920" s="774"/>
    </row>
    <row r="921" spans="1:22" hidden="1">
      <c r="A921" s="786">
        <v>921</v>
      </c>
      <c r="B921" s="767"/>
      <c r="C921" s="767"/>
      <c r="D921" s="767"/>
      <c r="E921" s="767" t="s">
        <v>1154</v>
      </c>
      <c r="F921" s="806" t="s">
        <v>1429</v>
      </c>
      <c r="G921" s="792"/>
      <c r="H921" s="815">
        <v>52968743.995159522</v>
      </c>
      <c r="I921" s="815">
        <v>24949326.648472577</v>
      </c>
      <c r="J921" s="815">
        <v>7619464.3377575735</v>
      </c>
      <c r="K921" s="815">
        <v>11989870.29589813</v>
      </c>
      <c r="L921" s="815">
        <v>5097915.2085887399</v>
      </c>
      <c r="M921" s="815">
        <v>0</v>
      </c>
      <c r="N921" s="815">
        <v>3207546.0865724576</v>
      </c>
      <c r="O921" s="815">
        <v>104621.41787005772</v>
      </c>
      <c r="P921" s="772">
        <v>0</v>
      </c>
      <c r="Q921" s="774"/>
      <c r="R921" s="774">
        <v>1492</v>
      </c>
      <c r="S921" s="774"/>
      <c r="T921" s="774"/>
      <c r="U921" s="774"/>
      <c r="V921" s="774"/>
    </row>
    <row r="922" spans="1:22" hidden="1">
      <c r="A922" s="786">
        <v>922</v>
      </c>
      <c r="B922" s="767"/>
      <c r="C922" s="767"/>
      <c r="D922" s="767"/>
      <c r="E922" s="767" t="s">
        <v>1160</v>
      </c>
      <c r="F922" s="806" t="s">
        <v>1430</v>
      </c>
      <c r="G922" s="792"/>
      <c r="H922" s="815">
        <v>24709783.268871263</v>
      </c>
      <c r="I922" s="815">
        <v>21320000.183636222</v>
      </c>
      <c r="J922" s="815">
        <v>3324745.2504904233</v>
      </c>
      <c r="K922" s="815">
        <v>0</v>
      </c>
      <c r="L922" s="815">
        <v>0</v>
      </c>
      <c r="M922" s="815">
        <v>0</v>
      </c>
      <c r="N922" s="815">
        <v>0</v>
      </c>
      <c r="O922" s="815">
        <v>65037.83474461719</v>
      </c>
      <c r="P922" s="772">
        <v>0</v>
      </c>
      <c r="Q922" s="774"/>
      <c r="R922" s="774"/>
      <c r="S922" s="774"/>
      <c r="T922" s="774"/>
      <c r="U922" s="774"/>
      <c r="V922" s="774"/>
    </row>
    <row r="923" spans="1:22" hidden="1">
      <c r="A923" s="786">
        <v>923</v>
      </c>
      <c r="B923" s="767"/>
      <c r="C923" s="767"/>
      <c r="D923" s="767"/>
      <c r="E923" s="767" t="s">
        <v>1155</v>
      </c>
      <c r="F923" s="806" t="s">
        <v>575</v>
      </c>
      <c r="G923" s="811"/>
      <c r="H923" s="831">
        <v>0</v>
      </c>
      <c r="I923" s="809">
        <v>0</v>
      </c>
      <c r="J923" s="809">
        <v>0</v>
      </c>
      <c r="K923" s="809">
        <v>0</v>
      </c>
      <c r="L923" s="809">
        <v>0</v>
      </c>
      <c r="M923" s="809">
        <v>0</v>
      </c>
      <c r="N923" s="809">
        <v>0</v>
      </c>
      <c r="O923" s="809">
        <v>0</v>
      </c>
      <c r="P923" s="772">
        <v>0</v>
      </c>
      <c r="Q923" s="774"/>
      <c r="R923" s="774"/>
      <c r="S923" s="774"/>
      <c r="T923" s="774"/>
      <c r="U923" s="774"/>
      <c r="V923" s="774"/>
    </row>
    <row r="924" spans="1:22" hidden="1">
      <c r="A924" s="786">
        <v>924</v>
      </c>
      <c r="B924" s="767"/>
      <c r="C924" s="767"/>
      <c r="D924" s="767"/>
      <c r="E924" s="767"/>
      <c r="F924" s="806"/>
      <c r="G924" s="792"/>
      <c r="H924" s="788">
        <v>77678527.264030784</v>
      </c>
      <c r="I924" s="788">
        <v>46269326.832108796</v>
      </c>
      <c r="J924" s="788">
        <v>10944209.588247996</v>
      </c>
      <c r="K924" s="788">
        <v>11989870.29589813</v>
      </c>
      <c r="L924" s="788">
        <v>5097915.2085887399</v>
      </c>
      <c r="M924" s="788">
        <v>0</v>
      </c>
      <c r="N924" s="788">
        <v>3207546.0865724576</v>
      </c>
      <c r="O924" s="788">
        <v>169659.25261467492</v>
      </c>
      <c r="P924" s="772">
        <v>0</v>
      </c>
      <c r="Q924" s="774"/>
      <c r="R924" s="774"/>
      <c r="S924" s="774"/>
      <c r="T924" s="774"/>
      <c r="U924" s="774"/>
      <c r="V924" s="774"/>
    </row>
    <row r="925" spans="1:22" hidden="1">
      <c r="A925" s="786">
        <v>925</v>
      </c>
      <c r="B925" s="767"/>
      <c r="C925" s="767" t="s">
        <v>1162</v>
      </c>
      <c r="D925" s="775" t="s">
        <v>1142</v>
      </c>
      <c r="E925" s="767"/>
      <c r="F925" s="806"/>
      <c r="G925" s="792"/>
      <c r="H925" s="788"/>
      <c r="I925" s="788"/>
      <c r="J925" s="788"/>
      <c r="K925" s="788"/>
      <c r="L925" s="788"/>
      <c r="M925" s="788"/>
      <c r="N925" s="788"/>
      <c r="O925" s="788"/>
      <c r="P925" s="772"/>
      <c r="R925" s="774"/>
    </row>
    <row r="926" spans="1:22" hidden="1">
      <c r="A926" s="786">
        <v>926</v>
      </c>
      <c r="B926" s="767"/>
      <c r="C926" s="767"/>
      <c r="D926" s="767"/>
      <c r="E926" s="767" t="s">
        <v>1154</v>
      </c>
      <c r="F926" s="806" t="s">
        <v>1429</v>
      </c>
      <c r="G926" s="792"/>
      <c r="H926" s="815">
        <v>10298530.066763816</v>
      </c>
      <c r="I926" s="815">
        <v>4850811.4645551499</v>
      </c>
      <c r="J926" s="815">
        <v>1481426.151660342</v>
      </c>
      <c r="K926" s="815">
        <v>2331149.0971012856</v>
      </c>
      <c r="L926" s="815">
        <v>991170.05791682366</v>
      </c>
      <c r="M926" s="815">
        <v>0</v>
      </c>
      <c r="N926" s="815">
        <v>623632.11436759285</v>
      </c>
      <c r="O926" s="815">
        <v>20341.181162625107</v>
      </c>
      <c r="P926" s="772">
        <v>0</v>
      </c>
      <c r="Q926" s="774"/>
      <c r="R926" s="774">
        <v>1499</v>
      </c>
      <c r="S926" s="774"/>
      <c r="T926" s="774"/>
      <c r="U926" s="774"/>
      <c r="V926" s="774"/>
    </row>
    <row r="927" spans="1:22" hidden="1">
      <c r="A927" s="786">
        <v>927</v>
      </c>
      <c r="B927" s="767"/>
      <c r="C927" s="767"/>
      <c r="D927" s="767"/>
      <c r="E927" s="767" t="s">
        <v>1160</v>
      </c>
      <c r="F927" s="806" t="s">
        <v>1430</v>
      </c>
      <c r="G927" s="792"/>
      <c r="H927" s="815">
        <v>10134755.748564472</v>
      </c>
      <c r="I927" s="815">
        <v>8744430.9838486481</v>
      </c>
      <c r="J927" s="815">
        <v>1363649.3964060352</v>
      </c>
      <c r="K927" s="815">
        <v>0</v>
      </c>
      <c r="L927" s="815">
        <v>0</v>
      </c>
      <c r="M927" s="815">
        <v>0</v>
      </c>
      <c r="N927" s="815">
        <v>0</v>
      </c>
      <c r="O927" s="815">
        <v>26675.36830978869</v>
      </c>
      <c r="P927" s="772">
        <v>0</v>
      </c>
      <c r="Q927" s="774"/>
      <c r="R927" s="774"/>
      <c r="S927" s="774"/>
      <c r="T927" s="774"/>
      <c r="U927" s="774"/>
      <c r="V927" s="774"/>
    </row>
    <row r="928" spans="1:22" hidden="1">
      <c r="A928" s="786">
        <v>928</v>
      </c>
      <c r="B928" s="767"/>
      <c r="C928" s="767"/>
      <c r="D928" s="767"/>
      <c r="E928" s="767" t="s">
        <v>1155</v>
      </c>
      <c r="F928" s="806" t="s">
        <v>575</v>
      </c>
      <c r="G928" s="811"/>
      <c r="H928" s="831">
        <v>0</v>
      </c>
      <c r="I928" s="809">
        <v>0</v>
      </c>
      <c r="J928" s="809">
        <v>0</v>
      </c>
      <c r="K928" s="809">
        <v>0</v>
      </c>
      <c r="L928" s="809">
        <v>0</v>
      </c>
      <c r="M928" s="809">
        <v>0</v>
      </c>
      <c r="N928" s="809">
        <v>0</v>
      </c>
      <c r="O928" s="809">
        <v>0</v>
      </c>
      <c r="P928" s="772">
        <v>0</v>
      </c>
      <c r="Q928" s="774"/>
      <c r="R928" s="774"/>
      <c r="S928" s="774"/>
      <c r="T928" s="774"/>
      <c r="U928" s="774"/>
      <c r="V928" s="774"/>
    </row>
    <row r="929" spans="1:22" hidden="1">
      <c r="A929" s="786">
        <v>929</v>
      </c>
      <c r="B929" s="767"/>
      <c r="C929" s="767"/>
      <c r="D929" s="767"/>
      <c r="E929" s="767"/>
      <c r="F929" s="806"/>
      <c r="G929" s="778"/>
      <c r="H929" s="788">
        <v>20433285.815328293</v>
      </c>
      <c r="I929" s="788">
        <v>13595242.448403798</v>
      </c>
      <c r="J929" s="788">
        <v>2845075.5480663772</v>
      </c>
      <c r="K929" s="788">
        <v>2331149.0971012856</v>
      </c>
      <c r="L929" s="788">
        <v>991170.05791682366</v>
      </c>
      <c r="M929" s="788">
        <v>0</v>
      </c>
      <c r="N929" s="788">
        <v>623632.11436759285</v>
      </c>
      <c r="O929" s="788">
        <v>47016.549472413797</v>
      </c>
      <c r="P929" s="772">
        <v>0</v>
      </c>
      <c r="Q929" s="774"/>
      <c r="R929" s="774"/>
      <c r="S929" s="774"/>
      <c r="T929" s="774"/>
      <c r="U929" s="774"/>
      <c r="V929" s="774"/>
    </row>
    <row r="930" spans="1:22" hidden="1">
      <c r="A930" s="786">
        <v>930</v>
      </c>
      <c r="B930" s="767"/>
      <c r="C930" s="767" t="s">
        <v>1163</v>
      </c>
      <c r="D930" s="767" t="s">
        <v>1144</v>
      </c>
      <c r="E930" s="767"/>
      <c r="F930" s="806"/>
      <c r="G930" s="778"/>
      <c r="H930" s="788"/>
      <c r="I930" s="788"/>
      <c r="J930" s="788"/>
      <c r="K930" s="788"/>
      <c r="L930" s="788"/>
      <c r="M930" s="788"/>
      <c r="N930" s="788"/>
      <c r="O930" s="788"/>
      <c r="P930" s="772"/>
      <c r="R930" s="774"/>
    </row>
    <row r="931" spans="1:22" hidden="1">
      <c r="A931" s="786">
        <v>931</v>
      </c>
      <c r="B931" s="767"/>
      <c r="C931" s="767"/>
      <c r="D931" s="767"/>
      <c r="E931" s="767" t="s">
        <v>1154</v>
      </c>
      <c r="F931" s="806" t="s">
        <v>1429</v>
      </c>
      <c r="G931" s="792"/>
      <c r="H931" s="815">
        <v>16086567.854018122</v>
      </c>
      <c r="I931" s="815">
        <v>7577091.8049216606</v>
      </c>
      <c r="J931" s="815">
        <v>2314025.6089857342</v>
      </c>
      <c r="K931" s="815">
        <v>3641314.6230816292</v>
      </c>
      <c r="L931" s="815">
        <v>1548233.0282267577</v>
      </c>
      <c r="M931" s="815">
        <v>0</v>
      </c>
      <c r="N931" s="815">
        <v>974129.34260350547</v>
      </c>
      <c r="O931" s="815">
        <v>31773.446198838818</v>
      </c>
      <c r="P931" s="772">
        <v>0</v>
      </c>
      <c r="Q931" s="774"/>
      <c r="R931" s="774">
        <v>1506</v>
      </c>
      <c r="S931" s="774"/>
      <c r="T931" s="774"/>
      <c r="U931" s="774"/>
      <c r="V931" s="774"/>
    </row>
    <row r="932" spans="1:22" hidden="1">
      <c r="A932" s="786">
        <v>932</v>
      </c>
      <c r="B932" s="767"/>
      <c r="C932" s="767"/>
      <c r="D932" s="767"/>
      <c r="E932" s="767" t="s">
        <v>1160</v>
      </c>
      <c r="F932" s="806" t="s">
        <v>1430</v>
      </c>
      <c r="G932" s="792"/>
      <c r="H932" s="815">
        <v>16832691.678747565</v>
      </c>
      <c r="I932" s="815">
        <v>14523518.307588266</v>
      </c>
      <c r="J932" s="815">
        <v>2264868.5786891598</v>
      </c>
      <c r="K932" s="815">
        <v>0</v>
      </c>
      <c r="L932" s="815">
        <v>0</v>
      </c>
      <c r="M932" s="815">
        <v>0</v>
      </c>
      <c r="N932" s="815">
        <v>0</v>
      </c>
      <c r="O932" s="815">
        <v>44304.792470139924</v>
      </c>
      <c r="P932" s="772">
        <v>0</v>
      </c>
      <c r="Q932" s="774"/>
      <c r="R932" s="774"/>
      <c r="S932" s="774"/>
      <c r="T932" s="774"/>
      <c r="U932" s="774"/>
      <c r="V932" s="774"/>
    </row>
    <row r="933" spans="1:22" hidden="1">
      <c r="A933" s="786">
        <v>933</v>
      </c>
      <c r="B933" s="767"/>
      <c r="C933" s="767"/>
      <c r="D933" s="767"/>
      <c r="E933" s="767" t="s">
        <v>1155</v>
      </c>
      <c r="F933" s="806" t="s">
        <v>575</v>
      </c>
      <c r="G933" s="811"/>
      <c r="H933" s="831">
        <v>0</v>
      </c>
      <c r="I933" s="809">
        <v>0</v>
      </c>
      <c r="J933" s="809">
        <v>0</v>
      </c>
      <c r="K933" s="809">
        <v>0</v>
      </c>
      <c r="L933" s="809">
        <v>0</v>
      </c>
      <c r="M933" s="809">
        <v>0</v>
      </c>
      <c r="N933" s="809">
        <v>0</v>
      </c>
      <c r="O933" s="809">
        <v>0</v>
      </c>
      <c r="P933" s="772">
        <v>0</v>
      </c>
      <c r="Q933" s="774"/>
      <c r="R933" s="774"/>
      <c r="S933" s="774"/>
      <c r="T933" s="774"/>
      <c r="U933" s="774"/>
      <c r="V933" s="774"/>
    </row>
    <row r="934" spans="1:22" hidden="1">
      <c r="A934" s="786">
        <v>934</v>
      </c>
      <c r="B934" s="767"/>
      <c r="C934" s="767"/>
      <c r="D934" s="767"/>
      <c r="E934" s="767"/>
      <c r="F934" s="806"/>
      <c r="G934" s="778"/>
      <c r="H934" s="788">
        <v>32919259.532765694</v>
      </c>
      <c r="I934" s="788">
        <v>22100610.112509929</v>
      </c>
      <c r="J934" s="788">
        <v>4578894.187674894</v>
      </c>
      <c r="K934" s="788">
        <v>3641314.6230816292</v>
      </c>
      <c r="L934" s="788">
        <v>1548233.0282267577</v>
      </c>
      <c r="M934" s="788">
        <v>0</v>
      </c>
      <c r="N934" s="788">
        <v>974129.34260350547</v>
      </c>
      <c r="O934" s="788">
        <v>76078.238668978738</v>
      </c>
      <c r="P934" s="772">
        <v>0</v>
      </c>
      <c r="Q934" s="774"/>
      <c r="R934" s="774"/>
      <c r="S934" s="774"/>
      <c r="T934" s="774"/>
      <c r="U934" s="774"/>
      <c r="V934" s="774"/>
    </row>
    <row r="935" spans="1:22" hidden="1">
      <c r="A935" s="786">
        <v>935</v>
      </c>
      <c r="B935" s="767"/>
      <c r="C935" s="767" t="s">
        <v>1164</v>
      </c>
      <c r="D935" s="767" t="s">
        <v>1165</v>
      </c>
      <c r="E935" s="767"/>
      <c r="F935" s="806"/>
      <c r="G935" s="778"/>
      <c r="H935" s="788"/>
      <c r="I935" s="788"/>
      <c r="J935" s="788"/>
      <c r="K935" s="788"/>
      <c r="L935" s="788"/>
      <c r="M935" s="788"/>
      <c r="N935" s="788"/>
      <c r="O935" s="788"/>
      <c r="P935" s="772"/>
      <c r="R935" s="774"/>
    </row>
    <row r="936" spans="1:22" hidden="1">
      <c r="A936" s="786">
        <v>936</v>
      </c>
      <c r="B936" s="767"/>
      <c r="C936" s="767"/>
      <c r="D936" s="767"/>
      <c r="E936" s="767" t="s">
        <v>1160</v>
      </c>
      <c r="F936" s="806" t="s">
        <v>1431</v>
      </c>
      <c r="G936" s="792"/>
      <c r="H936" s="815">
        <v>121331428.91328639</v>
      </c>
      <c r="I936" s="815">
        <v>65096528.390854277</v>
      </c>
      <c r="J936" s="815">
        <v>29071097.557096157</v>
      </c>
      <c r="K936" s="815">
        <v>10588459.516597012</v>
      </c>
      <c r="L936" s="815">
        <v>1290850.8420805901</v>
      </c>
      <c r="M936" s="815">
        <v>0</v>
      </c>
      <c r="N936" s="815">
        <v>15033683.599809634</v>
      </c>
      <c r="O936" s="815">
        <v>250809.00684872203</v>
      </c>
      <c r="P936" s="772">
        <v>0</v>
      </c>
      <c r="Q936" s="774"/>
      <c r="R936" s="774">
        <v>1513</v>
      </c>
      <c r="S936" s="774"/>
      <c r="T936" s="774"/>
      <c r="U936" s="774"/>
      <c r="V936" s="774"/>
    </row>
    <row r="937" spans="1:22" hidden="1">
      <c r="A937" s="786">
        <v>937</v>
      </c>
      <c r="B937" s="767"/>
      <c r="C937" s="767"/>
      <c r="D937" s="767"/>
      <c r="E937" s="767" t="s">
        <v>1155</v>
      </c>
      <c r="F937" s="806" t="s">
        <v>575</v>
      </c>
      <c r="G937" s="811"/>
      <c r="H937" s="831">
        <v>0</v>
      </c>
      <c r="I937" s="809">
        <v>0</v>
      </c>
      <c r="J937" s="809">
        <v>0</v>
      </c>
      <c r="K937" s="809">
        <v>0</v>
      </c>
      <c r="L937" s="809">
        <v>0</v>
      </c>
      <c r="M937" s="809">
        <v>0</v>
      </c>
      <c r="N937" s="809">
        <v>0</v>
      </c>
      <c r="O937" s="809">
        <v>0</v>
      </c>
      <c r="P937" s="772">
        <v>0</v>
      </c>
      <c r="Q937" s="774"/>
      <c r="R937" s="774"/>
      <c r="S937" s="774"/>
      <c r="T937" s="774"/>
      <c r="U937" s="774"/>
      <c r="V937" s="774"/>
    </row>
    <row r="938" spans="1:22" hidden="1">
      <c r="A938" s="786">
        <v>938</v>
      </c>
      <c r="B938" s="767"/>
      <c r="C938" s="767"/>
      <c r="D938" s="767"/>
      <c r="E938" s="767"/>
      <c r="F938" s="806"/>
      <c r="G938" s="778"/>
      <c r="H938" s="788">
        <v>121331428.9132864</v>
      </c>
      <c r="I938" s="788">
        <v>65096528.390854277</v>
      </c>
      <c r="J938" s="788">
        <v>29071097.557096157</v>
      </c>
      <c r="K938" s="788">
        <v>10588459.516597012</v>
      </c>
      <c r="L938" s="788">
        <v>1290850.8420805901</v>
      </c>
      <c r="M938" s="788">
        <v>0</v>
      </c>
      <c r="N938" s="788">
        <v>15033683.599809634</v>
      </c>
      <c r="O938" s="788">
        <v>250809.00684872203</v>
      </c>
      <c r="P938" s="772">
        <v>0</v>
      </c>
      <c r="Q938" s="774"/>
      <c r="R938" s="774"/>
      <c r="S938" s="774"/>
      <c r="T938" s="774"/>
      <c r="U938" s="774"/>
      <c r="V938" s="774"/>
    </row>
    <row r="939" spans="1:22" hidden="1">
      <c r="A939" s="786">
        <v>939</v>
      </c>
      <c r="B939" s="767"/>
      <c r="C939" s="767" t="s">
        <v>1166</v>
      </c>
      <c r="D939" s="767" t="s">
        <v>994</v>
      </c>
      <c r="E939" s="767"/>
      <c r="F939" s="806"/>
      <c r="G939" s="778"/>
      <c r="H939" s="788"/>
      <c r="I939" s="788"/>
      <c r="J939" s="788"/>
      <c r="K939" s="788"/>
      <c r="L939" s="788"/>
      <c r="M939" s="788"/>
      <c r="N939" s="788"/>
      <c r="O939" s="788"/>
      <c r="P939" s="772"/>
      <c r="R939" s="774"/>
    </row>
    <row r="940" spans="1:22" hidden="1">
      <c r="A940" s="786">
        <v>940</v>
      </c>
      <c r="B940" s="767"/>
      <c r="C940" s="767"/>
      <c r="D940" s="767"/>
      <c r="E940" s="767" t="s">
        <v>7</v>
      </c>
      <c r="F940" s="806" t="s">
        <v>1432</v>
      </c>
      <c r="G940" s="792"/>
      <c r="H940" s="815">
        <v>70144835.560202315</v>
      </c>
      <c r="I940" s="815">
        <v>51287147.514457449</v>
      </c>
      <c r="J940" s="815">
        <v>14268925.58800371</v>
      </c>
      <c r="K940" s="815">
        <v>3666676.0590689592</v>
      </c>
      <c r="L940" s="815">
        <v>922086.39867220062</v>
      </c>
      <c r="M940" s="815">
        <v>0</v>
      </c>
      <c r="N940" s="815">
        <v>0</v>
      </c>
      <c r="O940" s="815">
        <v>0</v>
      </c>
      <c r="P940" s="772">
        <v>0</v>
      </c>
      <c r="Q940" s="774"/>
      <c r="R940" s="774">
        <v>1519</v>
      </c>
      <c r="S940" s="774"/>
      <c r="T940" s="774"/>
      <c r="U940" s="774"/>
      <c r="V940" s="774"/>
    </row>
    <row r="941" spans="1:22" hidden="1">
      <c r="A941" s="786">
        <v>941</v>
      </c>
      <c r="B941" s="767"/>
      <c r="C941" s="767"/>
      <c r="D941" s="767"/>
      <c r="E941" s="767" t="s">
        <v>1155</v>
      </c>
      <c r="F941" s="806" t="s">
        <v>575</v>
      </c>
      <c r="G941" s="811"/>
      <c r="H941" s="831">
        <v>0</v>
      </c>
      <c r="I941" s="809">
        <v>0</v>
      </c>
      <c r="J941" s="809">
        <v>0</v>
      </c>
      <c r="K941" s="809">
        <v>0</v>
      </c>
      <c r="L941" s="809">
        <v>0</v>
      </c>
      <c r="M941" s="809">
        <v>0</v>
      </c>
      <c r="N941" s="809">
        <v>0</v>
      </c>
      <c r="O941" s="809">
        <v>0</v>
      </c>
      <c r="P941" s="772">
        <v>0</v>
      </c>
      <c r="Q941" s="774"/>
      <c r="R941" s="774"/>
      <c r="S941" s="774"/>
      <c r="T941" s="774"/>
      <c r="U941" s="774"/>
      <c r="V941" s="774"/>
    </row>
    <row r="942" spans="1:22" hidden="1">
      <c r="A942" s="786">
        <v>942</v>
      </c>
      <c r="B942" s="767"/>
      <c r="C942" s="767"/>
      <c r="D942" s="767"/>
      <c r="E942" s="767"/>
      <c r="F942" s="806"/>
      <c r="G942" s="778"/>
      <c r="H942" s="788">
        <v>70144835.560202315</v>
      </c>
      <c r="I942" s="788">
        <v>51287147.514457449</v>
      </c>
      <c r="J942" s="788">
        <v>14268925.58800371</v>
      </c>
      <c r="K942" s="788">
        <v>3666676.0590689592</v>
      </c>
      <c r="L942" s="788">
        <v>922086.39867220062</v>
      </c>
      <c r="M942" s="788">
        <v>0</v>
      </c>
      <c r="N942" s="788">
        <v>0</v>
      </c>
      <c r="O942" s="788">
        <v>0</v>
      </c>
      <c r="P942" s="772">
        <v>0</v>
      </c>
      <c r="Q942" s="774"/>
      <c r="R942" s="774"/>
      <c r="S942" s="774"/>
      <c r="T942" s="774"/>
      <c r="U942" s="774"/>
      <c r="V942" s="774"/>
    </row>
    <row r="943" spans="1:22" hidden="1">
      <c r="A943" s="786">
        <v>943</v>
      </c>
      <c r="B943" s="767"/>
      <c r="C943" s="767" t="s">
        <v>1167</v>
      </c>
      <c r="D943" s="767" t="s">
        <v>995</v>
      </c>
      <c r="E943" s="767"/>
      <c r="F943" s="806"/>
      <c r="G943" s="778"/>
      <c r="H943" s="788"/>
      <c r="I943" s="788"/>
      <c r="J943" s="788"/>
      <c r="K943" s="788"/>
      <c r="L943" s="788"/>
      <c r="M943" s="788"/>
      <c r="N943" s="788"/>
      <c r="O943" s="788"/>
      <c r="P943" s="772"/>
      <c r="R943" s="774"/>
    </row>
    <row r="944" spans="1:22" hidden="1">
      <c r="A944" s="786">
        <v>944</v>
      </c>
      <c r="B944" s="767"/>
      <c r="C944" s="767"/>
      <c r="D944" s="767"/>
      <c r="E944" s="767" t="s">
        <v>7</v>
      </c>
      <c r="F944" s="806" t="s">
        <v>1433</v>
      </c>
      <c r="G944" s="792"/>
      <c r="H944" s="815">
        <v>14106063.879547346</v>
      </c>
      <c r="I944" s="815">
        <v>9574638.6349774078</v>
      </c>
      <c r="J944" s="815">
        <v>2463004.0162662389</v>
      </c>
      <c r="K944" s="815">
        <v>1075089.7607169012</v>
      </c>
      <c r="L944" s="815">
        <v>188706.43889434804</v>
      </c>
      <c r="M944" s="815">
        <v>0</v>
      </c>
      <c r="N944" s="815">
        <v>804625.02869245177</v>
      </c>
      <c r="O944" s="815">
        <v>0</v>
      </c>
      <c r="P944" s="772">
        <v>0</v>
      </c>
      <c r="Q944" s="774"/>
      <c r="R944" s="774">
        <v>1526</v>
      </c>
      <c r="S944" s="774"/>
      <c r="T944" s="774"/>
      <c r="U944" s="774"/>
      <c r="V944" s="774"/>
    </row>
    <row r="945" spans="1:22" hidden="1">
      <c r="A945" s="786">
        <v>945</v>
      </c>
      <c r="B945" s="767"/>
      <c r="C945" s="767"/>
      <c r="D945" s="767"/>
      <c r="E945" s="767" t="s">
        <v>1155</v>
      </c>
      <c r="F945" s="806" t="s">
        <v>575</v>
      </c>
      <c r="G945" s="811"/>
      <c r="H945" s="831">
        <v>110788.96</v>
      </c>
      <c r="I945" s="809">
        <v>0</v>
      </c>
      <c r="J945" s="809">
        <v>0</v>
      </c>
      <c r="K945" s="809">
        <v>0</v>
      </c>
      <c r="L945" s="809">
        <v>0</v>
      </c>
      <c r="M945" s="809">
        <v>110788.96</v>
      </c>
      <c r="N945" s="809">
        <v>0</v>
      </c>
      <c r="O945" s="809">
        <v>0</v>
      </c>
      <c r="P945" s="772">
        <v>0</v>
      </c>
      <c r="Q945" s="774"/>
      <c r="R945" s="774"/>
      <c r="S945" s="774"/>
      <c r="T945" s="774"/>
      <c r="U945" s="774"/>
      <c r="V945" s="774"/>
    </row>
    <row r="946" spans="1:22" hidden="1">
      <c r="A946" s="786">
        <v>946</v>
      </c>
      <c r="B946" s="767"/>
      <c r="C946" s="767"/>
      <c r="D946" s="767"/>
      <c r="E946" s="767"/>
      <c r="F946" s="806"/>
      <c r="G946" s="778"/>
      <c r="H946" s="788">
        <v>14216852.839547347</v>
      </c>
      <c r="I946" s="788">
        <v>9574638.6349774078</v>
      </c>
      <c r="J946" s="788">
        <v>2463004.0162662389</v>
      </c>
      <c r="K946" s="788">
        <v>1075089.7607169012</v>
      </c>
      <c r="L946" s="788">
        <v>188706.43889434804</v>
      </c>
      <c r="M946" s="788">
        <v>110788.96</v>
      </c>
      <c r="N946" s="788">
        <v>804625.02869245177</v>
      </c>
      <c r="O946" s="788">
        <v>0</v>
      </c>
      <c r="P946" s="772">
        <v>0</v>
      </c>
      <c r="Q946" s="774"/>
      <c r="R946" s="774"/>
      <c r="S946" s="774"/>
      <c r="T946" s="774"/>
      <c r="U946" s="774"/>
      <c r="V946" s="774"/>
    </row>
    <row r="947" spans="1:22" hidden="1">
      <c r="A947" s="786">
        <v>947</v>
      </c>
      <c r="B947" s="767"/>
      <c r="C947" s="767" t="s">
        <v>1168</v>
      </c>
      <c r="D947" s="767" t="s">
        <v>1169</v>
      </c>
      <c r="E947" s="767"/>
      <c r="F947" s="806"/>
      <c r="G947" s="778"/>
      <c r="H947" s="788"/>
      <c r="I947" s="788"/>
      <c r="J947" s="788"/>
      <c r="K947" s="788"/>
      <c r="L947" s="788"/>
      <c r="M947" s="788"/>
      <c r="N947" s="788"/>
      <c r="O947" s="788"/>
      <c r="P947" s="772"/>
      <c r="R947" s="774"/>
    </row>
    <row r="948" spans="1:22" hidden="1">
      <c r="A948" s="786">
        <v>948</v>
      </c>
      <c r="B948" s="767"/>
      <c r="C948" s="767"/>
      <c r="D948" s="767"/>
      <c r="E948" s="767" t="s">
        <v>1154</v>
      </c>
      <c r="F948" s="806" t="s">
        <v>1398</v>
      </c>
      <c r="G948" s="792"/>
      <c r="H948" s="815">
        <v>0</v>
      </c>
      <c r="I948" s="815">
        <v>0</v>
      </c>
      <c r="J948" s="815">
        <v>0</v>
      </c>
      <c r="K948" s="815">
        <v>0</v>
      </c>
      <c r="L948" s="815">
        <v>0</v>
      </c>
      <c r="M948" s="815">
        <v>0</v>
      </c>
      <c r="N948" s="815">
        <v>0</v>
      </c>
      <c r="O948" s="815">
        <v>0</v>
      </c>
      <c r="P948" s="772">
        <v>0</v>
      </c>
      <c r="Q948" s="774"/>
      <c r="R948" s="774">
        <v>1532</v>
      </c>
      <c r="S948" s="774"/>
      <c r="T948" s="774"/>
      <c r="U948" s="774"/>
      <c r="V948" s="774"/>
    </row>
    <row r="949" spans="1:22" hidden="1">
      <c r="A949" s="786">
        <v>949</v>
      </c>
      <c r="B949" s="767"/>
      <c r="C949" s="767"/>
      <c r="D949" s="767"/>
      <c r="E949" s="767" t="s">
        <v>1160</v>
      </c>
      <c r="F949" s="806" t="s">
        <v>1430</v>
      </c>
      <c r="G949" s="792"/>
      <c r="H949" s="815">
        <v>0</v>
      </c>
      <c r="I949" s="815">
        <v>0</v>
      </c>
      <c r="J949" s="815">
        <v>0</v>
      </c>
      <c r="K949" s="815">
        <v>0</v>
      </c>
      <c r="L949" s="815">
        <v>0</v>
      </c>
      <c r="M949" s="815">
        <v>0</v>
      </c>
      <c r="N949" s="815">
        <v>0</v>
      </c>
      <c r="O949" s="815">
        <v>0</v>
      </c>
      <c r="P949" s="772">
        <v>0</v>
      </c>
      <c r="Q949" s="774"/>
      <c r="R949" s="774"/>
      <c r="S949" s="774"/>
      <c r="T949" s="774"/>
      <c r="U949" s="774"/>
      <c r="V949" s="774"/>
    </row>
    <row r="950" spans="1:22" hidden="1">
      <c r="A950" s="786">
        <v>950</v>
      </c>
      <c r="B950" s="767"/>
      <c r="C950" s="767"/>
      <c r="D950" s="767"/>
      <c r="E950" s="767" t="s">
        <v>1155</v>
      </c>
      <c r="F950" s="806" t="s">
        <v>575</v>
      </c>
      <c r="G950" s="811"/>
      <c r="H950" s="831">
        <v>546583.48480086296</v>
      </c>
      <c r="I950" s="809">
        <v>0</v>
      </c>
      <c r="J950" s="809">
        <v>0</v>
      </c>
      <c r="K950" s="809">
        <v>0</v>
      </c>
      <c r="L950" s="809">
        <v>0</v>
      </c>
      <c r="M950" s="809">
        <v>0</v>
      </c>
      <c r="N950" s="809">
        <v>0</v>
      </c>
      <c r="O950" s="809">
        <v>546583.48480086296</v>
      </c>
      <c r="P950" s="772">
        <v>0</v>
      </c>
      <c r="Q950" s="774"/>
      <c r="R950" s="774"/>
      <c r="S950" s="774"/>
      <c r="T950" s="774"/>
      <c r="U950" s="774"/>
      <c r="V950" s="774"/>
    </row>
    <row r="951" spans="1:22" hidden="1">
      <c r="A951" s="786">
        <v>951</v>
      </c>
      <c r="B951" s="767"/>
      <c r="C951" s="767"/>
      <c r="D951" s="767"/>
      <c r="E951" s="767"/>
      <c r="F951" s="806"/>
      <c r="G951" s="792"/>
      <c r="H951" s="788">
        <v>546583.48480086296</v>
      </c>
      <c r="I951" s="788">
        <v>0</v>
      </c>
      <c r="J951" s="788">
        <v>0</v>
      </c>
      <c r="K951" s="788">
        <v>0</v>
      </c>
      <c r="L951" s="788">
        <v>0</v>
      </c>
      <c r="M951" s="788">
        <v>0</v>
      </c>
      <c r="N951" s="788">
        <v>0</v>
      </c>
      <c r="O951" s="788">
        <v>546583.48480086296</v>
      </c>
      <c r="P951" s="772">
        <v>0</v>
      </c>
      <c r="Q951" s="774"/>
      <c r="R951" s="774"/>
      <c r="S951" s="774"/>
      <c r="T951" s="774"/>
      <c r="U951" s="774"/>
      <c r="V951" s="774"/>
    </row>
    <row r="952" spans="1:22" hidden="1">
      <c r="A952" s="786">
        <v>952</v>
      </c>
      <c r="B952" s="767"/>
      <c r="C952" s="767" t="s">
        <v>1170</v>
      </c>
      <c r="D952" s="767" t="s">
        <v>997</v>
      </c>
      <c r="E952" s="767"/>
      <c r="F952" s="806"/>
      <c r="G952" s="792"/>
      <c r="H952" s="788"/>
      <c r="I952" s="788"/>
      <c r="J952" s="788"/>
      <c r="K952" s="788"/>
      <c r="L952" s="788"/>
      <c r="M952" s="788"/>
      <c r="N952" s="788"/>
      <c r="O952" s="788"/>
      <c r="P952" s="772"/>
      <c r="R952" s="774"/>
    </row>
    <row r="953" spans="1:22" hidden="1">
      <c r="A953" s="786">
        <v>953</v>
      </c>
      <c r="B953" s="767"/>
      <c r="C953" s="767"/>
      <c r="D953" s="767"/>
      <c r="E953" s="767" t="s">
        <v>1154</v>
      </c>
      <c r="F953" s="806" t="s">
        <v>1398</v>
      </c>
      <c r="G953" s="811"/>
      <c r="H953" s="815">
        <v>0</v>
      </c>
      <c r="I953" s="815">
        <v>0</v>
      </c>
      <c r="J953" s="815">
        <v>0</v>
      </c>
      <c r="K953" s="815">
        <v>0</v>
      </c>
      <c r="L953" s="815">
        <v>0</v>
      </c>
      <c r="M953" s="815">
        <v>0</v>
      </c>
      <c r="N953" s="815">
        <v>0</v>
      </c>
      <c r="O953" s="815">
        <v>0</v>
      </c>
      <c r="P953" s="772">
        <v>0</v>
      </c>
      <c r="Q953" s="774"/>
      <c r="R953" s="774">
        <v>1539</v>
      </c>
      <c r="S953" s="774"/>
      <c r="T953" s="774"/>
      <c r="U953" s="774"/>
      <c r="V953" s="774"/>
    </row>
    <row r="954" spans="1:22" hidden="1">
      <c r="A954" s="786">
        <v>954</v>
      </c>
      <c r="B954" s="767"/>
      <c r="C954" s="767"/>
      <c r="D954" s="767"/>
      <c r="E954" s="767" t="s">
        <v>1160</v>
      </c>
      <c r="F954" s="806" t="s">
        <v>1430</v>
      </c>
      <c r="G954" s="811"/>
      <c r="H954" s="815">
        <v>0</v>
      </c>
      <c r="I954" s="815">
        <v>0</v>
      </c>
      <c r="J954" s="815">
        <v>0</v>
      </c>
      <c r="K954" s="815">
        <v>0</v>
      </c>
      <c r="L954" s="815">
        <v>0</v>
      </c>
      <c r="M954" s="815">
        <v>0</v>
      </c>
      <c r="N954" s="815">
        <v>0</v>
      </c>
      <c r="O954" s="815">
        <v>0</v>
      </c>
      <c r="P954" s="772">
        <v>0</v>
      </c>
      <c r="Q954" s="774"/>
      <c r="R954" s="774"/>
      <c r="S954" s="774"/>
      <c r="T954" s="774"/>
      <c r="U954" s="774"/>
      <c r="V954" s="774"/>
    </row>
    <row r="955" spans="1:22" hidden="1">
      <c r="A955" s="786">
        <v>955</v>
      </c>
      <c r="B955" s="767"/>
      <c r="C955" s="767"/>
      <c r="D955" s="767"/>
      <c r="E955" s="767" t="s">
        <v>1155</v>
      </c>
      <c r="F955" s="806" t="s">
        <v>575</v>
      </c>
      <c r="G955" s="811"/>
      <c r="H955" s="831">
        <v>0</v>
      </c>
      <c r="I955" s="809">
        <v>0</v>
      </c>
      <c r="J955" s="809">
        <v>0</v>
      </c>
      <c r="K955" s="809">
        <v>0</v>
      </c>
      <c r="L955" s="809">
        <v>0</v>
      </c>
      <c r="M955" s="809">
        <v>0</v>
      </c>
      <c r="N955" s="809">
        <v>0</v>
      </c>
      <c r="O955" s="809">
        <v>0</v>
      </c>
      <c r="P955" s="772">
        <v>0</v>
      </c>
      <c r="Q955" s="774"/>
      <c r="R955" s="774"/>
      <c r="S955" s="774"/>
      <c r="T955" s="774"/>
      <c r="U955" s="774"/>
      <c r="V955" s="774"/>
    </row>
    <row r="956" spans="1:22" hidden="1">
      <c r="A956" s="786">
        <v>956</v>
      </c>
      <c r="B956" s="767"/>
      <c r="C956" s="767"/>
      <c r="D956" s="767"/>
      <c r="E956" s="767"/>
      <c r="F956" s="806"/>
      <c r="G956" s="778"/>
      <c r="H956" s="788">
        <v>0</v>
      </c>
      <c r="I956" s="788">
        <v>0</v>
      </c>
      <c r="J956" s="788">
        <v>0</v>
      </c>
      <c r="K956" s="788">
        <v>0</v>
      </c>
      <c r="L956" s="788">
        <v>0</v>
      </c>
      <c r="M956" s="788">
        <v>0</v>
      </c>
      <c r="N956" s="788">
        <v>0</v>
      </c>
      <c r="O956" s="788">
        <v>0</v>
      </c>
      <c r="P956" s="772">
        <v>0</v>
      </c>
      <c r="Q956" s="774"/>
      <c r="R956" s="774"/>
      <c r="S956" s="774"/>
      <c r="T956" s="774"/>
      <c r="U956" s="774"/>
      <c r="V956" s="774"/>
    </row>
    <row r="957" spans="1:22" hidden="1">
      <c r="A957" s="786">
        <v>957</v>
      </c>
      <c r="B957" s="767"/>
      <c r="E957" s="767"/>
      <c r="F957" s="806"/>
      <c r="G957" s="778"/>
      <c r="H957" s="788"/>
      <c r="I957" s="788"/>
      <c r="J957" s="788"/>
      <c r="K957" s="788"/>
      <c r="L957" s="788"/>
      <c r="M957" s="788"/>
      <c r="N957" s="788"/>
      <c r="O957" s="788"/>
      <c r="P957" s="772"/>
      <c r="R957" s="774"/>
    </row>
    <row r="958" spans="1:22" hidden="1">
      <c r="A958" s="786">
        <v>958</v>
      </c>
      <c r="B958" s="767"/>
      <c r="C958" s="767" t="s">
        <v>1171</v>
      </c>
      <c r="D958" s="767" t="s">
        <v>1172</v>
      </c>
      <c r="F958" s="806" t="s">
        <v>575</v>
      </c>
      <c r="G958" s="811"/>
      <c r="H958" s="831">
        <v>5044269.550829011</v>
      </c>
      <c r="I958" s="809">
        <v>0</v>
      </c>
      <c r="J958" s="809">
        <v>0</v>
      </c>
      <c r="K958" s="809">
        <v>0</v>
      </c>
      <c r="L958" s="809">
        <v>0</v>
      </c>
      <c r="M958" s="809">
        <v>0</v>
      </c>
      <c r="N958" s="809">
        <v>0</v>
      </c>
      <c r="O958" s="809">
        <v>5044269.550829011</v>
      </c>
      <c r="P958" s="772">
        <v>0</v>
      </c>
      <c r="Q958" s="774"/>
      <c r="R958" s="774">
        <v>1548</v>
      </c>
      <c r="S958" s="774"/>
      <c r="T958" s="774"/>
      <c r="U958" s="774"/>
      <c r="V958" s="774"/>
    </row>
    <row r="959" spans="1:22" hidden="1">
      <c r="A959" s="786">
        <v>959</v>
      </c>
      <c r="B959" s="767"/>
      <c r="C959" s="767"/>
      <c r="D959" s="767"/>
      <c r="E959" s="767"/>
      <c r="F959" s="806"/>
      <c r="G959" s="778"/>
      <c r="H959" s="813"/>
      <c r="I959" s="813"/>
      <c r="J959" s="813"/>
      <c r="K959" s="813"/>
      <c r="L959" s="813"/>
      <c r="M959" s="813"/>
      <c r="N959" s="813"/>
      <c r="O959" s="813"/>
      <c r="P959" s="772"/>
      <c r="R959" s="774"/>
    </row>
    <row r="960" spans="1:22" hidden="1">
      <c r="A960" s="786">
        <v>960</v>
      </c>
      <c r="B960" s="767"/>
      <c r="C960" s="767"/>
      <c r="D960" s="767"/>
      <c r="E960" s="767"/>
      <c r="F960" s="806"/>
      <c r="G960" s="778"/>
      <c r="H960" s="788"/>
      <c r="I960" s="788"/>
      <c r="J960" s="788"/>
      <c r="K960" s="788"/>
      <c r="L960" s="788"/>
      <c r="M960" s="788"/>
      <c r="N960" s="788"/>
      <c r="O960" s="788"/>
      <c r="P960" s="772"/>
      <c r="R960" s="774"/>
    </row>
    <row r="961" spans="1:22" hidden="1">
      <c r="A961" s="786">
        <v>961</v>
      </c>
      <c r="B961" s="767"/>
      <c r="C961" s="767" t="s">
        <v>1173</v>
      </c>
      <c r="D961" s="767" t="s">
        <v>1174</v>
      </c>
      <c r="E961" s="767"/>
      <c r="F961" s="806" t="s">
        <v>1430</v>
      </c>
      <c r="G961" s="778"/>
      <c r="H961" s="815">
        <v>4546566.7</v>
      </c>
      <c r="I961" s="815">
        <v>3922851.1972028404</v>
      </c>
      <c r="J961" s="815">
        <v>611748.62917174515</v>
      </c>
      <c r="K961" s="815">
        <v>0</v>
      </c>
      <c r="L961" s="815">
        <v>0</v>
      </c>
      <c r="M961" s="815">
        <v>0</v>
      </c>
      <c r="N961" s="815">
        <v>0</v>
      </c>
      <c r="O961" s="815">
        <v>11966.873625415128</v>
      </c>
      <c r="P961" s="772">
        <v>0</v>
      </c>
      <c r="Q961" s="774"/>
      <c r="R961" s="774">
        <v>1551</v>
      </c>
      <c r="S961" s="774"/>
      <c r="T961" s="774"/>
      <c r="U961" s="774"/>
      <c r="V961" s="774"/>
    </row>
    <row r="962" spans="1:22" hidden="1">
      <c r="A962" s="786">
        <v>962</v>
      </c>
      <c r="B962" s="767"/>
      <c r="C962" s="767" t="s">
        <v>1175</v>
      </c>
      <c r="D962" s="767" t="s">
        <v>1176</v>
      </c>
      <c r="E962" s="767"/>
      <c r="F962" s="806" t="s">
        <v>1398</v>
      </c>
      <c r="G962" s="792"/>
      <c r="H962" s="828">
        <v>0</v>
      </c>
      <c r="I962" s="828">
        <v>0</v>
      </c>
      <c r="J962" s="828">
        <v>0</v>
      </c>
      <c r="K962" s="828">
        <v>0</v>
      </c>
      <c r="L962" s="828">
        <v>0</v>
      </c>
      <c r="M962" s="828">
        <v>0</v>
      </c>
      <c r="N962" s="828">
        <v>0</v>
      </c>
      <c r="O962" s="828">
        <v>0</v>
      </c>
      <c r="P962" s="772">
        <v>0</v>
      </c>
      <c r="Q962" s="774"/>
      <c r="R962" s="774">
        <v>1555</v>
      </c>
      <c r="S962" s="774"/>
      <c r="T962" s="774"/>
      <c r="U962" s="774"/>
      <c r="V962" s="774"/>
    </row>
    <row r="963" spans="1:22" hidden="1">
      <c r="A963" s="786">
        <v>963</v>
      </c>
      <c r="B963" s="767"/>
      <c r="C963" s="767" t="s">
        <v>1177</v>
      </c>
      <c r="D963" s="767"/>
      <c r="E963" s="767"/>
      <c r="F963" s="806"/>
      <c r="G963" s="778"/>
      <c r="H963" s="788">
        <v>551435929.11724138</v>
      </c>
      <c r="I963" s="788">
        <v>305662169.36589593</v>
      </c>
      <c r="J963" s="788">
        <v>93363988.731615648</v>
      </c>
      <c r="K963" s="788">
        <v>78152139.056913331</v>
      </c>
      <c r="L963" s="788">
        <v>29112590.627764385</v>
      </c>
      <c r="M963" s="788">
        <v>5961280.4266037289</v>
      </c>
      <c r="N963" s="788">
        <v>32644510.741815757</v>
      </c>
      <c r="O963" s="788">
        <v>6539250.1666324912</v>
      </c>
      <c r="P963" s="772">
        <v>0</v>
      </c>
      <c r="Q963" s="774"/>
      <c r="R963" s="774"/>
      <c r="S963" s="774"/>
      <c r="T963" s="774"/>
      <c r="U963" s="774"/>
      <c r="V963" s="774"/>
    </row>
    <row r="964" spans="1:22" hidden="1">
      <c r="A964" s="786">
        <v>964</v>
      </c>
      <c r="B964" s="767"/>
      <c r="C964" s="767"/>
      <c r="D964" s="767"/>
      <c r="E964" s="767"/>
      <c r="F964" s="806"/>
      <c r="G964" s="830"/>
      <c r="H964" s="817"/>
      <c r="I964" s="817"/>
      <c r="J964" s="817"/>
      <c r="K964" s="817"/>
      <c r="L964" s="819"/>
      <c r="M964" s="817"/>
      <c r="N964" s="817"/>
      <c r="O964" s="817"/>
      <c r="P964" s="772"/>
      <c r="R964" s="774"/>
    </row>
    <row r="965" spans="1:22" hidden="1">
      <c r="A965" s="786">
        <v>965</v>
      </c>
      <c r="B965" s="767"/>
      <c r="C965" s="781" t="s">
        <v>714</v>
      </c>
      <c r="D965" s="767"/>
      <c r="E965" s="767"/>
      <c r="F965" s="806"/>
      <c r="G965" s="778"/>
      <c r="H965" s="817" t="s">
        <v>1178</v>
      </c>
      <c r="I965" s="817"/>
      <c r="J965" s="817"/>
      <c r="K965" s="817"/>
      <c r="L965" s="817"/>
      <c r="M965" s="817"/>
      <c r="N965" s="817"/>
      <c r="O965" s="817"/>
      <c r="P965" s="772"/>
      <c r="R965" s="774"/>
    </row>
    <row r="966" spans="1:22" hidden="1">
      <c r="A966" s="786">
        <v>966</v>
      </c>
      <c r="B966" s="767"/>
      <c r="C966" s="767"/>
      <c r="D966" s="767"/>
      <c r="E966" s="767"/>
      <c r="F966" s="806"/>
      <c r="G966" s="778"/>
      <c r="H966" s="810"/>
      <c r="I966" s="810"/>
      <c r="J966" s="810"/>
      <c r="K966" s="810"/>
      <c r="L966" s="810"/>
      <c r="M966" s="810"/>
      <c r="N966" s="810"/>
      <c r="O966" s="810"/>
      <c r="P966" s="772"/>
      <c r="R966" s="774"/>
    </row>
    <row r="967" spans="1:22" hidden="1">
      <c r="A967" s="786">
        <v>967</v>
      </c>
      <c r="B967" s="767"/>
      <c r="C967" s="777" t="s">
        <v>575</v>
      </c>
      <c r="D967" s="767"/>
      <c r="E967" s="777" t="s">
        <v>576</v>
      </c>
      <c r="F967" s="806" t="s">
        <v>577</v>
      </c>
      <c r="G967" s="778"/>
      <c r="H967" s="777" t="s">
        <v>578</v>
      </c>
      <c r="I967" s="777" t="s">
        <v>579</v>
      </c>
      <c r="J967" s="777" t="s">
        <v>580</v>
      </c>
      <c r="K967" s="777" t="s">
        <v>581</v>
      </c>
      <c r="L967" s="777" t="s">
        <v>582</v>
      </c>
      <c r="M967" s="777" t="s">
        <v>583</v>
      </c>
      <c r="N967" s="777" t="s">
        <v>584</v>
      </c>
      <c r="O967" s="777" t="s">
        <v>585</v>
      </c>
      <c r="P967" s="772"/>
      <c r="R967" s="774"/>
    </row>
    <row r="968" spans="1:22" ht="38.25" hidden="1">
      <c r="A968" s="786">
        <v>968</v>
      </c>
      <c r="B968" s="767"/>
      <c r="C968" s="797" t="s">
        <v>656</v>
      </c>
      <c r="D968" s="781"/>
      <c r="E968" s="782" t="s">
        <v>587</v>
      </c>
      <c r="F968" s="806" t="s">
        <v>1391</v>
      </c>
      <c r="G968" s="783"/>
      <c r="H968" s="829" t="s">
        <v>588</v>
      </c>
      <c r="I968" s="829" t="s">
        <v>589</v>
      </c>
      <c r="J968" s="829" t="s">
        <v>590</v>
      </c>
      <c r="K968" s="829" t="s">
        <v>591</v>
      </c>
      <c r="L968" s="829" t="s">
        <v>592</v>
      </c>
      <c r="M968" s="829" t="s">
        <v>593</v>
      </c>
      <c r="N968" s="829" t="s">
        <v>594</v>
      </c>
      <c r="O968" s="829" t="s">
        <v>595</v>
      </c>
      <c r="P968" s="772"/>
      <c r="R968" s="774"/>
    </row>
    <row r="969" spans="1:22" hidden="1">
      <c r="A969" s="786">
        <v>969</v>
      </c>
      <c r="B969" s="767"/>
      <c r="C969" s="767" t="s">
        <v>1179</v>
      </c>
      <c r="D969" s="775" t="s">
        <v>1060</v>
      </c>
      <c r="E969" s="767"/>
      <c r="F969" s="806"/>
      <c r="G969" s="778"/>
      <c r="H969" s="788"/>
      <c r="I969" s="788"/>
      <c r="J969" s="788"/>
      <c r="K969" s="788"/>
      <c r="L969" s="788"/>
      <c r="M969" s="788"/>
      <c r="N969" s="788"/>
      <c r="O969" s="788"/>
      <c r="P969" s="772"/>
      <c r="R969" s="774"/>
    </row>
    <row r="970" spans="1:22" hidden="1">
      <c r="A970" s="786">
        <v>970</v>
      </c>
      <c r="B970" s="767"/>
      <c r="C970" s="767"/>
      <c r="D970" s="767"/>
      <c r="E970" s="767" t="s">
        <v>727</v>
      </c>
      <c r="F970" s="806" t="s">
        <v>1425</v>
      </c>
      <c r="G970" s="778"/>
      <c r="H970" s="815">
        <v>1098826.3500000001</v>
      </c>
      <c r="I970" s="815">
        <v>572766.13066357537</v>
      </c>
      <c r="J970" s="815">
        <v>173750.30264772469</v>
      </c>
      <c r="K970" s="815">
        <v>179520.21060727315</v>
      </c>
      <c r="L970" s="815">
        <v>69187.836180794795</v>
      </c>
      <c r="M970" s="815">
        <v>36619.80657213449</v>
      </c>
      <c r="N970" s="815">
        <v>57545.91004894214</v>
      </c>
      <c r="O970" s="815">
        <v>9436.153279555283</v>
      </c>
      <c r="P970" s="772">
        <v>0</v>
      </c>
      <c r="Q970" s="774"/>
      <c r="R970" s="774">
        <v>1562</v>
      </c>
      <c r="S970" s="774"/>
      <c r="T970" s="774"/>
      <c r="U970" s="774"/>
      <c r="V970" s="774"/>
    </row>
    <row r="971" spans="1:22" hidden="1">
      <c r="A971" s="786">
        <v>971</v>
      </c>
      <c r="B971" s="767"/>
      <c r="C971" s="767"/>
      <c r="D971" s="767"/>
      <c r="E971" s="767" t="s">
        <v>1003</v>
      </c>
      <c r="F971" s="806" t="s">
        <v>1410</v>
      </c>
      <c r="G971" s="778"/>
      <c r="H971" s="815">
        <v>78274.160878202412</v>
      </c>
      <c r="I971" s="815">
        <v>63823.265550100194</v>
      </c>
      <c r="J971" s="815">
        <v>11077.938785248705</v>
      </c>
      <c r="K971" s="815">
        <v>644.7611260316412</v>
      </c>
      <c r="L971" s="815">
        <v>164.9595888495397</v>
      </c>
      <c r="M971" s="815">
        <v>2.5584144904405162</v>
      </c>
      <c r="N971" s="815">
        <v>1084.2046291843944</v>
      </c>
      <c r="O971" s="815">
        <v>1476.4727842974899</v>
      </c>
      <c r="P971" s="772">
        <v>0</v>
      </c>
      <c r="Q971" s="774"/>
      <c r="R971" s="774">
        <v>1563</v>
      </c>
      <c r="S971" s="774"/>
      <c r="T971" s="774"/>
      <c r="U971" s="774"/>
      <c r="V971" s="774"/>
    </row>
    <row r="972" spans="1:22" hidden="1">
      <c r="A972" s="786">
        <v>972</v>
      </c>
      <c r="B972" s="767"/>
      <c r="C972" s="767"/>
      <c r="D972" s="767"/>
      <c r="E972" s="767" t="s">
        <v>1002</v>
      </c>
      <c r="F972" s="806" t="s">
        <v>1426</v>
      </c>
      <c r="G972" s="778"/>
      <c r="H972" s="815">
        <v>0</v>
      </c>
      <c r="I972" s="815">
        <v>0</v>
      </c>
      <c r="J972" s="815">
        <v>0</v>
      </c>
      <c r="K972" s="815">
        <v>0</v>
      </c>
      <c r="L972" s="815">
        <v>0</v>
      </c>
      <c r="M972" s="815">
        <v>0</v>
      </c>
      <c r="N972" s="815">
        <v>0</v>
      </c>
      <c r="O972" s="815">
        <v>0</v>
      </c>
      <c r="P972" s="772">
        <v>0</v>
      </c>
      <c r="Q972" s="774"/>
      <c r="R972" s="774">
        <v>1564</v>
      </c>
      <c r="S972" s="774"/>
      <c r="T972" s="774"/>
      <c r="U972" s="774"/>
      <c r="V972" s="774"/>
    </row>
    <row r="973" spans="1:22" hidden="1">
      <c r="A973" s="786">
        <v>973</v>
      </c>
      <c r="B973" s="767"/>
      <c r="C973" s="767"/>
      <c r="D973" s="767"/>
      <c r="E973" s="767" t="s">
        <v>1180</v>
      </c>
      <c r="F973" s="806" t="s">
        <v>1426</v>
      </c>
      <c r="G973" s="778"/>
      <c r="H973" s="815">
        <v>0</v>
      </c>
      <c r="I973" s="815">
        <v>0</v>
      </c>
      <c r="J973" s="815">
        <v>0</v>
      </c>
      <c r="K973" s="815">
        <v>0</v>
      </c>
      <c r="L973" s="815">
        <v>0</v>
      </c>
      <c r="M973" s="815">
        <v>0</v>
      </c>
      <c r="N973" s="815">
        <v>0</v>
      </c>
      <c r="O973" s="815">
        <v>0</v>
      </c>
      <c r="P973" s="772">
        <v>0</v>
      </c>
      <c r="Q973" s="774"/>
      <c r="R973" s="774">
        <v>1565</v>
      </c>
      <c r="S973" s="774"/>
      <c r="T973" s="774"/>
      <c r="U973" s="774"/>
      <c r="V973" s="774"/>
    </row>
    <row r="974" spans="1:22" hidden="1">
      <c r="A974" s="786">
        <v>974</v>
      </c>
      <c r="B974" s="767"/>
      <c r="C974" s="767"/>
      <c r="D974" s="767"/>
      <c r="E974" s="767" t="s">
        <v>1005</v>
      </c>
      <c r="F974" s="806" t="s">
        <v>1411</v>
      </c>
      <c r="G974" s="778"/>
      <c r="H974" s="815">
        <v>503724.69182073919</v>
      </c>
      <c r="I974" s="815">
        <v>234586.46815019893</v>
      </c>
      <c r="J974" s="815">
        <v>72739.162802325023</v>
      </c>
      <c r="K974" s="815">
        <v>99622.903565925531</v>
      </c>
      <c r="L974" s="815">
        <v>39782.098741501359</v>
      </c>
      <c r="M974" s="815">
        <v>31887.212330369206</v>
      </c>
      <c r="N974" s="815">
        <v>22757.229167612881</v>
      </c>
      <c r="O974" s="815">
        <v>2349.6170628061409</v>
      </c>
      <c r="P974" s="772">
        <v>0</v>
      </c>
      <c r="Q974" s="774"/>
      <c r="R974" s="774">
        <v>1566</v>
      </c>
      <c r="S974" s="774"/>
      <c r="T974" s="774"/>
      <c r="U974" s="774"/>
      <c r="V974" s="774"/>
    </row>
    <row r="975" spans="1:22" hidden="1">
      <c r="A975" s="786">
        <v>975</v>
      </c>
      <c r="B975" s="767"/>
      <c r="C975" s="767"/>
      <c r="D975" s="767" t="s">
        <v>1181</v>
      </c>
      <c r="E975" s="767"/>
      <c r="F975" s="806"/>
      <c r="G975" s="778"/>
      <c r="H975" s="815">
        <v>1680825.2026989413</v>
      </c>
      <c r="I975" s="815">
        <v>871175.86436387454</v>
      </c>
      <c r="J975" s="815">
        <v>257567.40423529843</v>
      </c>
      <c r="K975" s="815">
        <v>279787.87529923033</v>
      </c>
      <c r="L975" s="815">
        <v>109134.89451114569</v>
      </c>
      <c r="M975" s="815">
        <v>68509.577316994139</v>
      </c>
      <c r="N975" s="815">
        <v>81387.343845739408</v>
      </c>
      <c r="O975" s="815">
        <v>13262.243126658916</v>
      </c>
      <c r="P975" s="772">
        <v>0</v>
      </c>
      <c r="Q975" s="774"/>
      <c r="R975" s="774"/>
      <c r="S975" s="774"/>
      <c r="T975" s="774"/>
      <c r="U975" s="774"/>
      <c r="V975" s="774"/>
    </row>
    <row r="976" spans="1:22" hidden="1">
      <c r="A976" s="786">
        <v>976</v>
      </c>
      <c r="B976" s="767"/>
      <c r="C976" s="767"/>
      <c r="D976" s="767"/>
      <c r="E976" s="767"/>
      <c r="F976" s="806"/>
      <c r="G976" s="778"/>
      <c r="H976" s="810"/>
      <c r="I976" s="810"/>
      <c r="J976" s="810"/>
      <c r="K976" s="810"/>
      <c r="L976" s="810"/>
      <c r="M976" s="810"/>
      <c r="N976" s="810"/>
      <c r="O976" s="810"/>
      <c r="P976" s="772"/>
      <c r="R976" s="774"/>
    </row>
    <row r="977" spans="1:22" hidden="1">
      <c r="A977" s="786">
        <v>977</v>
      </c>
      <c r="B977" s="767"/>
      <c r="C977" s="767" t="s">
        <v>1182</v>
      </c>
      <c r="D977" s="775" t="s">
        <v>1063</v>
      </c>
      <c r="E977" s="767"/>
      <c r="F977" s="806"/>
      <c r="G977" s="778"/>
      <c r="H977" s="788"/>
      <c r="I977" s="788"/>
      <c r="J977" s="788"/>
      <c r="K977" s="788"/>
      <c r="L977" s="788"/>
      <c r="M977" s="788"/>
      <c r="N977" s="788"/>
      <c r="O977" s="788"/>
      <c r="P977" s="772"/>
      <c r="R977" s="774"/>
    </row>
    <row r="978" spans="1:22" hidden="1">
      <c r="A978" s="786">
        <v>978</v>
      </c>
      <c r="B978" s="767"/>
      <c r="C978" s="767"/>
      <c r="D978" s="767"/>
      <c r="E978" s="767" t="s">
        <v>727</v>
      </c>
      <c r="F978" s="806" t="s">
        <v>1425</v>
      </c>
      <c r="G978" s="778"/>
      <c r="H978" s="815">
        <v>13944364.900000002</v>
      </c>
      <c r="I978" s="815">
        <v>7268536.9515701681</v>
      </c>
      <c r="J978" s="815">
        <v>2204932.2184577291</v>
      </c>
      <c r="K978" s="815">
        <v>2278153.7079381719</v>
      </c>
      <c r="L978" s="815">
        <v>878009.91880693869</v>
      </c>
      <c r="M978" s="815">
        <v>464713.96086311678</v>
      </c>
      <c r="N978" s="815">
        <v>730271.13722293428</v>
      </c>
      <c r="O978" s="815">
        <v>119747.00514094022</v>
      </c>
      <c r="P978" s="772">
        <v>0</v>
      </c>
      <c r="Q978" s="774"/>
      <c r="R978" s="774">
        <v>1570</v>
      </c>
      <c r="S978" s="774"/>
      <c r="T978" s="774"/>
      <c r="U978" s="774"/>
      <c r="V978" s="774"/>
    </row>
    <row r="979" spans="1:22" hidden="1">
      <c r="A979" s="786">
        <v>979</v>
      </c>
      <c r="B979" s="767"/>
      <c r="C979" s="767"/>
      <c r="D979" s="767"/>
      <c r="E979" s="767" t="s">
        <v>835</v>
      </c>
      <c r="F979" s="806" t="s">
        <v>1426</v>
      </c>
      <c r="G979" s="778"/>
      <c r="H979" s="815">
        <v>0</v>
      </c>
      <c r="I979" s="815">
        <v>0</v>
      </c>
      <c r="J979" s="815">
        <v>0</v>
      </c>
      <c r="K979" s="815">
        <v>0</v>
      </c>
      <c r="L979" s="815">
        <v>0</v>
      </c>
      <c r="M979" s="815">
        <v>0</v>
      </c>
      <c r="N979" s="815">
        <v>0</v>
      </c>
      <c r="O979" s="815">
        <v>0</v>
      </c>
      <c r="P979" s="772">
        <v>0</v>
      </c>
      <c r="Q979" s="774"/>
      <c r="R979" s="774">
        <v>1571</v>
      </c>
      <c r="S979" s="774"/>
      <c r="T979" s="774"/>
      <c r="U979" s="774"/>
      <c r="V979" s="774"/>
    </row>
    <row r="980" spans="1:22" hidden="1">
      <c r="A980" s="786">
        <v>980</v>
      </c>
      <c r="B980" s="767"/>
      <c r="C980" s="767"/>
      <c r="D980" s="767"/>
      <c r="E980" s="767" t="s">
        <v>1002</v>
      </c>
      <c r="F980" s="806" t="s">
        <v>1426</v>
      </c>
      <c r="G980" s="778"/>
      <c r="H980" s="815">
        <v>0</v>
      </c>
      <c r="I980" s="815">
        <v>0</v>
      </c>
      <c r="J980" s="815">
        <v>0</v>
      </c>
      <c r="K980" s="815">
        <v>0</v>
      </c>
      <c r="L980" s="815">
        <v>0</v>
      </c>
      <c r="M980" s="815">
        <v>0</v>
      </c>
      <c r="N980" s="815">
        <v>0</v>
      </c>
      <c r="O980" s="815">
        <v>0</v>
      </c>
      <c r="P980" s="772">
        <v>0</v>
      </c>
      <c r="Q980" s="774"/>
      <c r="R980" s="774">
        <v>1572</v>
      </c>
      <c r="S980" s="774"/>
      <c r="T980" s="774"/>
      <c r="U980" s="774"/>
      <c r="V980" s="774"/>
    </row>
    <row r="981" spans="1:22" hidden="1">
      <c r="A981" s="786">
        <v>981</v>
      </c>
      <c r="B981" s="767"/>
      <c r="C981" s="767"/>
      <c r="D981" s="767"/>
      <c r="E981" s="767" t="s">
        <v>1003</v>
      </c>
      <c r="F981" s="806" t="s">
        <v>1410</v>
      </c>
      <c r="G981" s="778"/>
      <c r="H981" s="815">
        <v>569294.37611125188</v>
      </c>
      <c r="I981" s="815">
        <v>464191.83208191133</v>
      </c>
      <c r="J981" s="815">
        <v>80570.755132848048</v>
      </c>
      <c r="K981" s="815">
        <v>4689.4004211189067</v>
      </c>
      <c r="L981" s="815">
        <v>1199.7645859633776</v>
      </c>
      <c r="M981" s="815">
        <v>18.607557907080928</v>
      </c>
      <c r="N981" s="815">
        <v>7885.5089728639441</v>
      </c>
      <c r="O981" s="815">
        <v>10738.507358639166</v>
      </c>
      <c r="P981" s="772">
        <v>0</v>
      </c>
      <c r="Q981" s="774"/>
      <c r="R981" s="774">
        <v>1573</v>
      </c>
      <c r="S981" s="774"/>
      <c r="T981" s="774"/>
      <c r="U981" s="774"/>
      <c r="V981" s="774"/>
    </row>
    <row r="982" spans="1:22" hidden="1">
      <c r="A982" s="786">
        <v>982</v>
      </c>
      <c r="B982" s="767"/>
      <c r="C982" s="767"/>
      <c r="D982" s="767"/>
      <c r="E982" s="767" t="s">
        <v>1180</v>
      </c>
      <c r="F982" s="806" t="s">
        <v>1426</v>
      </c>
      <c r="G982" s="778"/>
      <c r="H982" s="815">
        <v>718671.99932019215</v>
      </c>
      <c r="I982" s="815">
        <v>312348.45367790444</v>
      </c>
      <c r="J982" s="815">
        <v>95660.911062215659</v>
      </c>
      <c r="K982" s="815">
        <v>156985.0980092992</v>
      </c>
      <c r="L982" s="815">
        <v>63751.357204132903</v>
      </c>
      <c r="M982" s="815">
        <v>61573.113212960234</v>
      </c>
      <c r="N982" s="815">
        <v>27384.009382668239</v>
      </c>
      <c r="O982" s="815">
        <v>969.05677101141794</v>
      </c>
      <c r="P982" s="772">
        <v>0</v>
      </c>
      <c r="Q982" s="774"/>
      <c r="R982" s="774">
        <v>1574</v>
      </c>
      <c r="S982" s="774"/>
      <c r="T982" s="774"/>
      <c r="U982" s="774"/>
      <c r="V982" s="774"/>
    </row>
    <row r="983" spans="1:22" hidden="1">
      <c r="A983" s="786">
        <v>983</v>
      </c>
      <c r="B983" s="767"/>
      <c r="C983" s="767"/>
      <c r="D983" s="767"/>
      <c r="E983" s="767" t="s">
        <v>718</v>
      </c>
      <c r="F983" s="806" t="s">
        <v>1426</v>
      </c>
      <c r="G983" s="778"/>
      <c r="H983" s="815">
        <v>4839.613294965402</v>
      </c>
      <c r="I983" s="815">
        <v>2103.3875405071726</v>
      </c>
      <c r="J983" s="815">
        <v>644.1906981531597</v>
      </c>
      <c r="K983" s="815">
        <v>1057.154262522977</v>
      </c>
      <c r="L983" s="815">
        <v>429.30838572959181</v>
      </c>
      <c r="M983" s="815">
        <v>414.63986018618743</v>
      </c>
      <c r="N983" s="815">
        <v>184.40681702247997</v>
      </c>
      <c r="O983" s="815">
        <v>6.5257308438332711</v>
      </c>
      <c r="P983" s="772">
        <v>0</v>
      </c>
      <c r="Q983" s="774"/>
      <c r="R983" s="774">
        <v>1575</v>
      </c>
      <c r="S983" s="774"/>
      <c r="T983" s="774"/>
      <c r="U983" s="774"/>
      <c r="V983" s="774"/>
    </row>
    <row r="984" spans="1:22" hidden="1">
      <c r="A984" s="786">
        <v>984</v>
      </c>
      <c r="B984" s="767"/>
      <c r="C984" s="767"/>
      <c r="D984" s="767"/>
      <c r="E984" s="767" t="s">
        <v>1005</v>
      </c>
      <c r="F984" s="806" t="s">
        <v>1411</v>
      </c>
      <c r="G984" s="778"/>
      <c r="H984" s="815">
        <v>6470447.4600448664</v>
      </c>
      <c r="I984" s="815">
        <v>3013311.5204595122</v>
      </c>
      <c r="J984" s="815">
        <v>934349.53426421736</v>
      </c>
      <c r="K984" s="815">
        <v>1279676.72382801</v>
      </c>
      <c r="L984" s="815">
        <v>511009.25552564638</v>
      </c>
      <c r="M984" s="815">
        <v>409597.81281552429</v>
      </c>
      <c r="N984" s="815">
        <v>292321.29783632187</v>
      </c>
      <c r="O984" s="815">
        <v>30181.315315633568</v>
      </c>
      <c r="P984" s="772">
        <v>0</v>
      </c>
      <c r="Q984" s="774"/>
      <c r="R984" s="774">
        <v>1576</v>
      </c>
      <c r="S984" s="774"/>
      <c r="T984" s="774"/>
      <c r="U984" s="774"/>
      <c r="V984" s="774"/>
    </row>
    <row r="985" spans="1:22" hidden="1">
      <c r="A985" s="786">
        <v>985</v>
      </c>
      <c r="F985" s="806"/>
      <c r="R985" s="774"/>
    </row>
    <row r="986" spans="1:22" hidden="1">
      <c r="A986" s="786">
        <v>986</v>
      </c>
      <c r="B986" s="767"/>
      <c r="C986" s="767"/>
      <c r="D986" s="775" t="s">
        <v>1183</v>
      </c>
      <c r="E986" s="767"/>
      <c r="F986" s="806"/>
      <c r="G986" s="778"/>
      <c r="H986" s="815">
        <v>21707618.34877127</v>
      </c>
      <c r="I986" s="815">
        <v>11060492.145330004</v>
      </c>
      <c r="J986" s="815">
        <v>3316157.6096151634</v>
      </c>
      <c r="K986" s="815">
        <v>3720562.0844591227</v>
      </c>
      <c r="L986" s="815">
        <v>1454399.6045084111</v>
      </c>
      <c r="M986" s="815">
        <v>936318.13430969464</v>
      </c>
      <c r="N986" s="815">
        <v>1058046.3602318109</v>
      </c>
      <c r="O986" s="815">
        <v>161642.41031706822</v>
      </c>
      <c r="P986" s="772">
        <v>0</v>
      </c>
      <c r="Q986" s="774"/>
      <c r="R986" s="774"/>
      <c r="S986" s="774"/>
      <c r="T986" s="774"/>
      <c r="U986" s="774"/>
      <c r="V986" s="774"/>
    </row>
    <row r="987" spans="1:22" hidden="1">
      <c r="A987" s="786">
        <v>987</v>
      </c>
      <c r="B987" s="767"/>
      <c r="C987" s="767"/>
      <c r="D987" s="767"/>
      <c r="E987" s="767"/>
      <c r="F987" s="806"/>
      <c r="G987" s="778"/>
      <c r="H987" s="810"/>
      <c r="I987" s="810"/>
      <c r="J987" s="810"/>
      <c r="K987" s="810"/>
      <c r="L987" s="810"/>
      <c r="M987" s="810"/>
      <c r="N987" s="810"/>
      <c r="O987" s="810"/>
      <c r="P987" s="772"/>
      <c r="R987" s="774"/>
    </row>
    <row r="988" spans="1:22" hidden="1">
      <c r="A988" s="786">
        <v>988</v>
      </c>
      <c r="B988" s="767"/>
      <c r="C988" s="767" t="s">
        <v>1184</v>
      </c>
      <c r="D988" s="775" t="s">
        <v>1185</v>
      </c>
      <c r="E988" s="767"/>
      <c r="F988" s="806"/>
      <c r="G988" s="778"/>
      <c r="H988" s="788"/>
      <c r="I988" s="788"/>
      <c r="J988" s="788"/>
      <c r="K988" s="788"/>
      <c r="L988" s="788"/>
      <c r="M988" s="788"/>
      <c r="N988" s="788"/>
      <c r="O988" s="788"/>
      <c r="P988" s="772"/>
      <c r="R988" s="774"/>
    </row>
    <row r="989" spans="1:22" hidden="1">
      <c r="A989" s="786">
        <v>989</v>
      </c>
      <c r="B989" s="767"/>
      <c r="C989" s="767"/>
      <c r="D989" s="767"/>
      <c r="E989" s="767" t="s">
        <v>727</v>
      </c>
      <c r="F989" s="806" t="s">
        <v>1425</v>
      </c>
      <c r="G989" s="778"/>
      <c r="H989" s="815">
        <v>308216.82</v>
      </c>
      <c r="I989" s="815">
        <v>160658.82966569896</v>
      </c>
      <c r="J989" s="815">
        <v>48736.331956472714</v>
      </c>
      <c r="K989" s="815">
        <v>50354.77028659168</v>
      </c>
      <c r="L989" s="815">
        <v>19406.938002829575</v>
      </c>
      <c r="M989" s="815">
        <v>10271.723398950518</v>
      </c>
      <c r="N989" s="815">
        <v>16141.419796941518</v>
      </c>
      <c r="O989" s="815">
        <v>2646.8068925150005</v>
      </c>
      <c r="P989" s="772">
        <v>0</v>
      </c>
      <c r="Q989" s="774"/>
      <c r="R989" s="774">
        <v>1580</v>
      </c>
      <c r="S989" s="774"/>
      <c r="T989" s="774"/>
      <c r="U989" s="774"/>
      <c r="V989" s="774"/>
    </row>
    <row r="990" spans="1:22" hidden="1">
      <c r="A990" s="786">
        <v>990</v>
      </c>
      <c r="B990" s="767"/>
      <c r="C990" s="767"/>
      <c r="D990" s="767"/>
      <c r="E990" s="767" t="s">
        <v>1186</v>
      </c>
      <c r="F990" s="806" t="s">
        <v>1426</v>
      </c>
      <c r="G990" s="778"/>
      <c r="H990" s="815">
        <v>0</v>
      </c>
      <c r="I990" s="815">
        <v>0</v>
      </c>
      <c r="J990" s="815">
        <v>0</v>
      </c>
      <c r="K990" s="815">
        <v>0</v>
      </c>
      <c r="L990" s="815">
        <v>0</v>
      </c>
      <c r="M990" s="815">
        <v>0</v>
      </c>
      <c r="N990" s="815">
        <v>0</v>
      </c>
      <c r="O990" s="815">
        <v>0</v>
      </c>
      <c r="P990" s="772">
        <v>0</v>
      </c>
      <c r="Q990" s="774"/>
      <c r="R990" s="774">
        <v>1581</v>
      </c>
      <c r="S990" s="774"/>
      <c r="T990" s="774"/>
      <c r="U990" s="774"/>
      <c r="V990" s="774"/>
    </row>
    <row r="991" spans="1:22" hidden="1">
      <c r="A991" s="786">
        <v>991</v>
      </c>
      <c r="B991" s="767"/>
      <c r="C991" s="767"/>
      <c r="D991" s="767"/>
      <c r="E991" s="767" t="s">
        <v>1187</v>
      </c>
      <c r="F991" s="806" t="s">
        <v>1426</v>
      </c>
      <c r="G991" s="778"/>
      <c r="H991" s="815">
        <v>0</v>
      </c>
      <c r="I991" s="815">
        <v>0</v>
      </c>
      <c r="J991" s="815">
        <v>0</v>
      </c>
      <c r="K991" s="815">
        <v>0</v>
      </c>
      <c r="L991" s="815">
        <v>0</v>
      </c>
      <c r="M991" s="815">
        <v>0</v>
      </c>
      <c r="N991" s="815">
        <v>0</v>
      </c>
      <c r="O991" s="815">
        <v>0</v>
      </c>
      <c r="P991" s="772">
        <v>0</v>
      </c>
      <c r="Q991" s="774"/>
      <c r="R991" s="774">
        <v>1582</v>
      </c>
      <c r="S991" s="774"/>
      <c r="T991" s="774"/>
      <c r="U991" s="774"/>
      <c r="V991" s="774"/>
    </row>
    <row r="992" spans="1:22" hidden="1">
      <c r="A992" s="786">
        <v>992</v>
      </c>
      <c r="B992" s="767"/>
      <c r="C992" s="767"/>
      <c r="D992" s="767"/>
      <c r="E992" s="767" t="s">
        <v>1003</v>
      </c>
      <c r="F992" s="806" t="s">
        <v>1410</v>
      </c>
      <c r="G992" s="778"/>
      <c r="H992" s="815">
        <v>280264.82789480814</v>
      </c>
      <c r="I992" s="815">
        <v>228522.62271986503</v>
      </c>
      <c r="J992" s="815">
        <v>39665.153509701217</v>
      </c>
      <c r="K992" s="815">
        <v>2308.601765807528</v>
      </c>
      <c r="L992" s="815">
        <v>590.64664839338104</v>
      </c>
      <c r="M992" s="815">
        <v>9.1605401936231061</v>
      </c>
      <c r="N992" s="815">
        <v>3882.052779511022</v>
      </c>
      <c r="O992" s="815">
        <v>5286.5899313363207</v>
      </c>
      <c r="P992" s="772">
        <v>0</v>
      </c>
      <c r="Q992" s="774"/>
      <c r="R992" s="774">
        <v>1583</v>
      </c>
      <c r="S992" s="774"/>
      <c r="T992" s="774"/>
      <c r="U992" s="774"/>
      <c r="V992" s="774"/>
    </row>
    <row r="993" spans="1:22" hidden="1">
      <c r="A993" s="786">
        <v>993</v>
      </c>
      <c r="B993" s="767"/>
      <c r="C993" s="767"/>
      <c r="D993" s="767"/>
      <c r="E993" s="767" t="s">
        <v>1180</v>
      </c>
      <c r="F993" s="806" t="s">
        <v>1426</v>
      </c>
      <c r="G993" s="778"/>
      <c r="H993" s="815">
        <v>113963.75839188171</v>
      </c>
      <c r="I993" s="815">
        <v>49530.806463446454</v>
      </c>
      <c r="J993" s="815">
        <v>15169.47504028814</v>
      </c>
      <c r="K993" s="815">
        <v>24893.987518062168</v>
      </c>
      <c r="L993" s="815">
        <v>10109.402170167756</v>
      </c>
      <c r="M993" s="815">
        <v>9763.9860802638941</v>
      </c>
      <c r="N993" s="815">
        <v>4342.4324755096131</v>
      </c>
      <c r="O993" s="815">
        <v>153.66864414368086</v>
      </c>
      <c r="P993" s="772">
        <v>0</v>
      </c>
      <c r="Q993" s="774"/>
      <c r="R993" s="774">
        <v>1584</v>
      </c>
      <c r="S993" s="774"/>
      <c r="T993" s="774"/>
      <c r="U993" s="774"/>
      <c r="V993" s="774"/>
    </row>
    <row r="994" spans="1:22" hidden="1">
      <c r="A994" s="786">
        <v>994</v>
      </c>
      <c r="B994" s="767"/>
      <c r="C994" s="767"/>
      <c r="D994" s="767"/>
      <c r="E994" s="767" t="s">
        <v>738</v>
      </c>
      <c r="F994" s="806" t="s">
        <v>1392</v>
      </c>
      <c r="G994" s="778"/>
      <c r="H994" s="815">
        <v>0</v>
      </c>
      <c r="I994" s="815">
        <v>0</v>
      </c>
      <c r="J994" s="815">
        <v>0</v>
      </c>
      <c r="K994" s="815">
        <v>0</v>
      </c>
      <c r="L994" s="815">
        <v>0</v>
      </c>
      <c r="M994" s="815">
        <v>0</v>
      </c>
      <c r="N994" s="815">
        <v>0</v>
      </c>
      <c r="O994" s="815">
        <v>0</v>
      </c>
      <c r="P994" s="772">
        <v>0</v>
      </c>
      <c r="Q994" s="774"/>
      <c r="R994" s="774">
        <v>1585</v>
      </c>
      <c r="S994" s="774"/>
      <c r="T994" s="774"/>
      <c r="U994" s="774"/>
      <c r="V994" s="774"/>
    </row>
    <row r="995" spans="1:22" hidden="1">
      <c r="A995" s="786">
        <v>995</v>
      </c>
      <c r="B995" s="767"/>
      <c r="C995" s="767"/>
      <c r="D995" s="767"/>
      <c r="E995" s="767" t="s">
        <v>1005</v>
      </c>
      <c r="F995" s="806" t="s">
        <v>1411</v>
      </c>
      <c r="G995" s="778"/>
      <c r="H995" s="815">
        <v>3448459.670240243</v>
      </c>
      <c r="I995" s="815">
        <v>1605960.5330761592</v>
      </c>
      <c r="J995" s="815">
        <v>497966.59453835752</v>
      </c>
      <c r="K995" s="815">
        <v>682010.57196057576</v>
      </c>
      <c r="L995" s="815">
        <v>272345.12291171023</v>
      </c>
      <c r="M995" s="815">
        <v>218297.35072188557</v>
      </c>
      <c r="N995" s="815">
        <v>155794.20319315171</v>
      </c>
      <c r="O995" s="815">
        <v>16085.293838402456</v>
      </c>
      <c r="P995" s="772">
        <v>0</v>
      </c>
      <c r="Q995" s="774"/>
      <c r="R995" s="774">
        <v>1586</v>
      </c>
      <c r="S995" s="774"/>
      <c r="T995" s="774"/>
      <c r="U995" s="774"/>
      <c r="V995" s="774"/>
    </row>
    <row r="996" spans="1:22" hidden="1">
      <c r="A996" s="786">
        <v>996</v>
      </c>
      <c r="B996" s="767"/>
      <c r="C996" s="767"/>
      <c r="D996" s="767"/>
      <c r="E996" s="767" t="s">
        <v>718</v>
      </c>
      <c r="F996" s="806" t="s">
        <v>1426</v>
      </c>
      <c r="G996" s="778"/>
      <c r="H996" s="815">
        <v>47925.07262370667</v>
      </c>
      <c r="I996" s="815">
        <v>20829.143671349189</v>
      </c>
      <c r="J996" s="815">
        <v>6379.2051370350646</v>
      </c>
      <c r="K996" s="815">
        <v>10468.645265228144</v>
      </c>
      <c r="L996" s="815">
        <v>4251.2974302018174</v>
      </c>
      <c r="M996" s="815">
        <v>4106.0399252929719</v>
      </c>
      <c r="N996" s="815">
        <v>1826.1190635422702</v>
      </c>
      <c r="O996" s="815">
        <v>64.622131057210424</v>
      </c>
      <c r="P996" s="772">
        <v>0</v>
      </c>
      <c r="Q996" s="774"/>
      <c r="R996" s="774">
        <v>1587</v>
      </c>
      <c r="S996" s="774"/>
      <c r="T996" s="774"/>
      <c r="U996" s="774"/>
      <c r="V996" s="774"/>
    </row>
    <row r="997" spans="1:22" hidden="1">
      <c r="A997" s="786">
        <v>997</v>
      </c>
      <c r="B997" s="767"/>
      <c r="C997" s="767"/>
      <c r="D997" s="767"/>
      <c r="E997" s="767" t="s">
        <v>723</v>
      </c>
      <c r="F997" s="806" t="s">
        <v>1392</v>
      </c>
      <c r="G997" s="778"/>
      <c r="H997" s="815">
        <v>0</v>
      </c>
      <c r="I997" s="815">
        <v>0</v>
      </c>
      <c r="J997" s="815">
        <v>0</v>
      </c>
      <c r="K997" s="815">
        <v>0</v>
      </c>
      <c r="L997" s="815">
        <v>0</v>
      </c>
      <c r="M997" s="815">
        <v>0</v>
      </c>
      <c r="N997" s="815">
        <v>0</v>
      </c>
      <c r="O997" s="815">
        <v>0</v>
      </c>
      <c r="P997" s="772">
        <v>0</v>
      </c>
      <c r="Q997" s="774"/>
      <c r="R997" s="774">
        <v>1588</v>
      </c>
      <c r="S997" s="774"/>
      <c r="T997" s="774"/>
      <c r="U997" s="774"/>
      <c r="V997" s="774"/>
    </row>
    <row r="998" spans="1:22" hidden="1">
      <c r="A998" s="786">
        <v>998</v>
      </c>
      <c r="B998" s="767"/>
      <c r="C998" s="767"/>
      <c r="D998" s="775" t="s">
        <v>1188</v>
      </c>
      <c r="E998" s="767"/>
      <c r="F998" s="806"/>
      <c r="G998" s="778"/>
      <c r="H998" s="815">
        <v>4198830.1491506388</v>
      </c>
      <c r="I998" s="815">
        <v>2065501.9355965189</v>
      </c>
      <c r="J998" s="815">
        <v>607916.76018185471</v>
      </c>
      <c r="K998" s="815">
        <v>770036.57679626532</v>
      </c>
      <c r="L998" s="815">
        <v>306703.40716330276</v>
      </c>
      <c r="M998" s="815">
        <v>242448.26066658658</v>
      </c>
      <c r="N998" s="815">
        <v>181986.22730865615</v>
      </c>
      <c r="O998" s="815">
        <v>24236.98143745467</v>
      </c>
      <c r="P998" s="772">
        <v>0</v>
      </c>
      <c r="Q998" s="774"/>
      <c r="R998" s="774"/>
      <c r="S998" s="774"/>
      <c r="T998" s="774"/>
      <c r="U998" s="774"/>
      <c r="V998" s="774"/>
    </row>
    <row r="999" spans="1:22" hidden="1">
      <c r="A999" s="786">
        <v>999</v>
      </c>
      <c r="B999" s="767"/>
      <c r="C999" s="767"/>
      <c r="D999" s="767"/>
      <c r="E999" s="767"/>
      <c r="F999" s="806"/>
      <c r="G999" s="778"/>
      <c r="H999" s="810"/>
      <c r="I999" s="810"/>
      <c r="J999" s="810"/>
      <c r="K999" s="810"/>
      <c r="L999" s="810"/>
      <c r="M999" s="810"/>
      <c r="N999" s="810"/>
      <c r="O999" s="810"/>
      <c r="P999" s="772"/>
      <c r="R999" s="774"/>
    </row>
    <row r="1000" spans="1:22" hidden="1">
      <c r="A1000" s="786">
        <v>1000</v>
      </c>
      <c r="B1000" s="767"/>
      <c r="C1000" s="767" t="s">
        <v>1189</v>
      </c>
      <c r="D1000" s="775" t="s">
        <v>1190</v>
      </c>
      <c r="E1000" s="767"/>
      <c r="F1000" s="806"/>
      <c r="G1000" s="778"/>
      <c r="H1000" s="788"/>
      <c r="I1000" s="788"/>
      <c r="J1000" s="788"/>
      <c r="K1000" s="788"/>
      <c r="L1000" s="788"/>
      <c r="M1000" s="788"/>
      <c r="N1000" s="788"/>
      <c r="O1000" s="788"/>
      <c r="P1000" s="772"/>
      <c r="R1000" s="774"/>
    </row>
    <row r="1001" spans="1:22" hidden="1">
      <c r="A1001" s="786">
        <v>1001</v>
      </c>
      <c r="B1001" s="767"/>
      <c r="C1001" s="767"/>
      <c r="D1001" s="767"/>
      <c r="E1001" s="767" t="s">
        <v>727</v>
      </c>
      <c r="F1001" s="806" t="s">
        <v>1425</v>
      </c>
      <c r="G1001" s="778"/>
      <c r="H1001" s="815">
        <v>5327124.9900000012</v>
      </c>
      <c r="I1001" s="815">
        <v>2776777.939556635</v>
      </c>
      <c r="J1001" s="815">
        <v>842343.8146116148</v>
      </c>
      <c r="K1001" s="815">
        <v>870316.40635125642</v>
      </c>
      <c r="L1001" s="815">
        <v>335423.56453568675</v>
      </c>
      <c r="M1001" s="815">
        <v>177533.31699716143</v>
      </c>
      <c r="N1001" s="815">
        <v>278983.34936544963</v>
      </c>
      <c r="O1001" s="815">
        <v>45746.598582195824</v>
      </c>
      <c r="P1001" s="772">
        <v>0</v>
      </c>
      <c r="Q1001" s="774"/>
      <c r="R1001" s="774">
        <v>1592</v>
      </c>
      <c r="S1001" s="774"/>
      <c r="T1001" s="774"/>
      <c r="U1001" s="774"/>
      <c r="V1001" s="774"/>
    </row>
    <row r="1002" spans="1:22" hidden="1">
      <c r="A1002" s="786">
        <v>1002</v>
      </c>
      <c r="B1002" s="767"/>
      <c r="C1002" s="767"/>
      <c r="D1002" s="767"/>
      <c r="E1002" s="767" t="s">
        <v>1005</v>
      </c>
      <c r="F1002" s="806" t="s">
        <v>1411</v>
      </c>
      <c r="G1002" s="778"/>
      <c r="H1002" s="815">
        <v>462007.7320132489</v>
      </c>
      <c r="I1002" s="815">
        <v>215158.72434071824</v>
      </c>
      <c r="J1002" s="815">
        <v>66715.124711027805</v>
      </c>
      <c r="K1002" s="815">
        <v>91372.43514250312</v>
      </c>
      <c r="L1002" s="815">
        <v>36487.465301440774</v>
      </c>
      <c r="M1002" s="815">
        <v>29246.40957291313</v>
      </c>
      <c r="N1002" s="815">
        <v>20872.544080837346</v>
      </c>
      <c r="O1002" s="815">
        <v>2155.0288638084248</v>
      </c>
      <c r="P1002" s="772">
        <v>0</v>
      </c>
      <c r="Q1002" s="774"/>
      <c r="R1002" s="774">
        <v>1593</v>
      </c>
      <c r="S1002" s="774"/>
      <c r="T1002" s="774"/>
      <c r="U1002" s="774"/>
      <c r="V1002" s="774"/>
    </row>
    <row r="1003" spans="1:22" hidden="1">
      <c r="A1003" s="786">
        <v>1003</v>
      </c>
      <c r="B1003" s="767"/>
      <c r="C1003" s="767"/>
      <c r="D1003" s="767"/>
      <c r="E1003" s="767" t="s">
        <v>1180</v>
      </c>
      <c r="F1003" s="806" t="s">
        <v>1426</v>
      </c>
      <c r="G1003" s="778"/>
      <c r="H1003" s="815">
        <v>1252330.2622511941</v>
      </c>
      <c r="I1003" s="815">
        <v>544286.43564548949</v>
      </c>
      <c r="J1003" s="815">
        <v>166695.03466261839</v>
      </c>
      <c r="K1003" s="815">
        <v>273556.21082424355</v>
      </c>
      <c r="L1003" s="815">
        <v>111090.66996048493</v>
      </c>
      <c r="M1003" s="815">
        <v>107294.94552528679</v>
      </c>
      <c r="N1003" s="815">
        <v>47718.324470864827</v>
      </c>
      <c r="O1003" s="815">
        <v>1688.6411622060912</v>
      </c>
      <c r="P1003" s="772">
        <v>0</v>
      </c>
      <c r="Q1003" s="774"/>
      <c r="R1003" s="774">
        <v>1594</v>
      </c>
      <c r="S1003" s="774"/>
      <c r="T1003" s="774"/>
      <c r="U1003" s="774"/>
      <c r="V1003" s="774"/>
    </row>
    <row r="1004" spans="1:22" hidden="1">
      <c r="A1004" s="786">
        <v>1004</v>
      </c>
      <c r="B1004" s="767"/>
      <c r="C1004" s="767"/>
      <c r="D1004" s="767"/>
      <c r="E1004" s="767" t="s">
        <v>1003</v>
      </c>
      <c r="F1004" s="806" t="s">
        <v>1410</v>
      </c>
      <c r="G1004" s="778"/>
      <c r="H1004" s="815">
        <v>0</v>
      </c>
      <c r="I1004" s="815">
        <v>0</v>
      </c>
      <c r="J1004" s="815">
        <v>0</v>
      </c>
      <c r="K1004" s="815">
        <v>0</v>
      </c>
      <c r="L1004" s="815">
        <v>0</v>
      </c>
      <c r="M1004" s="815">
        <v>0</v>
      </c>
      <c r="N1004" s="815">
        <v>0</v>
      </c>
      <c r="O1004" s="815">
        <v>0</v>
      </c>
      <c r="P1004" s="772">
        <v>0</v>
      </c>
      <c r="Q1004" s="774"/>
      <c r="R1004" s="774">
        <v>1595</v>
      </c>
      <c r="S1004" s="774"/>
      <c r="T1004" s="774"/>
      <c r="U1004" s="774"/>
      <c r="V1004" s="774"/>
    </row>
    <row r="1005" spans="1:22" hidden="1">
      <c r="A1005" s="786">
        <v>1005</v>
      </c>
      <c r="B1005" s="767"/>
      <c r="C1005" s="767"/>
      <c r="D1005" s="767"/>
      <c r="E1005" s="767" t="s">
        <v>1191</v>
      </c>
      <c r="F1005" s="806" t="s">
        <v>1426</v>
      </c>
      <c r="G1005" s="778"/>
      <c r="H1005" s="815">
        <v>0</v>
      </c>
      <c r="I1005" s="815">
        <v>0</v>
      </c>
      <c r="J1005" s="815">
        <v>0</v>
      </c>
      <c r="K1005" s="815">
        <v>0</v>
      </c>
      <c r="L1005" s="815">
        <v>0</v>
      </c>
      <c r="M1005" s="815">
        <v>0</v>
      </c>
      <c r="N1005" s="815">
        <v>0</v>
      </c>
      <c r="O1005" s="815">
        <v>0</v>
      </c>
      <c r="P1005" s="772">
        <v>0</v>
      </c>
      <c r="Q1005" s="774"/>
      <c r="R1005" s="774">
        <v>1596</v>
      </c>
      <c r="S1005" s="774"/>
      <c r="T1005" s="774"/>
      <c r="U1005" s="774"/>
      <c r="V1005" s="774"/>
    </row>
    <row r="1006" spans="1:22" hidden="1">
      <c r="A1006" s="786">
        <v>1006</v>
      </c>
      <c r="B1006" s="767"/>
      <c r="C1006" s="767"/>
      <c r="D1006" s="767"/>
      <c r="E1006" s="767" t="s">
        <v>738</v>
      </c>
      <c r="F1006" s="806" t="s">
        <v>1392</v>
      </c>
      <c r="G1006" s="778"/>
      <c r="H1006" s="815">
        <v>0</v>
      </c>
      <c r="I1006" s="815">
        <v>0</v>
      </c>
      <c r="J1006" s="815">
        <v>0</v>
      </c>
      <c r="K1006" s="815">
        <v>0</v>
      </c>
      <c r="L1006" s="815">
        <v>0</v>
      </c>
      <c r="M1006" s="815">
        <v>0</v>
      </c>
      <c r="N1006" s="815">
        <v>0</v>
      </c>
      <c r="O1006" s="815">
        <v>0</v>
      </c>
      <c r="P1006" s="772">
        <v>0</v>
      </c>
      <c r="Q1006" s="774"/>
      <c r="R1006" s="774">
        <v>1597</v>
      </c>
      <c r="S1006" s="774"/>
      <c r="T1006" s="774"/>
      <c r="U1006" s="774"/>
      <c r="V1006" s="774"/>
    </row>
    <row r="1007" spans="1:22" hidden="1">
      <c r="A1007" s="786">
        <v>1007</v>
      </c>
      <c r="B1007" s="767"/>
      <c r="C1007" s="767"/>
      <c r="D1007" s="767"/>
      <c r="E1007" s="767" t="s">
        <v>1186</v>
      </c>
      <c r="F1007" s="806" t="s">
        <v>1426</v>
      </c>
      <c r="G1007" s="778"/>
      <c r="H1007" s="815">
        <v>0</v>
      </c>
      <c r="I1007" s="815">
        <v>0</v>
      </c>
      <c r="J1007" s="815">
        <v>0</v>
      </c>
      <c r="K1007" s="815">
        <v>0</v>
      </c>
      <c r="L1007" s="815">
        <v>0</v>
      </c>
      <c r="M1007" s="815">
        <v>0</v>
      </c>
      <c r="N1007" s="815">
        <v>0</v>
      </c>
      <c r="O1007" s="815">
        <v>0</v>
      </c>
      <c r="P1007" s="772">
        <v>0</v>
      </c>
      <c r="Q1007" s="774"/>
      <c r="R1007" s="774">
        <v>1598</v>
      </c>
      <c r="S1007" s="774"/>
      <c r="T1007" s="774"/>
      <c r="U1007" s="774"/>
      <c r="V1007" s="774"/>
    </row>
    <row r="1008" spans="1:22" hidden="1">
      <c r="A1008" s="786">
        <v>1008</v>
      </c>
      <c r="B1008" s="767"/>
      <c r="C1008" s="767"/>
      <c r="D1008" s="767"/>
      <c r="E1008" s="767" t="s">
        <v>718</v>
      </c>
      <c r="F1008" s="806" t="s">
        <v>1426</v>
      </c>
      <c r="G1008" s="778"/>
      <c r="H1008" s="815">
        <v>560792.14167177107</v>
      </c>
      <c r="I1008" s="815">
        <v>243730.8792489316</v>
      </c>
      <c r="J1008" s="815">
        <v>74645.85685764518</v>
      </c>
      <c r="K1008" s="815">
        <v>122498.17636760999</v>
      </c>
      <c r="L1008" s="815">
        <v>49746.282274536505</v>
      </c>
      <c r="M1008" s="815">
        <v>48046.560963494921</v>
      </c>
      <c r="N1008" s="815">
        <v>21368.214267138101</v>
      </c>
      <c r="O1008" s="815">
        <v>756.17169241472538</v>
      </c>
      <c r="P1008" s="772">
        <v>0</v>
      </c>
      <c r="Q1008" s="774"/>
      <c r="R1008" s="774">
        <v>1599</v>
      </c>
      <c r="S1008" s="774"/>
      <c r="T1008" s="774"/>
      <c r="U1008" s="774"/>
      <c r="V1008" s="774"/>
    </row>
    <row r="1009" spans="1:22" hidden="1">
      <c r="A1009" s="786">
        <v>1009</v>
      </c>
      <c r="B1009" s="767"/>
      <c r="C1009" s="767"/>
      <c r="D1009" s="767"/>
      <c r="E1009" s="767" t="s">
        <v>1192</v>
      </c>
      <c r="F1009" s="806" t="s">
        <v>1392</v>
      </c>
      <c r="G1009" s="778"/>
      <c r="H1009" s="815">
        <v>0</v>
      </c>
      <c r="I1009" s="815">
        <v>0</v>
      </c>
      <c r="J1009" s="815">
        <v>0</v>
      </c>
      <c r="K1009" s="815">
        <v>0</v>
      </c>
      <c r="L1009" s="815">
        <v>0</v>
      </c>
      <c r="M1009" s="815">
        <v>0</v>
      </c>
      <c r="N1009" s="815">
        <v>0</v>
      </c>
      <c r="O1009" s="815">
        <v>0</v>
      </c>
      <c r="P1009" s="772">
        <v>0</v>
      </c>
      <c r="Q1009" s="774"/>
      <c r="R1009" s="774">
        <v>1600</v>
      </c>
      <c r="S1009" s="774"/>
      <c r="T1009" s="774"/>
      <c r="U1009" s="774"/>
      <c r="V1009" s="774"/>
    </row>
    <row r="1010" spans="1:22" hidden="1">
      <c r="A1010" s="786">
        <v>1010</v>
      </c>
      <c r="B1010" s="767"/>
      <c r="C1010" s="767"/>
      <c r="D1010" s="775" t="s">
        <v>1193</v>
      </c>
      <c r="E1010" s="767"/>
      <c r="F1010" s="806"/>
      <c r="G1010" s="778"/>
      <c r="H1010" s="815">
        <v>7602255.1259362139</v>
      </c>
      <c r="I1010" s="815">
        <v>3779953.9787917743</v>
      </c>
      <c r="J1010" s="815">
        <v>1150399.8308429061</v>
      </c>
      <c r="K1010" s="815">
        <v>1357743.228685613</v>
      </c>
      <c r="L1010" s="815">
        <v>532747.98207214894</v>
      </c>
      <c r="M1010" s="815">
        <v>362121.23305885628</v>
      </c>
      <c r="N1010" s="815">
        <v>368942.43218428991</v>
      </c>
      <c r="O1010" s="815">
        <v>50346.440300625065</v>
      </c>
      <c r="P1010" s="772">
        <v>0</v>
      </c>
      <c r="Q1010" s="774"/>
      <c r="R1010" s="774"/>
      <c r="S1010" s="774"/>
      <c r="T1010" s="774"/>
      <c r="U1010" s="774"/>
      <c r="V1010" s="774"/>
    </row>
    <row r="1011" spans="1:22" hidden="1">
      <c r="A1011" s="786">
        <v>1011</v>
      </c>
      <c r="B1011" s="767"/>
      <c r="C1011" s="767"/>
      <c r="D1011" s="767"/>
      <c r="E1011" s="767"/>
      <c r="F1011" s="806"/>
      <c r="G1011" s="778"/>
      <c r="H1011" s="810"/>
      <c r="I1011" s="810"/>
      <c r="J1011" s="810"/>
      <c r="K1011" s="810"/>
      <c r="L1011" s="810"/>
      <c r="M1011" s="810"/>
      <c r="N1011" s="810"/>
      <c r="O1011" s="810"/>
      <c r="P1011" s="772"/>
      <c r="R1011" s="774"/>
    </row>
    <row r="1012" spans="1:22" hidden="1">
      <c r="A1012" s="786">
        <v>1012</v>
      </c>
      <c r="B1012" s="767"/>
      <c r="C1012" s="767" t="s">
        <v>1194</v>
      </c>
      <c r="D1012" s="775" t="s">
        <v>1195</v>
      </c>
      <c r="E1012" s="767"/>
      <c r="F1012" s="806"/>
      <c r="G1012" s="778"/>
      <c r="H1012" s="788"/>
      <c r="I1012" s="788"/>
      <c r="J1012" s="788"/>
      <c r="K1012" s="788"/>
      <c r="L1012" s="788"/>
      <c r="M1012" s="788"/>
      <c r="N1012" s="788"/>
      <c r="O1012" s="788"/>
      <c r="P1012" s="772"/>
      <c r="R1012" s="774"/>
    </row>
    <row r="1013" spans="1:22" hidden="1">
      <c r="A1013" s="786">
        <v>1013</v>
      </c>
      <c r="B1013" s="767"/>
      <c r="C1013" s="767"/>
      <c r="D1013" s="767"/>
      <c r="E1013" s="767" t="s">
        <v>727</v>
      </c>
      <c r="F1013" s="806" t="s">
        <v>1425</v>
      </c>
      <c r="G1013" s="778"/>
      <c r="H1013" s="815">
        <v>697109.07000000007</v>
      </c>
      <c r="I1013" s="815">
        <v>363369.93982205057</v>
      </c>
      <c r="J1013" s="815">
        <v>110229.34778636668</v>
      </c>
      <c r="K1013" s="815">
        <v>113889.84898536545</v>
      </c>
      <c r="L1013" s="815">
        <v>43893.621713118002</v>
      </c>
      <c r="M1013" s="815">
        <v>23232.059645348472</v>
      </c>
      <c r="N1013" s="815">
        <v>36507.839329227681</v>
      </c>
      <c r="O1013" s="815">
        <v>5986.4127185230254</v>
      </c>
      <c r="P1013" s="772">
        <v>0</v>
      </c>
      <c r="Q1013" s="774"/>
      <c r="R1013" s="774">
        <v>1604</v>
      </c>
      <c r="S1013" s="774"/>
      <c r="T1013" s="774"/>
      <c r="U1013" s="774"/>
      <c r="V1013" s="774"/>
    </row>
    <row r="1014" spans="1:22" hidden="1">
      <c r="A1014" s="786">
        <v>1014</v>
      </c>
      <c r="B1014" s="767"/>
      <c r="C1014" s="767"/>
      <c r="D1014" s="767"/>
      <c r="E1014" s="767" t="s">
        <v>1196</v>
      </c>
      <c r="F1014" s="806" t="s">
        <v>1426</v>
      </c>
      <c r="G1014" s="778"/>
      <c r="H1014" s="815">
        <v>0</v>
      </c>
      <c r="I1014" s="815">
        <v>0</v>
      </c>
      <c r="J1014" s="815">
        <v>0</v>
      </c>
      <c r="K1014" s="815">
        <v>0</v>
      </c>
      <c r="L1014" s="815">
        <v>0</v>
      </c>
      <c r="M1014" s="815">
        <v>0</v>
      </c>
      <c r="N1014" s="815">
        <v>0</v>
      </c>
      <c r="O1014" s="815">
        <v>0</v>
      </c>
      <c r="P1014" s="772">
        <v>0</v>
      </c>
      <c r="Q1014" s="774"/>
      <c r="R1014" s="774">
        <v>1605</v>
      </c>
      <c r="S1014" s="774"/>
      <c r="T1014" s="774"/>
      <c r="U1014" s="774"/>
      <c r="V1014" s="774"/>
    </row>
    <row r="1015" spans="1:22" hidden="1">
      <c r="A1015" s="786">
        <v>1015</v>
      </c>
      <c r="B1015" s="767"/>
      <c r="C1015" s="767"/>
      <c r="D1015" s="767"/>
      <c r="E1015" s="767" t="s">
        <v>1191</v>
      </c>
      <c r="F1015" s="806" t="s">
        <v>1426</v>
      </c>
      <c r="G1015" s="778"/>
      <c r="H1015" s="815">
        <v>0</v>
      </c>
      <c r="I1015" s="815">
        <v>0</v>
      </c>
      <c r="J1015" s="815">
        <v>0</v>
      </c>
      <c r="K1015" s="815">
        <v>0</v>
      </c>
      <c r="L1015" s="815">
        <v>0</v>
      </c>
      <c r="M1015" s="815">
        <v>0</v>
      </c>
      <c r="N1015" s="815">
        <v>0</v>
      </c>
      <c r="O1015" s="815">
        <v>0</v>
      </c>
      <c r="P1015" s="772">
        <v>0</v>
      </c>
      <c r="Q1015" s="774"/>
      <c r="R1015" s="774">
        <v>1606</v>
      </c>
      <c r="S1015" s="774"/>
      <c r="T1015" s="774"/>
      <c r="U1015" s="774"/>
      <c r="V1015" s="774"/>
    </row>
    <row r="1016" spans="1:22" hidden="1">
      <c r="A1016" s="786">
        <v>1016</v>
      </c>
      <c r="B1016" s="767"/>
      <c r="C1016" s="767"/>
      <c r="D1016" s="767"/>
      <c r="E1016" s="767" t="s">
        <v>1005</v>
      </c>
      <c r="F1016" s="806" t="s">
        <v>1411</v>
      </c>
      <c r="G1016" s="778"/>
      <c r="H1016" s="815">
        <v>17095.161023658118</v>
      </c>
      <c r="I1016" s="815">
        <v>7961.2802630410724</v>
      </c>
      <c r="J1016" s="815">
        <v>2468.5859578119507</v>
      </c>
      <c r="K1016" s="815">
        <v>3380.9531391999617</v>
      </c>
      <c r="L1016" s="815">
        <v>1350.1053152404402</v>
      </c>
      <c r="M1016" s="815">
        <v>1082.1725403471571</v>
      </c>
      <c r="N1016" s="815">
        <v>772.32365891461757</v>
      </c>
      <c r="O1016" s="815">
        <v>79.740149102914913</v>
      </c>
      <c r="P1016" s="772">
        <v>0</v>
      </c>
      <c r="Q1016" s="774"/>
      <c r="R1016" s="774">
        <v>1607</v>
      </c>
      <c r="S1016" s="774"/>
      <c r="T1016" s="774"/>
      <c r="U1016" s="774"/>
      <c r="V1016" s="774"/>
    </row>
    <row r="1017" spans="1:22" hidden="1">
      <c r="A1017" s="786">
        <v>1017</v>
      </c>
      <c r="B1017" s="767"/>
      <c r="C1017" s="767"/>
      <c r="D1017" s="767"/>
      <c r="E1017" s="767" t="s">
        <v>1180</v>
      </c>
      <c r="F1017" s="806" t="s">
        <v>1426</v>
      </c>
      <c r="G1017" s="778"/>
      <c r="H1017" s="815">
        <v>168998.49229398972</v>
      </c>
      <c r="I1017" s="815">
        <v>73449.943495581829</v>
      </c>
      <c r="J1017" s="815">
        <v>22495.032165266195</v>
      </c>
      <c r="K1017" s="815">
        <v>36915.651230730189</v>
      </c>
      <c r="L1017" s="815">
        <v>14991.377512113033</v>
      </c>
      <c r="M1017" s="815">
        <v>14479.155036902037</v>
      </c>
      <c r="N1017" s="815">
        <v>6439.4554163971789</v>
      </c>
      <c r="O1017" s="815">
        <v>227.87743699924937</v>
      </c>
      <c r="P1017" s="772">
        <v>0</v>
      </c>
      <c r="Q1017" s="774"/>
      <c r="R1017" s="774">
        <v>1608</v>
      </c>
      <c r="S1017" s="774"/>
      <c r="T1017" s="774"/>
      <c r="U1017" s="774"/>
      <c r="V1017" s="774"/>
    </row>
    <row r="1018" spans="1:22" hidden="1">
      <c r="A1018" s="786">
        <v>1018</v>
      </c>
      <c r="B1018" s="767"/>
      <c r="C1018" s="767"/>
      <c r="D1018" s="767"/>
      <c r="E1018" s="767" t="s">
        <v>718</v>
      </c>
      <c r="F1018" s="806" t="s">
        <v>1426</v>
      </c>
      <c r="G1018" s="778"/>
      <c r="H1018" s="815">
        <v>189174.49236108485</v>
      </c>
      <c r="I1018" s="815">
        <v>82218.815009045007</v>
      </c>
      <c r="J1018" s="815">
        <v>25180.616896319196</v>
      </c>
      <c r="K1018" s="815">
        <v>41322.851387358809</v>
      </c>
      <c r="L1018" s="815">
        <v>16781.133323449332</v>
      </c>
      <c r="M1018" s="815">
        <v>16207.758819282677</v>
      </c>
      <c r="N1018" s="815">
        <v>7208.2341856614175</v>
      </c>
      <c r="O1018" s="815">
        <v>255.08273996839208</v>
      </c>
      <c r="P1018" s="772">
        <v>0</v>
      </c>
      <c r="Q1018" s="774"/>
      <c r="R1018" s="774">
        <v>1609</v>
      </c>
      <c r="S1018" s="774"/>
      <c r="T1018" s="774"/>
      <c r="U1018" s="774"/>
      <c r="V1018" s="774"/>
    </row>
    <row r="1019" spans="1:22" hidden="1">
      <c r="A1019" s="786">
        <v>1019</v>
      </c>
      <c r="B1019" s="767"/>
      <c r="C1019" s="767"/>
      <c r="D1019" s="775" t="s">
        <v>1197</v>
      </c>
      <c r="E1019" s="767"/>
      <c r="F1019" s="806"/>
      <c r="G1019" s="778"/>
      <c r="H1019" s="815">
        <v>1072377.2156787324</v>
      </c>
      <c r="I1019" s="815">
        <v>526999.97858971846</v>
      </c>
      <c r="J1019" s="815">
        <v>160373.58280576402</v>
      </c>
      <c r="K1019" s="815">
        <v>195509.30474265441</v>
      </c>
      <c r="L1019" s="815">
        <v>77016.237863920804</v>
      </c>
      <c r="M1019" s="815">
        <v>55001.146041880347</v>
      </c>
      <c r="N1019" s="815">
        <v>50927.852590200899</v>
      </c>
      <c r="O1019" s="815">
        <v>6549.1130445935814</v>
      </c>
      <c r="P1019" s="772">
        <v>0</v>
      </c>
      <c r="Q1019" s="774"/>
      <c r="R1019" s="774">
        <v>1610</v>
      </c>
      <c r="S1019" s="774"/>
      <c r="T1019" s="774"/>
      <c r="U1019" s="774"/>
      <c r="V1019" s="774"/>
    </row>
    <row r="1020" spans="1:22" hidden="1">
      <c r="A1020" s="786">
        <v>1020</v>
      </c>
      <c r="B1020" s="767"/>
      <c r="C1020" s="767"/>
      <c r="D1020" s="767"/>
      <c r="E1020" s="767"/>
      <c r="F1020" s="806"/>
      <c r="G1020" s="778"/>
      <c r="H1020" s="810"/>
      <c r="I1020" s="810"/>
      <c r="J1020" s="810"/>
      <c r="K1020" s="810"/>
      <c r="L1020" s="810"/>
      <c r="M1020" s="810"/>
      <c r="N1020" s="810"/>
      <c r="O1020" s="810"/>
      <c r="P1020" s="772"/>
      <c r="R1020" s="774"/>
    </row>
    <row r="1021" spans="1:22" hidden="1">
      <c r="A1021" s="786">
        <v>1021</v>
      </c>
      <c r="B1021" s="767"/>
      <c r="C1021" s="767" t="s">
        <v>1198</v>
      </c>
      <c r="D1021" s="775" t="s">
        <v>1199</v>
      </c>
      <c r="E1021" s="767"/>
      <c r="F1021" s="806"/>
      <c r="G1021" s="778"/>
      <c r="H1021" s="788"/>
      <c r="I1021" s="788"/>
      <c r="J1021" s="788"/>
      <c r="K1021" s="788"/>
      <c r="L1021" s="788"/>
      <c r="M1021" s="788"/>
      <c r="N1021" s="788"/>
      <c r="O1021" s="788"/>
      <c r="P1021" s="772"/>
      <c r="R1021" s="774"/>
    </row>
    <row r="1022" spans="1:22" hidden="1">
      <c r="A1022" s="786">
        <v>1022</v>
      </c>
      <c r="B1022" s="767"/>
      <c r="C1022" s="767"/>
      <c r="D1022" s="767"/>
      <c r="E1022" s="767" t="s">
        <v>727</v>
      </c>
      <c r="F1022" s="806" t="s">
        <v>1425</v>
      </c>
      <c r="G1022" s="778"/>
      <c r="H1022" s="815">
        <v>2744153.21</v>
      </c>
      <c r="I1022" s="815">
        <v>1430397.0923519714</v>
      </c>
      <c r="J1022" s="815">
        <v>433915.19574428222</v>
      </c>
      <c r="K1022" s="815">
        <v>448324.67131665041</v>
      </c>
      <c r="L1022" s="815">
        <v>172786.19387720557</v>
      </c>
      <c r="M1022" s="815">
        <v>91452.44810929583</v>
      </c>
      <c r="N1022" s="815">
        <v>143712.23786467791</v>
      </c>
      <c r="O1022" s="815">
        <v>23565.370735916244</v>
      </c>
      <c r="P1022" s="772">
        <v>0</v>
      </c>
      <c r="Q1022" s="774"/>
      <c r="R1022" s="774">
        <v>1613</v>
      </c>
      <c r="S1022" s="774"/>
      <c r="T1022" s="774"/>
      <c r="U1022" s="774"/>
      <c r="V1022" s="774"/>
    </row>
    <row r="1023" spans="1:22" hidden="1">
      <c r="A1023" s="786">
        <v>1023</v>
      </c>
      <c r="B1023" s="767"/>
      <c r="C1023" s="767"/>
      <c r="D1023" s="767"/>
      <c r="E1023" s="767" t="s">
        <v>1196</v>
      </c>
      <c r="F1023" s="806" t="s">
        <v>1426</v>
      </c>
      <c r="G1023" s="778"/>
      <c r="H1023" s="815">
        <v>0</v>
      </c>
      <c r="I1023" s="815">
        <v>0</v>
      </c>
      <c r="J1023" s="815">
        <v>0</v>
      </c>
      <c r="K1023" s="815">
        <v>0</v>
      </c>
      <c r="L1023" s="815">
        <v>0</v>
      </c>
      <c r="M1023" s="815">
        <v>0</v>
      </c>
      <c r="N1023" s="815">
        <v>0</v>
      </c>
      <c r="O1023" s="815">
        <v>0</v>
      </c>
      <c r="P1023" s="772">
        <v>0</v>
      </c>
      <c r="Q1023" s="774"/>
      <c r="R1023" s="774">
        <v>1614</v>
      </c>
      <c r="S1023" s="774"/>
      <c r="T1023" s="774"/>
      <c r="U1023" s="774"/>
      <c r="V1023" s="774"/>
    </row>
    <row r="1024" spans="1:22" hidden="1">
      <c r="A1024" s="786">
        <v>1024</v>
      </c>
      <c r="B1024" s="767"/>
      <c r="C1024" s="767"/>
      <c r="D1024" s="767"/>
      <c r="E1024" s="767" t="s">
        <v>1180</v>
      </c>
      <c r="F1024" s="806" t="s">
        <v>1426</v>
      </c>
      <c r="G1024" s="778"/>
      <c r="H1024" s="815">
        <v>577591.66062297439</v>
      </c>
      <c r="I1024" s="815">
        <v>251032.26816056942</v>
      </c>
      <c r="J1024" s="815">
        <v>76882.005322868834</v>
      </c>
      <c r="K1024" s="815">
        <v>126167.82556996989</v>
      </c>
      <c r="L1024" s="815">
        <v>51236.520010984896</v>
      </c>
      <c r="M1024" s="815">
        <v>49485.880546398083</v>
      </c>
      <c r="N1024" s="815">
        <v>22008.336861338554</v>
      </c>
      <c r="O1024" s="815">
        <v>778.82415084471518</v>
      </c>
      <c r="P1024" s="772">
        <v>0</v>
      </c>
      <c r="Q1024" s="774"/>
      <c r="R1024" s="774">
        <v>1615</v>
      </c>
      <c r="S1024" s="774"/>
      <c r="T1024" s="774"/>
      <c r="U1024" s="774"/>
      <c r="V1024" s="774"/>
    </row>
    <row r="1025" spans="1:22" hidden="1">
      <c r="A1025" s="786">
        <v>1025</v>
      </c>
      <c r="B1025" s="767"/>
      <c r="C1025" s="767"/>
      <c r="D1025" s="767"/>
      <c r="E1025" s="767" t="s">
        <v>1005</v>
      </c>
      <c r="F1025" s="806" t="s">
        <v>1411</v>
      </c>
      <c r="G1025" s="778"/>
      <c r="H1025" s="815">
        <v>142558.78085501882</v>
      </c>
      <c r="I1025" s="815">
        <v>66390.156066596421</v>
      </c>
      <c r="J1025" s="815">
        <v>20585.860764602796</v>
      </c>
      <c r="K1025" s="815">
        <v>28194.209869405346</v>
      </c>
      <c r="L1025" s="815">
        <v>11258.704583138951</v>
      </c>
      <c r="M1025" s="815">
        <v>9024.3781742195715</v>
      </c>
      <c r="N1025" s="815">
        <v>6440.5078775207203</v>
      </c>
      <c r="O1025" s="815">
        <v>664.96351953498345</v>
      </c>
      <c r="P1025" s="772">
        <v>0</v>
      </c>
      <c r="Q1025" s="774"/>
      <c r="R1025" s="774">
        <v>1616</v>
      </c>
      <c r="S1025" s="774"/>
      <c r="T1025" s="774"/>
      <c r="U1025" s="774"/>
      <c r="V1025" s="774"/>
    </row>
    <row r="1026" spans="1:22" hidden="1">
      <c r="A1026" s="786">
        <v>1026</v>
      </c>
      <c r="B1026" s="767"/>
      <c r="C1026" s="767"/>
      <c r="D1026" s="767"/>
      <c r="E1026" s="767" t="s">
        <v>738</v>
      </c>
      <c r="F1026" s="806" t="s">
        <v>1392</v>
      </c>
      <c r="G1026" s="778"/>
      <c r="H1026" s="815">
        <v>0</v>
      </c>
      <c r="I1026" s="815">
        <v>0</v>
      </c>
      <c r="J1026" s="815">
        <v>0</v>
      </c>
      <c r="K1026" s="815">
        <v>0</v>
      </c>
      <c r="L1026" s="815">
        <v>0</v>
      </c>
      <c r="M1026" s="815">
        <v>0</v>
      </c>
      <c r="N1026" s="815">
        <v>0</v>
      </c>
      <c r="O1026" s="815">
        <v>0</v>
      </c>
      <c r="P1026" s="772">
        <v>0</v>
      </c>
      <c r="Q1026" s="774"/>
      <c r="R1026" s="774">
        <v>1617</v>
      </c>
      <c r="S1026" s="774"/>
      <c r="T1026" s="774"/>
      <c r="U1026" s="774"/>
      <c r="V1026" s="774"/>
    </row>
    <row r="1027" spans="1:22" hidden="1">
      <c r="A1027" s="786">
        <v>1027</v>
      </c>
      <c r="B1027" s="767"/>
      <c r="C1027" s="767"/>
      <c r="D1027" s="767"/>
      <c r="E1027" s="767" t="s">
        <v>1191</v>
      </c>
      <c r="F1027" s="806" t="s">
        <v>1426</v>
      </c>
      <c r="G1027" s="778"/>
      <c r="H1027" s="815">
        <v>0</v>
      </c>
      <c r="I1027" s="815">
        <v>0</v>
      </c>
      <c r="J1027" s="815">
        <v>0</v>
      </c>
      <c r="K1027" s="815">
        <v>0</v>
      </c>
      <c r="L1027" s="815">
        <v>0</v>
      </c>
      <c r="M1027" s="815">
        <v>0</v>
      </c>
      <c r="N1027" s="815">
        <v>0</v>
      </c>
      <c r="O1027" s="815">
        <v>0</v>
      </c>
      <c r="P1027" s="772">
        <v>0</v>
      </c>
      <c r="Q1027" s="774"/>
      <c r="R1027" s="774">
        <v>1618</v>
      </c>
      <c r="S1027" s="774"/>
      <c r="T1027" s="774"/>
      <c r="U1027" s="774"/>
      <c r="V1027" s="774"/>
    </row>
    <row r="1028" spans="1:22" hidden="1">
      <c r="A1028" s="786">
        <v>1028</v>
      </c>
      <c r="B1028" s="767"/>
      <c r="C1028" s="767"/>
      <c r="D1028" s="767"/>
      <c r="E1028" s="767" t="s">
        <v>718</v>
      </c>
      <c r="F1028" s="806" t="s">
        <v>1426</v>
      </c>
      <c r="G1028" s="778"/>
      <c r="H1028" s="815">
        <v>661224.38073403784</v>
      </c>
      <c r="I1028" s="815">
        <v>287380.63129184145</v>
      </c>
      <c r="J1028" s="815">
        <v>88014.179956085864</v>
      </c>
      <c r="K1028" s="815">
        <v>144436.36918352195</v>
      </c>
      <c r="L1028" s="815">
        <v>58655.341697090727</v>
      </c>
      <c r="M1028" s="815">
        <v>56651.217374015381</v>
      </c>
      <c r="N1028" s="815">
        <v>25195.046785178329</v>
      </c>
      <c r="O1028" s="815">
        <v>891.59444630410553</v>
      </c>
      <c r="P1028" s="772">
        <v>0</v>
      </c>
      <c r="Q1028" s="774"/>
      <c r="R1028" s="774">
        <v>1619</v>
      </c>
      <c r="S1028" s="774"/>
      <c r="T1028" s="774"/>
      <c r="U1028" s="774"/>
      <c r="V1028" s="774"/>
    </row>
    <row r="1029" spans="1:22" hidden="1">
      <c r="A1029" s="786">
        <v>1029</v>
      </c>
      <c r="B1029" s="767"/>
      <c r="C1029" s="767"/>
      <c r="D1029" s="767"/>
      <c r="E1029" s="767" t="s">
        <v>1192</v>
      </c>
      <c r="F1029" s="806" t="s">
        <v>1411</v>
      </c>
      <c r="G1029" s="778"/>
      <c r="H1029" s="815">
        <v>0</v>
      </c>
      <c r="I1029" s="815">
        <v>0</v>
      </c>
      <c r="J1029" s="815">
        <v>0</v>
      </c>
      <c r="K1029" s="815">
        <v>0</v>
      </c>
      <c r="L1029" s="815">
        <v>0</v>
      </c>
      <c r="M1029" s="815">
        <v>0</v>
      </c>
      <c r="N1029" s="815">
        <v>0</v>
      </c>
      <c r="O1029" s="815">
        <v>0</v>
      </c>
      <c r="P1029" s="772">
        <v>0</v>
      </c>
      <c r="Q1029" s="774"/>
      <c r="R1029" s="774">
        <v>1620</v>
      </c>
      <c r="S1029" s="774"/>
      <c r="T1029" s="774"/>
      <c r="U1029" s="774"/>
      <c r="V1029" s="774"/>
    </row>
    <row r="1030" spans="1:22" hidden="1">
      <c r="A1030" s="786">
        <v>1030</v>
      </c>
      <c r="B1030" s="767"/>
      <c r="C1030" s="767"/>
      <c r="D1030" s="775" t="s">
        <v>1200</v>
      </c>
      <c r="E1030" s="767"/>
      <c r="F1030" s="806"/>
      <c r="G1030" s="778"/>
      <c r="H1030" s="815">
        <v>4125528.0322120306</v>
      </c>
      <c r="I1030" s="815">
        <v>2035200.1478709786</v>
      </c>
      <c r="J1030" s="815">
        <v>619397.24178783968</v>
      </c>
      <c r="K1030" s="815">
        <v>747123.07593954774</v>
      </c>
      <c r="L1030" s="815">
        <v>293936.76016842015</v>
      </c>
      <c r="M1030" s="815">
        <v>206613.92420392885</v>
      </c>
      <c r="N1030" s="815">
        <v>197356.12938871552</v>
      </c>
      <c r="O1030" s="815">
        <v>25900.75285260005</v>
      </c>
      <c r="P1030" s="772">
        <v>0</v>
      </c>
      <c r="Q1030" s="774"/>
      <c r="R1030" s="774"/>
      <c r="S1030" s="774"/>
      <c r="T1030" s="774"/>
      <c r="U1030" s="774"/>
      <c r="V1030" s="774"/>
    </row>
    <row r="1031" spans="1:22" hidden="1">
      <c r="A1031" s="786">
        <v>1031</v>
      </c>
      <c r="B1031" s="767"/>
      <c r="C1031" s="767"/>
      <c r="D1031" s="767"/>
      <c r="E1031" s="767"/>
      <c r="F1031" s="806"/>
      <c r="G1031" s="778"/>
      <c r="H1031" s="810"/>
      <c r="I1031" s="810"/>
      <c r="J1031" s="810"/>
      <c r="K1031" s="810"/>
      <c r="L1031" s="810"/>
      <c r="M1031" s="810"/>
      <c r="N1031" s="810"/>
      <c r="O1031" s="810"/>
      <c r="P1031" s="772"/>
      <c r="R1031" s="774"/>
    </row>
    <row r="1032" spans="1:22" hidden="1">
      <c r="A1032" s="786">
        <v>1032</v>
      </c>
      <c r="B1032" s="767"/>
      <c r="C1032" s="767" t="s">
        <v>1201</v>
      </c>
      <c r="D1032" s="767" t="s">
        <v>1202</v>
      </c>
      <c r="E1032" s="767"/>
      <c r="F1032" s="806"/>
      <c r="G1032" s="778"/>
      <c r="H1032" s="788"/>
      <c r="I1032" s="788"/>
      <c r="J1032" s="788"/>
      <c r="K1032" s="788"/>
      <c r="L1032" s="788"/>
      <c r="M1032" s="788"/>
      <c r="N1032" s="788"/>
      <c r="O1032" s="788"/>
      <c r="P1032" s="772"/>
      <c r="R1032" s="774"/>
    </row>
    <row r="1033" spans="1:22" hidden="1">
      <c r="A1033" s="786">
        <v>1033</v>
      </c>
      <c r="B1033" s="767"/>
      <c r="C1033" s="767"/>
      <c r="D1033" s="767"/>
      <c r="E1033" s="767" t="s">
        <v>727</v>
      </c>
      <c r="F1033" s="806" t="s">
        <v>1425</v>
      </c>
      <c r="G1033" s="778"/>
      <c r="H1033" s="815">
        <v>1277394.5600000003</v>
      </c>
      <c r="I1033" s="815">
        <v>665845.28070509085</v>
      </c>
      <c r="J1033" s="815">
        <v>201986.13857463203</v>
      </c>
      <c r="K1033" s="815">
        <v>208693.70345895423</v>
      </c>
      <c r="L1033" s="815">
        <v>80431.421721474413</v>
      </c>
      <c r="M1033" s="815">
        <v>42570.822681397149</v>
      </c>
      <c r="N1033" s="815">
        <v>66897.588000841104</v>
      </c>
      <c r="O1033" s="815">
        <v>10969.604857610193</v>
      </c>
      <c r="P1033" s="772">
        <v>0</v>
      </c>
      <c r="Q1033" s="774"/>
      <c r="R1033" s="774">
        <v>1624</v>
      </c>
      <c r="S1033" s="774"/>
      <c r="T1033" s="774"/>
      <c r="U1033" s="774"/>
      <c r="V1033" s="774"/>
    </row>
    <row r="1034" spans="1:22" hidden="1">
      <c r="A1034" s="786">
        <v>1034</v>
      </c>
      <c r="B1034" s="767"/>
      <c r="C1034" s="767"/>
      <c r="D1034" s="767"/>
      <c r="E1034" s="767" t="s">
        <v>1186</v>
      </c>
      <c r="F1034" s="806" t="s">
        <v>1426</v>
      </c>
      <c r="G1034" s="778"/>
      <c r="H1034" s="815">
        <v>0</v>
      </c>
      <c r="I1034" s="815">
        <v>0</v>
      </c>
      <c r="J1034" s="815">
        <v>0</v>
      </c>
      <c r="K1034" s="815">
        <v>0</v>
      </c>
      <c r="L1034" s="815">
        <v>0</v>
      </c>
      <c r="M1034" s="815">
        <v>0</v>
      </c>
      <c r="N1034" s="815">
        <v>0</v>
      </c>
      <c r="O1034" s="815">
        <v>0</v>
      </c>
      <c r="P1034" s="772">
        <v>0</v>
      </c>
      <c r="Q1034" s="774"/>
      <c r="R1034" s="774">
        <v>1625</v>
      </c>
      <c r="S1034" s="774"/>
      <c r="T1034" s="774"/>
      <c r="U1034" s="774"/>
      <c r="V1034" s="774"/>
    </row>
    <row r="1035" spans="1:22" hidden="1">
      <c r="A1035" s="786">
        <v>1035</v>
      </c>
      <c r="B1035" s="767"/>
      <c r="C1035" s="767"/>
      <c r="D1035" s="767"/>
      <c r="E1035" s="767" t="s">
        <v>1187</v>
      </c>
      <c r="F1035" s="806" t="s">
        <v>1426</v>
      </c>
      <c r="G1035" s="778"/>
      <c r="H1035" s="815">
        <v>0</v>
      </c>
      <c r="I1035" s="815">
        <v>0</v>
      </c>
      <c r="J1035" s="815">
        <v>0</v>
      </c>
      <c r="K1035" s="815">
        <v>0</v>
      </c>
      <c r="L1035" s="815">
        <v>0</v>
      </c>
      <c r="M1035" s="815">
        <v>0</v>
      </c>
      <c r="N1035" s="815">
        <v>0</v>
      </c>
      <c r="O1035" s="815">
        <v>0</v>
      </c>
      <c r="P1035" s="772">
        <v>0</v>
      </c>
      <c r="Q1035" s="774"/>
      <c r="R1035" s="774">
        <v>1626</v>
      </c>
      <c r="S1035" s="774"/>
      <c r="T1035" s="774"/>
      <c r="U1035" s="774"/>
      <c r="V1035" s="774"/>
    </row>
    <row r="1036" spans="1:22" hidden="1">
      <c r="A1036" s="786">
        <v>1036</v>
      </c>
      <c r="B1036" s="767"/>
      <c r="C1036" s="767"/>
      <c r="D1036" s="767"/>
      <c r="E1036" s="767" t="s">
        <v>1005</v>
      </c>
      <c r="F1036" s="806" t="s">
        <v>1411</v>
      </c>
      <c r="G1036" s="778"/>
      <c r="H1036" s="815">
        <v>333314.50957191281</v>
      </c>
      <c r="I1036" s="815">
        <v>155225.8105535089</v>
      </c>
      <c r="J1036" s="815">
        <v>48131.486841539583</v>
      </c>
      <c r="K1036" s="815">
        <v>65920.451753481611</v>
      </c>
      <c r="L1036" s="815">
        <v>26323.805338658611</v>
      </c>
      <c r="M1036" s="815">
        <v>21099.760865593667</v>
      </c>
      <c r="N1036" s="815">
        <v>15058.453163772858</v>
      </c>
      <c r="O1036" s="815">
        <v>1554.7410553575389</v>
      </c>
      <c r="P1036" s="772">
        <v>0</v>
      </c>
      <c r="Q1036" s="774"/>
      <c r="R1036" s="774">
        <v>1627</v>
      </c>
      <c r="S1036" s="774"/>
      <c r="T1036" s="774"/>
      <c r="U1036" s="774"/>
      <c r="V1036" s="774"/>
    </row>
    <row r="1037" spans="1:22" hidden="1">
      <c r="A1037" s="786">
        <v>1037</v>
      </c>
      <c r="B1037" s="767"/>
      <c r="C1037" s="767"/>
      <c r="D1037" s="767"/>
      <c r="E1037" s="767" t="s">
        <v>738</v>
      </c>
      <c r="F1037" s="806" t="s">
        <v>1392</v>
      </c>
      <c r="G1037" s="778"/>
      <c r="H1037" s="815">
        <v>0</v>
      </c>
      <c r="I1037" s="815">
        <v>0</v>
      </c>
      <c r="J1037" s="815">
        <v>0</v>
      </c>
      <c r="K1037" s="815">
        <v>0</v>
      </c>
      <c r="L1037" s="815">
        <v>0</v>
      </c>
      <c r="M1037" s="815">
        <v>0</v>
      </c>
      <c r="N1037" s="815">
        <v>0</v>
      </c>
      <c r="O1037" s="815">
        <v>0</v>
      </c>
      <c r="P1037" s="772">
        <v>0</v>
      </c>
      <c r="Q1037" s="774"/>
      <c r="R1037" s="774">
        <v>1628</v>
      </c>
      <c r="S1037" s="774"/>
      <c r="T1037" s="774"/>
      <c r="U1037" s="774"/>
      <c r="V1037" s="774"/>
    </row>
    <row r="1038" spans="1:22" hidden="1">
      <c r="A1038" s="786">
        <v>1038</v>
      </c>
      <c r="B1038" s="767"/>
      <c r="C1038" s="767"/>
      <c r="D1038" s="767"/>
      <c r="E1038" s="767" t="s">
        <v>1180</v>
      </c>
      <c r="F1038" s="806" t="s">
        <v>1426</v>
      </c>
      <c r="G1038" s="778"/>
      <c r="H1038" s="815">
        <v>287916.18210578075</v>
      </c>
      <c r="I1038" s="815">
        <v>125133.82232040974</v>
      </c>
      <c r="J1038" s="815">
        <v>38323.914547730645</v>
      </c>
      <c r="K1038" s="815">
        <v>62891.76440586742</v>
      </c>
      <c r="L1038" s="815">
        <v>25540.228905033531</v>
      </c>
      <c r="M1038" s="815">
        <v>24667.575324225414</v>
      </c>
      <c r="N1038" s="815">
        <v>10970.650644055497</v>
      </c>
      <c r="O1038" s="815">
        <v>388.22595845849338</v>
      </c>
      <c r="P1038" s="772">
        <v>0</v>
      </c>
      <c r="Q1038" s="774"/>
      <c r="R1038" s="774">
        <v>1629</v>
      </c>
      <c r="S1038" s="774"/>
      <c r="T1038" s="774"/>
      <c r="U1038" s="774"/>
      <c r="V1038" s="774"/>
    </row>
    <row r="1039" spans="1:22" hidden="1">
      <c r="A1039" s="786">
        <v>1039</v>
      </c>
      <c r="B1039" s="767"/>
      <c r="C1039" s="767"/>
      <c r="D1039" s="767"/>
      <c r="E1039" s="767" t="s">
        <v>718</v>
      </c>
      <c r="F1039" s="806" t="s">
        <v>1426</v>
      </c>
      <c r="G1039" s="778"/>
      <c r="H1039" s="815">
        <v>77193.391006874823</v>
      </c>
      <c r="I1039" s="815">
        <v>33549.708821212684</v>
      </c>
      <c r="J1039" s="815">
        <v>10275.049144372606</v>
      </c>
      <c r="K1039" s="815">
        <v>16861.951021254881</v>
      </c>
      <c r="L1039" s="815">
        <v>6847.6070426183787</v>
      </c>
      <c r="M1039" s="815">
        <v>6613.6393351273109</v>
      </c>
      <c r="N1039" s="815">
        <v>2941.348133239906</v>
      </c>
      <c r="O1039" s="815">
        <v>104.08750904905639</v>
      </c>
      <c r="P1039" s="772">
        <v>0</v>
      </c>
      <c r="Q1039" s="774"/>
      <c r="R1039" s="774">
        <v>1630</v>
      </c>
      <c r="S1039" s="774"/>
      <c r="T1039" s="774"/>
      <c r="U1039" s="774"/>
      <c r="V1039" s="774"/>
    </row>
    <row r="1040" spans="1:22" hidden="1">
      <c r="A1040" s="786">
        <v>1040</v>
      </c>
      <c r="B1040" s="767"/>
      <c r="C1040" s="767"/>
      <c r="D1040" s="767"/>
      <c r="E1040" s="767" t="s">
        <v>1192</v>
      </c>
      <c r="F1040" s="806" t="s">
        <v>1411</v>
      </c>
      <c r="G1040" s="778"/>
      <c r="H1040" s="815">
        <v>0</v>
      </c>
      <c r="I1040" s="815">
        <v>0</v>
      </c>
      <c r="J1040" s="815">
        <v>0</v>
      </c>
      <c r="K1040" s="815">
        <v>0</v>
      </c>
      <c r="L1040" s="815">
        <v>0</v>
      </c>
      <c r="M1040" s="815">
        <v>0</v>
      </c>
      <c r="N1040" s="815">
        <v>0</v>
      </c>
      <c r="O1040" s="815">
        <v>0</v>
      </c>
      <c r="P1040" s="772">
        <v>0</v>
      </c>
      <c r="Q1040" s="774"/>
      <c r="R1040" s="774">
        <v>1631</v>
      </c>
      <c r="S1040" s="774"/>
      <c r="T1040" s="774"/>
      <c r="U1040" s="774"/>
      <c r="V1040" s="774"/>
    </row>
    <row r="1041" spans="1:22" hidden="1">
      <c r="A1041" s="786">
        <v>1041</v>
      </c>
      <c r="B1041" s="767"/>
      <c r="C1041" s="767"/>
      <c r="D1041" s="767" t="s">
        <v>1203</v>
      </c>
      <c r="E1041" s="767"/>
      <c r="F1041" s="806"/>
      <c r="G1041" s="778"/>
      <c r="H1041" s="815">
        <v>1975818.6426845682</v>
      </c>
      <c r="I1041" s="815">
        <v>979754.62240022223</v>
      </c>
      <c r="J1041" s="815">
        <v>298716.58910827484</v>
      </c>
      <c r="K1041" s="815">
        <v>354367.87063955812</v>
      </c>
      <c r="L1041" s="815">
        <v>139143.06300778492</v>
      </c>
      <c r="M1041" s="815">
        <v>94951.798206343548</v>
      </c>
      <c r="N1041" s="815">
        <v>95868.039941909359</v>
      </c>
      <c r="O1041" s="815">
        <v>13016.659380475281</v>
      </c>
      <c r="P1041" s="772">
        <v>0</v>
      </c>
      <c r="Q1041" s="774"/>
      <c r="R1041" s="774"/>
      <c r="S1041" s="774"/>
      <c r="T1041" s="774"/>
      <c r="U1041" s="774"/>
      <c r="V1041" s="774"/>
    </row>
    <row r="1042" spans="1:22" hidden="1">
      <c r="A1042" s="786">
        <v>1042</v>
      </c>
      <c r="B1042" s="767"/>
      <c r="C1042" s="767"/>
      <c r="D1042" s="767"/>
      <c r="E1042" s="767"/>
      <c r="F1042" s="806"/>
      <c r="G1042" s="778"/>
      <c r="H1042" s="810"/>
      <c r="I1042" s="810"/>
      <c r="J1042" s="810"/>
      <c r="K1042" s="810"/>
      <c r="L1042" s="810"/>
      <c r="M1042" s="810"/>
      <c r="N1042" s="810"/>
      <c r="O1042" s="810"/>
      <c r="P1042" s="772"/>
      <c r="R1042" s="774"/>
    </row>
    <row r="1043" spans="1:22" hidden="1">
      <c r="A1043" s="786">
        <v>1043</v>
      </c>
      <c r="B1043" s="767"/>
      <c r="C1043" s="767" t="s">
        <v>1204</v>
      </c>
      <c r="D1043" s="767" t="s">
        <v>1205</v>
      </c>
      <c r="E1043" s="767"/>
      <c r="F1043" s="806"/>
      <c r="G1043" s="778"/>
      <c r="H1043" s="788"/>
      <c r="I1043" s="788"/>
      <c r="J1043" s="788"/>
      <c r="K1043" s="788"/>
      <c r="L1043" s="788"/>
      <c r="M1043" s="788"/>
      <c r="N1043" s="788"/>
      <c r="O1043" s="788"/>
      <c r="P1043" s="772"/>
      <c r="R1043" s="774"/>
    </row>
    <row r="1044" spans="1:22" hidden="1">
      <c r="A1044" s="786">
        <v>1044</v>
      </c>
      <c r="B1044" s="767"/>
      <c r="C1044" s="767"/>
      <c r="D1044" s="767"/>
      <c r="E1044" s="767" t="s">
        <v>727</v>
      </c>
      <c r="F1044" s="806" t="s">
        <v>1425</v>
      </c>
      <c r="G1044" s="778"/>
      <c r="H1044" s="815">
        <v>8938492.0700000022</v>
      </c>
      <c r="I1044" s="815">
        <v>4659212.547006133</v>
      </c>
      <c r="J1044" s="815">
        <v>1413385.9297938999</v>
      </c>
      <c r="K1044" s="815">
        <v>1460321.7140887103</v>
      </c>
      <c r="L1044" s="815">
        <v>562814.06524560798</v>
      </c>
      <c r="M1044" s="815">
        <v>297886.7867975299</v>
      </c>
      <c r="N1044" s="815">
        <v>468111.87284815538</v>
      </c>
      <c r="O1044" s="815">
        <v>76759.15421996334</v>
      </c>
      <c r="P1044" s="772">
        <v>0</v>
      </c>
      <c r="Q1044" s="774"/>
      <c r="R1044" s="774">
        <v>1635</v>
      </c>
      <c r="S1044" s="774"/>
      <c r="T1044" s="774"/>
      <c r="U1044" s="774"/>
      <c r="V1044" s="774"/>
    </row>
    <row r="1045" spans="1:22" hidden="1">
      <c r="A1045" s="786">
        <v>1045</v>
      </c>
      <c r="B1045" s="767"/>
      <c r="C1045" s="767"/>
      <c r="D1045" s="767"/>
      <c r="E1045" s="767" t="s">
        <v>1196</v>
      </c>
      <c r="F1045" s="806" t="s">
        <v>1426</v>
      </c>
      <c r="G1045" s="778"/>
      <c r="H1045" s="815">
        <v>0</v>
      </c>
      <c r="I1045" s="815">
        <v>0</v>
      </c>
      <c r="J1045" s="815">
        <v>0</v>
      </c>
      <c r="K1045" s="815">
        <v>0</v>
      </c>
      <c r="L1045" s="815">
        <v>0</v>
      </c>
      <c r="M1045" s="815">
        <v>0</v>
      </c>
      <c r="N1045" s="815">
        <v>0</v>
      </c>
      <c r="O1045" s="815">
        <v>0</v>
      </c>
      <c r="P1045" s="772">
        <v>0</v>
      </c>
      <c r="Q1045" s="774"/>
      <c r="R1045" s="774">
        <v>1636</v>
      </c>
      <c r="S1045" s="774"/>
      <c r="T1045" s="774"/>
      <c r="U1045" s="774"/>
      <c r="V1045" s="774"/>
    </row>
    <row r="1046" spans="1:22" hidden="1">
      <c r="A1046" s="786">
        <v>1046</v>
      </c>
      <c r="B1046" s="767"/>
      <c r="C1046" s="767"/>
      <c r="D1046" s="767"/>
      <c r="E1046" s="767" t="s">
        <v>1180</v>
      </c>
      <c r="F1046" s="806" t="s">
        <v>1426</v>
      </c>
      <c r="G1046" s="778"/>
      <c r="H1046" s="815">
        <v>774024.78967441036</v>
      </c>
      <c r="I1046" s="815">
        <v>336405.82406418864</v>
      </c>
      <c r="J1046" s="815">
        <v>103028.80400938637</v>
      </c>
      <c r="K1046" s="815">
        <v>169076.2372592836</v>
      </c>
      <c r="L1046" s="815">
        <v>68661.546432953881</v>
      </c>
      <c r="M1046" s="815">
        <v>66315.532049867004</v>
      </c>
      <c r="N1046" s="815">
        <v>29493.151427788391</v>
      </c>
      <c r="O1046" s="815">
        <v>1043.694430942332</v>
      </c>
      <c r="P1046" s="772">
        <v>0</v>
      </c>
      <c r="Q1046" s="774"/>
      <c r="R1046" s="774">
        <v>1637</v>
      </c>
      <c r="S1046" s="774"/>
      <c r="T1046" s="774"/>
      <c r="U1046" s="774"/>
      <c r="V1046" s="774"/>
    </row>
    <row r="1047" spans="1:22" hidden="1">
      <c r="A1047" s="786">
        <v>1047</v>
      </c>
      <c r="B1047" s="767"/>
      <c r="C1047" s="767"/>
      <c r="D1047" s="767"/>
      <c r="E1047" s="767" t="s">
        <v>1005</v>
      </c>
      <c r="F1047" s="806" t="s">
        <v>1411</v>
      </c>
      <c r="G1047" s="778"/>
      <c r="H1047" s="815">
        <v>408351.28346390941</v>
      </c>
      <c r="I1047" s="815">
        <v>190170.71608331922</v>
      </c>
      <c r="J1047" s="815">
        <v>58966.993222143166</v>
      </c>
      <c r="K1047" s="815">
        <v>80760.663898572966</v>
      </c>
      <c r="L1047" s="815">
        <v>32249.900280372203</v>
      </c>
      <c r="M1047" s="815">
        <v>25849.803062317063</v>
      </c>
      <c r="N1047" s="815">
        <v>18448.457837330163</v>
      </c>
      <c r="O1047" s="815">
        <v>1904.7490798545878</v>
      </c>
      <c r="P1047" s="772">
        <v>0</v>
      </c>
      <c r="Q1047" s="774"/>
      <c r="R1047" s="774">
        <v>1638</v>
      </c>
      <c r="S1047" s="774"/>
      <c r="T1047" s="774"/>
      <c r="U1047" s="774"/>
      <c r="V1047" s="774"/>
    </row>
    <row r="1048" spans="1:22" hidden="1">
      <c r="A1048" s="786">
        <v>1048</v>
      </c>
      <c r="B1048" s="767"/>
      <c r="C1048" s="767"/>
      <c r="D1048" s="767"/>
      <c r="E1048" s="767" t="s">
        <v>1191</v>
      </c>
      <c r="F1048" s="806" t="s">
        <v>1426</v>
      </c>
      <c r="G1048" s="778"/>
      <c r="H1048" s="815">
        <v>0</v>
      </c>
      <c r="I1048" s="815">
        <v>0</v>
      </c>
      <c r="J1048" s="815">
        <v>0</v>
      </c>
      <c r="K1048" s="815">
        <v>0</v>
      </c>
      <c r="L1048" s="815">
        <v>0</v>
      </c>
      <c r="M1048" s="815">
        <v>0</v>
      </c>
      <c r="N1048" s="815">
        <v>0</v>
      </c>
      <c r="O1048" s="815">
        <v>0</v>
      </c>
      <c r="P1048" s="772">
        <v>0</v>
      </c>
      <c r="Q1048" s="774"/>
      <c r="R1048" s="774">
        <v>1639</v>
      </c>
      <c r="S1048" s="774"/>
      <c r="T1048" s="774"/>
      <c r="U1048" s="774"/>
      <c r="V1048" s="774"/>
    </row>
    <row r="1049" spans="1:22" hidden="1">
      <c r="A1049" s="786">
        <v>1049</v>
      </c>
      <c r="B1049" s="767"/>
      <c r="C1049" s="767"/>
      <c r="D1049" s="767"/>
      <c r="E1049" s="767" t="s">
        <v>738</v>
      </c>
      <c r="F1049" s="806" t="s">
        <v>1392</v>
      </c>
      <c r="G1049" s="778"/>
      <c r="H1049" s="815">
        <v>0</v>
      </c>
      <c r="I1049" s="815">
        <v>0</v>
      </c>
      <c r="J1049" s="815">
        <v>0</v>
      </c>
      <c r="K1049" s="815">
        <v>0</v>
      </c>
      <c r="L1049" s="815">
        <v>0</v>
      </c>
      <c r="M1049" s="815">
        <v>0</v>
      </c>
      <c r="N1049" s="815">
        <v>0</v>
      </c>
      <c r="O1049" s="815">
        <v>0</v>
      </c>
      <c r="P1049" s="772">
        <v>0</v>
      </c>
      <c r="Q1049" s="774"/>
      <c r="R1049" s="774">
        <v>1640</v>
      </c>
      <c r="S1049" s="774"/>
      <c r="T1049" s="774"/>
      <c r="U1049" s="774"/>
      <c r="V1049" s="774"/>
    </row>
    <row r="1050" spans="1:22" hidden="1">
      <c r="A1050" s="786">
        <v>1050</v>
      </c>
      <c r="B1050" s="767"/>
      <c r="C1050" s="767"/>
      <c r="D1050" s="767"/>
      <c r="E1050" s="767" t="s">
        <v>718</v>
      </c>
      <c r="F1050" s="806" t="s">
        <v>1426</v>
      </c>
      <c r="G1050" s="778"/>
      <c r="H1050" s="815">
        <v>2168844.4072024617</v>
      </c>
      <c r="I1050" s="815">
        <v>942620.83050189971</v>
      </c>
      <c r="J1050" s="815">
        <v>288690.29563059704</v>
      </c>
      <c r="K1050" s="815">
        <v>473757.50294106762</v>
      </c>
      <c r="L1050" s="815">
        <v>192392.0434559015</v>
      </c>
      <c r="M1050" s="815">
        <v>185818.4294814514</v>
      </c>
      <c r="N1050" s="815">
        <v>82640.837061357102</v>
      </c>
      <c r="O1050" s="815">
        <v>2924.4681301871601</v>
      </c>
      <c r="P1050" s="772">
        <v>0</v>
      </c>
      <c r="Q1050" s="774"/>
      <c r="R1050" s="774">
        <v>1641</v>
      </c>
      <c r="S1050" s="774"/>
      <c r="T1050" s="774"/>
      <c r="U1050" s="774"/>
      <c r="V1050" s="774"/>
    </row>
    <row r="1051" spans="1:22" hidden="1">
      <c r="A1051" s="786">
        <v>1051</v>
      </c>
      <c r="B1051" s="767"/>
      <c r="C1051" s="767"/>
      <c r="D1051" s="767"/>
      <c r="E1051" s="767" t="s">
        <v>1192</v>
      </c>
      <c r="F1051" s="806" t="s">
        <v>1411</v>
      </c>
      <c r="G1051" s="778"/>
      <c r="H1051" s="815">
        <v>0</v>
      </c>
      <c r="I1051" s="815">
        <v>0</v>
      </c>
      <c r="J1051" s="815">
        <v>0</v>
      </c>
      <c r="K1051" s="815">
        <v>0</v>
      </c>
      <c r="L1051" s="815">
        <v>0</v>
      </c>
      <c r="M1051" s="815">
        <v>0</v>
      </c>
      <c r="N1051" s="815">
        <v>0</v>
      </c>
      <c r="O1051" s="815">
        <v>0</v>
      </c>
      <c r="P1051" s="772">
        <v>0</v>
      </c>
      <c r="Q1051" s="774"/>
      <c r="R1051" s="774">
        <v>1642</v>
      </c>
      <c r="S1051" s="774"/>
      <c r="T1051" s="774"/>
      <c r="U1051" s="774"/>
      <c r="V1051" s="774"/>
    </row>
    <row r="1052" spans="1:22" hidden="1">
      <c r="A1052" s="786">
        <v>1052</v>
      </c>
      <c r="B1052" s="767"/>
      <c r="C1052" s="767"/>
      <c r="D1052" s="767" t="s">
        <v>1206</v>
      </c>
      <c r="E1052" s="767"/>
      <c r="F1052" s="806"/>
      <c r="G1052" s="778"/>
      <c r="H1052" s="815">
        <v>12289712.550340783</v>
      </c>
      <c r="I1052" s="815">
        <v>6128409.9176555406</v>
      </c>
      <c r="J1052" s="815">
        <v>1864072.0226560263</v>
      </c>
      <c r="K1052" s="815">
        <v>2183916.1181876343</v>
      </c>
      <c r="L1052" s="815">
        <v>856117.55541483557</v>
      </c>
      <c r="M1052" s="815">
        <v>575870.55139116535</v>
      </c>
      <c r="N1052" s="815">
        <v>598694.31917463103</v>
      </c>
      <c r="O1052" s="815">
        <v>82632.065860947419</v>
      </c>
      <c r="P1052" s="772">
        <v>0</v>
      </c>
      <c r="Q1052" s="774"/>
      <c r="R1052" s="774"/>
      <c r="S1052" s="774"/>
      <c r="T1052" s="774"/>
      <c r="U1052" s="774"/>
      <c r="V1052" s="774"/>
    </row>
    <row r="1053" spans="1:22" hidden="1">
      <c r="A1053" s="786">
        <v>1053</v>
      </c>
      <c r="B1053" s="767"/>
      <c r="C1053" s="767"/>
      <c r="D1053" s="767"/>
      <c r="E1053" s="767"/>
      <c r="F1053" s="806"/>
      <c r="G1053" s="778"/>
      <c r="H1053" s="810"/>
      <c r="I1053" s="810"/>
      <c r="J1053" s="810"/>
      <c r="K1053" s="810"/>
      <c r="L1053" s="810"/>
      <c r="M1053" s="810"/>
      <c r="N1053" s="810"/>
      <c r="O1053" s="810"/>
      <c r="P1053" s="772"/>
      <c r="R1053" s="774"/>
    </row>
    <row r="1054" spans="1:22" hidden="1">
      <c r="A1054" s="786">
        <v>1054</v>
      </c>
      <c r="B1054" s="767"/>
      <c r="C1054" s="767" t="s">
        <v>1207</v>
      </c>
      <c r="D1054" s="767" t="s">
        <v>1208</v>
      </c>
      <c r="E1054" s="767"/>
      <c r="F1054" s="806"/>
      <c r="G1054" s="778"/>
      <c r="H1054" s="788"/>
      <c r="I1054" s="788"/>
      <c r="J1054" s="788"/>
      <c r="K1054" s="788"/>
      <c r="L1054" s="788"/>
      <c r="M1054" s="788"/>
      <c r="N1054" s="788"/>
      <c r="O1054" s="788"/>
      <c r="P1054" s="772"/>
      <c r="R1054" s="774"/>
    </row>
    <row r="1055" spans="1:22" hidden="1">
      <c r="A1055" s="786">
        <v>1055</v>
      </c>
      <c r="B1055" s="767"/>
      <c r="C1055" s="767"/>
      <c r="D1055" s="767"/>
      <c r="E1055" s="767" t="s">
        <v>727</v>
      </c>
      <c r="F1055" s="806" t="s">
        <v>1425</v>
      </c>
      <c r="G1055" s="778"/>
      <c r="H1055" s="815">
        <v>15141287.744463168</v>
      </c>
      <c r="I1055" s="815">
        <v>7892436.1384853777</v>
      </c>
      <c r="J1055" s="815">
        <v>2394193.8852092144</v>
      </c>
      <c r="K1055" s="815">
        <v>2473700.3847344504</v>
      </c>
      <c r="L1055" s="815">
        <v>953374.42174570472</v>
      </c>
      <c r="M1055" s="815">
        <v>504602.95974452345</v>
      </c>
      <c r="N1055" s="815">
        <v>792954.39408422215</v>
      </c>
      <c r="O1055" s="815">
        <v>130025.56045967258</v>
      </c>
      <c r="P1055" s="772">
        <v>0</v>
      </c>
      <c r="Q1055" s="774"/>
      <c r="R1055" s="774">
        <v>1646</v>
      </c>
      <c r="S1055" s="774"/>
      <c r="T1055" s="774"/>
      <c r="U1055" s="774"/>
      <c r="V1055" s="774"/>
    </row>
    <row r="1056" spans="1:22" hidden="1">
      <c r="A1056" s="786">
        <v>1056</v>
      </c>
      <c r="B1056" s="767"/>
      <c r="C1056" s="767"/>
      <c r="D1056" s="767"/>
      <c r="E1056" s="767" t="s">
        <v>1186</v>
      </c>
      <c r="F1056" s="806" t="s">
        <v>1426</v>
      </c>
      <c r="G1056" s="778"/>
      <c r="H1056" s="815">
        <v>0</v>
      </c>
      <c r="I1056" s="815">
        <v>0</v>
      </c>
      <c r="J1056" s="815">
        <v>0</v>
      </c>
      <c r="K1056" s="815">
        <v>0</v>
      </c>
      <c r="L1056" s="815">
        <v>0</v>
      </c>
      <c r="M1056" s="815">
        <v>0</v>
      </c>
      <c r="N1056" s="815">
        <v>0</v>
      </c>
      <c r="O1056" s="815">
        <v>0</v>
      </c>
      <c r="P1056" s="772">
        <v>0</v>
      </c>
      <c r="Q1056" s="774"/>
      <c r="R1056" s="774">
        <v>1647</v>
      </c>
      <c r="S1056" s="774"/>
      <c r="T1056" s="774"/>
      <c r="U1056" s="774"/>
      <c r="V1056" s="774"/>
    </row>
    <row r="1057" spans="1:22" hidden="1">
      <c r="A1057" s="786">
        <v>1057</v>
      </c>
      <c r="B1057" s="767"/>
      <c r="C1057" s="767"/>
      <c r="D1057" s="767"/>
      <c r="E1057" s="767" t="s">
        <v>1187</v>
      </c>
      <c r="F1057" s="806" t="s">
        <v>1426</v>
      </c>
      <c r="G1057" s="778"/>
      <c r="H1057" s="815">
        <v>0</v>
      </c>
      <c r="I1057" s="815">
        <v>0</v>
      </c>
      <c r="J1057" s="815">
        <v>0</v>
      </c>
      <c r="K1057" s="815">
        <v>0</v>
      </c>
      <c r="L1057" s="815">
        <v>0</v>
      </c>
      <c r="M1057" s="815">
        <v>0</v>
      </c>
      <c r="N1057" s="815">
        <v>0</v>
      </c>
      <c r="O1057" s="815">
        <v>0</v>
      </c>
      <c r="P1057" s="772">
        <v>0</v>
      </c>
      <c r="Q1057" s="774"/>
      <c r="R1057" s="774">
        <v>1648</v>
      </c>
      <c r="S1057" s="774"/>
      <c r="T1057" s="774"/>
      <c r="U1057" s="774"/>
      <c r="V1057" s="774"/>
    </row>
    <row r="1058" spans="1:22" hidden="1">
      <c r="A1058" s="786">
        <v>1058</v>
      </c>
      <c r="B1058" s="767"/>
      <c r="C1058" s="767"/>
      <c r="D1058" s="767"/>
      <c r="E1058" s="767" t="s">
        <v>1005</v>
      </c>
      <c r="F1058" s="806" t="s">
        <v>1411</v>
      </c>
      <c r="G1058" s="778"/>
      <c r="H1058" s="815">
        <v>7455706.8861076515</v>
      </c>
      <c r="I1058" s="815">
        <v>3472150.5107348049</v>
      </c>
      <c r="J1058" s="815">
        <v>1076623.5719649747</v>
      </c>
      <c r="K1058" s="815">
        <v>1474533.9670480869</v>
      </c>
      <c r="L1058" s="815">
        <v>588820.98167301842</v>
      </c>
      <c r="M1058" s="815">
        <v>471967.5497561589</v>
      </c>
      <c r="N1058" s="815">
        <v>336833.26024860085</v>
      </c>
      <c r="O1058" s="815">
        <v>34777.044682006461</v>
      </c>
      <c r="P1058" s="772">
        <v>0</v>
      </c>
      <c r="Q1058" s="774"/>
      <c r="R1058" s="774">
        <v>1649</v>
      </c>
      <c r="S1058" s="774"/>
      <c r="T1058" s="774"/>
      <c r="U1058" s="774"/>
      <c r="V1058" s="774"/>
    </row>
    <row r="1059" spans="1:22" hidden="1">
      <c r="A1059" s="786">
        <v>1059</v>
      </c>
      <c r="B1059" s="767"/>
      <c r="C1059" s="767"/>
      <c r="D1059" s="767"/>
      <c r="E1059" s="767" t="s">
        <v>1003</v>
      </c>
      <c r="F1059" s="806" t="s">
        <v>1410</v>
      </c>
      <c r="G1059" s="778"/>
      <c r="H1059" s="815">
        <v>71892.992636725161</v>
      </c>
      <c r="I1059" s="815">
        <v>58620.182046855851</v>
      </c>
      <c r="J1059" s="815">
        <v>10174.828609881195</v>
      </c>
      <c r="K1059" s="815">
        <v>592.1980685090665</v>
      </c>
      <c r="L1059" s="815">
        <v>151.51153807922526</v>
      </c>
      <c r="M1059" s="815">
        <v>2.3498440872350752</v>
      </c>
      <c r="N1059" s="815">
        <v>995.81668520145581</v>
      </c>
      <c r="O1059" s="815">
        <v>1356.1058441111231</v>
      </c>
      <c r="P1059" s="772">
        <v>0</v>
      </c>
      <c r="Q1059" s="774"/>
      <c r="R1059" s="774">
        <v>1650</v>
      </c>
      <c r="S1059" s="774"/>
      <c r="T1059" s="774"/>
      <c r="U1059" s="774"/>
      <c r="V1059" s="774"/>
    </row>
    <row r="1060" spans="1:22" hidden="1">
      <c r="A1060" s="786">
        <v>1060</v>
      </c>
      <c r="B1060" s="767"/>
      <c r="C1060" s="767"/>
      <c r="D1060" s="767"/>
      <c r="E1060" s="767" t="s">
        <v>1180</v>
      </c>
      <c r="F1060" s="806" t="s">
        <v>1426</v>
      </c>
      <c r="G1060" s="778"/>
      <c r="H1060" s="815">
        <v>13090607.462139789</v>
      </c>
      <c r="I1060" s="815">
        <v>5689425.7775056167</v>
      </c>
      <c r="J1060" s="815">
        <v>1742463.094945498</v>
      </c>
      <c r="K1060" s="815">
        <v>2859482.903729625</v>
      </c>
      <c r="L1060" s="815">
        <v>1161230.704865885</v>
      </c>
      <c r="M1060" s="815">
        <v>1121553.9996760644</v>
      </c>
      <c r="N1060" s="815">
        <v>498799.61638570967</v>
      </c>
      <c r="O1060" s="815">
        <v>17651.365031389414</v>
      </c>
      <c r="P1060" s="772">
        <v>0</v>
      </c>
      <c r="Q1060" s="774"/>
      <c r="R1060" s="774">
        <v>1651</v>
      </c>
      <c r="S1060" s="774"/>
      <c r="T1060" s="774"/>
      <c r="U1060" s="774"/>
      <c r="V1060" s="774"/>
    </row>
    <row r="1061" spans="1:22" hidden="1">
      <c r="A1061" s="786">
        <v>1061</v>
      </c>
      <c r="B1061" s="767"/>
      <c r="C1061" s="767"/>
      <c r="D1061" s="767"/>
      <c r="E1061" s="767" t="s">
        <v>738</v>
      </c>
      <c r="F1061" s="806" t="s">
        <v>1392</v>
      </c>
      <c r="G1061" s="778"/>
      <c r="H1061" s="815">
        <v>0</v>
      </c>
      <c r="I1061" s="815">
        <v>0</v>
      </c>
      <c r="J1061" s="815">
        <v>0</v>
      </c>
      <c r="K1061" s="815">
        <v>0</v>
      </c>
      <c r="L1061" s="815">
        <v>0</v>
      </c>
      <c r="M1061" s="815">
        <v>0</v>
      </c>
      <c r="N1061" s="815">
        <v>0</v>
      </c>
      <c r="O1061" s="815">
        <v>0</v>
      </c>
      <c r="P1061" s="772">
        <v>0</v>
      </c>
      <c r="Q1061" s="774"/>
      <c r="R1061" s="774">
        <v>1652</v>
      </c>
      <c r="S1061" s="774"/>
      <c r="T1061" s="774"/>
      <c r="U1061" s="774"/>
      <c r="V1061" s="774"/>
    </row>
    <row r="1062" spans="1:22" hidden="1">
      <c r="A1062" s="786">
        <v>1062</v>
      </c>
      <c r="B1062" s="767"/>
      <c r="C1062" s="767"/>
      <c r="D1062" s="767"/>
      <c r="E1062" s="767" t="s">
        <v>718</v>
      </c>
      <c r="F1062" s="806" t="s">
        <v>1426</v>
      </c>
      <c r="G1062" s="778"/>
      <c r="H1062" s="815">
        <v>858254.28638843982</v>
      </c>
      <c r="I1062" s="815">
        <v>358964.61974295496</v>
      </c>
      <c r="J1062" s="815">
        <v>114694.19357495035</v>
      </c>
      <c r="K1062" s="815">
        <v>194638.08990398233</v>
      </c>
      <c r="L1062" s="815">
        <v>79345.157302732754</v>
      </c>
      <c r="M1062" s="815">
        <v>75038.908216280121</v>
      </c>
      <c r="N1062" s="815">
        <v>34192.161867822149</v>
      </c>
      <c r="O1062" s="815">
        <v>1381.1557797171924</v>
      </c>
      <c r="P1062" s="772">
        <v>0</v>
      </c>
      <c r="Q1062" s="774"/>
      <c r="R1062" s="774">
        <v>1653</v>
      </c>
      <c r="S1062" s="774"/>
      <c r="T1062" s="774"/>
      <c r="U1062" s="774"/>
      <c r="V1062" s="774"/>
    </row>
    <row r="1063" spans="1:22" hidden="1">
      <c r="A1063" s="786"/>
      <c r="B1063" s="767"/>
      <c r="C1063" s="767"/>
      <c r="D1063" s="767"/>
      <c r="E1063" s="767" t="s">
        <v>1192</v>
      </c>
      <c r="F1063" s="806" t="s">
        <v>1426</v>
      </c>
      <c r="G1063" s="778"/>
      <c r="H1063" s="815">
        <v>10832.713391067768</v>
      </c>
      <c r="I1063" s="815">
        <v>4708.1022775849769</v>
      </c>
      <c r="J1063" s="815">
        <v>1441.919586745601</v>
      </c>
      <c r="K1063" s="815">
        <v>2366.2735921422191</v>
      </c>
      <c r="L1063" s="815">
        <v>960.93931798819108</v>
      </c>
      <c r="M1063" s="815">
        <v>928.1061300046473</v>
      </c>
      <c r="N1063" s="815">
        <v>412.76566419918538</v>
      </c>
      <c r="O1063" s="815">
        <v>14.606822402946143</v>
      </c>
      <c r="P1063" s="772">
        <v>0</v>
      </c>
      <c r="Q1063" s="774"/>
      <c r="R1063" s="774">
        <v>1654</v>
      </c>
      <c r="S1063" s="774"/>
      <c r="T1063" s="774"/>
      <c r="U1063" s="774"/>
      <c r="V1063" s="774"/>
    </row>
    <row r="1064" spans="1:22" hidden="1">
      <c r="A1064" s="786">
        <v>1064</v>
      </c>
      <c r="B1064" s="767"/>
      <c r="C1064" s="767"/>
      <c r="D1064" s="767"/>
      <c r="E1064" s="767" t="s">
        <v>1192</v>
      </c>
      <c r="F1064" s="806" t="s">
        <v>1426</v>
      </c>
      <c r="G1064" s="778"/>
      <c r="H1064" s="815">
        <v>-72.497943240430459</v>
      </c>
      <c r="I1064" s="815">
        <v>-31.508978348115676</v>
      </c>
      <c r="J1064" s="815">
        <v>-9.6500480150563206</v>
      </c>
      <c r="K1064" s="815">
        <v>-15.836287953109654</v>
      </c>
      <c r="L1064" s="815">
        <v>-6.4310871725314733</v>
      </c>
      <c r="M1064" s="815">
        <v>-6.211351035065114</v>
      </c>
      <c r="N1064" s="815">
        <v>-2.7624345456592465</v>
      </c>
      <c r="O1064" s="815">
        <v>-9.7756170892974836E-2</v>
      </c>
      <c r="P1064" s="772">
        <v>0</v>
      </c>
      <c r="Q1064" s="774"/>
      <c r="R1064" s="774">
        <v>1655</v>
      </c>
      <c r="S1064" s="774"/>
      <c r="T1064" s="774"/>
      <c r="U1064" s="774"/>
      <c r="V1064" s="774"/>
    </row>
    <row r="1065" spans="1:22" hidden="1">
      <c r="A1065" s="786">
        <v>1065</v>
      </c>
      <c r="B1065" s="767"/>
      <c r="C1065" s="767"/>
      <c r="D1065" s="767" t="s">
        <v>1209</v>
      </c>
      <c r="E1065" s="767"/>
      <c r="F1065" s="806"/>
      <c r="G1065" s="778"/>
      <c r="H1065" s="815">
        <v>36628509.587183595</v>
      </c>
      <c r="I1065" s="815">
        <v>17476273.821814846</v>
      </c>
      <c r="J1065" s="815">
        <v>5339581.8438432487</v>
      </c>
      <c r="K1065" s="815">
        <v>7005297.9807888428</v>
      </c>
      <c r="L1065" s="815">
        <v>2783877.2853562357</v>
      </c>
      <c r="M1065" s="815">
        <v>2174087.662016084</v>
      </c>
      <c r="N1065" s="815">
        <v>1664185.25250121</v>
      </c>
      <c r="O1065" s="815">
        <v>185205.74086312883</v>
      </c>
      <c r="P1065" s="772">
        <v>0</v>
      </c>
      <c r="Q1065" s="774"/>
      <c r="R1065" s="774"/>
      <c r="S1065" s="774"/>
      <c r="T1065" s="774"/>
      <c r="U1065" s="774"/>
      <c r="V1065" s="774"/>
    </row>
    <row r="1066" spans="1:22" hidden="1">
      <c r="A1066" s="786">
        <v>1066</v>
      </c>
      <c r="B1066" s="767"/>
      <c r="C1066" s="767"/>
      <c r="D1066" s="767"/>
      <c r="E1066" s="767"/>
      <c r="F1066" s="806"/>
      <c r="H1066" s="817"/>
      <c r="I1066" s="817"/>
      <c r="J1066" s="817"/>
      <c r="K1066" s="817"/>
      <c r="L1066" s="819"/>
      <c r="M1066" s="817"/>
      <c r="N1066" s="817"/>
      <c r="O1066" s="817"/>
      <c r="P1066" s="772"/>
      <c r="R1066" s="774"/>
    </row>
    <row r="1067" spans="1:22" hidden="1">
      <c r="A1067" s="786">
        <v>1067</v>
      </c>
      <c r="B1067" s="767"/>
      <c r="C1067" s="781" t="s">
        <v>714</v>
      </c>
      <c r="D1067" s="767"/>
      <c r="E1067" s="767"/>
      <c r="F1067" s="806"/>
      <c r="G1067" s="778"/>
      <c r="H1067" s="817" t="s">
        <v>1178</v>
      </c>
      <c r="I1067" s="817"/>
      <c r="J1067" s="817"/>
      <c r="K1067" s="817"/>
      <c r="L1067" s="817"/>
      <c r="M1067" s="817"/>
      <c r="N1067" s="817"/>
      <c r="O1067" s="817"/>
      <c r="P1067" s="772"/>
      <c r="R1067" s="774"/>
    </row>
    <row r="1068" spans="1:22" hidden="1">
      <c r="A1068" s="786">
        <v>1068</v>
      </c>
      <c r="B1068" s="767"/>
      <c r="C1068" s="767"/>
      <c r="D1068" s="767"/>
      <c r="E1068" s="767"/>
      <c r="F1068" s="806"/>
      <c r="G1068" s="778"/>
      <c r="H1068" s="810"/>
      <c r="I1068" s="810"/>
      <c r="J1068" s="810"/>
      <c r="K1068" s="810"/>
      <c r="L1068" s="810"/>
      <c r="M1068" s="810"/>
      <c r="N1068" s="810"/>
      <c r="O1068" s="810"/>
      <c r="P1068" s="772"/>
      <c r="R1068" s="774"/>
    </row>
    <row r="1069" spans="1:22" hidden="1">
      <c r="A1069" s="786">
        <v>1069</v>
      </c>
      <c r="B1069" s="767"/>
      <c r="C1069" s="777" t="s">
        <v>575</v>
      </c>
      <c r="D1069" s="767"/>
      <c r="E1069" s="777" t="s">
        <v>576</v>
      </c>
      <c r="F1069" s="806" t="s">
        <v>577</v>
      </c>
      <c r="G1069" s="778"/>
      <c r="H1069" s="777" t="s">
        <v>578</v>
      </c>
      <c r="I1069" s="777" t="s">
        <v>579</v>
      </c>
      <c r="J1069" s="777" t="s">
        <v>580</v>
      </c>
      <c r="K1069" s="777" t="s">
        <v>581</v>
      </c>
      <c r="L1069" s="777" t="s">
        <v>582</v>
      </c>
      <c r="M1069" s="777" t="s">
        <v>583</v>
      </c>
      <c r="N1069" s="777" t="s">
        <v>584</v>
      </c>
      <c r="O1069" s="777" t="s">
        <v>585</v>
      </c>
      <c r="P1069" s="772"/>
      <c r="R1069" s="774"/>
    </row>
    <row r="1070" spans="1:22" ht="38.25" hidden="1">
      <c r="A1070" s="786">
        <v>1070</v>
      </c>
      <c r="B1070" s="767"/>
      <c r="C1070" s="797" t="s">
        <v>656</v>
      </c>
      <c r="D1070" s="781"/>
      <c r="E1070" s="782" t="s">
        <v>587</v>
      </c>
      <c r="F1070" s="806" t="s">
        <v>1391</v>
      </c>
      <c r="G1070" s="783"/>
      <c r="H1070" s="829" t="s">
        <v>588</v>
      </c>
      <c r="I1070" s="829" t="s">
        <v>589</v>
      </c>
      <c r="J1070" s="829" t="s">
        <v>590</v>
      </c>
      <c r="K1070" s="829" t="s">
        <v>591</v>
      </c>
      <c r="L1070" s="829" t="s">
        <v>592</v>
      </c>
      <c r="M1070" s="829" t="s">
        <v>593</v>
      </c>
      <c r="N1070" s="829" t="s">
        <v>594</v>
      </c>
      <c r="O1070" s="829" t="s">
        <v>595</v>
      </c>
      <c r="P1070" s="772"/>
      <c r="R1070" s="774"/>
    </row>
    <row r="1071" spans="1:22" hidden="1">
      <c r="A1071" s="786">
        <v>1071</v>
      </c>
      <c r="B1071" s="767"/>
      <c r="C1071" s="767" t="s">
        <v>1210</v>
      </c>
      <c r="D1071" s="767" t="s">
        <v>1211</v>
      </c>
      <c r="E1071" s="767"/>
      <c r="F1071" s="806"/>
      <c r="G1071" s="778"/>
      <c r="H1071" s="788"/>
      <c r="I1071" s="788"/>
      <c r="J1071" s="788"/>
      <c r="K1071" s="788"/>
      <c r="L1071" s="788"/>
      <c r="M1071" s="788"/>
      <c r="N1071" s="788"/>
      <c r="O1071" s="788"/>
      <c r="P1071" s="772"/>
      <c r="R1071" s="774"/>
    </row>
    <row r="1072" spans="1:22" hidden="1">
      <c r="A1072" s="786">
        <v>1072</v>
      </c>
      <c r="B1072" s="767"/>
      <c r="C1072" s="767"/>
      <c r="D1072" s="767"/>
      <c r="E1072" s="767" t="s">
        <v>727</v>
      </c>
      <c r="F1072" s="806" t="s">
        <v>1425</v>
      </c>
      <c r="G1072" s="778"/>
      <c r="H1072" s="815">
        <v>180963.03000000003</v>
      </c>
      <c r="I1072" s="815">
        <v>94327.456277560617</v>
      </c>
      <c r="J1072" s="815">
        <v>28614.513321917773</v>
      </c>
      <c r="K1072" s="815">
        <v>29564.745382862624</v>
      </c>
      <c r="L1072" s="815">
        <v>11394.375894262321</v>
      </c>
      <c r="M1072" s="815">
        <v>6030.8265771997285</v>
      </c>
      <c r="N1072" s="815">
        <v>9477.0954906241714</v>
      </c>
      <c r="O1072" s="815">
        <v>1554.0170555727584</v>
      </c>
      <c r="P1072" s="772">
        <v>0</v>
      </c>
      <c r="Q1072" s="774"/>
      <c r="R1072" s="774">
        <v>1659</v>
      </c>
      <c r="S1072" s="774"/>
      <c r="T1072" s="774"/>
      <c r="U1072" s="774"/>
      <c r="V1072" s="774"/>
    </row>
    <row r="1073" spans="1:22" hidden="1">
      <c r="A1073" s="786">
        <v>1073</v>
      </c>
      <c r="B1073" s="767"/>
      <c r="C1073" s="767"/>
      <c r="D1073" s="767"/>
      <c r="E1073" s="767" t="s">
        <v>1186</v>
      </c>
      <c r="F1073" s="806" t="s">
        <v>1426</v>
      </c>
      <c r="G1073" s="778"/>
      <c r="H1073" s="815">
        <v>0</v>
      </c>
      <c r="I1073" s="815">
        <v>0</v>
      </c>
      <c r="J1073" s="815">
        <v>0</v>
      </c>
      <c r="K1073" s="815">
        <v>0</v>
      </c>
      <c r="L1073" s="815">
        <v>0</v>
      </c>
      <c r="M1073" s="815">
        <v>0</v>
      </c>
      <c r="N1073" s="815">
        <v>0</v>
      </c>
      <c r="O1073" s="815">
        <v>0</v>
      </c>
      <c r="P1073" s="772">
        <v>0</v>
      </c>
      <c r="Q1073" s="774"/>
      <c r="R1073" s="774">
        <v>1660</v>
      </c>
      <c r="S1073" s="774"/>
      <c r="T1073" s="774"/>
      <c r="U1073" s="774"/>
      <c r="V1073" s="774"/>
    </row>
    <row r="1074" spans="1:22" hidden="1">
      <c r="A1074" s="786">
        <v>1074</v>
      </c>
      <c r="B1074" s="767"/>
      <c r="C1074" s="767"/>
      <c r="D1074" s="767"/>
      <c r="E1074" s="767" t="s">
        <v>1187</v>
      </c>
      <c r="F1074" s="806" t="s">
        <v>1426</v>
      </c>
      <c r="G1074" s="778"/>
      <c r="H1074" s="815">
        <v>0</v>
      </c>
      <c r="I1074" s="815">
        <v>0</v>
      </c>
      <c r="J1074" s="815">
        <v>0</v>
      </c>
      <c r="K1074" s="815">
        <v>0</v>
      </c>
      <c r="L1074" s="815">
        <v>0</v>
      </c>
      <c r="M1074" s="815">
        <v>0</v>
      </c>
      <c r="N1074" s="815">
        <v>0</v>
      </c>
      <c r="O1074" s="815">
        <v>0</v>
      </c>
      <c r="P1074" s="772">
        <v>0</v>
      </c>
      <c r="Q1074" s="774"/>
      <c r="R1074" s="774">
        <v>1661</v>
      </c>
      <c r="S1074" s="774"/>
      <c r="T1074" s="774"/>
      <c r="U1074" s="774"/>
      <c r="V1074" s="774"/>
    </row>
    <row r="1075" spans="1:22" hidden="1">
      <c r="A1075" s="786"/>
      <c r="B1075" s="767"/>
      <c r="C1075" s="767"/>
      <c r="D1075" s="767"/>
      <c r="E1075" s="767" t="s">
        <v>1003</v>
      </c>
      <c r="F1075" s="806" t="s">
        <v>1410</v>
      </c>
      <c r="G1075" s="778"/>
      <c r="H1075" s="815">
        <v>5722.0809235068846</v>
      </c>
      <c r="I1075" s="815">
        <v>4665.6762101660925</v>
      </c>
      <c r="J1075" s="815">
        <v>809.83125828054722</v>
      </c>
      <c r="K1075" s="815">
        <v>47.134013294952865</v>
      </c>
      <c r="L1075" s="815">
        <v>12.059051236259862</v>
      </c>
      <c r="M1075" s="815">
        <v>0.18702793598711093</v>
      </c>
      <c r="N1075" s="815">
        <v>79.258679444515479</v>
      </c>
      <c r="O1075" s="815">
        <v>107.934683148529</v>
      </c>
      <c r="P1075" s="772">
        <v>0</v>
      </c>
      <c r="Q1075" s="774"/>
      <c r="R1075" s="774">
        <v>1662</v>
      </c>
      <c r="S1075" s="774"/>
      <c r="T1075" s="774"/>
      <c r="U1075" s="774"/>
      <c r="V1075" s="774"/>
    </row>
    <row r="1076" spans="1:22" hidden="1">
      <c r="A1076" s="786">
        <v>1076</v>
      </c>
      <c r="B1076" s="767"/>
      <c r="C1076" s="767"/>
      <c r="D1076" s="767"/>
      <c r="E1076" s="767" t="s">
        <v>1005</v>
      </c>
      <c r="F1076" s="806" t="s">
        <v>1411</v>
      </c>
      <c r="G1076" s="778"/>
      <c r="H1076" s="815">
        <v>147783.49200923037</v>
      </c>
      <c r="I1076" s="815">
        <v>68823.323542149941</v>
      </c>
      <c r="J1076" s="815">
        <v>21340.322718547599</v>
      </c>
      <c r="K1076" s="815">
        <v>29227.514180128044</v>
      </c>
      <c r="L1076" s="815">
        <v>11671.330722789527</v>
      </c>
      <c r="M1076" s="815">
        <v>9355.1173193208397</v>
      </c>
      <c r="N1076" s="815">
        <v>6676.5494117191038</v>
      </c>
      <c r="O1076" s="815">
        <v>689.33411457529519</v>
      </c>
      <c r="P1076" s="772">
        <v>0</v>
      </c>
      <c r="Q1076" s="774"/>
      <c r="R1076" s="774">
        <v>1663</v>
      </c>
      <c r="S1076" s="774"/>
      <c r="T1076" s="774"/>
      <c r="U1076" s="774"/>
      <c r="V1076" s="774"/>
    </row>
    <row r="1077" spans="1:22" hidden="1">
      <c r="A1077" s="786">
        <v>1077</v>
      </c>
      <c r="B1077" s="767"/>
      <c r="C1077" s="767"/>
      <c r="D1077" s="767"/>
      <c r="E1077" s="767" t="s">
        <v>738</v>
      </c>
      <c r="F1077" s="806" t="s">
        <v>1392</v>
      </c>
      <c r="G1077" s="778"/>
      <c r="H1077" s="815">
        <v>0</v>
      </c>
      <c r="I1077" s="815">
        <v>0</v>
      </c>
      <c r="J1077" s="815">
        <v>0</v>
      </c>
      <c r="K1077" s="815">
        <v>0</v>
      </c>
      <c r="L1077" s="815">
        <v>0</v>
      </c>
      <c r="M1077" s="815">
        <v>0</v>
      </c>
      <c r="N1077" s="815">
        <v>0</v>
      </c>
      <c r="O1077" s="815">
        <v>0</v>
      </c>
      <c r="P1077" s="772">
        <v>0</v>
      </c>
      <c r="Q1077" s="774"/>
      <c r="R1077" s="774">
        <v>1664</v>
      </c>
      <c r="S1077" s="774"/>
      <c r="T1077" s="774"/>
      <c r="U1077" s="774"/>
      <c r="V1077" s="774"/>
    </row>
    <row r="1078" spans="1:22" hidden="1">
      <c r="A1078" s="786">
        <v>1078</v>
      </c>
      <c r="B1078" s="767"/>
      <c r="C1078" s="767"/>
      <c r="D1078" s="767"/>
      <c r="E1078" s="767" t="s">
        <v>788</v>
      </c>
      <c r="F1078" s="806" t="s">
        <v>1426</v>
      </c>
      <c r="G1078" s="778"/>
      <c r="H1078" s="815">
        <v>88351.481707118161</v>
      </c>
      <c r="I1078" s="815">
        <v>38399.226235993767</v>
      </c>
      <c r="J1078" s="815">
        <v>11760.279017123714</v>
      </c>
      <c r="K1078" s="815">
        <v>19299.299302294465</v>
      </c>
      <c r="L1078" s="815">
        <v>7837.4096599740042</v>
      </c>
      <c r="M1078" s="815">
        <v>7569.6225688924314</v>
      </c>
      <c r="N1078" s="815">
        <v>3366.5118528743938</v>
      </c>
      <c r="O1078" s="815">
        <v>119.13306996538321</v>
      </c>
      <c r="P1078" s="772">
        <v>0</v>
      </c>
      <c r="Q1078" s="774"/>
      <c r="R1078" s="774">
        <v>1665</v>
      </c>
      <c r="S1078" s="774"/>
      <c r="T1078" s="774"/>
      <c r="U1078" s="774"/>
      <c r="V1078" s="774"/>
    </row>
    <row r="1079" spans="1:22" hidden="1">
      <c r="A1079" s="786">
        <v>1079</v>
      </c>
      <c r="B1079" s="767"/>
      <c r="C1079" s="767"/>
      <c r="D1079" s="767"/>
      <c r="E1079" s="767" t="s">
        <v>718</v>
      </c>
      <c r="F1079" s="806" t="s">
        <v>1426</v>
      </c>
      <c r="G1079" s="778"/>
      <c r="H1079" s="815">
        <v>44670.006371456548</v>
      </c>
      <c r="I1079" s="815">
        <v>19414.430267360734</v>
      </c>
      <c r="J1079" s="815">
        <v>5945.9301471194112</v>
      </c>
      <c r="K1079" s="815">
        <v>9757.6159011794407</v>
      </c>
      <c r="L1079" s="815">
        <v>3962.5497239232805</v>
      </c>
      <c r="M1079" s="815">
        <v>3827.1580945620281</v>
      </c>
      <c r="N1079" s="815">
        <v>1702.0892350848646</v>
      </c>
      <c r="O1079" s="815">
        <v>60.233002226787768</v>
      </c>
      <c r="P1079" s="772">
        <v>0</v>
      </c>
      <c r="Q1079" s="774"/>
      <c r="R1079" s="774">
        <v>1666</v>
      </c>
      <c r="S1079" s="774"/>
      <c r="T1079" s="774"/>
      <c r="U1079" s="774"/>
      <c r="V1079" s="774"/>
    </row>
    <row r="1080" spans="1:22" hidden="1">
      <c r="A1080" s="786">
        <v>1080</v>
      </c>
      <c r="B1080" s="767"/>
      <c r="C1080" s="767"/>
      <c r="D1080" s="767" t="s">
        <v>1212</v>
      </c>
      <c r="E1080" s="767"/>
      <c r="F1080" s="806"/>
      <c r="G1080" s="778"/>
      <c r="H1080" s="815">
        <v>467490.09101131192</v>
      </c>
      <c r="I1080" s="815">
        <v>225630.11253323115</v>
      </c>
      <c r="J1080" s="815">
        <v>68470.87646298905</v>
      </c>
      <c r="K1080" s="815">
        <v>87896.308779759522</v>
      </c>
      <c r="L1080" s="815">
        <v>34877.725052185393</v>
      </c>
      <c r="M1080" s="815">
        <v>26782.911587911014</v>
      </c>
      <c r="N1080" s="815">
        <v>21301.50466974705</v>
      </c>
      <c r="O1080" s="815">
        <v>2530.6519254887535</v>
      </c>
      <c r="P1080" s="772">
        <v>0</v>
      </c>
      <c r="Q1080" s="774"/>
      <c r="R1080" s="774"/>
      <c r="S1080" s="774"/>
      <c r="T1080" s="774"/>
      <c r="U1080" s="774"/>
      <c r="V1080" s="774"/>
    </row>
    <row r="1081" spans="1:22" hidden="1">
      <c r="A1081" s="786">
        <v>1081</v>
      </c>
      <c r="B1081" s="767"/>
      <c r="C1081" s="767"/>
      <c r="D1081" s="767"/>
      <c r="E1081" s="767"/>
      <c r="F1081" s="806"/>
      <c r="G1081" s="778"/>
      <c r="H1081" s="788"/>
      <c r="I1081" s="788"/>
      <c r="J1081" s="788"/>
      <c r="K1081" s="788"/>
      <c r="L1081" s="788"/>
      <c r="M1081" s="788"/>
      <c r="N1081" s="788"/>
      <c r="O1081" s="788"/>
      <c r="P1081" s="772"/>
      <c r="R1081" s="774"/>
    </row>
    <row r="1082" spans="1:22" hidden="1">
      <c r="A1082" s="786">
        <v>1082</v>
      </c>
      <c r="B1082" s="767"/>
      <c r="C1082" s="767" t="s">
        <v>1213</v>
      </c>
      <c r="D1082" s="767" t="s">
        <v>1214</v>
      </c>
      <c r="E1082" s="767"/>
      <c r="F1082" s="806" t="s">
        <v>1392</v>
      </c>
      <c r="G1082" s="778"/>
      <c r="H1082" s="815">
        <v>68402453.89308764</v>
      </c>
      <c r="I1082" s="815">
        <v>28609307.568438083</v>
      </c>
      <c r="J1082" s="815">
        <v>9141072.0718086269</v>
      </c>
      <c r="K1082" s="815">
        <v>15512562.164437711</v>
      </c>
      <c r="L1082" s="815">
        <v>6323770.8801649474</v>
      </c>
      <c r="M1082" s="815">
        <v>5980564.8988377405</v>
      </c>
      <c r="N1082" s="815">
        <v>2725098.8579510069</v>
      </c>
      <c r="O1082" s="815">
        <v>110077.45144953264</v>
      </c>
      <c r="P1082" s="772">
        <v>0</v>
      </c>
      <c r="Q1082" s="774"/>
      <c r="R1082" s="774">
        <v>1674</v>
      </c>
      <c r="S1082" s="774"/>
      <c r="T1082" s="774"/>
      <c r="U1082" s="774"/>
      <c r="V1082" s="774"/>
    </row>
    <row r="1083" spans="1:22" hidden="1">
      <c r="A1083" s="786">
        <v>1083</v>
      </c>
      <c r="B1083" s="767"/>
      <c r="C1083" s="767" t="s">
        <v>1215</v>
      </c>
      <c r="D1083" s="767" t="s">
        <v>1216</v>
      </c>
      <c r="E1083" s="767"/>
      <c r="F1083" s="806" t="s">
        <v>1392</v>
      </c>
      <c r="G1083" s="778"/>
      <c r="H1083" s="815">
        <v>0</v>
      </c>
      <c r="I1083" s="815">
        <v>0</v>
      </c>
      <c r="J1083" s="815">
        <v>0</v>
      </c>
      <c r="K1083" s="815">
        <v>0</v>
      </c>
      <c r="L1083" s="815">
        <v>0</v>
      </c>
      <c r="M1083" s="815">
        <v>0</v>
      </c>
      <c r="N1083" s="815">
        <v>0</v>
      </c>
      <c r="O1083" s="815">
        <v>0</v>
      </c>
      <c r="P1083" s="772">
        <v>0</v>
      </c>
      <c r="Q1083" s="774"/>
      <c r="R1083" s="774">
        <v>1677</v>
      </c>
      <c r="S1083" s="774"/>
      <c r="T1083" s="774"/>
      <c r="U1083" s="774"/>
      <c r="V1083" s="774"/>
    </row>
    <row r="1084" spans="1:22" hidden="1">
      <c r="A1084" s="786">
        <v>1084</v>
      </c>
      <c r="B1084" s="767"/>
      <c r="C1084" s="767"/>
      <c r="D1084" s="767" t="s">
        <v>1217</v>
      </c>
      <c r="E1084" s="767"/>
      <c r="F1084" s="806" t="s">
        <v>1392</v>
      </c>
      <c r="G1084" s="778"/>
      <c r="H1084" s="815">
        <v>0</v>
      </c>
      <c r="I1084" s="815">
        <v>0</v>
      </c>
      <c r="J1084" s="815">
        <v>0</v>
      </c>
      <c r="K1084" s="815">
        <v>0</v>
      </c>
      <c r="L1084" s="815">
        <v>0</v>
      </c>
      <c r="M1084" s="815">
        <v>0</v>
      </c>
      <c r="N1084" s="815">
        <v>0</v>
      </c>
      <c r="O1084" s="815">
        <v>0</v>
      </c>
      <c r="P1084" s="772">
        <v>0</v>
      </c>
      <c r="Q1084" s="774"/>
      <c r="R1084" s="774">
        <v>1680</v>
      </c>
      <c r="S1084" s="774"/>
      <c r="T1084" s="774"/>
      <c r="U1084" s="774"/>
      <c r="V1084" s="774"/>
    </row>
    <row r="1085" spans="1:22" hidden="1">
      <c r="A1085" s="786">
        <v>1085</v>
      </c>
      <c r="B1085" s="767"/>
      <c r="C1085" s="767"/>
      <c r="D1085" s="767"/>
      <c r="E1085" s="767"/>
      <c r="F1085" s="806"/>
      <c r="G1085" s="778"/>
      <c r="H1085" s="788"/>
      <c r="I1085" s="788"/>
      <c r="J1085" s="788"/>
      <c r="K1085" s="788"/>
      <c r="L1085" s="788"/>
      <c r="M1085" s="788"/>
      <c r="N1085" s="788"/>
      <c r="O1085" s="788"/>
      <c r="P1085" s="772"/>
      <c r="R1085" s="774"/>
    </row>
    <row r="1086" spans="1:22" hidden="1">
      <c r="A1086" s="786">
        <v>1086</v>
      </c>
      <c r="B1086" s="767"/>
      <c r="C1086" s="767" t="s">
        <v>1218</v>
      </c>
      <c r="D1086" s="767" t="s">
        <v>1219</v>
      </c>
      <c r="E1086" s="767"/>
      <c r="F1086" s="806"/>
      <c r="G1086" s="778"/>
      <c r="H1086" s="815"/>
      <c r="I1086" s="815"/>
      <c r="J1086" s="815"/>
      <c r="K1086" s="815"/>
      <c r="L1086" s="815"/>
      <c r="M1086" s="815"/>
      <c r="N1086" s="815"/>
      <c r="O1086" s="815"/>
      <c r="P1086" s="772"/>
      <c r="Q1086" s="774"/>
      <c r="R1086" s="774"/>
      <c r="S1086" s="774"/>
      <c r="T1086" s="774"/>
      <c r="U1086" s="774"/>
      <c r="V1086" s="774"/>
    </row>
    <row r="1087" spans="1:22" hidden="1">
      <c r="A1087" s="786">
        <v>1087</v>
      </c>
      <c r="B1087" s="767"/>
      <c r="C1087" s="767"/>
      <c r="D1087" s="767"/>
      <c r="E1087" s="767" t="s">
        <v>727</v>
      </c>
      <c r="F1087" s="806" t="s">
        <v>1392</v>
      </c>
      <c r="G1087" s="778"/>
      <c r="H1087" s="815">
        <v>0</v>
      </c>
      <c r="I1087" s="815">
        <v>0</v>
      </c>
      <c r="J1087" s="815">
        <v>0</v>
      </c>
      <c r="K1087" s="815">
        <v>0</v>
      </c>
      <c r="L1087" s="815">
        <v>0</v>
      </c>
      <c r="M1087" s="815">
        <v>0</v>
      </c>
      <c r="N1087" s="815">
        <v>0</v>
      </c>
      <c r="O1087" s="815">
        <v>0</v>
      </c>
      <c r="P1087" s="772">
        <v>0</v>
      </c>
      <c r="Q1087" s="774"/>
      <c r="R1087" s="774">
        <v>1685</v>
      </c>
      <c r="S1087" s="774"/>
      <c r="T1087" s="774"/>
      <c r="U1087" s="774"/>
      <c r="V1087" s="774"/>
    </row>
    <row r="1088" spans="1:22" hidden="1">
      <c r="A1088" s="786">
        <v>1088</v>
      </c>
      <c r="B1088" s="767"/>
      <c r="C1088" s="767"/>
      <c r="D1088" s="767"/>
      <c r="E1088" s="767" t="s">
        <v>788</v>
      </c>
      <c r="F1088" s="806" t="s">
        <v>1392</v>
      </c>
      <c r="G1088" s="778"/>
      <c r="H1088" s="815">
        <v>702369.02380910586</v>
      </c>
      <c r="I1088" s="815">
        <v>293765.65145024617</v>
      </c>
      <c r="J1088" s="815">
        <v>93862.215494197575</v>
      </c>
      <c r="K1088" s="815">
        <v>159285.85195560104</v>
      </c>
      <c r="L1088" s="815">
        <v>64933.64677875612</v>
      </c>
      <c r="M1088" s="815">
        <v>61409.544405952263</v>
      </c>
      <c r="N1088" s="815">
        <v>27981.818132343033</v>
      </c>
      <c r="O1088" s="815">
        <v>1130.2955920096822</v>
      </c>
      <c r="P1088" s="772">
        <v>0</v>
      </c>
      <c r="Q1088" s="774"/>
      <c r="R1088" s="774">
        <v>1686</v>
      </c>
      <c r="S1088" s="774"/>
      <c r="T1088" s="774"/>
      <c r="U1088" s="774"/>
      <c r="V1088" s="774"/>
    </row>
    <row r="1089" spans="1:22" hidden="1">
      <c r="A1089" s="786">
        <v>1089</v>
      </c>
      <c r="B1089" s="767"/>
      <c r="C1089" s="767"/>
      <c r="D1089" s="767"/>
      <c r="E1089" s="767" t="s">
        <v>1220</v>
      </c>
      <c r="F1089" s="806" t="s">
        <v>1392</v>
      </c>
      <c r="G1089" s="778"/>
      <c r="H1089" s="815">
        <v>144504.51827184588</v>
      </c>
      <c r="I1089" s="815">
        <v>60438.975109429455</v>
      </c>
      <c r="J1089" s="815">
        <v>19311.093989252557</v>
      </c>
      <c r="K1089" s="815">
        <v>32771.270548828383</v>
      </c>
      <c r="L1089" s="815">
        <v>13359.366699446837</v>
      </c>
      <c r="M1089" s="815">
        <v>12634.322316138301</v>
      </c>
      <c r="N1089" s="815">
        <v>5756.9440173426547</v>
      </c>
      <c r="O1089" s="815">
        <v>232.54559140771784</v>
      </c>
      <c r="P1089" s="772">
        <v>0</v>
      </c>
      <c r="Q1089" s="774"/>
      <c r="R1089" s="774">
        <v>1687</v>
      </c>
      <c r="S1089" s="774"/>
      <c r="T1089" s="774"/>
      <c r="U1089" s="774"/>
      <c r="V1089" s="774"/>
    </row>
    <row r="1090" spans="1:22" hidden="1">
      <c r="A1090" s="786"/>
      <c r="B1090" s="767"/>
      <c r="C1090" s="767"/>
      <c r="D1090" s="767"/>
      <c r="E1090" s="767"/>
      <c r="F1090" s="806"/>
      <c r="G1090" s="778"/>
      <c r="H1090" s="815"/>
      <c r="I1090" s="815"/>
      <c r="J1090" s="815"/>
      <c r="K1090" s="815"/>
      <c r="L1090" s="815"/>
      <c r="M1090" s="815"/>
      <c r="N1090" s="815"/>
      <c r="O1090" s="815"/>
      <c r="P1090" s="772"/>
      <c r="Q1090" s="774"/>
      <c r="R1090" s="774"/>
      <c r="S1090" s="774"/>
      <c r="T1090" s="774"/>
      <c r="U1090" s="774"/>
      <c r="V1090" s="774"/>
    </row>
    <row r="1091" spans="1:22" hidden="1">
      <c r="A1091" s="786">
        <v>1091</v>
      </c>
      <c r="B1091" s="767"/>
      <c r="C1091" s="767"/>
      <c r="D1091" s="767" t="s">
        <v>1217</v>
      </c>
      <c r="E1091" s="767"/>
      <c r="F1091" s="806"/>
      <c r="G1091" s="778"/>
      <c r="H1091" s="815">
        <v>-846873.54208095174</v>
      </c>
      <c r="I1091" s="815">
        <v>-354204.62655967555</v>
      </c>
      <c r="J1091" s="815">
        <v>-113173.30948345014</v>
      </c>
      <c r="K1091" s="815">
        <v>-192057.12250442943</v>
      </c>
      <c r="L1091" s="815">
        <v>-78293.013478202949</v>
      </c>
      <c r="M1091" s="815">
        <v>-74043.866722090563</v>
      </c>
      <c r="N1091" s="815">
        <v>-33738.762149685688</v>
      </c>
      <c r="O1091" s="815">
        <v>-1362.8411834174001</v>
      </c>
      <c r="P1091" s="772"/>
      <c r="Q1091" s="774"/>
      <c r="R1091" s="774"/>
      <c r="S1091" s="774"/>
      <c r="T1091" s="774"/>
      <c r="U1091" s="774"/>
      <c r="V1091" s="774"/>
    </row>
    <row r="1092" spans="1:22" hidden="1">
      <c r="A1092" s="786">
        <v>1092</v>
      </c>
      <c r="B1092" s="767"/>
      <c r="C1092" s="767"/>
      <c r="D1092" s="767"/>
      <c r="E1092" s="767"/>
      <c r="F1092" s="806"/>
      <c r="G1092" s="778"/>
      <c r="H1092" s="788"/>
      <c r="I1092" s="788"/>
      <c r="J1092" s="788"/>
      <c r="K1092" s="788"/>
      <c r="L1092" s="788"/>
      <c r="M1092" s="788"/>
      <c r="N1092" s="788"/>
      <c r="O1092" s="788"/>
      <c r="P1092" s="772"/>
      <c r="R1092" s="774"/>
    </row>
    <row r="1093" spans="1:22" hidden="1">
      <c r="A1093" s="786">
        <v>1093</v>
      </c>
      <c r="B1093" s="767"/>
      <c r="C1093" s="767" t="s">
        <v>1221</v>
      </c>
      <c r="D1093" s="767" t="s">
        <v>1222</v>
      </c>
      <c r="E1093" s="767"/>
      <c r="F1093" s="806" t="s">
        <v>1392</v>
      </c>
      <c r="G1093" s="778"/>
      <c r="H1093" s="815">
        <v>0</v>
      </c>
      <c r="I1093" s="815">
        <v>0</v>
      </c>
      <c r="J1093" s="815">
        <v>0</v>
      </c>
      <c r="K1093" s="815">
        <v>0</v>
      </c>
      <c r="L1093" s="815">
        <v>0</v>
      </c>
      <c r="M1093" s="815">
        <v>0</v>
      </c>
      <c r="N1093" s="815">
        <v>0</v>
      </c>
      <c r="O1093" s="815">
        <v>0</v>
      </c>
      <c r="P1093" s="772">
        <v>0</v>
      </c>
      <c r="Q1093" s="774"/>
      <c r="R1093" s="774">
        <v>1694</v>
      </c>
      <c r="S1093" s="774"/>
      <c r="T1093" s="774"/>
      <c r="U1093" s="774"/>
      <c r="V1093" s="774"/>
    </row>
    <row r="1094" spans="1:22" hidden="1">
      <c r="A1094" s="786">
        <v>1094</v>
      </c>
      <c r="B1094" s="767"/>
      <c r="C1094" s="767"/>
      <c r="D1094" s="767" t="s">
        <v>1217</v>
      </c>
      <c r="E1094" s="767"/>
      <c r="F1094" s="806" t="s">
        <v>1392</v>
      </c>
      <c r="G1094" s="778"/>
      <c r="H1094" s="815">
        <v>0</v>
      </c>
      <c r="I1094" s="815">
        <v>0</v>
      </c>
      <c r="J1094" s="815">
        <v>0</v>
      </c>
      <c r="K1094" s="815">
        <v>0</v>
      </c>
      <c r="L1094" s="815">
        <v>0</v>
      </c>
      <c r="M1094" s="815">
        <v>0</v>
      </c>
      <c r="N1094" s="815">
        <v>0</v>
      </c>
      <c r="O1094" s="815">
        <v>0</v>
      </c>
      <c r="P1094" s="772">
        <v>0</v>
      </c>
      <c r="Q1094" s="774"/>
      <c r="R1094" s="774">
        <v>1697</v>
      </c>
      <c r="S1094" s="774"/>
      <c r="T1094" s="774"/>
      <c r="U1094" s="774"/>
      <c r="V1094" s="774"/>
    </row>
    <row r="1095" spans="1:22" hidden="1">
      <c r="A1095" s="786">
        <v>1095</v>
      </c>
      <c r="B1095" s="767"/>
      <c r="F1095" s="806"/>
      <c r="H1095" s="813"/>
      <c r="I1095" s="813"/>
      <c r="J1095" s="813"/>
      <c r="K1095" s="813"/>
      <c r="L1095" s="813"/>
      <c r="M1095" s="813"/>
      <c r="N1095" s="813"/>
      <c r="O1095" s="813"/>
      <c r="P1095" s="772"/>
      <c r="R1095" s="774"/>
    </row>
    <row r="1096" spans="1:22" hidden="1">
      <c r="A1096" s="786">
        <v>1096</v>
      </c>
      <c r="B1096" s="767"/>
      <c r="C1096" s="767" t="s">
        <v>1223</v>
      </c>
      <c r="D1096" s="767" t="s">
        <v>1224</v>
      </c>
      <c r="E1096" s="767"/>
      <c r="F1096" s="806" t="s">
        <v>1411</v>
      </c>
      <c r="G1096" s="778"/>
      <c r="H1096" s="815">
        <v>2642952.9115882386</v>
      </c>
      <c r="I1096" s="815">
        <v>1230833.0305900711</v>
      </c>
      <c r="J1096" s="815">
        <v>381649.31208754529</v>
      </c>
      <c r="K1096" s="815">
        <v>522703.46742132207</v>
      </c>
      <c r="L1096" s="815">
        <v>208729.52111579012</v>
      </c>
      <c r="M1096" s="815">
        <v>167306.47125190595</v>
      </c>
      <c r="N1096" s="815">
        <v>119403.090745505</v>
      </c>
      <c r="O1096" s="815">
        <v>12328.018376099035</v>
      </c>
      <c r="P1096" s="772">
        <v>0</v>
      </c>
      <c r="Q1096" s="774"/>
      <c r="R1096" s="774">
        <v>1707</v>
      </c>
      <c r="S1096" s="774"/>
      <c r="T1096" s="774"/>
      <c r="U1096" s="774"/>
      <c r="V1096" s="774"/>
    </row>
    <row r="1097" spans="1:22" hidden="1">
      <c r="A1097" s="786">
        <v>1097</v>
      </c>
      <c r="B1097" s="767"/>
      <c r="C1097" s="767" t="s">
        <v>1225</v>
      </c>
      <c r="D1097" s="767" t="s">
        <v>1226</v>
      </c>
      <c r="E1097" s="767"/>
      <c r="F1097" s="806" t="s">
        <v>1411</v>
      </c>
      <c r="G1097" s="778"/>
      <c r="H1097" s="828">
        <v>0</v>
      </c>
      <c r="I1097" s="828">
        <v>0</v>
      </c>
      <c r="J1097" s="828">
        <v>0</v>
      </c>
      <c r="K1097" s="828">
        <v>0</v>
      </c>
      <c r="L1097" s="828">
        <v>0</v>
      </c>
      <c r="M1097" s="828">
        <v>0</v>
      </c>
      <c r="N1097" s="828">
        <v>0</v>
      </c>
      <c r="O1097" s="828">
        <v>0</v>
      </c>
      <c r="P1097" s="772">
        <v>0</v>
      </c>
      <c r="Q1097" s="774"/>
      <c r="R1097" s="774">
        <v>1715</v>
      </c>
      <c r="S1097" s="774"/>
      <c r="T1097" s="774"/>
      <c r="U1097" s="774"/>
      <c r="V1097" s="774"/>
    </row>
    <row r="1098" spans="1:22" hidden="1">
      <c r="A1098" s="786">
        <v>1098</v>
      </c>
      <c r="B1098" s="767"/>
      <c r="C1098" s="767"/>
      <c r="D1098" s="767"/>
      <c r="E1098" s="767"/>
      <c r="F1098" s="806"/>
      <c r="G1098" s="778"/>
      <c r="H1098" s="788"/>
      <c r="I1098" s="788"/>
      <c r="J1098" s="788"/>
      <c r="K1098" s="788"/>
      <c r="L1098" s="788"/>
      <c r="M1098" s="788"/>
      <c r="N1098" s="788"/>
      <c r="O1098" s="788"/>
      <c r="P1098" s="772"/>
      <c r="R1098" s="774"/>
    </row>
    <row r="1099" spans="1:22" hidden="1">
      <c r="A1099" s="786">
        <v>1099</v>
      </c>
      <c r="B1099" s="767"/>
      <c r="C1099" s="767" t="s">
        <v>1227</v>
      </c>
      <c r="D1099" s="767"/>
      <c r="E1099" s="767"/>
      <c r="F1099" s="806"/>
      <c r="G1099" s="778"/>
      <c r="H1099" s="788">
        <v>162794371.75034398</v>
      </c>
      <c r="I1099" s="788">
        <v>74989533.12397486</v>
      </c>
      <c r="J1099" s="788">
        <v>23205375.145435534</v>
      </c>
      <c r="K1099" s="788">
        <v>32737506.056177258</v>
      </c>
      <c r="L1099" s="788">
        <v>13120454.916399127</v>
      </c>
      <c r="M1099" s="788">
        <v>10890576.568889091</v>
      </c>
      <c r="N1099" s="788">
        <v>7163197.4105334217</v>
      </c>
      <c r="O1099" s="788">
        <v>687728.52893467236</v>
      </c>
      <c r="P1099" s="772">
        <v>0</v>
      </c>
      <c r="Q1099" s="774"/>
      <c r="R1099" s="774"/>
      <c r="S1099" s="774"/>
      <c r="T1099" s="774"/>
      <c r="U1099" s="774"/>
      <c r="V1099" s="774"/>
    </row>
    <row r="1100" spans="1:22" hidden="1">
      <c r="A1100" s="786">
        <v>1100</v>
      </c>
      <c r="B1100" s="767"/>
      <c r="C1100" s="767"/>
      <c r="D1100" s="767"/>
      <c r="E1100" s="767"/>
      <c r="F1100" s="806"/>
      <c r="G1100" s="778"/>
      <c r="H1100" s="788"/>
      <c r="I1100" s="788"/>
      <c r="J1100" s="788"/>
      <c r="K1100" s="788"/>
      <c r="L1100" s="788"/>
      <c r="M1100" s="788"/>
      <c r="N1100" s="788"/>
      <c r="O1100" s="788"/>
      <c r="P1100" s="772"/>
      <c r="R1100" s="774"/>
    </row>
    <row r="1101" spans="1:22" hidden="1">
      <c r="A1101" s="786">
        <v>1101</v>
      </c>
      <c r="C1101" s="795"/>
      <c r="D1101" s="795"/>
      <c r="E1101" s="795"/>
      <c r="F1101" s="806"/>
      <c r="H1101" s="788"/>
      <c r="I1101" s="813"/>
      <c r="J1101" s="788"/>
      <c r="K1101" s="788"/>
      <c r="L1101" s="788"/>
      <c r="M1101" s="788"/>
      <c r="N1101" s="788"/>
      <c r="O1101" s="788"/>
      <c r="P1101" s="772"/>
      <c r="R1101" s="774"/>
    </row>
    <row r="1102" spans="1:22" hidden="1">
      <c r="A1102" s="786">
        <v>1102</v>
      </c>
      <c r="B1102" s="767"/>
      <c r="C1102" s="767"/>
      <c r="D1102" s="767"/>
      <c r="E1102" s="767"/>
      <c r="F1102" s="806"/>
      <c r="G1102" s="778"/>
      <c r="H1102" s="818"/>
      <c r="I1102" s="818"/>
      <c r="J1102" s="818"/>
      <c r="K1102" s="818"/>
      <c r="L1102" s="818"/>
      <c r="M1102" s="818"/>
      <c r="N1102" s="818"/>
      <c r="O1102" s="818"/>
      <c r="P1102" s="772"/>
      <c r="R1102" s="774"/>
    </row>
    <row r="1103" spans="1:22" hidden="1">
      <c r="A1103" s="786">
        <v>1103</v>
      </c>
      <c r="B1103" s="767"/>
      <c r="C1103" s="767"/>
      <c r="D1103" s="767"/>
      <c r="E1103" s="767"/>
      <c r="F1103" s="806"/>
      <c r="G1103" s="778"/>
      <c r="H1103" s="817" t="s">
        <v>1228</v>
      </c>
      <c r="I1103" s="819"/>
      <c r="J1103" s="817"/>
      <c r="K1103" s="817"/>
      <c r="L1103" s="817"/>
      <c r="M1103" s="817"/>
      <c r="N1103" s="817"/>
      <c r="O1103" s="817"/>
      <c r="P1103" s="772"/>
      <c r="R1103" s="774"/>
    </row>
    <row r="1104" spans="1:22" hidden="1">
      <c r="A1104" s="786">
        <v>1104</v>
      </c>
      <c r="B1104" s="767"/>
      <c r="F1104" s="806"/>
      <c r="H1104" s="813"/>
      <c r="I1104" s="813"/>
      <c r="J1104" s="813"/>
      <c r="K1104" s="813"/>
      <c r="L1104" s="813"/>
      <c r="M1104" s="813"/>
      <c r="N1104" s="813"/>
      <c r="O1104" s="813"/>
      <c r="P1104" s="772"/>
      <c r="R1104" s="774"/>
    </row>
    <row r="1105" spans="1:22" hidden="1">
      <c r="A1105" s="786">
        <v>1105</v>
      </c>
      <c r="B1105" s="767"/>
      <c r="C1105" s="767" t="s">
        <v>1229</v>
      </c>
      <c r="D1105" s="767" t="s">
        <v>1230</v>
      </c>
      <c r="E1105" s="767"/>
      <c r="F1105" s="806"/>
      <c r="G1105" s="778"/>
      <c r="H1105" s="788"/>
      <c r="I1105" s="788"/>
      <c r="J1105" s="788"/>
      <c r="K1105" s="788"/>
      <c r="L1105" s="788"/>
      <c r="M1105" s="788"/>
      <c r="N1105" s="788"/>
      <c r="O1105" s="788"/>
      <c r="P1105" s="772"/>
      <c r="R1105" s="774"/>
    </row>
    <row r="1106" spans="1:22" hidden="1">
      <c r="A1106" s="786">
        <v>1106</v>
      </c>
      <c r="B1106" s="767"/>
      <c r="C1106" s="767"/>
      <c r="D1106" s="767"/>
      <c r="E1106" s="767" t="s">
        <v>727</v>
      </c>
      <c r="F1106" s="806" t="s">
        <v>1425</v>
      </c>
      <c r="G1106" s="778"/>
      <c r="H1106" s="815">
        <v>0</v>
      </c>
      <c r="I1106" s="815">
        <v>0</v>
      </c>
      <c r="J1106" s="815">
        <v>0</v>
      </c>
      <c r="K1106" s="815">
        <v>0</v>
      </c>
      <c r="L1106" s="815">
        <v>0</v>
      </c>
      <c r="M1106" s="815">
        <v>0</v>
      </c>
      <c r="N1106" s="815">
        <v>0</v>
      </c>
      <c r="O1106" s="815">
        <v>0</v>
      </c>
      <c r="P1106" s="772">
        <v>0</v>
      </c>
      <c r="Q1106" s="774"/>
      <c r="R1106" s="774">
        <v>1720</v>
      </c>
      <c r="S1106" s="774"/>
      <c r="T1106" s="774"/>
      <c r="U1106" s="774"/>
      <c r="V1106" s="774"/>
    </row>
    <row r="1107" spans="1:22" hidden="1">
      <c r="A1107" s="786">
        <v>1107</v>
      </c>
      <c r="B1107" s="767"/>
      <c r="C1107" s="767"/>
      <c r="D1107" s="767"/>
      <c r="E1107" s="767" t="s">
        <v>1005</v>
      </c>
      <c r="F1107" s="806" t="s">
        <v>1411</v>
      </c>
      <c r="G1107" s="778"/>
      <c r="H1107" s="815">
        <v>0</v>
      </c>
      <c r="I1107" s="815">
        <v>0</v>
      </c>
      <c r="J1107" s="815">
        <v>0</v>
      </c>
      <c r="K1107" s="815">
        <v>0</v>
      </c>
      <c r="L1107" s="815">
        <v>0</v>
      </c>
      <c r="M1107" s="815">
        <v>0</v>
      </c>
      <c r="N1107" s="815">
        <v>0</v>
      </c>
      <c r="O1107" s="815">
        <v>0</v>
      </c>
      <c r="P1107" s="772">
        <v>0</v>
      </c>
      <c r="Q1107" s="774"/>
      <c r="R1107" s="774">
        <v>1721</v>
      </c>
      <c r="S1107" s="774"/>
      <c r="T1107" s="774"/>
      <c r="U1107" s="774"/>
      <c r="V1107" s="774"/>
    </row>
    <row r="1108" spans="1:22" hidden="1">
      <c r="A1108" s="786">
        <v>1108</v>
      </c>
      <c r="B1108" s="767"/>
      <c r="C1108" s="767"/>
      <c r="D1108" s="767"/>
      <c r="E1108" s="767" t="s">
        <v>1180</v>
      </c>
      <c r="F1108" s="806" t="s">
        <v>1426</v>
      </c>
      <c r="G1108" s="778"/>
      <c r="H1108" s="815">
        <v>0</v>
      </c>
      <c r="I1108" s="815">
        <v>0</v>
      </c>
      <c r="J1108" s="815">
        <v>0</v>
      </c>
      <c r="K1108" s="815">
        <v>0</v>
      </c>
      <c r="L1108" s="815">
        <v>0</v>
      </c>
      <c r="M1108" s="815">
        <v>0</v>
      </c>
      <c r="N1108" s="815">
        <v>0</v>
      </c>
      <c r="O1108" s="815">
        <v>0</v>
      </c>
      <c r="P1108" s="772">
        <v>0</v>
      </c>
      <c r="Q1108" s="774"/>
      <c r="R1108" s="774">
        <v>1722</v>
      </c>
      <c r="S1108" s="774"/>
      <c r="T1108" s="774"/>
      <c r="U1108" s="774"/>
      <c r="V1108" s="774"/>
    </row>
    <row r="1109" spans="1:22" hidden="1">
      <c r="A1109" s="786">
        <v>1109</v>
      </c>
      <c r="B1109" s="767"/>
      <c r="C1109" s="767"/>
      <c r="D1109" s="767" t="s">
        <v>1231</v>
      </c>
      <c r="E1109" s="767"/>
      <c r="F1109" s="806"/>
      <c r="G1109" s="778"/>
      <c r="H1109" s="815">
        <v>0</v>
      </c>
      <c r="I1109" s="788">
        <v>0</v>
      </c>
      <c r="J1109" s="788">
        <v>0</v>
      </c>
      <c r="K1109" s="788">
        <v>0</v>
      </c>
      <c r="L1109" s="788">
        <v>0</v>
      </c>
      <c r="M1109" s="788">
        <v>0</v>
      </c>
      <c r="N1109" s="788">
        <v>0</v>
      </c>
      <c r="O1109" s="788">
        <v>0</v>
      </c>
      <c r="P1109" s="772">
        <v>0</v>
      </c>
      <c r="Q1109" s="774"/>
      <c r="R1109" s="774"/>
      <c r="S1109" s="774"/>
      <c r="T1109" s="774"/>
      <c r="U1109" s="774"/>
      <c r="V1109" s="774"/>
    </row>
    <row r="1110" spans="1:22" hidden="1">
      <c r="A1110" s="786">
        <v>1110</v>
      </c>
      <c r="B1110" s="767"/>
      <c r="C1110" s="767"/>
      <c r="D1110" s="767"/>
      <c r="E1110" s="767"/>
      <c r="F1110" s="806"/>
      <c r="G1110" s="778"/>
      <c r="H1110" s="788"/>
      <c r="I1110" s="788"/>
      <c r="J1110" s="788"/>
      <c r="K1110" s="788"/>
      <c r="L1110" s="788"/>
      <c r="M1110" s="788"/>
      <c r="N1110" s="788"/>
      <c r="O1110" s="788"/>
      <c r="P1110" s="772"/>
      <c r="R1110" s="774"/>
    </row>
    <row r="1111" spans="1:22" hidden="1">
      <c r="A1111" s="786">
        <v>1111</v>
      </c>
      <c r="B1111" s="767"/>
      <c r="C1111" s="767" t="s">
        <v>1232</v>
      </c>
      <c r="D1111" s="767" t="s">
        <v>1233</v>
      </c>
      <c r="E1111" s="767"/>
      <c r="F1111" s="806"/>
      <c r="H1111" s="813"/>
      <c r="I1111" s="813"/>
      <c r="J1111" s="813"/>
      <c r="K1111" s="813"/>
      <c r="L1111" s="813"/>
      <c r="M1111" s="813"/>
      <c r="N1111" s="813"/>
      <c r="O1111" s="813"/>
      <c r="P1111" s="772"/>
      <c r="R1111" s="774"/>
    </row>
    <row r="1112" spans="1:22" hidden="1">
      <c r="A1112" s="786">
        <v>1112</v>
      </c>
      <c r="B1112" s="767"/>
      <c r="C1112" s="767"/>
      <c r="D1112" s="767"/>
      <c r="E1112" s="767" t="s">
        <v>727</v>
      </c>
      <c r="F1112" s="806" t="s">
        <v>1425</v>
      </c>
      <c r="G1112" s="778"/>
      <c r="H1112" s="815">
        <v>0</v>
      </c>
      <c r="I1112" s="815">
        <v>0</v>
      </c>
      <c r="J1112" s="815">
        <v>0</v>
      </c>
      <c r="K1112" s="815">
        <v>0</v>
      </c>
      <c r="L1112" s="815">
        <v>0</v>
      </c>
      <c r="M1112" s="815">
        <v>0</v>
      </c>
      <c r="N1112" s="815">
        <v>0</v>
      </c>
      <c r="O1112" s="815">
        <v>0</v>
      </c>
      <c r="P1112" s="772">
        <v>0</v>
      </c>
      <c r="Q1112" s="774"/>
      <c r="R1112" s="774">
        <v>1725</v>
      </c>
      <c r="S1112" s="774"/>
      <c r="T1112" s="774"/>
      <c r="U1112" s="774"/>
      <c r="V1112" s="774"/>
    </row>
    <row r="1113" spans="1:22" hidden="1">
      <c r="A1113" s="786">
        <v>1113</v>
      </c>
      <c r="B1113" s="767"/>
      <c r="C1113" s="767"/>
      <c r="D1113" s="767"/>
      <c r="E1113" s="767" t="s">
        <v>1180</v>
      </c>
      <c r="F1113" s="806" t="s">
        <v>1426</v>
      </c>
      <c r="G1113" s="778"/>
      <c r="H1113" s="815">
        <v>39086507.538377464</v>
      </c>
      <c r="I1113" s="815">
        <v>16530168.591437988</v>
      </c>
      <c r="J1113" s="815">
        <v>5217501.7974051256</v>
      </c>
      <c r="K1113" s="815">
        <v>8771262.9323963411</v>
      </c>
      <c r="L1113" s="815">
        <v>3571861.8533632956</v>
      </c>
      <c r="M1113" s="815">
        <v>3397864.2732513077</v>
      </c>
      <c r="N1113" s="815">
        <v>1537851.9987495027</v>
      </c>
      <c r="O1113" s="815">
        <v>59996.091773904249</v>
      </c>
      <c r="P1113" s="772">
        <v>0</v>
      </c>
      <c r="Q1113" s="774"/>
      <c r="R1113" s="774">
        <v>1726</v>
      </c>
      <c r="S1113" s="774"/>
      <c r="T1113" s="774"/>
      <c r="U1113" s="774"/>
      <c r="V1113" s="774"/>
    </row>
    <row r="1114" spans="1:22" hidden="1">
      <c r="A1114" s="786">
        <v>1114</v>
      </c>
      <c r="B1114" s="767"/>
      <c r="C1114" s="767"/>
      <c r="D1114" s="767"/>
      <c r="E1114" s="767" t="s">
        <v>835</v>
      </c>
      <c r="F1114" s="806" t="s">
        <v>1426</v>
      </c>
      <c r="G1114" s="778"/>
      <c r="H1114" s="815">
        <v>0</v>
      </c>
      <c r="I1114" s="815">
        <v>0</v>
      </c>
      <c r="J1114" s="815">
        <v>0</v>
      </c>
      <c r="K1114" s="815">
        <v>0</v>
      </c>
      <c r="L1114" s="815">
        <v>0</v>
      </c>
      <c r="M1114" s="815">
        <v>0</v>
      </c>
      <c r="N1114" s="815">
        <v>0</v>
      </c>
      <c r="O1114" s="815">
        <v>0</v>
      </c>
      <c r="P1114" s="772">
        <v>0</v>
      </c>
      <c r="Q1114" s="774"/>
      <c r="R1114" s="774">
        <v>1727</v>
      </c>
      <c r="S1114" s="774"/>
      <c r="T1114" s="774"/>
      <c r="U1114" s="774"/>
      <c r="V1114" s="774"/>
    </row>
    <row r="1115" spans="1:22" hidden="1">
      <c r="A1115" s="786">
        <v>1115</v>
      </c>
      <c r="B1115" s="767"/>
      <c r="C1115" s="767"/>
      <c r="D1115" s="767"/>
      <c r="E1115" s="767" t="s">
        <v>1002</v>
      </c>
      <c r="F1115" s="806" t="s">
        <v>1426</v>
      </c>
      <c r="G1115" s="778"/>
      <c r="H1115" s="815">
        <v>0</v>
      </c>
      <c r="I1115" s="815">
        <v>0</v>
      </c>
      <c r="J1115" s="815">
        <v>0</v>
      </c>
      <c r="K1115" s="815">
        <v>0</v>
      </c>
      <c r="L1115" s="815">
        <v>0</v>
      </c>
      <c r="M1115" s="815">
        <v>0</v>
      </c>
      <c r="N1115" s="815">
        <v>0</v>
      </c>
      <c r="O1115" s="815">
        <v>0</v>
      </c>
      <c r="P1115" s="772">
        <v>0</v>
      </c>
      <c r="Q1115" s="774"/>
      <c r="R1115" s="774">
        <v>1728</v>
      </c>
      <c r="S1115" s="774"/>
      <c r="T1115" s="774"/>
      <c r="U1115" s="774"/>
      <c r="V1115" s="774"/>
    </row>
    <row r="1116" spans="1:22" hidden="1">
      <c r="A1116" s="786">
        <v>1116</v>
      </c>
      <c r="B1116" s="767"/>
      <c r="C1116" s="767"/>
      <c r="D1116" s="767" t="s">
        <v>1234</v>
      </c>
      <c r="E1116" s="767"/>
      <c r="F1116" s="806"/>
      <c r="G1116" s="778"/>
      <c r="H1116" s="815">
        <v>39086507.538377471</v>
      </c>
      <c r="I1116" s="815">
        <v>16530168.591437988</v>
      </c>
      <c r="J1116" s="815">
        <v>5217501.7974051256</v>
      </c>
      <c r="K1116" s="815">
        <v>8771262.9323963411</v>
      </c>
      <c r="L1116" s="815">
        <v>3571861.8533632956</v>
      </c>
      <c r="M1116" s="815">
        <v>3397864.2732513077</v>
      </c>
      <c r="N1116" s="815">
        <v>1537851.9987495027</v>
      </c>
      <c r="O1116" s="815">
        <v>59996.091773904249</v>
      </c>
      <c r="P1116" s="772">
        <v>0</v>
      </c>
      <c r="Q1116" s="774"/>
      <c r="R1116" s="774"/>
      <c r="S1116" s="774"/>
      <c r="T1116" s="774"/>
      <c r="U1116" s="774"/>
      <c r="V1116" s="774"/>
    </row>
    <row r="1117" spans="1:22" hidden="1">
      <c r="A1117" s="786">
        <v>1117</v>
      </c>
      <c r="B1117" s="767"/>
      <c r="C1117" s="767"/>
      <c r="D1117" s="767"/>
      <c r="E1117" s="767"/>
      <c r="F1117" s="806"/>
      <c r="G1117" s="778"/>
      <c r="H1117" s="788"/>
      <c r="I1117" s="788"/>
      <c r="J1117" s="788"/>
      <c r="K1117" s="788"/>
      <c r="L1117" s="788"/>
      <c r="M1117" s="788"/>
      <c r="N1117" s="788"/>
      <c r="O1117" s="788"/>
      <c r="P1117" s="772"/>
      <c r="R1117" s="774"/>
    </row>
    <row r="1118" spans="1:22" hidden="1">
      <c r="A1118" s="786">
        <v>1118</v>
      </c>
      <c r="B1118" s="767"/>
      <c r="C1118" s="767" t="s">
        <v>1235</v>
      </c>
      <c r="D1118" s="767" t="s">
        <v>1236</v>
      </c>
      <c r="E1118" s="767"/>
      <c r="F1118" s="806"/>
      <c r="G1118" s="778"/>
      <c r="H1118" s="788"/>
      <c r="I1118" s="788"/>
      <c r="J1118" s="788"/>
      <c r="K1118" s="788"/>
      <c r="L1118" s="788"/>
      <c r="M1118" s="788"/>
      <c r="N1118" s="788"/>
      <c r="O1118" s="788"/>
      <c r="P1118" s="772"/>
      <c r="R1118" s="774"/>
    </row>
    <row r="1119" spans="1:22" hidden="1">
      <c r="A1119" s="786">
        <v>1119</v>
      </c>
      <c r="B1119" s="767"/>
      <c r="C1119" s="767"/>
      <c r="D1119" s="767"/>
      <c r="E1119" s="767" t="s">
        <v>727</v>
      </c>
      <c r="F1119" s="806" t="s">
        <v>1425</v>
      </c>
      <c r="G1119" s="778"/>
      <c r="H1119" s="815">
        <v>2036363.0800000008</v>
      </c>
      <c r="I1119" s="815">
        <v>532222.79702712304</v>
      </c>
      <c r="J1119" s="815">
        <v>210479.58275774034</v>
      </c>
      <c r="K1119" s="815">
        <v>652891.65405638819</v>
      </c>
      <c r="L1119" s="815">
        <v>276660.9620782868</v>
      </c>
      <c r="M1119" s="815">
        <v>323729.19025209546</v>
      </c>
      <c r="N1119" s="815">
        <v>54315.158114083722</v>
      </c>
      <c r="O1119" s="815">
        <v>-13936.264285715388</v>
      </c>
      <c r="P1119" s="772">
        <v>0</v>
      </c>
      <c r="Q1119" s="774"/>
      <c r="R1119" s="774">
        <v>1732</v>
      </c>
      <c r="S1119" s="774"/>
      <c r="T1119" s="774"/>
      <c r="U1119" s="774"/>
      <c r="V1119" s="774"/>
    </row>
    <row r="1120" spans="1:22" hidden="1">
      <c r="A1120" s="786">
        <v>1120</v>
      </c>
      <c r="B1120" s="767"/>
      <c r="C1120" s="767"/>
      <c r="D1120" s="767"/>
      <c r="E1120" s="767" t="s">
        <v>1017</v>
      </c>
      <c r="F1120" s="806" t="s">
        <v>1426</v>
      </c>
      <c r="G1120" s="778"/>
      <c r="H1120" s="815">
        <v>-6094007.685634451</v>
      </c>
      <c r="I1120" s="815">
        <v>-2577231.3973600408</v>
      </c>
      <c r="J1120" s="815">
        <v>-813464.74923551769</v>
      </c>
      <c r="K1120" s="815">
        <v>-1367534.4022553402</v>
      </c>
      <c r="L1120" s="815">
        <v>-556891.75005079038</v>
      </c>
      <c r="M1120" s="815">
        <v>-529763.65247279266</v>
      </c>
      <c r="N1120" s="815">
        <v>-239767.69708949042</v>
      </c>
      <c r="O1120" s="815">
        <v>-9354.0371704793033</v>
      </c>
      <c r="P1120" s="772">
        <v>0</v>
      </c>
      <c r="Q1120" s="774"/>
      <c r="R1120" s="774">
        <v>1733</v>
      </c>
      <c r="S1120" s="774"/>
      <c r="T1120" s="774"/>
      <c r="U1120" s="774"/>
      <c r="V1120" s="774"/>
    </row>
    <row r="1121" spans="1:22" hidden="1">
      <c r="A1121" s="786">
        <v>1121</v>
      </c>
      <c r="B1121" s="767"/>
      <c r="C1121" s="767"/>
      <c r="D1121" s="767"/>
      <c r="E1121" s="767" t="s">
        <v>1005</v>
      </c>
      <c r="F1121" s="806" t="s">
        <v>1411</v>
      </c>
      <c r="G1121" s="778"/>
      <c r="H1121" s="815">
        <v>27021117.77028767</v>
      </c>
      <c r="I1121" s="815">
        <v>12583835.349207286</v>
      </c>
      <c r="J1121" s="815">
        <v>3901920.0696502961</v>
      </c>
      <c r="K1121" s="815">
        <v>5344034.6554043088</v>
      </c>
      <c r="L1121" s="815">
        <v>2134016.4433032535</v>
      </c>
      <c r="M1121" s="815">
        <v>1710513.9647426768</v>
      </c>
      <c r="N1121" s="815">
        <v>1220757.6468820937</v>
      </c>
      <c r="O1121" s="815">
        <v>126039.64109775287</v>
      </c>
      <c r="P1121" s="772">
        <v>0</v>
      </c>
      <c r="Q1121" s="774"/>
      <c r="R1121" s="774">
        <v>1734</v>
      </c>
      <c r="S1121" s="774"/>
      <c r="T1121" s="774"/>
      <c r="U1121" s="774"/>
      <c r="V1121" s="774"/>
    </row>
    <row r="1122" spans="1:22" hidden="1">
      <c r="A1122" s="786">
        <v>1122</v>
      </c>
      <c r="B1122" s="767"/>
      <c r="C1122" s="767"/>
      <c r="D1122" s="767"/>
      <c r="E1122" s="767" t="s">
        <v>738</v>
      </c>
      <c r="F1122" s="806" t="s">
        <v>1426</v>
      </c>
      <c r="G1122" s="778"/>
      <c r="H1122" s="815">
        <v>9114341.4722751249</v>
      </c>
      <c r="I1122" s="815">
        <v>3854567.9986556591</v>
      </c>
      <c r="J1122" s="815">
        <v>1216637.0445624515</v>
      </c>
      <c r="K1122" s="815">
        <v>2045316.6717562429</v>
      </c>
      <c r="L1122" s="815">
        <v>832900.42200321855</v>
      </c>
      <c r="M1122" s="815">
        <v>792327.00011503638</v>
      </c>
      <c r="N1122" s="815">
        <v>358602.21680490492</v>
      </c>
      <c r="O1122" s="815">
        <v>13990.118377611883</v>
      </c>
      <c r="P1122" s="772">
        <v>0</v>
      </c>
      <c r="Q1122" s="774"/>
      <c r="R1122" s="774">
        <v>1735</v>
      </c>
      <c r="S1122" s="774"/>
      <c r="T1122" s="774"/>
      <c r="U1122" s="774"/>
      <c r="V1122" s="774"/>
    </row>
    <row r="1123" spans="1:22" hidden="1">
      <c r="A1123" s="786">
        <v>1123</v>
      </c>
      <c r="B1123" s="767"/>
      <c r="C1123" s="767"/>
      <c r="D1123" s="767"/>
      <c r="E1123" s="767" t="s">
        <v>1003</v>
      </c>
      <c r="F1123" s="806" t="s">
        <v>1410</v>
      </c>
      <c r="G1123" s="778"/>
      <c r="H1123" s="815">
        <v>12172420.765036955</v>
      </c>
      <c r="I1123" s="815">
        <v>9925160.923582023</v>
      </c>
      <c r="J1123" s="815">
        <v>1722731.1106304172</v>
      </c>
      <c r="K1123" s="815">
        <v>100266.85218904383</v>
      </c>
      <c r="L1123" s="815">
        <v>25652.878321219621</v>
      </c>
      <c r="M1123" s="815">
        <v>397.859233744682</v>
      </c>
      <c r="N1123" s="815">
        <v>168604.74508783259</v>
      </c>
      <c r="O1123" s="815">
        <v>229606.39599267248</v>
      </c>
      <c r="P1123" s="772">
        <v>0</v>
      </c>
      <c r="Q1123" s="774"/>
      <c r="R1123" s="774">
        <v>1736</v>
      </c>
      <c r="S1123" s="774"/>
      <c r="T1123" s="774"/>
      <c r="U1123" s="774"/>
      <c r="V1123" s="774"/>
    </row>
    <row r="1124" spans="1:22" hidden="1">
      <c r="A1124" s="786">
        <v>1124</v>
      </c>
      <c r="B1124" s="767"/>
      <c r="C1124" s="767"/>
      <c r="D1124" s="767"/>
      <c r="E1124" s="767" t="s">
        <v>1002</v>
      </c>
      <c r="F1124" s="806" t="s">
        <v>1392</v>
      </c>
      <c r="G1124" s="778"/>
      <c r="H1124" s="815">
        <v>0</v>
      </c>
      <c r="I1124" s="815">
        <v>0</v>
      </c>
      <c r="J1124" s="815">
        <v>0</v>
      </c>
      <c r="K1124" s="815">
        <v>0</v>
      </c>
      <c r="L1124" s="815">
        <v>0</v>
      </c>
      <c r="M1124" s="815">
        <v>0</v>
      </c>
      <c r="N1124" s="815">
        <v>0</v>
      </c>
      <c r="O1124" s="815">
        <v>0</v>
      </c>
      <c r="P1124" s="772">
        <v>0</v>
      </c>
      <c r="Q1124" s="774"/>
      <c r="R1124" s="774">
        <v>1737</v>
      </c>
      <c r="S1124" s="774"/>
      <c r="T1124" s="774"/>
      <c r="U1124" s="774"/>
      <c r="V1124" s="774"/>
    </row>
    <row r="1125" spans="1:22" hidden="1">
      <c r="A1125" s="786">
        <v>1125</v>
      </c>
      <c r="B1125" s="767"/>
      <c r="C1125" s="767"/>
      <c r="D1125" s="767"/>
      <c r="E1125" s="767" t="s">
        <v>835</v>
      </c>
      <c r="F1125" s="806" t="s">
        <v>1426</v>
      </c>
      <c r="G1125" s="778"/>
      <c r="H1125" s="815">
        <v>0</v>
      </c>
      <c r="I1125" s="815">
        <v>0</v>
      </c>
      <c r="J1125" s="815">
        <v>0</v>
      </c>
      <c r="K1125" s="815">
        <v>0</v>
      </c>
      <c r="L1125" s="815">
        <v>0</v>
      </c>
      <c r="M1125" s="815">
        <v>0</v>
      </c>
      <c r="N1125" s="815">
        <v>0</v>
      </c>
      <c r="O1125" s="815">
        <v>0</v>
      </c>
      <c r="P1125" s="772">
        <v>0</v>
      </c>
      <c r="Q1125" s="774"/>
      <c r="R1125" s="774">
        <v>1738</v>
      </c>
      <c r="S1125" s="774"/>
      <c r="T1125" s="774"/>
      <c r="U1125" s="774"/>
      <c r="V1125" s="774"/>
    </row>
    <row r="1126" spans="1:22" hidden="1">
      <c r="A1126" s="786">
        <v>1126</v>
      </c>
      <c r="B1126" s="767"/>
      <c r="C1126" s="767"/>
      <c r="D1126" s="767"/>
      <c r="E1126" s="767" t="s">
        <v>718</v>
      </c>
      <c r="F1126" s="806" t="s">
        <v>1426</v>
      </c>
      <c r="G1126" s="778"/>
      <c r="H1126" s="815">
        <v>459990.05873705889</v>
      </c>
      <c r="I1126" s="815">
        <v>194535.4983134082</v>
      </c>
      <c r="J1126" s="815">
        <v>61402.235947855719</v>
      </c>
      <c r="K1126" s="815">
        <v>103224.71884984038</v>
      </c>
      <c r="L1126" s="815">
        <v>42035.50143527217</v>
      </c>
      <c r="M1126" s="815">
        <v>39987.808711197649</v>
      </c>
      <c r="N1126" s="815">
        <v>18098.230713990575</v>
      </c>
      <c r="O1126" s="815">
        <v>706.06476549421086</v>
      </c>
      <c r="P1126" s="772">
        <v>0</v>
      </c>
      <c r="Q1126" s="774"/>
      <c r="R1126" s="774">
        <v>1739</v>
      </c>
      <c r="S1126" s="774"/>
      <c r="T1126" s="774"/>
      <c r="U1126" s="774"/>
      <c r="V1126" s="774"/>
    </row>
    <row r="1127" spans="1:22" hidden="1">
      <c r="A1127" s="786">
        <v>1127</v>
      </c>
      <c r="B1127" s="767"/>
      <c r="C1127" s="767"/>
      <c r="D1127" s="767" t="s">
        <v>1237</v>
      </c>
      <c r="E1127" s="767"/>
      <c r="F1127" s="806"/>
      <c r="G1127" s="778"/>
      <c r="H1127" s="815">
        <v>44710225.460702352</v>
      </c>
      <c r="I1127" s="815">
        <v>24513091.169425458</v>
      </c>
      <c r="J1127" s="815">
        <v>6299705.2943132436</v>
      </c>
      <c r="K1127" s="815">
        <v>6878200.1500004828</v>
      </c>
      <c r="L1127" s="815">
        <v>2754374.4570904607</v>
      </c>
      <c r="M1127" s="815">
        <v>2337192.1705819587</v>
      </c>
      <c r="N1127" s="815">
        <v>1580610.3005134151</v>
      </c>
      <c r="O1127" s="815">
        <v>347051.91877733672</v>
      </c>
      <c r="P1127" s="772">
        <v>0</v>
      </c>
      <c r="Q1127" s="774"/>
      <c r="R1127" s="774"/>
      <c r="S1127" s="774"/>
      <c r="T1127" s="774"/>
      <c r="U1127" s="774"/>
      <c r="V1127" s="774"/>
    </row>
    <row r="1128" spans="1:22" hidden="1">
      <c r="A1128" s="786">
        <v>1128</v>
      </c>
      <c r="B1128" s="767"/>
      <c r="C1128" s="767"/>
      <c r="D1128" s="767"/>
      <c r="E1128" s="767"/>
      <c r="F1128" s="806"/>
      <c r="G1128" s="778"/>
      <c r="H1128" s="788"/>
      <c r="I1128" s="788"/>
      <c r="J1128" s="788"/>
      <c r="K1128" s="788"/>
      <c r="L1128" s="788"/>
      <c r="M1128" s="788"/>
      <c r="N1128" s="788"/>
      <c r="O1128" s="788"/>
      <c r="P1128" s="772"/>
      <c r="R1128" s="774"/>
    </row>
    <row r="1129" spans="1:22" hidden="1">
      <c r="A1129" s="786">
        <v>1129</v>
      </c>
      <c r="B1129" s="767"/>
      <c r="C1129" s="767" t="s">
        <v>1238</v>
      </c>
      <c r="D1129" s="767" t="s">
        <v>1239</v>
      </c>
      <c r="E1129" s="767"/>
      <c r="F1129" s="806" t="s">
        <v>1411</v>
      </c>
      <c r="G1129" s="778"/>
      <c r="H1129" s="828">
        <v>0</v>
      </c>
      <c r="I1129" s="828">
        <v>0</v>
      </c>
      <c r="J1129" s="828">
        <v>0</v>
      </c>
      <c r="K1129" s="828">
        <v>0</v>
      </c>
      <c r="L1129" s="828">
        <v>0</v>
      </c>
      <c r="M1129" s="828">
        <v>0</v>
      </c>
      <c r="N1129" s="828">
        <v>0</v>
      </c>
      <c r="O1129" s="828">
        <v>0</v>
      </c>
      <c r="P1129" s="772">
        <v>0</v>
      </c>
      <c r="Q1129" s="774"/>
      <c r="R1129" s="774">
        <v>1750</v>
      </c>
      <c r="S1129" s="774"/>
      <c r="T1129" s="774"/>
      <c r="U1129" s="774"/>
      <c r="V1129" s="774"/>
    </row>
    <row r="1130" spans="1:22" hidden="1">
      <c r="A1130" s="786">
        <v>1130</v>
      </c>
      <c r="B1130" s="767"/>
      <c r="C1130" s="767"/>
      <c r="D1130" s="767"/>
      <c r="E1130" s="767"/>
      <c r="F1130" s="806"/>
      <c r="G1130" s="778"/>
      <c r="H1130" s="788"/>
      <c r="I1130" s="788"/>
      <c r="J1130" s="788"/>
      <c r="K1130" s="788"/>
      <c r="L1130" s="788"/>
      <c r="M1130" s="788"/>
      <c r="N1130" s="788"/>
      <c r="O1130" s="788"/>
      <c r="P1130" s="772"/>
      <c r="R1130" s="774"/>
    </row>
    <row r="1131" spans="1:22" hidden="1">
      <c r="A1131" s="786">
        <v>1131</v>
      </c>
      <c r="B1131" s="767"/>
      <c r="C1131" s="767" t="s">
        <v>1240</v>
      </c>
      <c r="D1131" s="767"/>
      <c r="E1131" s="767"/>
      <c r="F1131" s="806"/>
      <c r="G1131" s="778"/>
      <c r="H1131" s="815">
        <v>83796732.999079823</v>
      </c>
      <c r="I1131" s="815">
        <v>41043259.760863446</v>
      </c>
      <c r="J1131" s="815">
        <v>11517207.09171837</v>
      </c>
      <c r="K1131" s="815">
        <v>15649463.082396824</v>
      </c>
      <c r="L1131" s="815">
        <v>6326236.3104537548</v>
      </c>
      <c r="M1131" s="815">
        <v>5735056.4438332664</v>
      </c>
      <c r="N1131" s="815">
        <v>3118462.2992629176</v>
      </c>
      <c r="O1131" s="815">
        <v>407048.01055124099</v>
      </c>
      <c r="P1131" s="772">
        <v>0</v>
      </c>
      <c r="Q1131" s="774"/>
      <c r="R1131" s="774"/>
      <c r="S1131" s="774"/>
      <c r="T1131" s="774"/>
      <c r="U1131" s="774"/>
      <c r="V1131" s="774"/>
    </row>
    <row r="1132" spans="1:22" hidden="1">
      <c r="A1132" s="786">
        <v>1132</v>
      </c>
      <c r="B1132" s="767"/>
      <c r="C1132" s="767"/>
      <c r="D1132" s="767"/>
      <c r="E1132" s="767"/>
      <c r="F1132" s="806"/>
      <c r="G1132" s="778"/>
      <c r="H1132" s="788"/>
      <c r="I1132" s="788"/>
      <c r="J1132" s="788"/>
      <c r="K1132" s="788"/>
      <c r="L1132" s="788"/>
      <c r="M1132" s="788"/>
      <c r="N1132" s="788"/>
      <c r="O1132" s="788"/>
      <c r="P1132" s="772"/>
      <c r="R1132" s="774"/>
    </row>
    <row r="1133" spans="1:22" hidden="1">
      <c r="A1133" s="786">
        <v>1133</v>
      </c>
      <c r="B1133" s="767"/>
      <c r="D1133" s="767"/>
      <c r="E1133" s="767"/>
      <c r="F1133" s="806"/>
      <c r="G1133" s="778"/>
      <c r="H1133" s="788"/>
      <c r="I1133" s="788"/>
      <c r="J1133" s="788"/>
      <c r="K1133" s="788"/>
      <c r="L1133" s="788"/>
      <c r="M1133" s="788"/>
      <c r="N1133" s="788"/>
      <c r="O1133" s="788"/>
      <c r="P1133" s="772"/>
      <c r="R1133" s="774"/>
    </row>
    <row r="1134" spans="1:22" ht="13.5" hidden="1" thickBot="1">
      <c r="A1134" s="786">
        <v>1134</v>
      </c>
      <c r="B1134" s="767"/>
      <c r="C1134" s="767" t="s">
        <v>1241</v>
      </c>
      <c r="D1134" s="767"/>
      <c r="E1134" s="767"/>
      <c r="F1134" s="806"/>
      <c r="G1134" s="778"/>
      <c r="H1134" s="814">
        <v>2182560253.96099</v>
      </c>
      <c r="I1134" s="814">
        <v>1017357406.1314496</v>
      </c>
      <c r="J1134" s="814">
        <v>312575306.70041984</v>
      </c>
      <c r="K1134" s="814">
        <v>432074335.87809575</v>
      </c>
      <c r="L1134" s="814">
        <v>172767738.06052732</v>
      </c>
      <c r="M1134" s="814">
        <v>141860864.53772703</v>
      </c>
      <c r="N1134" s="814">
        <v>96326750.190390944</v>
      </c>
      <c r="O1134" s="814">
        <v>9597852.4623791091</v>
      </c>
      <c r="P1134" s="772">
        <v>0</v>
      </c>
      <c r="Q1134" s="774"/>
      <c r="R1134" s="774"/>
      <c r="S1134" s="774"/>
      <c r="T1134" s="774"/>
      <c r="U1134" s="774"/>
      <c r="V1134" s="774"/>
    </row>
    <row r="1135" spans="1:22" ht="13.5" hidden="1" thickTop="1">
      <c r="A1135" s="786">
        <v>1135</v>
      </c>
      <c r="B1135" s="767"/>
      <c r="F1135" s="806"/>
      <c r="G1135" s="778"/>
      <c r="H1135" s="788"/>
      <c r="I1135" s="788"/>
      <c r="J1135" s="788"/>
      <c r="K1135" s="788"/>
      <c r="L1135" s="788"/>
      <c r="M1135" s="788"/>
      <c r="N1135" s="788"/>
      <c r="O1135" s="788"/>
      <c r="P1135" s="772"/>
      <c r="R1135" s="774"/>
    </row>
    <row r="1136" spans="1:22" hidden="1">
      <c r="A1136" s="786">
        <v>1136</v>
      </c>
      <c r="B1136" s="767"/>
      <c r="C1136" s="767"/>
      <c r="D1136" s="767"/>
      <c r="E1136" s="767"/>
      <c r="F1136" s="806"/>
      <c r="H1136" s="817"/>
      <c r="I1136" s="817"/>
      <c r="J1136" s="817"/>
      <c r="K1136" s="817"/>
      <c r="L1136" s="819"/>
      <c r="M1136" s="817"/>
      <c r="N1136" s="817"/>
      <c r="O1136" s="817"/>
      <c r="P1136" s="772"/>
      <c r="R1136" s="774"/>
    </row>
    <row r="1137" spans="1:22" hidden="1">
      <c r="A1137" s="786">
        <v>1137</v>
      </c>
      <c r="B1137" s="767"/>
      <c r="C1137" s="781" t="s">
        <v>714</v>
      </c>
      <c r="D1137" s="767"/>
      <c r="E1137" s="767"/>
      <c r="F1137" s="806"/>
      <c r="G1137" s="778"/>
      <c r="H1137" s="817" t="s">
        <v>1242</v>
      </c>
      <c r="I1137" s="817"/>
      <c r="J1137" s="817"/>
      <c r="K1137" s="817"/>
      <c r="L1137" s="817"/>
      <c r="M1137" s="817"/>
      <c r="N1137" s="817"/>
      <c r="O1137" s="817"/>
      <c r="P1137" s="772"/>
      <c r="R1137" s="774"/>
    </row>
    <row r="1138" spans="1:22" hidden="1">
      <c r="A1138" s="786">
        <v>1138</v>
      </c>
      <c r="B1138" s="767"/>
      <c r="C1138" s="767"/>
      <c r="D1138" s="767"/>
      <c r="E1138" s="767"/>
      <c r="F1138" s="806"/>
      <c r="G1138" s="778"/>
      <c r="H1138" s="810"/>
      <c r="I1138" s="810"/>
      <c r="J1138" s="810"/>
      <c r="K1138" s="810"/>
      <c r="L1138" s="810"/>
      <c r="M1138" s="810"/>
      <c r="N1138" s="810"/>
      <c r="O1138" s="810"/>
      <c r="P1138" s="772"/>
      <c r="R1138" s="774"/>
    </row>
    <row r="1139" spans="1:22" hidden="1">
      <c r="A1139" s="786">
        <v>1139</v>
      </c>
      <c r="B1139" s="767"/>
      <c r="C1139" s="777" t="s">
        <v>575</v>
      </c>
      <c r="D1139" s="767"/>
      <c r="E1139" s="777" t="s">
        <v>576</v>
      </c>
      <c r="F1139" s="806" t="s">
        <v>577</v>
      </c>
      <c r="G1139" s="778"/>
      <c r="H1139" s="777" t="s">
        <v>578</v>
      </c>
      <c r="I1139" s="777" t="s">
        <v>579</v>
      </c>
      <c r="J1139" s="777" t="s">
        <v>580</v>
      </c>
      <c r="K1139" s="777" t="s">
        <v>581</v>
      </c>
      <c r="L1139" s="777" t="s">
        <v>582</v>
      </c>
      <c r="M1139" s="777" t="s">
        <v>583</v>
      </c>
      <c r="N1139" s="777" t="s">
        <v>584</v>
      </c>
      <c r="O1139" s="777" t="s">
        <v>585</v>
      </c>
      <c r="P1139" s="772"/>
      <c r="R1139" s="774"/>
    </row>
    <row r="1140" spans="1:22" ht="38.25" hidden="1">
      <c r="A1140" s="786">
        <v>1140</v>
      </c>
      <c r="B1140" s="767"/>
      <c r="C1140" s="797" t="s">
        <v>656</v>
      </c>
      <c r="D1140" s="781"/>
      <c r="E1140" s="782" t="s">
        <v>587</v>
      </c>
      <c r="F1140" s="806" t="s">
        <v>1391</v>
      </c>
      <c r="G1140" s="783"/>
      <c r="H1140" s="829" t="s">
        <v>588</v>
      </c>
      <c r="I1140" s="829" t="s">
        <v>589</v>
      </c>
      <c r="J1140" s="829" t="s">
        <v>590</v>
      </c>
      <c r="K1140" s="829" t="s">
        <v>591</v>
      </c>
      <c r="L1140" s="829" t="s">
        <v>592</v>
      </c>
      <c r="M1140" s="829" t="s">
        <v>593</v>
      </c>
      <c r="N1140" s="829" t="s">
        <v>594</v>
      </c>
      <c r="O1140" s="829" t="s">
        <v>595</v>
      </c>
      <c r="P1140" s="772"/>
      <c r="R1140" s="774"/>
    </row>
    <row r="1141" spans="1:22" hidden="1">
      <c r="A1141" s="786">
        <v>1141</v>
      </c>
      <c r="B1141" s="767"/>
      <c r="C1141" s="767" t="s">
        <v>1243</v>
      </c>
      <c r="D1141" s="767" t="s">
        <v>1244</v>
      </c>
      <c r="E1141" s="767"/>
      <c r="F1141" s="806"/>
      <c r="G1141" s="778"/>
      <c r="H1141" s="788"/>
      <c r="I1141" s="788"/>
      <c r="J1141" s="788"/>
      <c r="K1141" s="788"/>
      <c r="L1141" s="788"/>
      <c r="M1141" s="788"/>
      <c r="N1141" s="788"/>
      <c r="O1141" s="788"/>
      <c r="P1141" s="772"/>
      <c r="R1141" s="774"/>
    </row>
    <row r="1142" spans="1:22" hidden="1">
      <c r="A1142" s="786">
        <v>1142</v>
      </c>
      <c r="B1142" s="767"/>
      <c r="C1142" s="767"/>
      <c r="D1142" s="767"/>
      <c r="E1142" s="767" t="s">
        <v>727</v>
      </c>
      <c r="F1142" s="806" t="s">
        <v>1398</v>
      </c>
      <c r="G1142" s="778"/>
      <c r="H1142" s="815">
        <v>0</v>
      </c>
      <c r="I1142" s="815">
        <v>0</v>
      </c>
      <c r="J1142" s="815">
        <v>0</v>
      </c>
      <c r="K1142" s="815">
        <v>0</v>
      </c>
      <c r="L1142" s="815">
        <v>0</v>
      </c>
      <c r="M1142" s="815">
        <v>0</v>
      </c>
      <c r="N1142" s="815">
        <v>0</v>
      </c>
      <c r="O1142" s="815">
        <v>0</v>
      </c>
      <c r="P1142" s="772">
        <v>0</v>
      </c>
      <c r="Q1142" s="774"/>
      <c r="R1142" s="774">
        <v>1758</v>
      </c>
      <c r="S1142" s="774"/>
      <c r="T1142" s="774"/>
      <c r="U1142" s="774"/>
      <c r="V1142" s="774"/>
    </row>
    <row r="1143" spans="1:22" hidden="1">
      <c r="A1143" s="786">
        <v>1143</v>
      </c>
      <c r="B1143" s="767"/>
      <c r="C1143" s="767"/>
      <c r="D1143" s="767"/>
      <c r="E1143" s="767" t="s">
        <v>1180</v>
      </c>
      <c r="F1143" s="806" t="s">
        <v>1392</v>
      </c>
      <c r="G1143" s="778"/>
      <c r="H1143" s="815">
        <v>34942.962564657755</v>
      </c>
      <c r="I1143" s="815">
        <v>14614.884502933528</v>
      </c>
      <c r="J1143" s="815">
        <v>4669.6590696189296</v>
      </c>
      <c r="K1143" s="815">
        <v>7924.4946364219568</v>
      </c>
      <c r="L1143" s="815">
        <v>3230.4585077964093</v>
      </c>
      <c r="M1143" s="815">
        <v>3055.1338947901627</v>
      </c>
      <c r="N1143" s="815">
        <v>1392.099580626249</v>
      </c>
      <c r="O1143" s="815">
        <v>56.232372470524027</v>
      </c>
      <c r="P1143" s="772">
        <v>0</v>
      </c>
      <c r="Q1143" s="774"/>
      <c r="R1143" s="774">
        <v>1759</v>
      </c>
      <c r="S1143" s="774"/>
      <c r="T1143" s="774"/>
      <c r="U1143" s="774"/>
      <c r="V1143" s="774"/>
    </row>
    <row r="1144" spans="1:22" hidden="1">
      <c r="A1144" s="786">
        <v>1144</v>
      </c>
      <c r="B1144" s="767"/>
      <c r="C1144" s="767"/>
      <c r="D1144" s="767"/>
      <c r="E1144" s="767" t="s">
        <v>1245</v>
      </c>
      <c r="F1144" s="806" t="s">
        <v>1392</v>
      </c>
      <c r="G1144" s="778"/>
      <c r="H1144" s="815">
        <v>0</v>
      </c>
      <c r="I1144" s="815">
        <v>0</v>
      </c>
      <c r="J1144" s="815">
        <v>0</v>
      </c>
      <c r="K1144" s="815">
        <v>0</v>
      </c>
      <c r="L1144" s="815">
        <v>0</v>
      </c>
      <c r="M1144" s="815">
        <v>0</v>
      </c>
      <c r="N1144" s="815">
        <v>0</v>
      </c>
      <c r="O1144" s="815">
        <v>0</v>
      </c>
      <c r="P1144" s="772">
        <v>0</v>
      </c>
      <c r="Q1144" s="774"/>
      <c r="R1144" s="774">
        <v>1760</v>
      </c>
      <c r="S1144" s="774"/>
      <c r="T1144" s="774"/>
      <c r="U1144" s="774"/>
      <c r="V1144" s="774"/>
    </row>
    <row r="1145" spans="1:22" hidden="1">
      <c r="A1145" s="786">
        <v>1145</v>
      </c>
      <c r="E1145" s="767" t="s">
        <v>1246</v>
      </c>
      <c r="F1145" s="806" t="s">
        <v>1392</v>
      </c>
      <c r="H1145" s="815">
        <v>0</v>
      </c>
      <c r="I1145" s="815">
        <v>0</v>
      </c>
      <c r="J1145" s="815">
        <v>0</v>
      </c>
      <c r="K1145" s="815">
        <v>0</v>
      </c>
      <c r="L1145" s="815">
        <v>0</v>
      </c>
      <c r="M1145" s="815">
        <v>0</v>
      </c>
      <c r="N1145" s="815">
        <v>0</v>
      </c>
      <c r="O1145" s="815">
        <v>0</v>
      </c>
      <c r="P1145" s="772">
        <v>0</v>
      </c>
      <c r="R1145" s="774">
        <v>1761</v>
      </c>
    </row>
    <row r="1146" spans="1:22" hidden="1">
      <c r="A1146" s="786">
        <v>1146</v>
      </c>
      <c r="B1146" s="767"/>
      <c r="C1146" s="767"/>
      <c r="D1146" s="767"/>
      <c r="E1146" s="767" t="s">
        <v>1247</v>
      </c>
      <c r="F1146" s="806" t="s">
        <v>1392</v>
      </c>
      <c r="G1146" s="778"/>
      <c r="H1146" s="815">
        <v>0</v>
      </c>
      <c r="I1146" s="815">
        <v>0</v>
      </c>
      <c r="J1146" s="815">
        <v>0</v>
      </c>
      <c r="K1146" s="815">
        <v>0</v>
      </c>
      <c r="L1146" s="815">
        <v>0</v>
      </c>
      <c r="M1146" s="815">
        <v>0</v>
      </c>
      <c r="N1146" s="815">
        <v>0</v>
      </c>
      <c r="O1146" s="815">
        <v>0</v>
      </c>
      <c r="P1146" s="772">
        <v>0</v>
      </c>
      <c r="Q1146" s="774"/>
      <c r="R1146" s="774">
        <v>1762</v>
      </c>
      <c r="S1146" s="774"/>
      <c r="T1146" s="774"/>
      <c r="U1146" s="774"/>
      <c r="V1146" s="774"/>
    </row>
    <row r="1147" spans="1:22" hidden="1">
      <c r="A1147" s="786">
        <v>1147</v>
      </c>
      <c r="B1147" s="767"/>
      <c r="C1147" s="767"/>
      <c r="D1147" s="767"/>
      <c r="E1147" s="767" t="s">
        <v>1248</v>
      </c>
      <c r="F1147" s="806" t="s">
        <v>1413</v>
      </c>
      <c r="G1147" s="778"/>
      <c r="H1147" s="815">
        <v>0</v>
      </c>
      <c r="I1147" s="815">
        <v>0</v>
      </c>
      <c r="J1147" s="815">
        <v>0</v>
      </c>
      <c r="K1147" s="815">
        <v>0</v>
      </c>
      <c r="L1147" s="815">
        <v>0</v>
      </c>
      <c r="M1147" s="815">
        <v>0</v>
      </c>
      <c r="N1147" s="815">
        <v>0</v>
      </c>
      <c r="O1147" s="815">
        <v>0</v>
      </c>
      <c r="P1147" s="772">
        <v>0</v>
      </c>
      <c r="Q1147" s="774"/>
      <c r="R1147" s="774">
        <v>1763</v>
      </c>
      <c r="S1147" s="774"/>
      <c r="T1147" s="774"/>
      <c r="U1147" s="774"/>
      <c r="V1147" s="774"/>
    </row>
    <row r="1148" spans="1:22" hidden="1">
      <c r="A1148" s="786">
        <v>1148</v>
      </c>
      <c r="B1148" s="767"/>
      <c r="C1148" s="767"/>
      <c r="D1148" s="767" t="s">
        <v>1249</v>
      </c>
      <c r="E1148" s="767"/>
      <c r="F1148" s="806"/>
      <c r="G1148" s="778"/>
      <c r="H1148" s="815">
        <v>34942.962564657762</v>
      </c>
      <c r="I1148" s="815">
        <v>14614.884502933528</v>
      </c>
      <c r="J1148" s="815">
        <v>4669.6590696189296</v>
      </c>
      <c r="K1148" s="815">
        <v>7924.4946364219568</v>
      </c>
      <c r="L1148" s="815">
        <v>3230.4585077964093</v>
      </c>
      <c r="M1148" s="815">
        <v>3055.1338947901627</v>
      </c>
      <c r="N1148" s="815">
        <v>1392.099580626249</v>
      </c>
      <c r="O1148" s="815">
        <v>56.232372470524027</v>
      </c>
      <c r="P1148" s="772">
        <v>0</v>
      </c>
      <c r="Q1148" s="774"/>
      <c r="R1148" s="774"/>
      <c r="S1148" s="774"/>
      <c r="T1148" s="774"/>
      <c r="U1148" s="774"/>
      <c r="V1148" s="774"/>
    </row>
    <row r="1149" spans="1:22" hidden="1">
      <c r="A1149" s="786">
        <v>1149</v>
      </c>
      <c r="B1149" s="767"/>
      <c r="C1149" s="767"/>
      <c r="D1149" s="767"/>
      <c r="E1149" s="767"/>
      <c r="F1149" s="806"/>
      <c r="G1149" s="778"/>
      <c r="H1149" s="788"/>
      <c r="I1149" s="788"/>
      <c r="J1149" s="788"/>
      <c r="K1149" s="788"/>
      <c r="L1149" s="788"/>
      <c r="M1149" s="788"/>
      <c r="N1149" s="788"/>
      <c r="O1149" s="788"/>
      <c r="P1149" s="772"/>
      <c r="R1149" s="774"/>
    </row>
    <row r="1150" spans="1:22" hidden="1">
      <c r="A1150" s="786">
        <v>1150</v>
      </c>
      <c r="B1150" s="767"/>
      <c r="C1150" s="767" t="s">
        <v>1250</v>
      </c>
      <c r="D1150" s="767" t="s">
        <v>1251</v>
      </c>
      <c r="E1150" s="767"/>
      <c r="F1150" s="806" t="s">
        <v>1392</v>
      </c>
      <c r="G1150" s="778"/>
      <c r="H1150" s="815">
        <v>0</v>
      </c>
      <c r="I1150" s="815">
        <v>0</v>
      </c>
      <c r="J1150" s="815">
        <v>0</v>
      </c>
      <c r="K1150" s="815">
        <v>0</v>
      </c>
      <c r="L1150" s="815">
        <v>0</v>
      </c>
      <c r="M1150" s="815">
        <v>0</v>
      </c>
      <c r="N1150" s="815">
        <v>0</v>
      </c>
      <c r="O1150" s="815">
        <v>0</v>
      </c>
      <c r="P1150" s="772">
        <v>0</v>
      </c>
      <c r="Q1150" s="774"/>
      <c r="R1150" s="774">
        <v>1770</v>
      </c>
      <c r="S1150" s="774"/>
      <c r="T1150" s="774"/>
      <c r="U1150" s="774"/>
      <c r="V1150" s="774"/>
    </row>
    <row r="1151" spans="1:22" hidden="1">
      <c r="A1151" s="786">
        <v>1151</v>
      </c>
      <c r="B1151" s="767"/>
      <c r="C1151" s="767"/>
      <c r="D1151" s="767"/>
      <c r="E1151" s="767"/>
      <c r="F1151" s="806"/>
      <c r="G1151" s="778"/>
      <c r="H1151" s="788"/>
      <c r="I1151" s="788"/>
      <c r="J1151" s="788"/>
      <c r="K1151" s="788"/>
      <c r="L1151" s="788"/>
      <c r="M1151" s="788"/>
      <c r="N1151" s="788"/>
      <c r="O1151" s="788"/>
      <c r="P1151" s="772"/>
      <c r="R1151" s="774"/>
    </row>
    <row r="1152" spans="1:22" hidden="1">
      <c r="A1152" s="786">
        <v>1152</v>
      </c>
      <c r="B1152" s="767"/>
      <c r="C1152" s="832">
        <v>128</v>
      </c>
      <c r="D1152" s="767" t="s">
        <v>613</v>
      </c>
      <c r="E1152" s="767"/>
      <c r="F1152" s="806" t="s">
        <v>1411</v>
      </c>
      <c r="G1152" s="778"/>
      <c r="H1152" s="815">
        <v>0</v>
      </c>
      <c r="I1152" s="815">
        <v>0</v>
      </c>
      <c r="J1152" s="815">
        <v>0</v>
      </c>
      <c r="K1152" s="815">
        <v>0</v>
      </c>
      <c r="L1152" s="815">
        <v>0</v>
      </c>
      <c r="M1152" s="815">
        <v>0</v>
      </c>
      <c r="N1152" s="815">
        <v>0</v>
      </c>
      <c r="O1152" s="815">
        <v>0</v>
      </c>
      <c r="P1152" s="772">
        <v>0</v>
      </c>
      <c r="Q1152" s="774"/>
      <c r="R1152" s="774">
        <v>1774</v>
      </c>
      <c r="S1152" s="774"/>
      <c r="T1152" s="774"/>
      <c r="U1152" s="774"/>
      <c r="V1152" s="774"/>
    </row>
    <row r="1153" spans="1:22" hidden="1">
      <c r="A1153" s="786">
        <v>1153</v>
      </c>
      <c r="B1153" s="767"/>
      <c r="C1153" s="767"/>
      <c r="D1153" s="767"/>
      <c r="E1153" s="767"/>
      <c r="F1153" s="806"/>
      <c r="G1153" s="778"/>
      <c r="H1153" s="788"/>
      <c r="I1153" s="788"/>
      <c r="J1153" s="788"/>
      <c r="K1153" s="788"/>
      <c r="L1153" s="788"/>
      <c r="M1153" s="788"/>
      <c r="N1153" s="788"/>
      <c r="O1153" s="788"/>
      <c r="P1153" s="772"/>
      <c r="R1153" s="774"/>
    </row>
    <row r="1154" spans="1:22" hidden="1">
      <c r="A1154" s="786">
        <v>1154</v>
      </c>
      <c r="B1154" s="767"/>
      <c r="C1154" s="767" t="s">
        <v>1252</v>
      </c>
      <c r="D1154" s="767" t="s">
        <v>1253</v>
      </c>
      <c r="E1154" s="767"/>
      <c r="F1154" s="806" t="s">
        <v>1392</v>
      </c>
      <c r="G1154" s="778"/>
      <c r="H1154" s="815">
        <v>5092.6441051398033</v>
      </c>
      <c r="I1154" s="815">
        <v>2129.9969993512332</v>
      </c>
      <c r="J1154" s="815">
        <v>680.56369547669976</v>
      </c>
      <c r="K1154" s="815">
        <v>1154.9287162389614</v>
      </c>
      <c r="L1154" s="815">
        <v>470.81226859876131</v>
      </c>
      <c r="M1154" s="815">
        <v>445.26017480419432</v>
      </c>
      <c r="N1154" s="815">
        <v>202.88685339503343</v>
      </c>
      <c r="O1154" s="815">
        <v>8.1953972749203494</v>
      </c>
      <c r="P1154" s="772">
        <v>0</v>
      </c>
      <c r="Q1154" s="774"/>
      <c r="R1154" s="774">
        <v>1796</v>
      </c>
      <c r="S1154" s="774"/>
      <c r="T1154" s="774"/>
      <c r="U1154" s="774"/>
      <c r="V1154" s="774"/>
    </row>
    <row r="1155" spans="1:22" hidden="1">
      <c r="A1155" s="786">
        <v>1155</v>
      </c>
      <c r="B1155" s="767"/>
      <c r="C1155" s="767"/>
      <c r="D1155" s="767"/>
      <c r="E1155" s="767"/>
      <c r="F1155" s="806"/>
      <c r="G1155" s="778"/>
      <c r="H1155" s="788"/>
      <c r="I1155" s="788"/>
      <c r="J1155" s="788"/>
      <c r="K1155" s="788"/>
      <c r="L1155" s="788"/>
      <c r="M1155" s="788"/>
      <c r="N1155" s="788"/>
      <c r="O1155" s="788"/>
      <c r="P1155" s="772"/>
      <c r="R1155" s="774"/>
    </row>
    <row r="1156" spans="1:22" hidden="1">
      <c r="A1156" s="786">
        <v>1156</v>
      </c>
      <c r="B1156" s="767"/>
      <c r="C1156" s="767" t="s">
        <v>1254</v>
      </c>
      <c r="D1156" s="767" t="s">
        <v>615</v>
      </c>
      <c r="E1156" s="767"/>
      <c r="F1156" s="806" t="s">
        <v>1392</v>
      </c>
      <c r="G1156" s="778"/>
      <c r="H1156" s="815">
        <v>0</v>
      </c>
      <c r="I1156" s="815">
        <v>0</v>
      </c>
      <c r="J1156" s="815">
        <v>0</v>
      </c>
      <c r="K1156" s="815">
        <v>0</v>
      </c>
      <c r="L1156" s="815">
        <v>0</v>
      </c>
      <c r="M1156" s="815">
        <v>0</v>
      </c>
      <c r="N1156" s="815">
        <v>0</v>
      </c>
      <c r="O1156" s="815">
        <v>0</v>
      </c>
      <c r="P1156" s="772">
        <v>0</v>
      </c>
      <c r="Q1156" s="774"/>
      <c r="R1156" s="774">
        <v>1799</v>
      </c>
      <c r="S1156" s="774"/>
      <c r="T1156" s="774"/>
      <c r="U1156" s="774"/>
      <c r="V1156" s="774"/>
    </row>
    <row r="1157" spans="1:22" hidden="1">
      <c r="A1157" s="786">
        <v>1157</v>
      </c>
      <c r="B1157" s="767"/>
      <c r="C1157" s="767"/>
      <c r="D1157" s="767"/>
      <c r="E1157" s="767" t="s">
        <v>718</v>
      </c>
      <c r="F1157" s="806" t="s">
        <v>1392</v>
      </c>
      <c r="G1157" s="778"/>
      <c r="H1157" s="815">
        <v>0</v>
      </c>
      <c r="I1157" s="815">
        <v>0</v>
      </c>
      <c r="J1157" s="815">
        <v>0</v>
      </c>
      <c r="K1157" s="815">
        <v>0</v>
      </c>
      <c r="L1157" s="815">
        <v>0</v>
      </c>
      <c r="M1157" s="815">
        <v>0</v>
      </c>
      <c r="N1157" s="815">
        <v>0</v>
      </c>
      <c r="O1157" s="815">
        <v>0</v>
      </c>
      <c r="P1157" s="772">
        <v>0</v>
      </c>
      <c r="Q1157" s="774"/>
      <c r="R1157" s="774">
        <v>1800</v>
      </c>
      <c r="S1157" s="774"/>
      <c r="T1157" s="774"/>
      <c r="U1157" s="774"/>
      <c r="V1157" s="774"/>
    </row>
    <row r="1158" spans="1:22" hidden="1">
      <c r="A1158" s="786">
        <v>1158</v>
      </c>
      <c r="B1158" s="767"/>
      <c r="C1158" s="767"/>
      <c r="D1158" s="767"/>
      <c r="E1158" s="767" t="s">
        <v>1255</v>
      </c>
      <c r="F1158" s="806"/>
      <c r="G1158" s="778"/>
      <c r="H1158" s="815">
        <v>0</v>
      </c>
      <c r="I1158" s="815">
        <v>0</v>
      </c>
      <c r="J1158" s="815">
        <v>0</v>
      </c>
      <c r="K1158" s="815">
        <v>0</v>
      </c>
      <c r="L1158" s="815">
        <v>0</v>
      </c>
      <c r="M1158" s="815">
        <v>0</v>
      </c>
      <c r="N1158" s="815">
        <v>0</v>
      </c>
      <c r="O1158" s="815">
        <v>0</v>
      </c>
      <c r="P1158" s="772">
        <v>0</v>
      </c>
      <c r="Q1158" s="774"/>
      <c r="R1158" s="774"/>
      <c r="S1158" s="774"/>
      <c r="T1158" s="774"/>
      <c r="U1158" s="774"/>
      <c r="V1158" s="774"/>
    </row>
    <row r="1159" spans="1:22" hidden="1">
      <c r="A1159" s="786">
        <v>1159</v>
      </c>
      <c r="B1159" s="767"/>
      <c r="C1159" s="767"/>
      <c r="D1159" s="767"/>
      <c r="E1159" s="767"/>
      <c r="F1159" s="806"/>
      <c r="G1159" s="778"/>
      <c r="H1159" s="788"/>
      <c r="I1159" s="788"/>
      <c r="J1159" s="788"/>
      <c r="K1159" s="788"/>
      <c r="L1159" s="788"/>
      <c r="M1159" s="788"/>
      <c r="N1159" s="788"/>
      <c r="O1159" s="788"/>
      <c r="P1159" s="772"/>
      <c r="R1159" s="774"/>
    </row>
    <row r="1160" spans="1:22" hidden="1">
      <c r="A1160" s="786">
        <v>1160</v>
      </c>
      <c r="B1160" s="767"/>
      <c r="C1160" s="833">
        <v>152</v>
      </c>
      <c r="D1160" s="767" t="s">
        <v>1256</v>
      </c>
      <c r="E1160" s="767"/>
      <c r="F1160" s="806" t="s">
        <v>1392</v>
      </c>
      <c r="G1160" s="778"/>
      <c r="H1160" s="815">
        <v>0</v>
      </c>
      <c r="I1160" s="815">
        <v>0</v>
      </c>
      <c r="J1160" s="815">
        <v>0</v>
      </c>
      <c r="K1160" s="815">
        <v>0</v>
      </c>
      <c r="L1160" s="815">
        <v>0</v>
      </c>
      <c r="M1160" s="815">
        <v>0</v>
      </c>
      <c r="N1160" s="815">
        <v>0</v>
      </c>
      <c r="O1160" s="815">
        <v>0</v>
      </c>
      <c r="P1160" s="772">
        <v>0</v>
      </c>
      <c r="Q1160" s="774"/>
      <c r="R1160" s="774">
        <v>1805</v>
      </c>
    </row>
    <row r="1161" spans="1:22" hidden="1">
      <c r="A1161" s="786">
        <v>1161</v>
      </c>
      <c r="B1161" s="767"/>
      <c r="C1161" s="767"/>
      <c r="D1161" s="767"/>
      <c r="E1161" s="767"/>
      <c r="F1161" s="806"/>
      <c r="G1161" s="778"/>
      <c r="H1161" s="788"/>
      <c r="I1161" s="788"/>
      <c r="J1161" s="788"/>
      <c r="K1161" s="788"/>
      <c r="L1161" s="788"/>
      <c r="M1161" s="788"/>
      <c r="N1161" s="788"/>
      <c r="O1161" s="788"/>
      <c r="P1161" s="772"/>
      <c r="R1161" s="774"/>
    </row>
    <row r="1162" spans="1:22" hidden="1">
      <c r="A1162" s="786">
        <v>1162</v>
      </c>
      <c r="B1162" s="767"/>
      <c r="C1162" s="767" t="s">
        <v>1257</v>
      </c>
      <c r="D1162" s="767" t="s">
        <v>1258</v>
      </c>
      <c r="E1162" s="767"/>
      <c r="F1162" s="806" t="s">
        <v>1392</v>
      </c>
      <c r="G1162" s="778"/>
      <c r="H1162" s="815">
        <v>0</v>
      </c>
      <c r="I1162" s="815">
        <v>0</v>
      </c>
      <c r="J1162" s="815">
        <v>0</v>
      </c>
      <c r="K1162" s="815">
        <v>0</v>
      </c>
      <c r="L1162" s="815">
        <v>0</v>
      </c>
      <c r="M1162" s="815">
        <v>0</v>
      </c>
      <c r="N1162" s="815">
        <v>0</v>
      </c>
      <c r="O1162" s="815">
        <v>0</v>
      </c>
      <c r="P1162" s="772">
        <v>0</v>
      </c>
      <c r="Q1162" s="774"/>
      <c r="R1162" s="774">
        <v>1810</v>
      </c>
      <c r="S1162" s="774"/>
      <c r="T1162" s="774"/>
      <c r="U1162" s="774"/>
      <c r="V1162" s="774"/>
    </row>
    <row r="1163" spans="1:22" hidden="1">
      <c r="A1163" s="786">
        <v>1163</v>
      </c>
      <c r="B1163" s="767"/>
      <c r="C1163" s="767"/>
      <c r="D1163" s="767"/>
      <c r="E1163" s="767"/>
      <c r="F1163" s="806"/>
      <c r="G1163" s="778"/>
      <c r="H1163" s="788"/>
      <c r="I1163" s="788"/>
      <c r="J1163" s="788"/>
      <c r="K1163" s="788"/>
      <c r="L1163" s="788"/>
      <c r="M1163" s="788"/>
      <c r="N1163" s="788"/>
      <c r="O1163" s="788"/>
      <c r="P1163" s="772"/>
      <c r="R1163" s="774"/>
    </row>
    <row r="1164" spans="1:22" hidden="1">
      <c r="A1164" s="786">
        <v>1164</v>
      </c>
      <c r="B1164" s="767"/>
      <c r="C1164" s="767" t="s">
        <v>1259</v>
      </c>
      <c r="D1164" s="767" t="s">
        <v>1258</v>
      </c>
      <c r="E1164" s="767"/>
      <c r="F1164" s="806" t="s">
        <v>1392</v>
      </c>
      <c r="G1164" s="778"/>
      <c r="H1164" s="815">
        <v>0</v>
      </c>
      <c r="I1164" s="815">
        <v>0</v>
      </c>
      <c r="J1164" s="815">
        <v>0</v>
      </c>
      <c r="K1164" s="815">
        <v>0</v>
      </c>
      <c r="L1164" s="815">
        <v>0</v>
      </c>
      <c r="M1164" s="815">
        <v>0</v>
      </c>
      <c r="N1164" s="815">
        <v>0</v>
      </c>
      <c r="O1164" s="815">
        <v>0</v>
      </c>
      <c r="P1164" s="772">
        <v>0</v>
      </c>
      <c r="Q1164" s="774"/>
      <c r="R1164" s="774">
        <v>1814</v>
      </c>
      <c r="S1164" s="774"/>
      <c r="T1164" s="774"/>
      <c r="U1164" s="774"/>
      <c r="V1164" s="774"/>
    </row>
    <row r="1165" spans="1:22" hidden="1">
      <c r="A1165" s="786">
        <v>1165</v>
      </c>
      <c r="B1165" s="767"/>
      <c r="C1165" s="767"/>
      <c r="D1165" s="767"/>
      <c r="E1165" s="767"/>
      <c r="F1165" s="806"/>
      <c r="G1165" s="778"/>
      <c r="H1165" s="788"/>
      <c r="I1165" s="788"/>
      <c r="J1165" s="788"/>
      <c r="K1165" s="788"/>
      <c r="L1165" s="788"/>
      <c r="M1165" s="788"/>
      <c r="N1165" s="788"/>
      <c r="O1165" s="788"/>
      <c r="P1165" s="772"/>
      <c r="R1165" s="774"/>
    </row>
    <row r="1166" spans="1:22" hidden="1">
      <c r="A1166" s="786">
        <v>1166</v>
      </c>
      <c r="B1166" s="767"/>
      <c r="C1166" s="767" t="s">
        <v>1260</v>
      </c>
      <c r="D1166" s="767" t="s">
        <v>1261</v>
      </c>
      <c r="E1166" s="767"/>
      <c r="F1166" s="806" t="s">
        <v>1392</v>
      </c>
      <c r="G1166" s="778"/>
      <c r="H1166" s="815">
        <v>0</v>
      </c>
      <c r="I1166" s="815">
        <v>0</v>
      </c>
      <c r="J1166" s="815">
        <v>0</v>
      </c>
      <c r="K1166" s="815">
        <v>0</v>
      </c>
      <c r="L1166" s="815">
        <v>0</v>
      </c>
      <c r="M1166" s="815">
        <v>0</v>
      </c>
      <c r="N1166" s="815">
        <v>0</v>
      </c>
      <c r="O1166" s="815">
        <v>0</v>
      </c>
      <c r="P1166" s="772">
        <v>0</v>
      </c>
      <c r="Q1166" s="774"/>
      <c r="R1166" s="774">
        <v>1818</v>
      </c>
      <c r="S1166" s="774"/>
      <c r="T1166" s="774"/>
      <c r="U1166" s="774"/>
      <c r="V1166" s="774"/>
    </row>
    <row r="1167" spans="1:22" hidden="1">
      <c r="A1167" s="786">
        <v>1167</v>
      </c>
      <c r="B1167" s="767"/>
      <c r="C1167" s="767"/>
      <c r="D1167" s="767"/>
      <c r="E1167" s="767"/>
      <c r="F1167" s="806"/>
      <c r="G1167" s="778"/>
      <c r="H1167" s="788"/>
      <c r="I1167" s="788"/>
      <c r="J1167" s="788"/>
      <c r="K1167" s="788"/>
      <c r="L1167" s="788"/>
      <c r="M1167" s="788"/>
      <c r="N1167" s="788"/>
      <c r="O1167" s="788"/>
      <c r="P1167" s="772"/>
      <c r="R1167" s="774"/>
    </row>
    <row r="1168" spans="1:22" hidden="1">
      <c r="A1168" s="786">
        <v>1168</v>
      </c>
      <c r="B1168" s="767"/>
      <c r="C1168" s="767" t="s">
        <v>1262</v>
      </c>
      <c r="D1168" s="767" t="s">
        <v>1263</v>
      </c>
      <c r="E1168" s="767"/>
      <c r="F1168" s="806" t="s">
        <v>1411</v>
      </c>
      <c r="G1168" s="778"/>
      <c r="H1168" s="815">
        <v>0</v>
      </c>
      <c r="I1168" s="815">
        <v>0</v>
      </c>
      <c r="J1168" s="815">
        <v>0</v>
      </c>
      <c r="K1168" s="815">
        <v>0</v>
      </c>
      <c r="L1168" s="815">
        <v>0</v>
      </c>
      <c r="M1168" s="815">
        <v>0</v>
      </c>
      <c r="N1168" s="815">
        <v>0</v>
      </c>
      <c r="O1168" s="815">
        <v>0</v>
      </c>
      <c r="P1168" s="772">
        <v>0</v>
      </c>
      <c r="R1168" s="774">
        <v>1823</v>
      </c>
    </row>
    <row r="1169" spans="1:22" hidden="1">
      <c r="A1169" s="786">
        <v>1169</v>
      </c>
      <c r="B1169" s="767"/>
      <c r="C1169" s="767"/>
      <c r="D1169" s="767"/>
      <c r="E1169" s="767" t="s">
        <v>1180</v>
      </c>
      <c r="F1169" s="806" t="s">
        <v>1411</v>
      </c>
      <c r="G1169" s="778"/>
      <c r="H1169" s="815">
        <v>0</v>
      </c>
      <c r="I1169" s="815">
        <v>0</v>
      </c>
      <c r="J1169" s="815">
        <v>0</v>
      </c>
      <c r="K1169" s="815">
        <v>0</v>
      </c>
      <c r="L1169" s="815">
        <v>0</v>
      </c>
      <c r="M1169" s="815">
        <v>0</v>
      </c>
      <c r="N1169" s="815">
        <v>0</v>
      </c>
      <c r="O1169" s="815">
        <v>0</v>
      </c>
      <c r="P1169" s="772">
        <v>0</v>
      </c>
      <c r="R1169" s="774">
        <v>1824</v>
      </c>
    </row>
    <row r="1170" spans="1:22" hidden="1">
      <c r="A1170" s="786">
        <v>1170</v>
      </c>
      <c r="B1170" s="767"/>
      <c r="C1170" s="767"/>
      <c r="D1170" s="767"/>
      <c r="E1170" s="767" t="s">
        <v>1247</v>
      </c>
      <c r="F1170" s="806" t="s">
        <v>1411</v>
      </c>
      <c r="G1170" s="778"/>
      <c r="H1170" s="815">
        <v>0</v>
      </c>
      <c r="I1170" s="815">
        <v>0</v>
      </c>
      <c r="J1170" s="815">
        <v>0</v>
      </c>
      <c r="K1170" s="815">
        <v>0</v>
      </c>
      <c r="L1170" s="815">
        <v>0</v>
      </c>
      <c r="M1170" s="815">
        <v>0</v>
      </c>
      <c r="N1170" s="815">
        <v>0</v>
      </c>
      <c r="O1170" s="815">
        <v>0</v>
      </c>
      <c r="P1170" s="772">
        <v>0</v>
      </c>
      <c r="R1170" s="774">
        <v>1825</v>
      </c>
    </row>
    <row r="1171" spans="1:22" hidden="1">
      <c r="A1171" s="786">
        <v>1171</v>
      </c>
      <c r="B1171" s="767"/>
      <c r="C1171" s="767"/>
      <c r="D1171" s="767"/>
      <c r="E1171" s="767" t="s">
        <v>1005</v>
      </c>
      <c r="F1171" s="806" t="s">
        <v>1411</v>
      </c>
      <c r="G1171" s="778"/>
      <c r="H1171" s="815">
        <v>-2.1827872842550278E-11</v>
      </c>
      <c r="I1171" s="815">
        <v>-9.5111634538394598E-12</v>
      </c>
      <c r="J1171" s="815">
        <v>-3.0162725053409419E-12</v>
      </c>
      <c r="K1171" s="815">
        <v>-4.7119095341773867E-12</v>
      </c>
      <c r="L1171" s="815">
        <v>-1.9069040053550212E-12</v>
      </c>
      <c r="M1171" s="815">
        <v>-1.6947587424747575E-12</v>
      </c>
      <c r="N1171" s="815">
        <v>-9.2323543148047219E-13</v>
      </c>
      <c r="O1171" s="815">
        <v>-6.3629169882235727E-14</v>
      </c>
      <c r="P1171" s="772">
        <v>0</v>
      </c>
      <c r="R1171" s="774">
        <v>1826</v>
      </c>
    </row>
    <row r="1172" spans="1:22" hidden="1">
      <c r="A1172" s="786">
        <v>1172</v>
      </c>
      <c r="B1172" s="767"/>
      <c r="C1172" s="767"/>
      <c r="D1172" s="767"/>
      <c r="E1172" s="767" t="s">
        <v>1264</v>
      </c>
      <c r="F1172" s="806" t="s">
        <v>1411</v>
      </c>
      <c r="G1172" s="778"/>
      <c r="H1172" s="815">
        <v>0</v>
      </c>
      <c r="I1172" s="815">
        <v>0</v>
      </c>
      <c r="J1172" s="815">
        <v>0</v>
      </c>
      <c r="K1172" s="815">
        <v>0</v>
      </c>
      <c r="L1172" s="815">
        <v>0</v>
      </c>
      <c r="M1172" s="815">
        <v>0</v>
      </c>
      <c r="N1172" s="815">
        <v>0</v>
      </c>
      <c r="O1172" s="815">
        <v>0</v>
      </c>
      <c r="P1172" s="772">
        <v>0</v>
      </c>
      <c r="R1172" s="774">
        <v>1827</v>
      </c>
    </row>
    <row r="1173" spans="1:22" hidden="1">
      <c r="A1173" s="786">
        <v>1173</v>
      </c>
      <c r="B1173" s="767"/>
      <c r="C1173" s="767"/>
      <c r="D1173" s="767"/>
      <c r="E1173" s="767" t="s">
        <v>1265</v>
      </c>
      <c r="F1173" s="806" t="s">
        <v>1411</v>
      </c>
      <c r="G1173" s="778"/>
      <c r="H1173" s="815">
        <v>0</v>
      </c>
      <c r="I1173" s="815">
        <v>0</v>
      </c>
      <c r="J1173" s="815">
        <v>0</v>
      </c>
      <c r="K1173" s="815">
        <v>0</v>
      </c>
      <c r="L1173" s="815">
        <v>0</v>
      </c>
      <c r="M1173" s="815">
        <v>0</v>
      </c>
      <c r="N1173" s="815">
        <v>0</v>
      </c>
      <c r="O1173" s="815">
        <v>0</v>
      </c>
      <c r="P1173" s="772">
        <v>0</v>
      </c>
      <c r="R1173" s="774">
        <v>1828</v>
      </c>
    </row>
    <row r="1174" spans="1:22" hidden="1">
      <c r="A1174" s="786">
        <v>1174</v>
      </c>
      <c r="B1174" s="767"/>
      <c r="C1174" s="767"/>
      <c r="D1174" s="767"/>
      <c r="E1174" s="767" t="s">
        <v>1266</v>
      </c>
      <c r="F1174" s="806" t="s">
        <v>1411</v>
      </c>
      <c r="G1174" s="778"/>
      <c r="H1174" s="815">
        <v>0</v>
      </c>
      <c r="I1174" s="815">
        <v>0</v>
      </c>
      <c r="J1174" s="815">
        <v>0</v>
      </c>
      <c r="K1174" s="815">
        <v>0</v>
      </c>
      <c r="L1174" s="815">
        <v>0</v>
      </c>
      <c r="M1174" s="815">
        <v>0</v>
      </c>
      <c r="N1174" s="815">
        <v>0</v>
      </c>
      <c r="O1174" s="815">
        <v>0</v>
      </c>
      <c r="P1174" s="772">
        <v>0</v>
      </c>
      <c r="R1174" s="774">
        <v>1829</v>
      </c>
    </row>
    <row r="1175" spans="1:22" hidden="1">
      <c r="A1175" s="786">
        <v>1175</v>
      </c>
      <c r="B1175" s="767"/>
      <c r="C1175" s="767"/>
      <c r="D1175" s="767"/>
      <c r="E1175" s="767" t="s">
        <v>1245</v>
      </c>
      <c r="F1175" s="806" t="s">
        <v>1411</v>
      </c>
      <c r="G1175" s="778"/>
      <c r="H1175" s="815">
        <v>0</v>
      </c>
      <c r="I1175" s="815">
        <v>0</v>
      </c>
      <c r="J1175" s="815">
        <v>0</v>
      </c>
      <c r="K1175" s="815">
        <v>0</v>
      </c>
      <c r="L1175" s="815">
        <v>0</v>
      </c>
      <c r="M1175" s="815">
        <v>0</v>
      </c>
      <c r="N1175" s="815">
        <v>0</v>
      </c>
      <c r="O1175" s="815">
        <v>0</v>
      </c>
      <c r="P1175" s="772">
        <v>0</v>
      </c>
      <c r="R1175" s="774">
        <v>1830</v>
      </c>
    </row>
    <row r="1176" spans="1:22" hidden="1">
      <c r="A1176" s="786">
        <v>1176</v>
      </c>
      <c r="B1176" s="767"/>
      <c r="C1176" s="767"/>
      <c r="D1176" s="767"/>
      <c r="E1176" s="767" t="s">
        <v>1002</v>
      </c>
      <c r="F1176" s="806" t="s">
        <v>1411</v>
      </c>
      <c r="G1176" s="778"/>
      <c r="H1176" s="815">
        <v>0</v>
      </c>
      <c r="I1176" s="815">
        <v>0</v>
      </c>
      <c r="J1176" s="815">
        <v>0</v>
      </c>
      <c r="K1176" s="815">
        <v>0</v>
      </c>
      <c r="L1176" s="815">
        <v>0</v>
      </c>
      <c r="M1176" s="815">
        <v>0</v>
      </c>
      <c r="N1176" s="815">
        <v>0</v>
      </c>
      <c r="O1176" s="815">
        <v>0</v>
      </c>
      <c r="P1176" s="772">
        <v>0</v>
      </c>
      <c r="R1176" s="774">
        <v>1831</v>
      </c>
    </row>
    <row r="1177" spans="1:22" hidden="1">
      <c r="A1177" s="786">
        <v>1177</v>
      </c>
      <c r="B1177" s="767"/>
      <c r="C1177" s="767"/>
      <c r="D1177" s="767"/>
      <c r="E1177" s="767" t="s">
        <v>835</v>
      </c>
      <c r="F1177" s="806" t="s">
        <v>1411</v>
      </c>
      <c r="G1177" s="778"/>
      <c r="H1177" s="815">
        <v>0</v>
      </c>
      <c r="I1177" s="815">
        <v>0</v>
      </c>
      <c r="J1177" s="815">
        <v>0</v>
      </c>
      <c r="K1177" s="815">
        <v>0</v>
      </c>
      <c r="L1177" s="815">
        <v>0</v>
      </c>
      <c r="M1177" s="815">
        <v>0</v>
      </c>
      <c r="N1177" s="815">
        <v>0</v>
      </c>
      <c r="O1177" s="815">
        <v>0</v>
      </c>
      <c r="P1177" s="772">
        <v>0</v>
      </c>
      <c r="R1177" s="774">
        <v>1832</v>
      </c>
    </row>
    <row r="1178" spans="1:22" hidden="1">
      <c r="A1178" s="786">
        <v>1178</v>
      </c>
      <c r="B1178" s="767"/>
      <c r="C1178" s="767"/>
      <c r="D1178" s="767"/>
      <c r="E1178" s="767" t="s">
        <v>718</v>
      </c>
      <c r="F1178" s="806" t="s">
        <v>1392</v>
      </c>
      <c r="G1178" s="778"/>
      <c r="H1178" s="815">
        <v>0</v>
      </c>
      <c r="I1178" s="815">
        <v>0</v>
      </c>
      <c r="J1178" s="815">
        <v>0</v>
      </c>
      <c r="K1178" s="815">
        <v>0</v>
      </c>
      <c r="L1178" s="815">
        <v>0</v>
      </c>
      <c r="M1178" s="815">
        <v>0</v>
      </c>
      <c r="N1178" s="815">
        <v>0</v>
      </c>
      <c r="O1178" s="815">
        <v>0</v>
      </c>
      <c r="P1178" s="772">
        <v>0</v>
      </c>
      <c r="R1178" s="774">
        <v>1833</v>
      </c>
    </row>
    <row r="1179" spans="1:22" hidden="1">
      <c r="A1179" s="786">
        <v>1179</v>
      </c>
      <c r="B1179" s="767"/>
      <c r="C1179" s="767"/>
      <c r="D1179" s="767"/>
      <c r="E1179" s="767" t="s">
        <v>1267</v>
      </c>
      <c r="F1179" s="806" t="s">
        <v>1411</v>
      </c>
      <c r="G1179" s="778"/>
      <c r="H1179" s="815">
        <v>0</v>
      </c>
      <c r="I1179" s="815">
        <v>0</v>
      </c>
      <c r="J1179" s="815">
        <v>0</v>
      </c>
      <c r="K1179" s="815">
        <v>0</v>
      </c>
      <c r="L1179" s="815">
        <v>0</v>
      </c>
      <c r="M1179" s="815">
        <v>0</v>
      </c>
      <c r="N1179" s="815">
        <v>0</v>
      </c>
      <c r="O1179" s="815">
        <v>0</v>
      </c>
      <c r="P1179" s="772">
        <v>0</v>
      </c>
      <c r="R1179" s="774">
        <v>1834</v>
      </c>
    </row>
    <row r="1180" spans="1:22" hidden="1">
      <c r="A1180" s="786">
        <v>1180</v>
      </c>
      <c r="B1180" s="767"/>
      <c r="C1180" s="767"/>
      <c r="D1180" s="767"/>
      <c r="E1180" s="767" t="s">
        <v>1192</v>
      </c>
      <c r="F1180" s="806" t="s">
        <v>1411</v>
      </c>
      <c r="G1180" s="778"/>
      <c r="H1180" s="828">
        <v>0</v>
      </c>
      <c r="I1180" s="828">
        <v>0</v>
      </c>
      <c r="J1180" s="828">
        <v>0</v>
      </c>
      <c r="K1180" s="828">
        <v>0</v>
      </c>
      <c r="L1180" s="828">
        <v>0</v>
      </c>
      <c r="M1180" s="828">
        <v>0</v>
      </c>
      <c r="N1180" s="828">
        <v>0</v>
      </c>
      <c r="O1180" s="828">
        <v>0</v>
      </c>
      <c r="P1180" s="834">
        <v>0</v>
      </c>
      <c r="R1180" s="774">
        <v>1835</v>
      </c>
    </row>
    <row r="1181" spans="1:22" hidden="1">
      <c r="A1181" s="786">
        <v>1181</v>
      </c>
      <c r="B1181" s="767"/>
      <c r="D1181" s="767" t="s">
        <v>1268</v>
      </c>
      <c r="F1181" s="806"/>
      <c r="G1181" s="778"/>
      <c r="H1181" s="815">
        <v>-2.1827872842550278E-11</v>
      </c>
      <c r="I1181" s="815">
        <v>-9.5111634538394598E-12</v>
      </c>
      <c r="J1181" s="815">
        <v>-3.0162725053409419E-12</v>
      </c>
      <c r="K1181" s="815">
        <v>-4.7119095341773867E-12</v>
      </c>
      <c r="L1181" s="815">
        <v>-1.9069040053550212E-12</v>
      </c>
      <c r="M1181" s="815">
        <v>-1.6947587424747575E-12</v>
      </c>
      <c r="N1181" s="815">
        <v>-9.2323543148047219E-13</v>
      </c>
      <c r="O1181" s="815">
        <v>-6.3629169882235727E-14</v>
      </c>
      <c r="P1181" s="772">
        <v>0</v>
      </c>
      <c r="Q1181" s="774"/>
      <c r="R1181" s="774"/>
      <c r="S1181" s="774"/>
      <c r="T1181" s="774"/>
      <c r="U1181" s="774"/>
      <c r="V1181" s="774"/>
    </row>
    <row r="1182" spans="1:22" hidden="1">
      <c r="A1182" s="786">
        <v>1182</v>
      </c>
      <c r="B1182" s="767"/>
      <c r="C1182" s="767"/>
      <c r="D1182" s="767"/>
      <c r="E1182" s="767"/>
      <c r="F1182" s="806"/>
      <c r="G1182" s="778"/>
      <c r="H1182" s="788"/>
      <c r="I1182" s="788"/>
      <c r="J1182" s="788"/>
      <c r="K1182" s="788"/>
      <c r="L1182" s="788"/>
      <c r="M1182" s="788"/>
      <c r="N1182" s="788"/>
      <c r="O1182" s="788"/>
      <c r="P1182" s="772"/>
      <c r="R1182" s="774"/>
    </row>
    <row r="1183" spans="1:22" hidden="1">
      <c r="A1183" s="786">
        <v>1183</v>
      </c>
      <c r="B1183" s="767"/>
      <c r="C1183" s="767" t="s">
        <v>1269</v>
      </c>
      <c r="D1183" s="767" t="s">
        <v>1270</v>
      </c>
      <c r="E1183" s="767"/>
      <c r="F1183" s="806" t="s">
        <v>1411</v>
      </c>
      <c r="G1183" s="778"/>
      <c r="H1183" s="815">
        <v>0</v>
      </c>
      <c r="I1183" s="815">
        <v>0</v>
      </c>
      <c r="J1183" s="815">
        <v>0</v>
      </c>
      <c r="K1183" s="815">
        <v>0</v>
      </c>
      <c r="L1183" s="815">
        <v>0</v>
      </c>
      <c r="M1183" s="815">
        <v>0</v>
      </c>
      <c r="N1183" s="815">
        <v>0</v>
      </c>
      <c r="O1183" s="815">
        <v>0</v>
      </c>
      <c r="P1183" s="772">
        <v>0</v>
      </c>
      <c r="Q1183" s="774"/>
      <c r="R1183" s="774">
        <v>1839</v>
      </c>
      <c r="S1183" s="774"/>
      <c r="T1183" s="774"/>
      <c r="U1183" s="774"/>
      <c r="V1183" s="774"/>
    </row>
    <row r="1184" spans="1:22" hidden="1">
      <c r="A1184" s="786">
        <v>1184</v>
      </c>
      <c r="B1184" s="767"/>
      <c r="C1184" s="767"/>
      <c r="D1184" s="767"/>
      <c r="E1184" s="767"/>
      <c r="F1184" s="806"/>
      <c r="G1184" s="778"/>
      <c r="H1184" s="788"/>
      <c r="I1184" s="788"/>
      <c r="J1184" s="788"/>
      <c r="K1184" s="788"/>
      <c r="L1184" s="788"/>
      <c r="M1184" s="788"/>
      <c r="N1184" s="788"/>
      <c r="O1184" s="788"/>
      <c r="P1184" s="772"/>
      <c r="R1184" s="774"/>
    </row>
    <row r="1185" spans="1:22" hidden="1">
      <c r="A1185" s="786">
        <v>1185</v>
      </c>
      <c r="B1185" s="767"/>
      <c r="C1185" s="767" t="s">
        <v>1271</v>
      </c>
      <c r="D1185" s="767" t="s">
        <v>1261</v>
      </c>
      <c r="E1185" s="767"/>
      <c r="F1185" s="806" t="s">
        <v>1411</v>
      </c>
      <c r="G1185" s="778"/>
      <c r="H1185" s="815">
        <v>0</v>
      </c>
      <c r="I1185" s="815">
        <v>0</v>
      </c>
      <c r="J1185" s="815">
        <v>0</v>
      </c>
      <c r="K1185" s="815">
        <v>0</v>
      </c>
      <c r="L1185" s="815">
        <v>0</v>
      </c>
      <c r="M1185" s="815">
        <v>0</v>
      </c>
      <c r="N1185" s="815">
        <v>0</v>
      </c>
      <c r="O1185" s="815">
        <v>0</v>
      </c>
      <c r="P1185" s="772">
        <v>0</v>
      </c>
      <c r="Q1185" s="774"/>
      <c r="R1185" s="774">
        <v>1844</v>
      </c>
      <c r="S1185" s="774"/>
      <c r="T1185" s="774"/>
      <c r="U1185" s="774"/>
      <c r="V1185" s="774"/>
    </row>
    <row r="1186" spans="1:22" hidden="1">
      <c r="A1186" s="786">
        <v>1186</v>
      </c>
      <c r="B1186" s="767"/>
      <c r="C1186" s="767"/>
      <c r="D1186" s="767"/>
      <c r="E1186" s="767"/>
      <c r="F1186" s="806"/>
      <c r="G1186" s="778"/>
      <c r="H1186" s="788"/>
      <c r="I1186" s="788"/>
      <c r="J1186" s="788"/>
      <c r="K1186" s="788"/>
      <c r="L1186" s="788"/>
      <c r="M1186" s="788"/>
      <c r="N1186" s="788"/>
      <c r="O1186" s="788"/>
      <c r="P1186" s="772"/>
      <c r="R1186" s="774"/>
    </row>
    <row r="1187" spans="1:22" hidden="1">
      <c r="A1187" s="786">
        <v>1187</v>
      </c>
      <c r="B1187" s="767"/>
      <c r="C1187" s="767" t="s">
        <v>1272</v>
      </c>
      <c r="D1187" s="767" t="s">
        <v>614</v>
      </c>
      <c r="E1187" s="767"/>
      <c r="F1187" s="806" t="s">
        <v>1411</v>
      </c>
      <c r="G1187" s="778"/>
      <c r="H1187" s="815">
        <v>0</v>
      </c>
      <c r="I1187" s="815">
        <v>0</v>
      </c>
      <c r="J1187" s="815">
        <v>0</v>
      </c>
      <c r="K1187" s="815">
        <v>0</v>
      </c>
      <c r="L1187" s="815">
        <v>0</v>
      </c>
      <c r="M1187" s="815">
        <v>0</v>
      </c>
      <c r="N1187" s="815">
        <v>0</v>
      </c>
      <c r="O1187" s="815">
        <v>0</v>
      </c>
      <c r="P1187" s="772">
        <v>0</v>
      </c>
      <c r="Q1187" s="774"/>
      <c r="R1187" s="774">
        <v>1851</v>
      </c>
      <c r="S1187" s="774"/>
      <c r="T1187" s="774"/>
      <c r="U1187" s="774"/>
      <c r="V1187" s="774"/>
    </row>
    <row r="1188" spans="1:22" hidden="1">
      <c r="A1188" s="786">
        <v>1188</v>
      </c>
      <c r="B1188" s="767"/>
      <c r="C1188" s="767"/>
      <c r="D1188" s="767"/>
      <c r="E1188" s="767" t="s">
        <v>1273</v>
      </c>
      <c r="F1188" s="806" t="s">
        <v>1410</v>
      </c>
      <c r="G1188" s="778"/>
      <c r="H1188" s="815">
        <v>0</v>
      </c>
      <c r="I1188" s="815">
        <v>0</v>
      </c>
      <c r="J1188" s="815">
        <v>0</v>
      </c>
      <c r="K1188" s="815">
        <v>0</v>
      </c>
      <c r="L1188" s="815">
        <v>0</v>
      </c>
      <c r="M1188" s="815">
        <v>0</v>
      </c>
      <c r="N1188" s="815">
        <v>0</v>
      </c>
      <c r="O1188" s="815">
        <v>0</v>
      </c>
      <c r="P1188" s="772">
        <v>0</v>
      </c>
      <c r="Q1188" s="774"/>
      <c r="R1188" s="774">
        <v>1852</v>
      </c>
      <c r="S1188" s="774"/>
      <c r="T1188" s="774"/>
      <c r="U1188" s="774"/>
      <c r="V1188" s="774"/>
    </row>
    <row r="1189" spans="1:22" hidden="1">
      <c r="A1189" s="786">
        <v>1189</v>
      </c>
      <c r="B1189" s="767"/>
      <c r="C1189" s="767"/>
      <c r="D1189" s="767"/>
      <c r="E1189" s="767" t="s">
        <v>788</v>
      </c>
      <c r="F1189" s="806" t="s">
        <v>1411</v>
      </c>
      <c r="G1189" s="778"/>
      <c r="H1189" s="815">
        <v>-3.0559021979570389E-10</v>
      </c>
      <c r="I1189" s="815">
        <v>-1.3032351997902491E-10</v>
      </c>
      <c r="J1189" s="815">
        <v>-4.0756952388866674E-11</v>
      </c>
      <c r="K1189" s="815">
        <v>-6.8022889964883096E-11</v>
      </c>
      <c r="L1189" s="815">
        <v>-2.7677708935626411E-11</v>
      </c>
      <c r="M1189" s="815">
        <v>-2.6449091693918806E-11</v>
      </c>
      <c r="N1189" s="815">
        <v>-1.1908289870213309E-11</v>
      </c>
      <c r="O1189" s="815">
        <v>-4.51766963170699E-13</v>
      </c>
      <c r="P1189" s="772">
        <v>0</v>
      </c>
      <c r="Q1189" s="774"/>
      <c r="R1189" s="774">
        <v>1853</v>
      </c>
      <c r="S1189" s="774"/>
      <c r="T1189" s="774"/>
      <c r="U1189" s="774"/>
      <c r="V1189" s="774"/>
    </row>
    <row r="1190" spans="1:22" hidden="1">
      <c r="A1190" s="786">
        <v>1190</v>
      </c>
      <c r="B1190" s="767"/>
      <c r="C1190" s="767"/>
      <c r="D1190" s="767"/>
      <c r="E1190" s="767" t="s">
        <v>738</v>
      </c>
      <c r="F1190" s="806" t="s">
        <v>1411</v>
      </c>
      <c r="G1190" s="778"/>
      <c r="H1190" s="815">
        <v>0</v>
      </c>
      <c r="I1190" s="815">
        <v>0</v>
      </c>
      <c r="J1190" s="815">
        <v>0</v>
      </c>
      <c r="K1190" s="815">
        <v>0</v>
      </c>
      <c r="L1190" s="815">
        <v>0</v>
      </c>
      <c r="M1190" s="815">
        <v>0</v>
      </c>
      <c r="N1190" s="815">
        <v>0</v>
      </c>
      <c r="O1190" s="815">
        <v>0</v>
      </c>
      <c r="P1190" s="772">
        <v>0</v>
      </c>
      <c r="R1190" s="774">
        <v>1854</v>
      </c>
    </row>
    <row r="1191" spans="1:22" hidden="1">
      <c r="A1191" s="786">
        <v>1191</v>
      </c>
      <c r="B1191" s="767"/>
      <c r="C1191" s="767"/>
      <c r="D1191" s="767"/>
      <c r="E1191" s="767" t="s">
        <v>1005</v>
      </c>
      <c r="F1191" s="806" t="s">
        <v>1411</v>
      </c>
      <c r="G1191" s="778"/>
      <c r="H1191" s="815">
        <v>0</v>
      </c>
      <c r="I1191" s="815">
        <v>0</v>
      </c>
      <c r="J1191" s="815">
        <v>0</v>
      </c>
      <c r="K1191" s="815">
        <v>0</v>
      </c>
      <c r="L1191" s="815">
        <v>0</v>
      </c>
      <c r="M1191" s="815">
        <v>0</v>
      </c>
      <c r="N1191" s="815">
        <v>0</v>
      </c>
      <c r="O1191" s="815">
        <v>0</v>
      </c>
      <c r="P1191" s="772">
        <v>0</v>
      </c>
      <c r="R1191" s="774">
        <v>1855</v>
      </c>
    </row>
    <row r="1192" spans="1:22" hidden="1">
      <c r="A1192" s="786">
        <v>1192</v>
      </c>
      <c r="B1192" s="767"/>
      <c r="C1192" s="767"/>
      <c r="D1192" s="767"/>
      <c r="E1192" s="767" t="s">
        <v>1274</v>
      </c>
      <c r="F1192" s="806"/>
      <c r="G1192" s="778"/>
      <c r="H1192" s="815">
        <v>-3.0559021979570389E-10</v>
      </c>
      <c r="I1192" s="815">
        <v>-1.3032351997902491E-10</v>
      </c>
      <c r="J1192" s="815">
        <v>-4.0756952388866674E-11</v>
      </c>
      <c r="K1192" s="815">
        <v>-6.8022889964883096E-11</v>
      </c>
      <c r="L1192" s="815">
        <v>-2.7677708935626411E-11</v>
      </c>
      <c r="M1192" s="815">
        <v>-2.6449091693918806E-11</v>
      </c>
      <c r="N1192" s="815">
        <v>-1.1908289870213309E-11</v>
      </c>
      <c r="O1192" s="815">
        <v>-4.51766963170699E-13</v>
      </c>
      <c r="P1192" s="772">
        <v>0</v>
      </c>
      <c r="R1192" s="774"/>
    </row>
    <row r="1193" spans="1:22" hidden="1">
      <c r="A1193" s="786">
        <v>1193</v>
      </c>
      <c r="B1193" s="767"/>
      <c r="C1193" s="767"/>
      <c r="D1193" s="767"/>
      <c r="E1193" s="767"/>
      <c r="F1193" s="806"/>
      <c r="G1193" s="778"/>
      <c r="H1193" s="788"/>
      <c r="I1193" s="788"/>
      <c r="J1193" s="788"/>
      <c r="K1193" s="788"/>
      <c r="L1193" s="788"/>
      <c r="M1193" s="788"/>
      <c r="N1193" s="788"/>
      <c r="O1193" s="788"/>
      <c r="P1193" s="772"/>
      <c r="R1193" s="774"/>
    </row>
    <row r="1194" spans="1:22" hidden="1">
      <c r="A1194" s="786">
        <v>1194</v>
      </c>
      <c r="B1194" s="767"/>
      <c r="C1194" s="767" t="s">
        <v>1275</v>
      </c>
      <c r="D1194" s="767" t="s">
        <v>1276</v>
      </c>
      <c r="E1194" s="767"/>
      <c r="F1194" s="806" t="s">
        <v>1411</v>
      </c>
      <c r="G1194" s="778"/>
      <c r="H1194" s="815">
        <v>250184.92583333334</v>
      </c>
      <c r="I1194" s="815">
        <v>104639.77656912702</v>
      </c>
      <c r="J1194" s="815">
        <v>33433.86542677386</v>
      </c>
      <c r="K1194" s="815">
        <v>56737.865291511334</v>
      </c>
      <c r="L1194" s="815">
        <v>23129.464786656426</v>
      </c>
      <c r="M1194" s="815">
        <v>21874.174104861446</v>
      </c>
      <c r="N1194" s="815">
        <v>9967.1666272468428</v>
      </c>
      <c r="O1194" s="815">
        <v>402.61302715642313</v>
      </c>
      <c r="P1194" s="772">
        <v>0</v>
      </c>
      <c r="Q1194" s="774"/>
      <c r="R1194" s="774">
        <v>1859</v>
      </c>
      <c r="S1194" s="774"/>
      <c r="T1194" s="774"/>
      <c r="U1194" s="774"/>
      <c r="V1194" s="774"/>
    </row>
    <row r="1195" spans="1:22" hidden="1">
      <c r="A1195" s="786">
        <v>1195</v>
      </c>
      <c r="B1195" s="767"/>
      <c r="C1195" s="767"/>
      <c r="D1195" s="767"/>
      <c r="E1195" s="767" t="s">
        <v>1017</v>
      </c>
      <c r="F1195" s="806" t="s">
        <v>1411</v>
      </c>
      <c r="G1195" s="778"/>
      <c r="H1195" s="815">
        <v>0</v>
      </c>
      <c r="I1195" s="815">
        <v>0</v>
      </c>
      <c r="J1195" s="815">
        <v>0</v>
      </c>
      <c r="K1195" s="815">
        <v>0</v>
      </c>
      <c r="L1195" s="815">
        <v>0</v>
      </c>
      <c r="M1195" s="815">
        <v>0</v>
      </c>
      <c r="N1195" s="815">
        <v>0</v>
      </c>
      <c r="O1195" s="815">
        <v>0</v>
      </c>
      <c r="P1195" s="772">
        <v>0</v>
      </c>
      <c r="Q1195" s="774"/>
      <c r="R1195" s="774">
        <v>1860</v>
      </c>
      <c r="S1195" s="774"/>
      <c r="T1195" s="774"/>
      <c r="U1195" s="774"/>
      <c r="V1195" s="774"/>
    </row>
    <row r="1196" spans="1:22" hidden="1">
      <c r="A1196" s="786">
        <v>1196</v>
      </c>
      <c r="B1196" s="767"/>
      <c r="C1196" s="767"/>
      <c r="D1196" s="767"/>
      <c r="E1196" s="767" t="s">
        <v>1192</v>
      </c>
      <c r="F1196" s="806" t="s">
        <v>1411</v>
      </c>
      <c r="G1196" s="778"/>
      <c r="H1196" s="815">
        <v>0</v>
      </c>
      <c r="I1196" s="815">
        <v>0</v>
      </c>
      <c r="J1196" s="815">
        <v>0</v>
      </c>
      <c r="K1196" s="815">
        <v>0</v>
      </c>
      <c r="L1196" s="815">
        <v>0</v>
      </c>
      <c r="M1196" s="815">
        <v>0</v>
      </c>
      <c r="N1196" s="815">
        <v>0</v>
      </c>
      <c r="O1196" s="815">
        <v>0</v>
      </c>
      <c r="P1196" s="772">
        <v>0</v>
      </c>
      <c r="Q1196" s="774"/>
      <c r="R1196" s="774">
        <v>1861</v>
      </c>
      <c r="S1196" s="774"/>
      <c r="T1196" s="774"/>
      <c r="U1196" s="774"/>
      <c r="V1196" s="774"/>
    </row>
    <row r="1197" spans="1:22" hidden="1">
      <c r="A1197" s="786">
        <v>1197</v>
      </c>
      <c r="B1197" s="767"/>
      <c r="C1197" s="767"/>
      <c r="D1197" s="767"/>
      <c r="E1197" s="767" t="s">
        <v>728</v>
      </c>
      <c r="F1197" s="806" t="s">
        <v>1411</v>
      </c>
      <c r="G1197" s="778"/>
      <c r="H1197" s="815">
        <v>0</v>
      </c>
      <c r="I1197" s="815">
        <v>0</v>
      </c>
      <c r="J1197" s="815">
        <v>0</v>
      </c>
      <c r="K1197" s="815">
        <v>0</v>
      </c>
      <c r="L1197" s="815">
        <v>0</v>
      </c>
      <c r="M1197" s="815">
        <v>0</v>
      </c>
      <c r="N1197" s="815">
        <v>0</v>
      </c>
      <c r="O1197" s="815">
        <v>0</v>
      </c>
      <c r="P1197" s="772">
        <v>0</v>
      </c>
      <c r="Q1197" s="774"/>
      <c r="R1197" s="774">
        <v>1862</v>
      </c>
      <c r="S1197" s="774"/>
      <c r="T1197" s="774"/>
      <c r="U1197" s="774"/>
      <c r="V1197" s="774"/>
    </row>
    <row r="1198" spans="1:22" hidden="1">
      <c r="A1198" s="786">
        <v>1198</v>
      </c>
      <c r="B1198" s="767"/>
      <c r="C1198" s="767"/>
      <c r="D1198" s="767"/>
      <c r="E1198" s="767" t="s">
        <v>739</v>
      </c>
      <c r="F1198" s="806" t="s">
        <v>1392</v>
      </c>
      <c r="G1198" s="778"/>
      <c r="H1198" s="815">
        <v>0</v>
      </c>
      <c r="I1198" s="815">
        <v>0</v>
      </c>
      <c r="J1198" s="815">
        <v>0</v>
      </c>
      <c r="K1198" s="815">
        <v>0</v>
      </c>
      <c r="L1198" s="815">
        <v>0</v>
      </c>
      <c r="M1198" s="815">
        <v>0</v>
      </c>
      <c r="N1198" s="815">
        <v>0</v>
      </c>
      <c r="O1198" s="815">
        <v>0</v>
      </c>
      <c r="P1198" s="772">
        <v>0</v>
      </c>
      <c r="Q1198" s="774"/>
      <c r="R1198" s="774">
        <v>1863</v>
      </c>
      <c r="S1198" s="774"/>
      <c r="T1198" s="774"/>
      <c r="U1198" s="774"/>
      <c r="V1198" s="774"/>
    </row>
    <row r="1199" spans="1:22" hidden="1">
      <c r="A1199" s="786">
        <v>1199</v>
      </c>
      <c r="B1199" s="767"/>
      <c r="C1199" s="767"/>
      <c r="D1199" s="767"/>
      <c r="E1199" s="767" t="s">
        <v>738</v>
      </c>
      <c r="F1199" s="806" t="s">
        <v>1411</v>
      </c>
      <c r="G1199" s="778"/>
      <c r="H1199" s="815">
        <v>0</v>
      </c>
      <c r="I1199" s="815">
        <v>0</v>
      </c>
      <c r="J1199" s="815">
        <v>0</v>
      </c>
      <c r="K1199" s="815">
        <v>0</v>
      </c>
      <c r="L1199" s="815">
        <v>0</v>
      </c>
      <c r="M1199" s="815">
        <v>0</v>
      </c>
      <c r="N1199" s="815">
        <v>0</v>
      </c>
      <c r="O1199" s="815">
        <v>0</v>
      </c>
      <c r="P1199" s="772">
        <v>0</v>
      </c>
      <c r="Q1199" s="774"/>
      <c r="R1199" s="774">
        <v>1864</v>
      </c>
      <c r="S1199" s="774"/>
      <c r="T1199" s="774"/>
      <c r="U1199" s="774"/>
      <c r="V1199" s="774"/>
    </row>
    <row r="1200" spans="1:22" hidden="1">
      <c r="A1200" s="786">
        <v>1200</v>
      </c>
      <c r="B1200" s="767"/>
      <c r="C1200" s="767"/>
      <c r="D1200" s="767"/>
      <c r="E1200" s="767" t="s">
        <v>1005</v>
      </c>
      <c r="F1200" s="806" t="s">
        <v>1411</v>
      </c>
      <c r="G1200" s="778"/>
      <c r="H1200" s="815">
        <v>0</v>
      </c>
      <c r="I1200" s="815">
        <v>0</v>
      </c>
      <c r="J1200" s="815">
        <v>0</v>
      </c>
      <c r="K1200" s="815">
        <v>0</v>
      </c>
      <c r="L1200" s="815">
        <v>0</v>
      </c>
      <c r="M1200" s="815">
        <v>0</v>
      </c>
      <c r="N1200" s="815">
        <v>0</v>
      </c>
      <c r="O1200" s="815">
        <v>0</v>
      </c>
      <c r="P1200" s="772">
        <v>0</v>
      </c>
      <c r="Q1200" s="774"/>
      <c r="R1200" s="774">
        <v>1865</v>
      </c>
      <c r="S1200" s="774"/>
      <c r="T1200" s="774"/>
      <c r="U1200" s="774"/>
      <c r="V1200" s="774"/>
    </row>
    <row r="1201" spans="1:22" hidden="1">
      <c r="A1201" s="786">
        <v>1201</v>
      </c>
      <c r="B1201" s="767"/>
      <c r="C1201" s="767"/>
      <c r="D1201" s="767"/>
      <c r="E1201" s="767" t="s">
        <v>1277</v>
      </c>
      <c r="F1201" s="806"/>
      <c r="G1201" s="778"/>
      <c r="H1201" s="815">
        <v>250184.92583333337</v>
      </c>
      <c r="I1201" s="815">
        <v>104639.77656912702</v>
      </c>
      <c r="J1201" s="815">
        <v>33433.86542677386</v>
      </c>
      <c r="K1201" s="815">
        <v>56737.865291511334</v>
      </c>
      <c r="L1201" s="815">
        <v>23129.464786656426</v>
      </c>
      <c r="M1201" s="815">
        <v>21874.174104861446</v>
      </c>
      <c r="N1201" s="815">
        <v>9967.1666272468428</v>
      </c>
      <c r="O1201" s="815">
        <v>402.61302715642313</v>
      </c>
      <c r="P1201" s="772">
        <v>0</v>
      </c>
      <c r="Q1201" s="774"/>
      <c r="R1201" s="774"/>
      <c r="S1201" s="774"/>
      <c r="T1201" s="774"/>
      <c r="U1201" s="774"/>
      <c r="V1201" s="774"/>
    </row>
    <row r="1202" spans="1:22" hidden="1">
      <c r="A1202" s="786">
        <v>1202</v>
      </c>
      <c r="B1202" s="767"/>
      <c r="C1202" s="767"/>
      <c r="D1202" s="767"/>
      <c r="E1202" s="767"/>
      <c r="F1202" s="806"/>
      <c r="G1202" s="778"/>
      <c r="H1202" s="788"/>
      <c r="I1202" s="788"/>
      <c r="J1202" s="788"/>
      <c r="K1202" s="788"/>
      <c r="L1202" s="788"/>
      <c r="M1202" s="788"/>
      <c r="N1202" s="788"/>
      <c r="O1202" s="788"/>
      <c r="P1202" s="772"/>
      <c r="R1202" s="774"/>
    </row>
    <row r="1203" spans="1:22" hidden="1">
      <c r="A1203" s="786">
        <v>1203</v>
      </c>
      <c r="B1203" s="767"/>
      <c r="C1203" s="767" t="s">
        <v>1278</v>
      </c>
      <c r="D1203" s="767" t="s">
        <v>617</v>
      </c>
      <c r="E1203" s="767"/>
      <c r="F1203" s="806" t="s">
        <v>1411</v>
      </c>
      <c r="G1203" s="778"/>
      <c r="H1203" s="815">
        <v>0</v>
      </c>
      <c r="I1203" s="815">
        <v>0</v>
      </c>
      <c r="J1203" s="815">
        <v>0</v>
      </c>
      <c r="K1203" s="815">
        <v>0</v>
      </c>
      <c r="L1203" s="815">
        <v>0</v>
      </c>
      <c r="M1203" s="815">
        <v>0</v>
      </c>
      <c r="N1203" s="815">
        <v>0</v>
      </c>
      <c r="O1203" s="815">
        <v>0</v>
      </c>
      <c r="P1203" s="772">
        <v>0</v>
      </c>
      <c r="Q1203" s="774"/>
      <c r="R1203" s="774">
        <v>1869</v>
      </c>
      <c r="S1203" s="774"/>
      <c r="T1203" s="774"/>
      <c r="U1203" s="774"/>
      <c r="V1203" s="774"/>
    </row>
    <row r="1204" spans="1:22" hidden="1">
      <c r="A1204" s="786">
        <v>1204</v>
      </c>
      <c r="B1204" s="767"/>
      <c r="C1204" s="767"/>
      <c r="D1204" s="767"/>
      <c r="E1204" s="767" t="s">
        <v>728</v>
      </c>
      <c r="F1204" s="806" t="s">
        <v>1411</v>
      </c>
      <c r="G1204" s="778"/>
      <c r="H1204" s="815">
        <v>0</v>
      </c>
      <c r="I1204" s="815">
        <v>0</v>
      </c>
      <c r="J1204" s="815">
        <v>0</v>
      </c>
      <c r="K1204" s="815">
        <v>0</v>
      </c>
      <c r="L1204" s="815">
        <v>0</v>
      </c>
      <c r="M1204" s="815">
        <v>0</v>
      </c>
      <c r="N1204" s="815">
        <v>0</v>
      </c>
      <c r="O1204" s="815">
        <v>0</v>
      </c>
      <c r="P1204" s="772">
        <v>0</v>
      </c>
      <c r="Q1204" s="774"/>
      <c r="R1204" s="774">
        <v>1870</v>
      </c>
      <c r="S1204" s="774"/>
      <c r="T1204" s="774"/>
      <c r="U1204" s="774"/>
      <c r="V1204" s="774"/>
    </row>
    <row r="1205" spans="1:22" hidden="1">
      <c r="A1205" s="786">
        <v>1205</v>
      </c>
      <c r="B1205" s="767"/>
      <c r="C1205" s="767"/>
      <c r="D1205" s="767"/>
      <c r="E1205" s="767" t="s">
        <v>739</v>
      </c>
      <c r="F1205" s="806" t="s">
        <v>1411</v>
      </c>
      <c r="G1205" s="778"/>
      <c r="H1205" s="815">
        <v>0</v>
      </c>
      <c r="I1205" s="815">
        <v>0</v>
      </c>
      <c r="J1205" s="815">
        <v>0</v>
      </c>
      <c r="K1205" s="815">
        <v>0</v>
      </c>
      <c r="L1205" s="815">
        <v>0</v>
      </c>
      <c r="M1205" s="815">
        <v>0</v>
      </c>
      <c r="N1205" s="815">
        <v>0</v>
      </c>
      <c r="O1205" s="815">
        <v>0</v>
      </c>
      <c r="P1205" s="772">
        <v>0</v>
      </c>
      <c r="Q1205" s="774"/>
      <c r="R1205" s="774">
        <v>1871</v>
      </c>
      <c r="S1205" s="774"/>
      <c r="T1205" s="774"/>
      <c r="U1205" s="774"/>
      <c r="V1205" s="774"/>
    </row>
    <row r="1206" spans="1:22" hidden="1">
      <c r="A1206" s="786">
        <v>1206</v>
      </c>
      <c r="B1206" s="767"/>
      <c r="C1206" s="767"/>
      <c r="D1206" s="767"/>
      <c r="E1206" s="767" t="s">
        <v>788</v>
      </c>
      <c r="F1206" s="806" t="s">
        <v>1411</v>
      </c>
      <c r="G1206" s="778"/>
      <c r="H1206" s="815">
        <v>-2.6775524020195007E-9</v>
      </c>
      <c r="I1206" s="815">
        <v>-1.1198855573180997E-9</v>
      </c>
      <c r="J1206" s="815">
        <v>-3.5781902680216471E-10</v>
      </c>
      <c r="K1206" s="815">
        <v>-6.0722526343553261E-10</v>
      </c>
      <c r="L1206" s="815">
        <v>-2.4753831107392039E-10</v>
      </c>
      <c r="M1206" s="815">
        <v>-2.3410382228896489E-10</v>
      </c>
      <c r="N1206" s="815">
        <v>-1.0667153848386526E-10</v>
      </c>
      <c r="O1206" s="815">
        <v>-4.3088826169533902E-12</v>
      </c>
      <c r="P1206" s="772">
        <v>0</v>
      </c>
      <c r="Q1206" s="774"/>
      <c r="R1206" s="774">
        <v>1872</v>
      </c>
      <c r="S1206" s="774"/>
      <c r="T1206" s="774"/>
      <c r="U1206" s="774"/>
      <c r="V1206" s="774"/>
    </row>
    <row r="1207" spans="1:22" hidden="1">
      <c r="A1207" s="786">
        <v>1207</v>
      </c>
      <c r="B1207" s="767"/>
      <c r="C1207" s="767"/>
      <c r="D1207" s="767"/>
      <c r="E1207" s="767" t="s">
        <v>1005</v>
      </c>
      <c r="F1207" s="806" t="s">
        <v>1411</v>
      </c>
      <c r="G1207" s="778"/>
      <c r="H1207" s="815">
        <v>4.7293724492192268E-11</v>
      </c>
      <c r="I1207" s="815">
        <v>2.2165131229247866E-11</v>
      </c>
      <c r="J1207" s="815">
        <v>6.8855486191628254E-12</v>
      </c>
      <c r="K1207" s="815">
        <v>9.2580953791541257E-12</v>
      </c>
      <c r="L1207" s="815">
        <v>3.6900324718105119E-12</v>
      </c>
      <c r="M1207" s="815">
        <v>2.8847509860692445E-12</v>
      </c>
      <c r="N1207" s="815">
        <v>2.1729759606983667E-12</v>
      </c>
      <c r="O1207" s="815">
        <v>2.3718984604932712E-13</v>
      </c>
      <c r="P1207" s="772">
        <v>0</v>
      </c>
      <c r="Q1207" s="774"/>
      <c r="R1207" s="774">
        <v>1873</v>
      </c>
      <c r="S1207" s="774"/>
      <c r="T1207" s="774"/>
      <c r="U1207" s="774"/>
      <c r="V1207" s="774"/>
    </row>
    <row r="1208" spans="1:22" hidden="1">
      <c r="A1208" s="786">
        <v>1208</v>
      </c>
      <c r="B1208" s="767"/>
      <c r="C1208" s="767"/>
      <c r="D1208" s="767"/>
      <c r="E1208" s="767" t="s">
        <v>738</v>
      </c>
      <c r="F1208" s="806" t="s">
        <v>1392</v>
      </c>
      <c r="G1208" s="778"/>
      <c r="H1208" s="815">
        <v>0</v>
      </c>
      <c r="I1208" s="815">
        <v>0</v>
      </c>
      <c r="J1208" s="815">
        <v>0</v>
      </c>
      <c r="K1208" s="815">
        <v>0</v>
      </c>
      <c r="L1208" s="815">
        <v>0</v>
      </c>
      <c r="M1208" s="815">
        <v>0</v>
      </c>
      <c r="N1208" s="815">
        <v>0</v>
      </c>
      <c r="O1208" s="815">
        <v>0</v>
      </c>
      <c r="P1208" s="772">
        <v>0</v>
      </c>
      <c r="Q1208" s="774"/>
      <c r="R1208" s="774">
        <v>1874</v>
      </c>
      <c r="S1208" s="774"/>
      <c r="T1208" s="774"/>
      <c r="U1208" s="774"/>
      <c r="V1208" s="774"/>
    </row>
    <row r="1209" spans="1:22" hidden="1">
      <c r="A1209" s="786">
        <v>1209</v>
      </c>
      <c r="B1209" s="767"/>
      <c r="C1209" s="767"/>
      <c r="D1209" s="767"/>
      <c r="E1209" s="767" t="s">
        <v>723</v>
      </c>
      <c r="F1209" s="806" t="s">
        <v>1411</v>
      </c>
      <c r="G1209" s="778"/>
      <c r="H1209" s="815">
        <v>430387.13048055297</v>
      </c>
      <c r="I1209" s="815">
        <v>180009.29920819582</v>
      </c>
      <c r="J1209" s="815">
        <v>57515.477217392719</v>
      </c>
      <c r="K1209" s="815">
        <v>97604.789541449791</v>
      </c>
      <c r="L1209" s="815">
        <v>39789.063813187393</v>
      </c>
      <c r="M1209" s="815">
        <v>37629.617345111103</v>
      </c>
      <c r="N1209" s="815">
        <v>17146.277816034421</v>
      </c>
      <c r="O1209" s="815">
        <v>692.60553918174969</v>
      </c>
      <c r="P1209" s="772">
        <v>0</v>
      </c>
      <c r="Q1209" s="774"/>
      <c r="R1209" s="774">
        <v>1875</v>
      </c>
      <c r="S1209" s="774"/>
      <c r="T1209" s="774"/>
      <c r="U1209" s="774"/>
      <c r="V1209" s="774"/>
    </row>
    <row r="1210" spans="1:22" hidden="1">
      <c r="A1210" s="786">
        <v>1210</v>
      </c>
      <c r="B1210" s="767"/>
      <c r="C1210" s="767"/>
      <c r="D1210" s="767"/>
      <c r="E1210" s="767" t="s">
        <v>1279</v>
      </c>
      <c r="F1210" s="806" t="s">
        <v>1411</v>
      </c>
      <c r="G1210" s="778"/>
      <c r="H1210" s="815">
        <v>0</v>
      </c>
      <c r="I1210" s="815">
        <v>0</v>
      </c>
      <c r="J1210" s="815">
        <v>0</v>
      </c>
      <c r="K1210" s="815">
        <v>0</v>
      </c>
      <c r="L1210" s="815">
        <v>0</v>
      </c>
      <c r="M1210" s="815">
        <v>0</v>
      </c>
      <c r="N1210" s="815">
        <v>0</v>
      </c>
      <c r="O1210" s="815">
        <v>0</v>
      </c>
      <c r="P1210" s="772">
        <v>0</v>
      </c>
      <c r="Q1210" s="774"/>
      <c r="R1210" s="774">
        <v>1876</v>
      </c>
      <c r="S1210" s="774"/>
      <c r="T1210" s="774"/>
      <c r="U1210" s="774"/>
      <c r="V1210" s="774"/>
    </row>
    <row r="1211" spans="1:22" hidden="1">
      <c r="A1211" s="786">
        <v>1211</v>
      </c>
      <c r="B1211" s="767"/>
      <c r="C1211" s="767"/>
      <c r="D1211" s="767"/>
      <c r="E1211" s="767" t="s">
        <v>1280</v>
      </c>
      <c r="F1211" s="806"/>
      <c r="G1211" s="778"/>
      <c r="H1211" s="815">
        <v>430387.13048055029</v>
      </c>
      <c r="I1211" s="815">
        <v>180009.29920819472</v>
      </c>
      <c r="J1211" s="815">
        <v>57515.477217392363</v>
      </c>
      <c r="K1211" s="815">
        <v>97604.789541449194</v>
      </c>
      <c r="L1211" s="815">
        <v>39789.063813187146</v>
      </c>
      <c r="M1211" s="815">
        <v>37629.61734511087</v>
      </c>
      <c r="N1211" s="815">
        <v>17146.277816034315</v>
      </c>
      <c r="O1211" s="815">
        <v>692.60553918174548</v>
      </c>
      <c r="P1211" s="772"/>
      <c r="Q1211" s="774"/>
      <c r="R1211" s="774"/>
      <c r="S1211" s="774"/>
      <c r="T1211" s="774"/>
      <c r="U1211" s="774"/>
      <c r="V1211" s="774"/>
    </row>
    <row r="1212" spans="1:22" hidden="1">
      <c r="A1212" s="786">
        <v>1212</v>
      </c>
      <c r="B1212" s="767"/>
      <c r="C1212" s="767"/>
      <c r="D1212" s="767"/>
      <c r="E1212" s="767"/>
      <c r="F1212" s="806"/>
      <c r="G1212" s="778"/>
      <c r="H1212" s="788"/>
      <c r="I1212" s="788"/>
      <c r="J1212" s="788"/>
      <c r="K1212" s="788"/>
      <c r="L1212" s="788"/>
      <c r="M1212" s="788"/>
      <c r="N1212" s="788"/>
      <c r="O1212" s="788"/>
      <c r="P1212" s="772"/>
      <c r="R1212" s="774"/>
    </row>
    <row r="1213" spans="1:22" hidden="1">
      <c r="A1213" s="786">
        <v>1213</v>
      </c>
      <c r="B1213" s="767"/>
      <c r="C1213" s="767" t="s">
        <v>1281</v>
      </c>
      <c r="D1213" s="767" t="s">
        <v>618</v>
      </c>
      <c r="E1213" s="767"/>
      <c r="F1213" s="806" t="s">
        <v>1434</v>
      </c>
      <c r="G1213" s="778"/>
      <c r="H1213" s="815">
        <v>23459504.952025533</v>
      </c>
      <c r="I1213" s="815">
        <v>10808173.72926438</v>
      </c>
      <c r="J1213" s="815">
        <v>3391080.2854290367</v>
      </c>
      <c r="K1213" s="815">
        <v>4707936.33746746</v>
      </c>
      <c r="L1213" s="815">
        <v>1867259.7340414862</v>
      </c>
      <c r="M1213" s="815">
        <v>1543324.9439017833</v>
      </c>
      <c r="N1213" s="815">
        <v>1033810.2613386221</v>
      </c>
      <c r="O1213" s="815">
        <v>107919.66058276601</v>
      </c>
      <c r="P1213" s="772">
        <v>0</v>
      </c>
      <c r="Q1213" s="774"/>
      <c r="R1213" s="774">
        <v>1884</v>
      </c>
      <c r="S1213" s="774"/>
      <c r="T1213" s="774"/>
      <c r="U1213" s="774"/>
      <c r="V1213" s="774"/>
    </row>
    <row r="1214" spans="1:22" hidden="1">
      <c r="A1214" s="786">
        <v>1214</v>
      </c>
      <c r="B1214" s="767"/>
      <c r="C1214" s="767"/>
      <c r="D1214" s="767"/>
      <c r="E1214" s="767"/>
      <c r="F1214" s="806"/>
      <c r="G1214" s="778"/>
      <c r="H1214" s="788"/>
      <c r="I1214" s="788"/>
      <c r="J1214" s="788"/>
      <c r="K1214" s="788"/>
      <c r="L1214" s="788"/>
      <c r="M1214" s="788"/>
      <c r="N1214" s="788"/>
      <c r="O1214" s="788"/>
      <c r="P1214" s="772"/>
      <c r="R1214" s="774"/>
    </row>
    <row r="1215" spans="1:22" hidden="1">
      <c r="A1215" s="786">
        <v>1215</v>
      </c>
      <c r="B1215" s="767"/>
      <c r="C1215" s="767" t="s">
        <v>1282</v>
      </c>
      <c r="D1215" s="767" t="s">
        <v>1283</v>
      </c>
      <c r="E1215" s="767"/>
      <c r="F1215" s="806" t="s">
        <v>1434</v>
      </c>
      <c r="G1215" s="778"/>
      <c r="H1215" s="815">
        <v>0</v>
      </c>
      <c r="I1215" s="815">
        <v>0</v>
      </c>
      <c r="J1215" s="815">
        <v>0</v>
      </c>
      <c r="K1215" s="815">
        <v>0</v>
      </c>
      <c r="L1215" s="815">
        <v>0</v>
      </c>
      <c r="M1215" s="815">
        <v>0</v>
      </c>
      <c r="N1215" s="815">
        <v>0</v>
      </c>
      <c r="O1215" s="815">
        <v>0</v>
      </c>
      <c r="P1215" s="772">
        <v>0</v>
      </c>
      <c r="Q1215" s="774"/>
      <c r="R1215" s="774">
        <v>1897</v>
      </c>
      <c r="S1215" s="774"/>
      <c r="T1215" s="774"/>
      <c r="U1215" s="774"/>
      <c r="V1215" s="774"/>
    </row>
    <row r="1216" spans="1:22" hidden="1">
      <c r="A1216" s="786">
        <v>1216</v>
      </c>
      <c r="B1216" s="767"/>
      <c r="C1216" s="767"/>
      <c r="D1216" s="767"/>
      <c r="E1216" s="767" t="s">
        <v>1284</v>
      </c>
      <c r="F1216" s="806"/>
      <c r="G1216" s="778"/>
      <c r="H1216" s="815">
        <v>0</v>
      </c>
      <c r="I1216" s="815">
        <v>0</v>
      </c>
      <c r="J1216" s="815">
        <v>0</v>
      </c>
      <c r="K1216" s="815">
        <v>0</v>
      </c>
      <c r="L1216" s="815">
        <v>0</v>
      </c>
      <c r="M1216" s="815">
        <v>0</v>
      </c>
      <c r="N1216" s="815">
        <v>0</v>
      </c>
      <c r="O1216" s="815">
        <v>0</v>
      </c>
      <c r="P1216" s="772">
        <v>0</v>
      </c>
      <c r="Q1216" s="774"/>
      <c r="R1216" s="774"/>
      <c r="S1216" s="774"/>
      <c r="T1216" s="774"/>
      <c r="U1216" s="774"/>
      <c r="V1216" s="774"/>
    </row>
    <row r="1217" spans="1:22" hidden="1">
      <c r="A1217" s="786">
        <v>1217</v>
      </c>
      <c r="B1217" s="767"/>
      <c r="F1217" s="806"/>
      <c r="H1217" s="813"/>
      <c r="I1217" s="813"/>
      <c r="J1217" s="813"/>
      <c r="K1217" s="813"/>
      <c r="L1217" s="813"/>
      <c r="M1217" s="813"/>
      <c r="N1217" s="813"/>
      <c r="O1217" s="813"/>
      <c r="P1217" s="772"/>
      <c r="R1217" s="774"/>
    </row>
    <row r="1218" spans="1:22" hidden="1">
      <c r="A1218" s="786">
        <v>1218</v>
      </c>
      <c r="B1218" s="767"/>
      <c r="C1218" s="767" t="s">
        <v>1285</v>
      </c>
      <c r="D1218" s="767" t="s">
        <v>1286</v>
      </c>
      <c r="E1218" s="767"/>
      <c r="F1218" s="806" t="s">
        <v>1392</v>
      </c>
      <c r="G1218" s="778"/>
      <c r="H1218" s="815">
        <v>0</v>
      </c>
      <c r="I1218" s="815">
        <v>0</v>
      </c>
      <c r="J1218" s="815">
        <v>0</v>
      </c>
      <c r="K1218" s="815">
        <v>0</v>
      </c>
      <c r="L1218" s="815">
        <v>0</v>
      </c>
      <c r="M1218" s="815">
        <v>0</v>
      </c>
      <c r="N1218" s="815">
        <v>0</v>
      </c>
      <c r="O1218" s="815">
        <v>0</v>
      </c>
      <c r="P1218" s="772">
        <v>0</v>
      </c>
      <c r="Q1218" s="774"/>
      <c r="R1218" s="774">
        <v>1911</v>
      </c>
      <c r="S1218" s="774"/>
      <c r="T1218" s="774"/>
      <c r="U1218" s="774"/>
      <c r="V1218" s="774"/>
    </row>
    <row r="1219" spans="1:22" hidden="1">
      <c r="A1219" s="786">
        <v>1219</v>
      </c>
      <c r="B1219" s="767"/>
      <c r="C1219" s="767"/>
      <c r="D1219" s="767"/>
      <c r="E1219" s="767"/>
      <c r="F1219" s="806"/>
      <c r="G1219" s="778"/>
      <c r="H1219" s="788"/>
      <c r="I1219" s="788"/>
      <c r="J1219" s="788"/>
      <c r="K1219" s="788"/>
      <c r="L1219" s="788"/>
      <c r="M1219" s="788"/>
      <c r="N1219" s="788"/>
      <c r="O1219" s="788"/>
      <c r="P1219" s="772"/>
      <c r="R1219" s="774"/>
    </row>
    <row r="1220" spans="1:22" hidden="1">
      <c r="A1220" s="786">
        <v>1220</v>
      </c>
      <c r="B1220" s="767"/>
      <c r="C1220" s="767" t="s">
        <v>1287</v>
      </c>
      <c r="D1220" s="767" t="s">
        <v>1288</v>
      </c>
      <c r="E1220" s="767"/>
      <c r="F1220" s="806" t="s">
        <v>1392</v>
      </c>
      <c r="G1220" s="778"/>
      <c r="H1220" s="815">
        <v>0</v>
      </c>
      <c r="I1220" s="815">
        <v>0</v>
      </c>
      <c r="J1220" s="815">
        <v>0</v>
      </c>
      <c r="K1220" s="815">
        <v>0</v>
      </c>
      <c r="L1220" s="815">
        <v>0</v>
      </c>
      <c r="M1220" s="815">
        <v>0</v>
      </c>
      <c r="N1220" s="815">
        <v>0</v>
      </c>
      <c r="O1220" s="815">
        <v>0</v>
      </c>
      <c r="P1220" s="772">
        <v>0</v>
      </c>
      <c r="Q1220" s="774"/>
      <c r="R1220" s="774">
        <v>1916</v>
      </c>
      <c r="S1220" s="774"/>
      <c r="T1220" s="774"/>
      <c r="U1220" s="774"/>
      <c r="V1220" s="774"/>
    </row>
    <row r="1221" spans="1:22" hidden="1">
      <c r="A1221" s="786">
        <v>1221</v>
      </c>
      <c r="B1221" s="767"/>
      <c r="F1221" s="806"/>
      <c r="H1221" s="813"/>
      <c r="I1221" s="813"/>
      <c r="J1221" s="813"/>
      <c r="K1221" s="813"/>
      <c r="L1221" s="813"/>
      <c r="M1221" s="813"/>
      <c r="N1221" s="813"/>
      <c r="O1221" s="813"/>
      <c r="P1221" s="772"/>
      <c r="R1221" s="774"/>
    </row>
    <row r="1222" spans="1:22" hidden="1">
      <c r="A1222" s="786">
        <v>1222</v>
      </c>
      <c r="B1222" s="767"/>
      <c r="C1222" s="767" t="s">
        <v>1289</v>
      </c>
      <c r="D1222" s="767" t="s">
        <v>1290</v>
      </c>
      <c r="E1222" s="767"/>
      <c r="F1222" s="806" t="s">
        <v>1392</v>
      </c>
      <c r="G1222" s="778"/>
      <c r="H1222" s="828">
        <v>0</v>
      </c>
      <c r="I1222" s="828">
        <v>0</v>
      </c>
      <c r="J1222" s="828">
        <v>0</v>
      </c>
      <c r="K1222" s="828">
        <v>0</v>
      </c>
      <c r="L1222" s="828">
        <v>0</v>
      </c>
      <c r="M1222" s="828">
        <v>0</v>
      </c>
      <c r="N1222" s="828">
        <v>0</v>
      </c>
      <c r="O1222" s="828">
        <v>0</v>
      </c>
      <c r="P1222" s="772">
        <v>0</v>
      </c>
      <c r="Q1222" s="774"/>
      <c r="R1222" s="774">
        <v>1919</v>
      </c>
      <c r="S1222" s="774"/>
      <c r="T1222" s="774"/>
      <c r="U1222" s="774"/>
      <c r="V1222" s="774"/>
    </row>
    <row r="1223" spans="1:22" hidden="1">
      <c r="A1223" s="786">
        <v>1223</v>
      </c>
      <c r="B1223" s="767"/>
      <c r="C1223" s="767" t="s">
        <v>1291</v>
      </c>
      <c r="D1223" s="767"/>
      <c r="E1223" s="767"/>
      <c r="F1223" s="806"/>
      <c r="G1223" s="778"/>
      <c r="H1223" s="788">
        <v>24180112.615009215</v>
      </c>
      <c r="I1223" s="788">
        <v>11109567.686543986</v>
      </c>
      <c r="J1223" s="788">
        <v>3487379.8508382984</v>
      </c>
      <c r="K1223" s="788">
        <v>4871358.4156530807</v>
      </c>
      <c r="L1223" s="788">
        <v>1933879.5334177248</v>
      </c>
      <c r="M1223" s="788">
        <v>1606329.1294213498</v>
      </c>
      <c r="N1223" s="788">
        <v>1062518.6922159246</v>
      </c>
      <c r="O1223" s="788">
        <v>109079.30691884962</v>
      </c>
      <c r="P1223" s="772">
        <v>0</v>
      </c>
      <c r="Q1223" s="774"/>
      <c r="R1223" s="774"/>
      <c r="S1223" s="774"/>
      <c r="T1223" s="774"/>
      <c r="U1223" s="774"/>
      <c r="V1223" s="774"/>
    </row>
    <row r="1224" spans="1:22" hidden="1">
      <c r="A1224" s="786">
        <v>1224</v>
      </c>
      <c r="B1224" s="767"/>
      <c r="C1224" s="767"/>
      <c r="D1224" s="767"/>
      <c r="E1224" s="767"/>
      <c r="F1224" s="806"/>
      <c r="G1224" s="778"/>
      <c r="H1224" s="788"/>
      <c r="I1224" s="788"/>
      <c r="J1224" s="788"/>
      <c r="K1224" s="788"/>
      <c r="L1224" s="788"/>
      <c r="M1224" s="788"/>
      <c r="N1224" s="788"/>
      <c r="O1224" s="788"/>
      <c r="P1224" s="772"/>
      <c r="Q1224" s="774"/>
      <c r="R1224" s="774"/>
      <c r="S1224" s="774"/>
      <c r="T1224" s="774"/>
      <c r="U1224" s="774"/>
      <c r="V1224" s="774"/>
    </row>
    <row r="1225" spans="1:22" hidden="1">
      <c r="A1225" s="786">
        <v>1225</v>
      </c>
      <c r="B1225" s="767"/>
      <c r="C1225" s="781" t="s">
        <v>714</v>
      </c>
      <c r="D1225" s="767"/>
      <c r="E1225" s="767"/>
      <c r="F1225" s="806"/>
      <c r="H1225" s="817"/>
      <c r="I1225" s="817"/>
      <c r="J1225" s="817"/>
      <c r="K1225" s="817"/>
      <c r="L1225" s="819"/>
      <c r="M1225" s="817"/>
      <c r="N1225" s="817"/>
      <c r="O1225" s="817"/>
      <c r="P1225" s="772"/>
      <c r="R1225" s="774"/>
    </row>
    <row r="1226" spans="1:22" hidden="1">
      <c r="A1226" s="786">
        <v>1226</v>
      </c>
      <c r="B1226" s="767"/>
      <c r="C1226" s="767"/>
      <c r="D1226" s="767"/>
      <c r="E1226" s="767"/>
      <c r="F1226" s="806"/>
      <c r="G1226" s="778"/>
      <c r="H1226" s="810"/>
      <c r="I1226" s="810"/>
      <c r="J1226" s="810"/>
      <c r="K1226" s="810"/>
      <c r="L1226" s="810"/>
      <c r="M1226" s="810"/>
      <c r="N1226" s="810"/>
      <c r="O1226" s="810"/>
      <c r="P1226" s="772"/>
      <c r="R1226" s="774"/>
    </row>
    <row r="1227" spans="1:22" hidden="1">
      <c r="A1227" s="786">
        <v>1227</v>
      </c>
      <c r="B1227" s="767"/>
      <c r="C1227" s="777" t="s">
        <v>575</v>
      </c>
      <c r="D1227" s="767"/>
      <c r="E1227" s="777" t="s">
        <v>576</v>
      </c>
      <c r="F1227" s="806" t="s">
        <v>577</v>
      </c>
      <c r="G1227" s="778"/>
      <c r="H1227" s="777" t="s">
        <v>578</v>
      </c>
      <c r="I1227" s="777" t="s">
        <v>579</v>
      </c>
      <c r="J1227" s="777" t="s">
        <v>580</v>
      </c>
      <c r="K1227" s="777" t="s">
        <v>581</v>
      </c>
      <c r="L1227" s="777" t="s">
        <v>582</v>
      </c>
      <c r="M1227" s="777" t="s">
        <v>583</v>
      </c>
      <c r="N1227" s="777" t="s">
        <v>584</v>
      </c>
      <c r="O1227" s="777" t="s">
        <v>585</v>
      </c>
      <c r="P1227" s="772"/>
      <c r="R1227" s="774"/>
    </row>
    <row r="1228" spans="1:22" ht="38.25" hidden="1">
      <c r="A1228" s="786">
        <v>1228</v>
      </c>
      <c r="B1228" s="767"/>
      <c r="C1228" s="797" t="s">
        <v>656</v>
      </c>
      <c r="D1228" s="781"/>
      <c r="E1228" s="782" t="s">
        <v>587</v>
      </c>
      <c r="F1228" s="806" t="s">
        <v>1391</v>
      </c>
      <c r="G1228" s="783"/>
      <c r="H1228" s="829" t="s">
        <v>588</v>
      </c>
      <c r="I1228" s="829" t="s">
        <v>589</v>
      </c>
      <c r="J1228" s="829" t="s">
        <v>590</v>
      </c>
      <c r="K1228" s="829" t="s">
        <v>591</v>
      </c>
      <c r="L1228" s="829" t="s">
        <v>592</v>
      </c>
      <c r="M1228" s="829" t="s">
        <v>593</v>
      </c>
      <c r="N1228" s="829" t="s">
        <v>594</v>
      </c>
      <c r="O1228" s="829" t="s">
        <v>595</v>
      </c>
      <c r="P1228" s="772"/>
      <c r="R1228" s="774"/>
    </row>
    <row r="1229" spans="1:22" hidden="1">
      <c r="A1229" s="786">
        <v>1229</v>
      </c>
      <c r="B1229" s="767"/>
      <c r="F1229" s="806"/>
      <c r="H1229" s="813"/>
      <c r="I1229" s="813"/>
      <c r="J1229" s="813"/>
      <c r="K1229" s="813"/>
      <c r="L1229" s="813"/>
      <c r="M1229" s="813"/>
      <c r="N1229" s="813"/>
      <c r="O1229" s="813"/>
      <c r="P1229" s="772"/>
      <c r="R1229" s="774"/>
    </row>
    <row r="1230" spans="1:22" hidden="1">
      <c r="A1230" s="786">
        <v>1230</v>
      </c>
      <c r="B1230" s="767"/>
      <c r="C1230" s="764" t="s">
        <v>1292</v>
      </c>
      <c r="D1230" s="767" t="s">
        <v>628</v>
      </c>
      <c r="E1230" s="767"/>
      <c r="F1230" s="806" t="s">
        <v>1435</v>
      </c>
      <c r="G1230" s="778"/>
      <c r="H1230" s="815">
        <v>-2829106.1541666668</v>
      </c>
      <c r="I1230" s="815">
        <v>-2146221.9351850785</v>
      </c>
      <c r="J1230" s="815">
        <v>-312193.1450698041</v>
      </c>
      <c r="K1230" s="815">
        <v>-203626.28617497726</v>
      </c>
      <c r="L1230" s="815">
        <v>-47613.321431950346</v>
      </c>
      <c r="M1230" s="815">
        <v>0</v>
      </c>
      <c r="N1230" s="815">
        <v>-118377.18085117653</v>
      </c>
      <c r="O1230" s="815">
        <v>-1074.2854536802402</v>
      </c>
      <c r="P1230" s="772">
        <v>0</v>
      </c>
      <c r="Q1230" s="774"/>
      <c r="R1230" s="774">
        <v>1931</v>
      </c>
      <c r="S1230" s="774"/>
      <c r="T1230" s="774"/>
      <c r="U1230" s="774"/>
      <c r="V1230" s="774"/>
    </row>
    <row r="1231" spans="1:22" hidden="1">
      <c r="A1231" s="786">
        <v>1231</v>
      </c>
      <c r="B1231" s="767"/>
      <c r="C1231" s="764"/>
      <c r="D1231" s="767"/>
      <c r="E1231" s="767"/>
      <c r="F1231" s="806"/>
      <c r="G1231" s="778"/>
      <c r="H1231" s="788"/>
      <c r="I1231" s="788"/>
      <c r="J1231" s="788"/>
      <c r="K1231" s="788"/>
      <c r="L1231" s="788"/>
      <c r="M1231" s="788"/>
      <c r="N1231" s="788"/>
      <c r="O1231" s="788"/>
      <c r="P1231" s="772"/>
      <c r="R1231" s="774"/>
    </row>
    <row r="1232" spans="1:22" hidden="1">
      <c r="A1232" s="786">
        <v>1232</v>
      </c>
      <c r="B1232" s="767"/>
      <c r="C1232" s="764" t="s">
        <v>1293</v>
      </c>
      <c r="D1232" s="767" t="s">
        <v>1294</v>
      </c>
      <c r="E1232" s="767"/>
      <c r="F1232" s="806" t="s">
        <v>1411</v>
      </c>
      <c r="G1232" s="778"/>
      <c r="H1232" s="815">
        <v>0</v>
      </c>
      <c r="I1232" s="815">
        <v>0</v>
      </c>
      <c r="J1232" s="815">
        <v>0</v>
      </c>
      <c r="K1232" s="815">
        <v>0</v>
      </c>
      <c r="L1232" s="815">
        <v>0</v>
      </c>
      <c r="M1232" s="815">
        <v>0</v>
      </c>
      <c r="N1232" s="815">
        <v>0</v>
      </c>
      <c r="O1232" s="815">
        <v>0</v>
      </c>
      <c r="P1232" s="772">
        <v>0</v>
      </c>
      <c r="Q1232" s="774"/>
      <c r="R1232" s="774">
        <v>1935</v>
      </c>
      <c r="S1232" s="774"/>
      <c r="T1232" s="774"/>
      <c r="U1232" s="774"/>
      <c r="V1232" s="774"/>
    </row>
    <row r="1233" spans="1:22" hidden="1">
      <c r="A1233" s="786">
        <v>1233</v>
      </c>
      <c r="B1233" s="767"/>
      <c r="C1233" s="764"/>
      <c r="D1233" s="767"/>
      <c r="E1233" s="767"/>
      <c r="F1233" s="806"/>
      <c r="G1233" s="778"/>
      <c r="H1233" s="788"/>
      <c r="I1233" s="788"/>
      <c r="J1233" s="788"/>
      <c r="K1233" s="788"/>
      <c r="L1233" s="788"/>
      <c r="M1233" s="788"/>
      <c r="N1233" s="788"/>
      <c r="O1233" s="788"/>
      <c r="P1233" s="772"/>
      <c r="R1233" s="774"/>
    </row>
    <row r="1234" spans="1:22" hidden="1">
      <c r="A1234" s="786">
        <v>1234</v>
      </c>
      <c r="B1234" s="767"/>
      <c r="C1234" s="764" t="s">
        <v>1295</v>
      </c>
      <c r="D1234" s="767" t="s">
        <v>1296</v>
      </c>
      <c r="E1234" s="767"/>
      <c r="F1234" s="806" t="s">
        <v>1411</v>
      </c>
      <c r="G1234" s="778"/>
      <c r="H1234" s="815">
        <v>0</v>
      </c>
      <c r="I1234" s="815">
        <v>0</v>
      </c>
      <c r="J1234" s="815">
        <v>0</v>
      </c>
      <c r="K1234" s="815">
        <v>0</v>
      </c>
      <c r="L1234" s="815">
        <v>0</v>
      </c>
      <c r="M1234" s="815">
        <v>0</v>
      </c>
      <c r="N1234" s="815">
        <v>0</v>
      </c>
      <c r="O1234" s="815">
        <v>0</v>
      </c>
      <c r="P1234" s="772">
        <v>0</v>
      </c>
      <c r="Q1234" s="774"/>
      <c r="R1234" s="774">
        <v>1939</v>
      </c>
      <c r="S1234" s="774"/>
      <c r="T1234" s="774"/>
      <c r="U1234" s="774"/>
      <c r="V1234" s="774"/>
    </row>
    <row r="1235" spans="1:22" hidden="1">
      <c r="A1235" s="786">
        <v>1235</v>
      </c>
      <c r="B1235" s="767"/>
      <c r="C1235" s="764"/>
      <c r="D1235" s="767"/>
      <c r="E1235" s="767"/>
      <c r="F1235" s="806"/>
      <c r="G1235" s="778"/>
      <c r="H1235" s="788"/>
      <c r="I1235" s="788"/>
      <c r="J1235" s="788"/>
      <c r="K1235" s="788"/>
      <c r="L1235" s="788"/>
      <c r="M1235" s="788"/>
      <c r="N1235" s="788"/>
      <c r="O1235" s="788"/>
      <c r="P1235" s="772"/>
      <c r="R1235" s="774"/>
    </row>
    <row r="1236" spans="1:22" hidden="1">
      <c r="A1236" s="786">
        <v>1236</v>
      </c>
      <c r="B1236" s="767"/>
      <c r="C1236" s="835" t="s">
        <v>1297</v>
      </c>
      <c r="D1236" s="767" t="s">
        <v>1298</v>
      </c>
      <c r="E1236" s="767"/>
      <c r="F1236" s="806" t="s">
        <v>1411</v>
      </c>
      <c r="G1236" s="778"/>
      <c r="H1236" s="815">
        <v>0</v>
      </c>
      <c r="I1236" s="815">
        <v>0</v>
      </c>
      <c r="J1236" s="815">
        <v>0</v>
      </c>
      <c r="K1236" s="815">
        <v>0</v>
      </c>
      <c r="L1236" s="815">
        <v>0</v>
      </c>
      <c r="M1236" s="815">
        <v>0</v>
      </c>
      <c r="N1236" s="815">
        <v>0</v>
      </c>
      <c r="O1236" s="815">
        <v>0</v>
      </c>
      <c r="P1236" s="772">
        <v>0</v>
      </c>
      <c r="Q1236" s="774"/>
      <c r="R1236" s="774">
        <v>1944</v>
      </c>
      <c r="S1236" s="774"/>
      <c r="T1236" s="774"/>
      <c r="U1236" s="774"/>
      <c r="V1236" s="774"/>
    </row>
    <row r="1237" spans="1:22" hidden="1">
      <c r="A1237" s="786">
        <v>1237</v>
      </c>
      <c r="B1237" s="767"/>
      <c r="C1237" s="764"/>
      <c r="D1237" s="767"/>
      <c r="E1237" s="767"/>
      <c r="F1237" s="806"/>
      <c r="G1237" s="778"/>
      <c r="H1237" s="788"/>
      <c r="I1237" s="788"/>
      <c r="J1237" s="788"/>
      <c r="K1237" s="788"/>
      <c r="L1237" s="788"/>
      <c r="M1237" s="788"/>
      <c r="N1237" s="788"/>
      <c r="O1237" s="788"/>
      <c r="P1237" s="772"/>
      <c r="R1237" s="774"/>
    </row>
    <row r="1238" spans="1:22" hidden="1">
      <c r="A1238" s="786">
        <v>1238</v>
      </c>
      <c r="B1238" s="767"/>
      <c r="C1238" s="764">
        <v>254</v>
      </c>
      <c r="D1238" s="767" t="s">
        <v>1299</v>
      </c>
      <c r="E1238" s="767"/>
      <c r="F1238" s="806" t="s">
        <v>1392</v>
      </c>
      <c r="G1238" s="778"/>
      <c r="H1238" s="815">
        <v>-47166826.187262908</v>
      </c>
      <c r="I1238" s="815">
        <v>-19727512.108375221</v>
      </c>
      <c r="J1238" s="815">
        <v>-6303214.7684369963</v>
      </c>
      <c r="K1238" s="815">
        <v>-10696667.760965861</v>
      </c>
      <c r="L1238" s="815">
        <v>-4360548.2694964595</v>
      </c>
      <c r="M1238" s="815">
        <v>-4123891.0160448365</v>
      </c>
      <c r="N1238" s="815">
        <v>-1879088.4955235901</v>
      </c>
      <c r="O1238" s="815">
        <v>-75903.768419946282</v>
      </c>
      <c r="P1238" s="772">
        <v>0</v>
      </c>
      <c r="Q1238" s="774"/>
      <c r="R1238" s="774">
        <v>1950</v>
      </c>
      <c r="S1238" s="774"/>
      <c r="T1238" s="774"/>
      <c r="U1238" s="774"/>
      <c r="V1238" s="774"/>
    </row>
    <row r="1239" spans="1:22" hidden="1">
      <c r="A1239" s="786">
        <v>1239</v>
      </c>
      <c r="B1239" s="767"/>
      <c r="C1239" s="764"/>
      <c r="D1239" s="767"/>
      <c r="E1239" s="767"/>
      <c r="F1239" s="806"/>
      <c r="G1239" s="778"/>
      <c r="H1239" s="788"/>
      <c r="I1239" s="788"/>
      <c r="J1239" s="788"/>
      <c r="K1239" s="788"/>
      <c r="L1239" s="788"/>
      <c r="M1239" s="788"/>
      <c r="N1239" s="788"/>
      <c r="O1239" s="788"/>
      <c r="P1239" s="772"/>
      <c r="R1239" s="774"/>
    </row>
    <row r="1240" spans="1:22" hidden="1">
      <c r="A1240" s="786">
        <v>1240</v>
      </c>
      <c r="B1240" s="767"/>
      <c r="C1240" s="835" t="s">
        <v>1300</v>
      </c>
      <c r="D1240" s="820" t="s">
        <v>1301</v>
      </c>
      <c r="E1240" s="767"/>
      <c r="F1240" s="806" t="s">
        <v>1392</v>
      </c>
      <c r="G1240" s="778"/>
      <c r="H1240" s="815">
        <v>-123389.23719499439</v>
      </c>
      <c r="I1240" s="815">
        <v>-51607.514593906759</v>
      </c>
      <c r="J1240" s="815">
        <v>-16489.319401433251</v>
      </c>
      <c r="K1240" s="815">
        <v>-27982.668800180669</v>
      </c>
      <c r="L1240" s="815">
        <v>-11407.270071320092</v>
      </c>
      <c r="M1240" s="815">
        <v>-10788.170582536943</v>
      </c>
      <c r="N1240" s="815">
        <v>-4915.7281680139313</v>
      </c>
      <c r="O1240" s="815">
        <v>-198.56557760275643</v>
      </c>
      <c r="P1240" s="772">
        <v>0</v>
      </c>
      <c r="Q1240" s="774"/>
      <c r="R1240" s="774">
        <v>1954</v>
      </c>
      <c r="S1240" s="774"/>
      <c r="T1240" s="774"/>
      <c r="U1240" s="774"/>
      <c r="V1240" s="774"/>
    </row>
    <row r="1241" spans="1:22" hidden="1">
      <c r="A1241" s="786">
        <v>1241</v>
      </c>
      <c r="B1241" s="767"/>
      <c r="C1241" s="764"/>
      <c r="D1241" s="767"/>
      <c r="E1241" s="767"/>
      <c r="F1241" s="806"/>
      <c r="G1241" s="778"/>
      <c r="H1241" s="788"/>
      <c r="I1241" s="788"/>
      <c r="J1241" s="788"/>
      <c r="K1241" s="788"/>
      <c r="L1241" s="788"/>
      <c r="M1241" s="788"/>
      <c r="N1241" s="788"/>
      <c r="O1241" s="788"/>
      <c r="P1241" s="772"/>
      <c r="R1241" s="774"/>
    </row>
    <row r="1242" spans="1:22" hidden="1">
      <c r="A1242" s="786">
        <v>1242</v>
      </c>
      <c r="B1242" s="767"/>
      <c r="C1242" s="764"/>
      <c r="D1242" s="767"/>
      <c r="E1242" s="767"/>
      <c r="F1242" s="806"/>
      <c r="G1242" s="778"/>
      <c r="H1242" s="788"/>
      <c r="I1242" s="788"/>
      <c r="J1242" s="788"/>
      <c r="K1242" s="788"/>
      <c r="L1242" s="788"/>
      <c r="M1242" s="788"/>
      <c r="N1242" s="788"/>
      <c r="O1242" s="788"/>
      <c r="P1242" s="772"/>
      <c r="R1242" s="774"/>
    </row>
    <row r="1243" spans="1:22" hidden="1">
      <c r="A1243" s="786">
        <v>1243</v>
      </c>
      <c r="B1243" s="767"/>
      <c r="C1243" s="764" t="s">
        <v>1302</v>
      </c>
      <c r="D1243" s="767" t="s">
        <v>1303</v>
      </c>
      <c r="E1243" s="767"/>
      <c r="F1243" s="806" t="s">
        <v>1392</v>
      </c>
      <c r="G1243" s="778"/>
      <c r="H1243" s="815">
        <v>0</v>
      </c>
      <c r="I1243" s="815">
        <v>0</v>
      </c>
      <c r="J1243" s="815">
        <v>0</v>
      </c>
      <c r="K1243" s="815">
        <v>0</v>
      </c>
      <c r="L1243" s="815">
        <v>0</v>
      </c>
      <c r="M1243" s="815">
        <v>0</v>
      </c>
      <c r="N1243" s="815">
        <v>0</v>
      </c>
      <c r="O1243" s="815">
        <v>0</v>
      </c>
      <c r="P1243" s="772">
        <v>0</v>
      </c>
      <c r="Q1243" s="774"/>
      <c r="R1243" s="774">
        <v>1959</v>
      </c>
      <c r="S1243" s="774"/>
      <c r="T1243" s="774"/>
      <c r="U1243" s="774"/>
      <c r="V1243" s="774"/>
    </row>
    <row r="1244" spans="1:22" hidden="1">
      <c r="A1244" s="786">
        <v>1244</v>
      </c>
      <c r="B1244" s="767"/>
      <c r="C1244" s="764"/>
      <c r="D1244" s="767"/>
      <c r="E1244" s="767"/>
      <c r="F1244" s="806"/>
      <c r="G1244" s="778"/>
      <c r="H1244" s="810"/>
      <c r="I1244" s="810"/>
      <c r="J1244" s="810"/>
      <c r="K1244" s="810"/>
      <c r="L1244" s="810"/>
      <c r="M1244" s="810"/>
      <c r="N1244" s="810"/>
      <c r="O1244" s="810"/>
      <c r="P1244" s="772"/>
      <c r="R1244" s="774"/>
    </row>
    <row r="1245" spans="1:22" hidden="1">
      <c r="A1245" s="786">
        <v>1245</v>
      </c>
      <c r="B1245" s="767"/>
      <c r="C1245" s="764" t="s">
        <v>1304</v>
      </c>
      <c r="D1245" s="767" t="s">
        <v>1305</v>
      </c>
      <c r="E1245" s="767"/>
      <c r="F1245" s="806" t="s">
        <v>1436</v>
      </c>
      <c r="G1245" s="778"/>
      <c r="H1245" s="815">
        <v>-2479813.3255259153</v>
      </c>
      <c r="I1245" s="815">
        <v>-1008690.5233405686</v>
      </c>
      <c r="J1245" s="815">
        <v>-1401465.3432780139</v>
      </c>
      <c r="K1245" s="815">
        <v>-50326.843745292994</v>
      </c>
      <c r="L1245" s="815">
        <v>0</v>
      </c>
      <c r="M1245" s="815">
        <v>0</v>
      </c>
      <c r="N1245" s="815">
        <v>-19330.615162039812</v>
      </c>
      <c r="O1245" s="815">
        <v>0</v>
      </c>
      <c r="P1245" s="772">
        <v>0</v>
      </c>
      <c r="Q1245" s="774"/>
      <c r="R1245" s="774">
        <v>1967</v>
      </c>
      <c r="S1245" s="774"/>
      <c r="T1245" s="774"/>
      <c r="U1245" s="774"/>
      <c r="V1245" s="774"/>
    </row>
    <row r="1246" spans="1:22" hidden="1">
      <c r="A1246" s="786">
        <v>1246</v>
      </c>
      <c r="B1246" s="767"/>
      <c r="C1246" s="764"/>
      <c r="D1246" s="767"/>
      <c r="E1246" s="767"/>
      <c r="F1246" s="806"/>
      <c r="G1246" s="778"/>
      <c r="H1246" s="815"/>
      <c r="I1246" s="815"/>
      <c r="J1246" s="815"/>
      <c r="K1246" s="815"/>
      <c r="L1246" s="815"/>
      <c r="M1246" s="815"/>
      <c r="N1246" s="815"/>
      <c r="O1246" s="815"/>
      <c r="P1246" s="772"/>
      <c r="Q1246" s="774"/>
      <c r="R1246" s="774"/>
      <c r="S1246" s="774"/>
      <c r="T1246" s="774"/>
      <c r="U1246" s="774"/>
      <c r="V1246" s="774"/>
    </row>
    <row r="1247" spans="1:22" hidden="1">
      <c r="A1247" s="786">
        <v>1247</v>
      </c>
      <c r="B1247" s="767"/>
      <c r="C1247" s="836" t="s">
        <v>1306</v>
      </c>
      <c r="D1247" s="820" t="s">
        <v>1307</v>
      </c>
      <c r="E1247" s="767"/>
      <c r="F1247" s="806" t="s">
        <v>1392</v>
      </c>
      <c r="G1247" s="778"/>
      <c r="H1247" s="815">
        <v>0</v>
      </c>
      <c r="I1247" s="815">
        <v>0</v>
      </c>
      <c r="J1247" s="815">
        <v>0</v>
      </c>
      <c r="K1247" s="815">
        <v>0</v>
      </c>
      <c r="L1247" s="815">
        <v>0</v>
      </c>
      <c r="M1247" s="815">
        <v>0</v>
      </c>
      <c r="N1247" s="815">
        <v>0</v>
      </c>
      <c r="O1247" s="815">
        <v>0</v>
      </c>
      <c r="P1247" s="772">
        <v>0</v>
      </c>
      <c r="Q1247" s="774"/>
      <c r="R1247" s="774">
        <v>1970</v>
      </c>
      <c r="S1247" s="774"/>
      <c r="T1247" s="774"/>
      <c r="U1247" s="774"/>
      <c r="V1247" s="774"/>
    </row>
    <row r="1248" spans="1:22" hidden="1">
      <c r="A1248" s="786">
        <v>1248</v>
      </c>
      <c r="B1248" s="767"/>
      <c r="C1248" s="764"/>
      <c r="D1248" s="767"/>
      <c r="E1248" s="767"/>
      <c r="F1248" s="806"/>
      <c r="G1248" s="778"/>
      <c r="H1248" s="788"/>
      <c r="I1248" s="788"/>
      <c r="J1248" s="788"/>
      <c r="K1248" s="788"/>
      <c r="L1248" s="788"/>
      <c r="M1248" s="788"/>
      <c r="N1248" s="788"/>
      <c r="O1248" s="788"/>
      <c r="P1248" s="772"/>
      <c r="R1248" s="774"/>
    </row>
    <row r="1249" spans="1:22" hidden="1">
      <c r="A1249" s="786">
        <v>1249</v>
      </c>
      <c r="B1249" s="767"/>
      <c r="C1249" s="836" t="s">
        <v>1308</v>
      </c>
      <c r="D1249" s="767" t="s">
        <v>1309</v>
      </c>
      <c r="E1249" s="767"/>
      <c r="F1249" s="806" t="s">
        <v>1392</v>
      </c>
      <c r="G1249" s="778"/>
      <c r="H1249" s="815">
        <v>-4665450.8070485806</v>
      </c>
      <c r="I1249" s="815">
        <v>-1951323.5196633604</v>
      </c>
      <c r="J1249" s="815">
        <v>-623475.03119355906</v>
      </c>
      <c r="K1249" s="815">
        <v>-1058048.2358510944</v>
      </c>
      <c r="L1249" s="815">
        <v>-431318.47290989209</v>
      </c>
      <c r="M1249" s="815">
        <v>-407909.80068492203</v>
      </c>
      <c r="N1249" s="815">
        <v>-185867.81529777072</v>
      </c>
      <c r="O1249" s="815">
        <v>-7507.9314479823142</v>
      </c>
      <c r="P1249" s="772">
        <v>0</v>
      </c>
      <c r="Q1249" s="774"/>
      <c r="R1249" s="774">
        <v>1979</v>
      </c>
      <c r="S1249" s="774"/>
      <c r="T1249" s="774"/>
      <c r="U1249" s="774"/>
      <c r="V1249" s="774"/>
    </row>
    <row r="1250" spans="1:22" hidden="1">
      <c r="A1250" s="786">
        <v>1250</v>
      </c>
      <c r="B1250" s="767"/>
      <c r="C1250" s="764"/>
      <c r="D1250" s="767"/>
      <c r="E1250" s="767"/>
      <c r="F1250" s="806"/>
      <c r="G1250" s="778"/>
      <c r="H1250" s="788"/>
      <c r="I1250" s="788"/>
      <c r="J1250" s="788"/>
      <c r="K1250" s="788"/>
      <c r="L1250" s="788"/>
      <c r="M1250" s="788"/>
      <c r="N1250" s="788"/>
      <c r="O1250" s="788"/>
      <c r="P1250" s="772"/>
      <c r="R1250" s="774"/>
    </row>
    <row r="1251" spans="1:22" hidden="1">
      <c r="A1251" s="786">
        <v>1251</v>
      </c>
      <c r="B1251" s="767"/>
      <c r="C1251" s="764" t="s">
        <v>1310</v>
      </c>
      <c r="D1251" s="767" t="s">
        <v>625</v>
      </c>
      <c r="E1251" s="767"/>
      <c r="F1251" s="806" t="s">
        <v>1437</v>
      </c>
      <c r="G1251" s="778"/>
      <c r="H1251" s="815">
        <v>8860708.5999999996</v>
      </c>
      <c r="I1251" s="815">
        <v>3705908.9835661389</v>
      </c>
      <c r="J1251" s="815">
        <v>1184098.260345239</v>
      </c>
      <c r="K1251" s="815">
        <v>2009512.8065244432</v>
      </c>
      <c r="L1251" s="815">
        <v>819190.20866956294</v>
      </c>
      <c r="M1251" s="815">
        <v>774748.4072878916</v>
      </c>
      <c r="N1251" s="815">
        <v>352995.66729520197</v>
      </c>
      <c r="O1251" s="815">
        <v>14254.266311519352</v>
      </c>
      <c r="P1251" s="772">
        <v>0</v>
      </c>
      <c r="Q1251" s="774"/>
      <c r="R1251" s="774">
        <v>1982</v>
      </c>
      <c r="S1251" s="774"/>
      <c r="T1251" s="774"/>
      <c r="U1251" s="774"/>
      <c r="V1251" s="774"/>
    </row>
    <row r="1252" spans="1:22" hidden="1">
      <c r="A1252" s="786">
        <v>1252</v>
      </c>
      <c r="B1252" s="767"/>
      <c r="C1252" s="764"/>
      <c r="D1252" s="767"/>
      <c r="E1252" s="767" t="s">
        <v>1017</v>
      </c>
      <c r="F1252" s="806" t="s">
        <v>1437</v>
      </c>
      <c r="G1252" s="778"/>
      <c r="H1252" s="815">
        <v>596327.57926729182</v>
      </c>
      <c r="I1252" s="815">
        <v>249408.46527273289</v>
      </c>
      <c r="J1252" s="815">
        <v>79690.065555963316</v>
      </c>
      <c r="K1252" s="815">
        <v>135240.64062115111</v>
      </c>
      <c r="L1252" s="815">
        <v>55131.675822787824</v>
      </c>
      <c r="M1252" s="815">
        <v>52140.733107866603</v>
      </c>
      <c r="N1252" s="815">
        <v>23756.683722788282</v>
      </c>
      <c r="O1252" s="815">
        <v>959.315164001629</v>
      </c>
      <c r="P1252" s="772">
        <v>0</v>
      </c>
      <c r="R1252" s="774">
        <v>1983</v>
      </c>
    </row>
    <row r="1253" spans="1:22" hidden="1">
      <c r="A1253" s="786">
        <v>1253</v>
      </c>
      <c r="B1253" s="767"/>
      <c r="C1253" s="764"/>
      <c r="D1253" s="767"/>
      <c r="E1253" s="767" t="s">
        <v>1311</v>
      </c>
      <c r="F1253" s="806" t="s">
        <v>1412</v>
      </c>
      <c r="G1253" s="778"/>
      <c r="H1253" s="815">
        <v>932328.12359469128</v>
      </c>
      <c r="I1253" s="815">
        <v>475074.11707359279</v>
      </c>
      <c r="J1253" s="815">
        <v>128186.61512258381</v>
      </c>
      <c r="K1253" s="815">
        <v>167119.29796965528</v>
      </c>
      <c r="L1253" s="815">
        <v>67626.176328977381</v>
      </c>
      <c r="M1253" s="815">
        <v>52076.340766047913</v>
      </c>
      <c r="N1253" s="815">
        <v>35535.347540217917</v>
      </c>
      <c r="O1253" s="815">
        <v>6710.2287936160246</v>
      </c>
      <c r="P1253" s="772">
        <v>0</v>
      </c>
      <c r="R1253" s="774">
        <v>1984</v>
      </c>
    </row>
    <row r="1254" spans="1:22" hidden="1">
      <c r="A1254" s="786">
        <v>1254</v>
      </c>
      <c r="B1254" s="767"/>
      <c r="C1254" s="764"/>
      <c r="D1254" s="767"/>
      <c r="E1254" s="767" t="s">
        <v>1003</v>
      </c>
      <c r="F1254" s="806" t="s">
        <v>1437</v>
      </c>
      <c r="G1254" s="778"/>
      <c r="H1254" s="815">
        <v>0</v>
      </c>
      <c r="I1254" s="815">
        <v>0</v>
      </c>
      <c r="J1254" s="815">
        <v>0</v>
      </c>
      <c r="K1254" s="815">
        <v>0</v>
      </c>
      <c r="L1254" s="815">
        <v>0</v>
      </c>
      <c r="M1254" s="815">
        <v>0</v>
      </c>
      <c r="N1254" s="815">
        <v>0</v>
      </c>
      <c r="O1254" s="815">
        <v>0</v>
      </c>
      <c r="P1254" s="772">
        <v>0</v>
      </c>
      <c r="R1254" s="774">
        <v>1985</v>
      </c>
    </row>
    <row r="1255" spans="1:22" hidden="1">
      <c r="A1255" s="786">
        <v>1255</v>
      </c>
      <c r="B1255" s="767"/>
      <c r="C1255" s="764"/>
      <c r="D1255" s="767"/>
      <c r="E1255" s="767" t="s">
        <v>1312</v>
      </c>
      <c r="F1255" s="806" t="s">
        <v>1410</v>
      </c>
      <c r="G1255" s="778"/>
      <c r="H1255" s="815">
        <v>318772.08093302697</v>
      </c>
      <c r="I1255" s="815">
        <v>259920.70618303178</v>
      </c>
      <c r="J1255" s="815">
        <v>45114.985065343782</v>
      </c>
      <c r="K1255" s="815">
        <v>2625.7943048363472</v>
      </c>
      <c r="L1255" s="815">
        <v>671.79910736121258</v>
      </c>
      <c r="M1255" s="815">
        <v>10.419161340815418</v>
      </c>
      <c r="N1255" s="815">
        <v>4415.4311196017688</v>
      </c>
      <c r="O1255" s="815">
        <v>6012.9459915112147</v>
      </c>
      <c r="P1255" s="772">
        <v>0</v>
      </c>
      <c r="R1255" s="774">
        <v>1986</v>
      </c>
    </row>
    <row r="1256" spans="1:22" hidden="1">
      <c r="A1256" s="786">
        <v>1256</v>
      </c>
      <c r="E1256" s="767" t="s">
        <v>718</v>
      </c>
      <c r="F1256" s="806" t="s">
        <v>1437</v>
      </c>
      <c r="H1256" s="815">
        <v>746898.84270969837</v>
      </c>
      <c r="I1256" s="815">
        <v>312383.49617016228</v>
      </c>
      <c r="J1256" s="815">
        <v>99811.613295400122</v>
      </c>
      <c r="K1256" s="815">
        <v>169388.57346052714</v>
      </c>
      <c r="L1256" s="815">
        <v>69052.289882821889</v>
      </c>
      <c r="M1256" s="815">
        <v>65306.141406626142</v>
      </c>
      <c r="N1256" s="815">
        <v>29755.188584389751</v>
      </c>
      <c r="O1256" s="815">
        <v>1201.5399097708332</v>
      </c>
      <c r="P1256" s="772">
        <v>0</v>
      </c>
      <c r="R1256" s="774">
        <v>1987</v>
      </c>
    </row>
    <row r="1257" spans="1:22" hidden="1">
      <c r="A1257" s="786">
        <v>1257</v>
      </c>
      <c r="E1257" s="767" t="s">
        <v>723</v>
      </c>
      <c r="F1257" s="806" t="s">
        <v>1437</v>
      </c>
      <c r="H1257" s="815">
        <v>-2793885.9394330932</v>
      </c>
      <c r="I1257" s="815">
        <v>-1168516.8161386352</v>
      </c>
      <c r="J1257" s="815">
        <v>-373360.14870026871</v>
      </c>
      <c r="K1257" s="815">
        <v>-633623.09141498862</v>
      </c>
      <c r="L1257" s="815">
        <v>-258300.33567779823</v>
      </c>
      <c r="M1257" s="815">
        <v>-244287.31148204376</v>
      </c>
      <c r="N1257" s="815">
        <v>-111303.69771294217</v>
      </c>
      <c r="O1257" s="815">
        <v>-4494.5383064158932</v>
      </c>
      <c r="P1257" s="772">
        <v>0</v>
      </c>
      <c r="R1257" s="774">
        <v>1988</v>
      </c>
    </row>
    <row r="1258" spans="1:22" hidden="1">
      <c r="A1258" s="786">
        <v>1258</v>
      </c>
      <c r="E1258" s="767" t="s">
        <v>1313</v>
      </c>
      <c r="F1258" s="806" t="s">
        <v>1437</v>
      </c>
      <c r="H1258" s="815">
        <v>0</v>
      </c>
      <c r="I1258" s="815">
        <v>0</v>
      </c>
      <c r="J1258" s="815">
        <v>0</v>
      </c>
      <c r="K1258" s="815">
        <v>0</v>
      </c>
      <c r="L1258" s="815">
        <v>0</v>
      </c>
      <c r="M1258" s="815">
        <v>0</v>
      </c>
      <c r="N1258" s="815">
        <v>0</v>
      </c>
      <c r="O1258" s="815">
        <v>0</v>
      </c>
      <c r="P1258" s="772">
        <v>0</v>
      </c>
      <c r="R1258" s="774">
        <v>1989</v>
      </c>
    </row>
    <row r="1259" spans="1:22" hidden="1">
      <c r="A1259" s="786">
        <v>1259</v>
      </c>
      <c r="E1259" s="767" t="s">
        <v>1314</v>
      </c>
      <c r="F1259" s="806" t="s">
        <v>1437</v>
      </c>
      <c r="H1259" s="815">
        <v>51768.54307860745</v>
      </c>
      <c r="I1259" s="815">
        <v>21651.711789860918</v>
      </c>
      <c r="J1259" s="815">
        <v>6918.0744528701298</v>
      </c>
      <c r="K1259" s="815">
        <v>11740.545252957985</v>
      </c>
      <c r="L1259" s="815">
        <v>4786.1052113917494</v>
      </c>
      <c r="M1259" s="815">
        <v>4526.4547236962217</v>
      </c>
      <c r="N1259" s="815">
        <v>2062.3713332513212</v>
      </c>
      <c r="O1259" s="815">
        <v>83.280314579110808</v>
      </c>
      <c r="P1259" s="772">
        <v>0</v>
      </c>
      <c r="R1259" s="774">
        <v>1990</v>
      </c>
    </row>
    <row r="1260" spans="1:22" hidden="1">
      <c r="A1260" s="786">
        <v>1260</v>
      </c>
      <c r="E1260" s="767" t="s">
        <v>1315</v>
      </c>
      <c r="F1260" s="806" t="s">
        <v>1437</v>
      </c>
      <c r="H1260" s="828">
        <v>87655.737153907394</v>
      </c>
      <c r="I1260" s="828">
        <v>48870.345710936825</v>
      </c>
      <c r="J1260" s="828">
        <v>14724.196334420511</v>
      </c>
      <c r="K1260" s="828">
        <v>12216.966424771577</v>
      </c>
      <c r="L1260" s="828">
        <v>4563.9044478984488</v>
      </c>
      <c r="M1260" s="828">
        <v>1240.2448324435682</v>
      </c>
      <c r="N1260" s="828">
        <v>4999.4533125732169</v>
      </c>
      <c r="O1260" s="828">
        <v>1040.626090863223</v>
      </c>
      <c r="P1260" s="772">
        <v>0</v>
      </c>
      <c r="R1260" s="774">
        <v>1991</v>
      </c>
    </row>
    <row r="1261" spans="1:22" hidden="1">
      <c r="A1261" s="786">
        <v>1261</v>
      </c>
      <c r="B1261" s="767"/>
      <c r="C1261" s="764"/>
      <c r="D1261" s="767"/>
      <c r="E1261" s="767" t="s">
        <v>1316</v>
      </c>
      <c r="F1261" s="806"/>
      <c r="G1261" s="778"/>
      <c r="H1261" s="788">
        <v>8800573.5673041269</v>
      </c>
      <c r="I1261" s="788">
        <v>3904701.0096278214</v>
      </c>
      <c r="J1261" s="788">
        <v>1185183.6614715517</v>
      </c>
      <c r="K1261" s="788">
        <v>1874221.5331433541</v>
      </c>
      <c r="L1261" s="788">
        <v>762721.8237930031</v>
      </c>
      <c r="M1261" s="788">
        <v>705761.42980386899</v>
      </c>
      <c r="N1261" s="788">
        <v>342216.44519508205</v>
      </c>
      <c r="O1261" s="788">
        <v>25767.664269445497</v>
      </c>
      <c r="P1261" s="772">
        <v>0</v>
      </c>
      <c r="R1261" s="774"/>
    </row>
    <row r="1262" spans="1:22" hidden="1">
      <c r="A1262" s="786">
        <v>1262</v>
      </c>
      <c r="B1262" s="767"/>
      <c r="C1262" s="764"/>
      <c r="D1262" s="767"/>
      <c r="E1262" s="767"/>
      <c r="F1262" s="806"/>
      <c r="G1262" s="778"/>
      <c r="H1262" s="788"/>
      <c r="I1262" s="788"/>
      <c r="J1262" s="788"/>
      <c r="K1262" s="788"/>
      <c r="L1262" s="788"/>
      <c r="M1262" s="788"/>
      <c r="N1262" s="788"/>
      <c r="O1262" s="788"/>
      <c r="P1262" s="772"/>
      <c r="R1262" s="774"/>
    </row>
    <row r="1263" spans="1:22" hidden="1">
      <c r="A1263" s="786">
        <v>1263</v>
      </c>
      <c r="B1263" s="767"/>
      <c r="C1263" s="764" t="s">
        <v>1317</v>
      </c>
      <c r="D1263" s="767" t="s">
        <v>625</v>
      </c>
      <c r="E1263" s="767"/>
      <c r="F1263" s="806" t="s">
        <v>1437</v>
      </c>
      <c r="G1263" s="778"/>
      <c r="H1263" s="815">
        <v>-1.0414779292396379E-2</v>
      </c>
      <c r="I1263" s="815">
        <v>-4.4414134506882809E-3</v>
      </c>
      <c r="J1263" s="815">
        <v>-1.3889783733756346E-3</v>
      </c>
      <c r="K1263" s="815">
        <v>-2.3183656451265869E-3</v>
      </c>
      <c r="L1263" s="815">
        <v>-9.4332103768132139E-4</v>
      </c>
      <c r="M1263" s="815">
        <v>-9.0151140945504498E-4</v>
      </c>
      <c r="N1263" s="815">
        <v>-4.0580931313842944E-4</v>
      </c>
      <c r="O1263" s="815">
        <v>-1.5380062931079617E-5</v>
      </c>
      <c r="P1263" s="772">
        <v>0</v>
      </c>
      <c r="Q1263" s="774"/>
      <c r="R1263" s="774">
        <v>1998</v>
      </c>
      <c r="U1263" s="774"/>
      <c r="V1263" s="774"/>
    </row>
    <row r="1264" spans="1:22" hidden="1">
      <c r="A1264" s="786">
        <v>1264</v>
      </c>
      <c r="B1264" s="767"/>
      <c r="C1264" s="764"/>
      <c r="D1264" s="767"/>
      <c r="E1264" s="767"/>
      <c r="F1264" s="806"/>
      <c r="G1264" s="778"/>
      <c r="H1264" s="788"/>
      <c r="I1264" s="788"/>
      <c r="J1264" s="788"/>
      <c r="K1264" s="788"/>
      <c r="L1264" s="788"/>
      <c r="M1264" s="788"/>
      <c r="N1264" s="788"/>
      <c r="O1264" s="788"/>
      <c r="P1264" s="772"/>
      <c r="R1264" s="774"/>
    </row>
    <row r="1265" spans="1:22" hidden="1">
      <c r="A1265" s="786">
        <v>1265</v>
      </c>
      <c r="B1265" s="767"/>
      <c r="C1265" s="764" t="s">
        <v>1318</v>
      </c>
      <c r="D1265" s="767" t="s">
        <v>1319</v>
      </c>
      <c r="E1265" s="767"/>
      <c r="F1265" s="806" t="s">
        <v>1437</v>
      </c>
      <c r="G1265" s="778"/>
      <c r="H1265" s="815">
        <v>-247624661.31003326</v>
      </c>
      <c r="I1265" s="815">
        <v>-115358827.14812645</v>
      </c>
      <c r="J1265" s="815">
        <v>-35366529.380083486</v>
      </c>
      <c r="K1265" s="815">
        <v>-49012449.290709794</v>
      </c>
      <c r="L1265" s="815">
        <v>-19621784.879368857</v>
      </c>
      <c r="M1265" s="815">
        <v>-16373413.716567175</v>
      </c>
      <c r="N1265" s="815">
        <v>-10798964.219167225</v>
      </c>
      <c r="O1265" s="815">
        <v>-1092692.6760102352</v>
      </c>
      <c r="P1265" s="772">
        <v>0</v>
      </c>
      <c r="Q1265" s="774"/>
      <c r="R1265" s="774">
        <v>2001</v>
      </c>
      <c r="U1265" s="774"/>
      <c r="V1265" s="774"/>
    </row>
    <row r="1266" spans="1:22" hidden="1">
      <c r="A1266" s="786">
        <v>1266</v>
      </c>
      <c r="B1266" s="767"/>
      <c r="C1266" s="764"/>
      <c r="D1266" s="767"/>
      <c r="E1266" s="837" t="s">
        <v>1314</v>
      </c>
      <c r="F1266" s="806" t="s">
        <v>1437</v>
      </c>
      <c r="G1266" s="778"/>
      <c r="H1266" s="815">
        <v>0</v>
      </c>
      <c r="I1266" s="815">
        <v>0</v>
      </c>
      <c r="J1266" s="815">
        <v>0</v>
      </c>
      <c r="K1266" s="815">
        <v>0</v>
      </c>
      <c r="L1266" s="815">
        <v>0</v>
      </c>
      <c r="M1266" s="815">
        <v>0</v>
      </c>
      <c r="N1266" s="815">
        <v>0</v>
      </c>
      <c r="O1266" s="815">
        <v>0</v>
      </c>
      <c r="P1266" s="772">
        <v>0</v>
      </c>
      <c r="Q1266" s="774"/>
      <c r="R1266" s="774">
        <v>2002</v>
      </c>
      <c r="U1266" s="774"/>
      <c r="V1266" s="774"/>
    </row>
    <row r="1267" spans="1:22" hidden="1">
      <c r="A1267" s="786">
        <v>1267</v>
      </c>
      <c r="B1267" s="767"/>
      <c r="C1267" s="764"/>
      <c r="D1267" s="767"/>
      <c r="E1267" s="837" t="s">
        <v>719</v>
      </c>
      <c r="F1267" s="806" t="s">
        <v>1437</v>
      </c>
      <c r="G1267" s="778"/>
      <c r="H1267" s="815">
        <v>2106041.2169198859</v>
      </c>
      <c r="I1267" s="815">
        <v>880832.15664534655</v>
      </c>
      <c r="J1267" s="815">
        <v>281440.21587282617</v>
      </c>
      <c r="K1267" s="815">
        <v>477627.353242249</v>
      </c>
      <c r="L1267" s="815">
        <v>194707.71716330922</v>
      </c>
      <c r="M1267" s="815">
        <v>184144.64938970399</v>
      </c>
      <c r="N1267" s="815">
        <v>83901.125550820434</v>
      </c>
      <c r="O1267" s="815">
        <v>3387.9990556299699</v>
      </c>
      <c r="P1267" s="772">
        <v>0</v>
      </c>
      <c r="Q1267" s="774"/>
      <c r="R1267" s="774">
        <v>2003</v>
      </c>
      <c r="U1267" s="774"/>
      <c r="V1267" s="774"/>
    </row>
    <row r="1268" spans="1:22" hidden="1">
      <c r="A1268" s="786">
        <v>1268</v>
      </c>
      <c r="B1268" s="767"/>
      <c r="C1268" s="764"/>
      <c r="D1268" s="767"/>
      <c r="E1268" s="837" t="s">
        <v>1003</v>
      </c>
      <c r="F1268" s="806" t="s">
        <v>1437</v>
      </c>
      <c r="G1268" s="778"/>
      <c r="H1268" s="815">
        <v>0.41164354926701313</v>
      </c>
      <c r="I1268" s="815">
        <v>0.18963468377268</v>
      </c>
      <c r="J1268" s="815">
        <v>5.8456323505377869E-2</v>
      </c>
      <c r="K1268" s="815">
        <v>8.2754249322790394E-2</v>
      </c>
      <c r="L1268" s="815">
        <v>3.3183030480055102E-2</v>
      </c>
      <c r="M1268" s="815">
        <v>2.8090090434305385E-2</v>
      </c>
      <c r="N1268" s="815">
        <v>1.7847332634635473E-2</v>
      </c>
      <c r="O1268" s="815">
        <v>1.677839117168895E-3</v>
      </c>
      <c r="P1268" s="772">
        <v>0</v>
      </c>
      <c r="Q1268" s="774"/>
      <c r="R1268" s="774">
        <v>2004</v>
      </c>
      <c r="U1268" s="774"/>
      <c r="V1268" s="774"/>
    </row>
    <row r="1269" spans="1:22" hidden="1">
      <c r="A1269" s="786">
        <v>1269</v>
      </c>
      <c r="B1269" s="767"/>
      <c r="C1269" s="764"/>
      <c r="D1269" s="767"/>
      <c r="E1269" s="837" t="s">
        <v>718</v>
      </c>
      <c r="F1269" s="806" t="s">
        <v>1437</v>
      </c>
      <c r="G1269" s="778"/>
      <c r="H1269" s="815">
        <v>9086341.4768929966</v>
      </c>
      <c r="I1269" s="815">
        <v>3800277.8363535595</v>
      </c>
      <c r="J1269" s="815">
        <v>1214250.6453368512</v>
      </c>
      <c r="K1269" s="815">
        <v>2060683.9008643958</v>
      </c>
      <c r="L1269" s="815">
        <v>840050.41882303613</v>
      </c>
      <c r="M1269" s="815">
        <v>794476.9323862833</v>
      </c>
      <c r="N1269" s="815">
        <v>361984.50007800898</v>
      </c>
      <c r="O1269" s="815">
        <v>14617.24305085903</v>
      </c>
      <c r="P1269" s="772">
        <v>0</v>
      </c>
      <c r="Q1269" s="774"/>
      <c r="R1269" s="774">
        <v>2005</v>
      </c>
      <c r="U1269" s="774"/>
      <c r="V1269" s="774"/>
    </row>
    <row r="1270" spans="1:22" hidden="1">
      <c r="A1270" s="786">
        <v>1270</v>
      </c>
      <c r="B1270" s="767"/>
      <c r="C1270" s="764"/>
      <c r="D1270" s="767"/>
      <c r="E1270" s="837" t="s">
        <v>1320</v>
      </c>
      <c r="F1270" s="806" t="s">
        <v>1437</v>
      </c>
      <c r="G1270" s="778"/>
      <c r="H1270" s="815">
        <v>0</v>
      </c>
      <c r="I1270" s="815">
        <v>0</v>
      </c>
      <c r="J1270" s="815">
        <v>0</v>
      </c>
      <c r="K1270" s="815">
        <v>0</v>
      </c>
      <c r="L1270" s="815">
        <v>0</v>
      </c>
      <c r="M1270" s="815">
        <v>0</v>
      </c>
      <c r="N1270" s="815">
        <v>0</v>
      </c>
      <c r="O1270" s="815">
        <v>0</v>
      </c>
      <c r="P1270" s="772">
        <v>0</v>
      </c>
      <c r="Q1270" s="774"/>
      <c r="R1270" s="774">
        <v>2006</v>
      </c>
      <c r="U1270" s="774"/>
      <c r="V1270" s="774"/>
    </row>
    <row r="1271" spans="1:22" hidden="1">
      <c r="A1271" s="786">
        <v>1271</v>
      </c>
      <c r="B1271" s="767"/>
      <c r="C1271" s="764"/>
      <c r="D1271" s="767"/>
      <c r="E1271" s="837" t="s">
        <v>1315</v>
      </c>
      <c r="F1271" s="806" t="s">
        <v>1410</v>
      </c>
      <c r="G1271" s="778"/>
      <c r="H1271" s="815">
        <v>0</v>
      </c>
      <c r="I1271" s="815">
        <v>0</v>
      </c>
      <c r="J1271" s="815">
        <v>0</v>
      </c>
      <c r="K1271" s="815">
        <v>0</v>
      </c>
      <c r="L1271" s="815">
        <v>0</v>
      </c>
      <c r="M1271" s="815">
        <v>0</v>
      </c>
      <c r="N1271" s="815">
        <v>0</v>
      </c>
      <c r="O1271" s="815">
        <v>0</v>
      </c>
      <c r="P1271" s="772">
        <v>0</v>
      </c>
      <c r="Q1271" s="774"/>
      <c r="R1271" s="774">
        <v>2007</v>
      </c>
      <c r="U1271" s="774"/>
      <c r="V1271" s="774"/>
    </row>
    <row r="1272" spans="1:22" hidden="1">
      <c r="A1272" s="786">
        <v>1272</v>
      </c>
      <c r="B1272" s="767"/>
      <c r="C1272" s="764"/>
      <c r="D1272" s="767"/>
      <c r="E1272" s="764" t="s">
        <v>1005</v>
      </c>
      <c r="F1272" s="806" t="s">
        <v>1412</v>
      </c>
      <c r="G1272" s="778"/>
      <c r="H1272" s="815">
        <v>-236184.00743269268</v>
      </c>
      <c r="I1272" s="815">
        <v>-120349.16244440989</v>
      </c>
      <c r="J1272" s="815">
        <v>-32473.1472672444</v>
      </c>
      <c r="K1272" s="815">
        <v>-42335.852062069222</v>
      </c>
      <c r="L1272" s="815">
        <v>-17131.545137934019</v>
      </c>
      <c r="M1272" s="815">
        <v>-13192.349928406398</v>
      </c>
      <c r="N1272" s="815">
        <v>-9002.0675931157093</v>
      </c>
      <c r="O1272" s="815">
        <v>-1699.8829995130052</v>
      </c>
      <c r="P1272" s="772">
        <v>0</v>
      </c>
      <c r="R1272" s="774">
        <v>2008</v>
      </c>
    </row>
    <row r="1273" spans="1:22" hidden="1">
      <c r="A1273" s="786">
        <v>1273</v>
      </c>
      <c r="B1273" s="767"/>
      <c r="C1273" s="764"/>
      <c r="D1273" s="767"/>
      <c r="E1273" s="837" t="s">
        <v>723</v>
      </c>
      <c r="F1273" s="806" t="s">
        <v>1437</v>
      </c>
      <c r="G1273" s="778"/>
      <c r="H1273" s="815">
        <v>-1813370.8336466833</v>
      </c>
      <c r="I1273" s="815">
        <v>-844779.88358434069</v>
      </c>
      <c r="J1273" s="815">
        <v>-258991.29967857283</v>
      </c>
      <c r="K1273" s="815">
        <v>-358921.22197830165</v>
      </c>
      <c r="L1273" s="815">
        <v>-143691.55404835803</v>
      </c>
      <c r="M1273" s="815">
        <v>-119903.52949409741</v>
      </c>
      <c r="N1273" s="815">
        <v>-79081.488269514826</v>
      </c>
      <c r="O1273" s="815">
        <v>-8001.8565934976223</v>
      </c>
      <c r="P1273" s="772">
        <v>0</v>
      </c>
      <c r="R1273" s="774">
        <v>2009</v>
      </c>
    </row>
    <row r="1274" spans="1:22" hidden="1">
      <c r="A1274" s="786">
        <v>1274</v>
      </c>
      <c r="B1274" s="767"/>
      <c r="C1274" s="764"/>
      <c r="D1274" s="767"/>
      <c r="E1274" s="837" t="s">
        <v>738</v>
      </c>
      <c r="F1274" s="806" t="s">
        <v>1437</v>
      </c>
      <c r="G1274" s="778"/>
      <c r="H1274" s="815">
        <v>6215.2208663573483</v>
      </c>
      <c r="I1274" s="815">
        <v>2599.4583371674607</v>
      </c>
      <c r="J1274" s="815">
        <v>830.56926344639817</v>
      </c>
      <c r="K1274" s="815">
        <v>1409.5448219934731</v>
      </c>
      <c r="L1274" s="815">
        <v>574.60958353135527</v>
      </c>
      <c r="M1274" s="815">
        <v>543.43649977980613</v>
      </c>
      <c r="N1274" s="815">
        <v>247.60390349671081</v>
      </c>
      <c r="O1274" s="815">
        <v>9.9984569421422655</v>
      </c>
      <c r="P1274" s="772">
        <v>0</v>
      </c>
      <c r="R1274" s="774">
        <v>2010</v>
      </c>
    </row>
    <row r="1275" spans="1:22" hidden="1">
      <c r="A1275" s="786">
        <v>1275</v>
      </c>
      <c r="B1275" s="767"/>
      <c r="C1275" s="764"/>
      <c r="D1275" s="767"/>
      <c r="E1275" s="837" t="s">
        <v>788</v>
      </c>
      <c r="F1275" s="806" t="s">
        <v>1437</v>
      </c>
      <c r="G1275" s="778"/>
      <c r="H1275" s="815">
        <v>-5873054.4238714175</v>
      </c>
      <c r="I1275" s="815">
        <v>-2456350.4041198175</v>
      </c>
      <c r="J1275" s="815">
        <v>-784843.94873555098</v>
      </c>
      <c r="K1275" s="815">
        <v>-1331945.1762790901</v>
      </c>
      <c r="L1275" s="815">
        <v>-542975.61247177527</v>
      </c>
      <c r="M1275" s="815">
        <v>-513518.69993890636</v>
      </c>
      <c r="N1275" s="815">
        <v>-233972.57025420395</v>
      </c>
      <c r="O1275" s="815">
        <v>-9448.0120720717587</v>
      </c>
      <c r="P1275" s="772">
        <v>0</v>
      </c>
      <c r="R1275" s="774">
        <v>2011</v>
      </c>
    </row>
    <row r="1276" spans="1:22" hidden="1">
      <c r="A1276" s="786">
        <v>1276</v>
      </c>
      <c r="B1276" s="767"/>
      <c r="C1276" s="764"/>
      <c r="D1276" s="767"/>
      <c r="E1276" s="767" t="s">
        <v>1321</v>
      </c>
      <c r="F1276" s="806"/>
      <c r="G1276" s="778"/>
      <c r="H1276" s="815">
        <v>-244348672.24866119</v>
      </c>
      <c r="I1276" s="815">
        <v>-114096596.95730427</v>
      </c>
      <c r="J1276" s="815">
        <v>-34946316.28683541</v>
      </c>
      <c r="K1276" s="815">
        <v>-48205930.659346372</v>
      </c>
      <c r="L1276" s="815">
        <v>-19290250.81227402</v>
      </c>
      <c r="M1276" s="815">
        <v>-16040863.249562725</v>
      </c>
      <c r="N1276" s="815">
        <v>-10674887.097904403</v>
      </c>
      <c r="O1276" s="815">
        <v>-1093827.1854340471</v>
      </c>
      <c r="P1276" s="772">
        <v>0</v>
      </c>
      <c r="R1276" s="774"/>
    </row>
    <row r="1277" spans="1:22" hidden="1">
      <c r="A1277" s="786">
        <v>1277</v>
      </c>
      <c r="B1277" s="767"/>
      <c r="C1277" s="764"/>
      <c r="D1277" s="767"/>
      <c r="E1277" s="767"/>
      <c r="F1277" s="806"/>
      <c r="G1277" s="778"/>
      <c r="H1277" s="788"/>
      <c r="I1277" s="788"/>
      <c r="J1277" s="788"/>
      <c r="K1277" s="788"/>
      <c r="L1277" s="788"/>
      <c r="M1277" s="788"/>
      <c r="N1277" s="788"/>
      <c r="O1277" s="788"/>
      <c r="P1277" s="772"/>
      <c r="R1277" s="774"/>
    </row>
    <row r="1278" spans="1:22" hidden="1">
      <c r="A1278" s="786">
        <v>1278</v>
      </c>
      <c r="B1278" s="767"/>
      <c r="C1278" s="764"/>
      <c r="D1278" s="767"/>
      <c r="E1278" s="767"/>
      <c r="F1278" s="806"/>
      <c r="G1278" s="778"/>
      <c r="H1278" s="788"/>
      <c r="I1278" s="788"/>
      <c r="J1278" s="788"/>
      <c r="K1278" s="788"/>
      <c r="L1278" s="788"/>
      <c r="M1278" s="788"/>
      <c r="N1278" s="788"/>
      <c r="O1278" s="788"/>
      <c r="P1278" s="772"/>
      <c r="R1278" s="774"/>
    </row>
    <row r="1279" spans="1:22" hidden="1">
      <c r="A1279" s="786">
        <v>1279</v>
      </c>
      <c r="B1279" s="767"/>
      <c r="C1279" s="764" t="s">
        <v>1322</v>
      </c>
      <c r="D1279" s="767" t="s">
        <v>1319</v>
      </c>
      <c r="E1279" s="767"/>
      <c r="F1279" s="806" t="s">
        <v>1437</v>
      </c>
      <c r="G1279" s="778"/>
      <c r="H1279" s="815">
        <v>76999.222083333007</v>
      </c>
      <c r="I1279" s="815">
        <v>35870.982735965124</v>
      </c>
      <c r="J1279" s="815">
        <v>10997.269963528595</v>
      </c>
      <c r="K1279" s="815">
        <v>15240.487146223302</v>
      </c>
      <c r="L1279" s="815">
        <v>6101.4204465938274</v>
      </c>
      <c r="M1279" s="815">
        <v>5091.3350566717727</v>
      </c>
      <c r="N1279" s="815">
        <v>3357.9524744530477</v>
      </c>
      <c r="O1279" s="815">
        <v>339.7742598973299</v>
      </c>
      <c r="P1279" s="772">
        <v>0</v>
      </c>
      <c r="Q1279" s="774"/>
      <c r="R1279" s="774">
        <v>2015</v>
      </c>
      <c r="U1279" s="774"/>
      <c r="V1279" s="774"/>
    </row>
    <row r="1280" spans="1:22" hidden="1">
      <c r="A1280" s="786">
        <v>1280</v>
      </c>
      <c r="B1280" s="767"/>
      <c r="C1280" s="764"/>
      <c r="D1280" s="767"/>
      <c r="E1280" s="767" t="s">
        <v>1017</v>
      </c>
      <c r="F1280" s="806" t="s">
        <v>1437</v>
      </c>
      <c r="G1280" s="778"/>
      <c r="H1280" s="815">
        <v>-160157.77932930388</v>
      </c>
      <c r="I1280" s="815">
        <v>-66984.502030060059</v>
      </c>
      <c r="J1280" s="815">
        <v>-21402.639049046869</v>
      </c>
      <c r="K1280" s="815">
        <v>-36322.0508827874</v>
      </c>
      <c r="L1280" s="815">
        <v>-14806.906602122799</v>
      </c>
      <c r="M1280" s="815">
        <v>-14003.618677872309</v>
      </c>
      <c r="N1280" s="815">
        <v>-6380.4154655154034</v>
      </c>
      <c r="O1280" s="815">
        <v>-257.64662189900332</v>
      </c>
      <c r="P1280" s="772">
        <v>0</v>
      </c>
      <c r="Q1280" s="774"/>
      <c r="R1280" s="774">
        <v>2016</v>
      </c>
      <c r="U1280" s="774"/>
      <c r="V1280" s="774"/>
    </row>
    <row r="1281" spans="1:22" hidden="1">
      <c r="A1281" s="786">
        <v>1281</v>
      </c>
      <c r="B1281" s="767"/>
      <c r="C1281" s="764"/>
      <c r="D1281" s="767"/>
      <c r="E1281" s="767" t="s">
        <v>738</v>
      </c>
      <c r="F1281" s="806" t="s">
        <v>1437</v>
      </c>
      <c r="G1281" s="778"/>
      <c r="H1281" s="815">
        <v>-373.40374725936078</v>
      </c>
      <c r="I1281" s="815">
        <v>-156.17264531932867</v>
      </c>
      <c r="J1281" s="815">
        <v>-49.899703003008412</v>
      </c>
      <c r="K1281" s="815">
        <v>-84.683928339760769</v>
      </c>
      <c r="L1281" s="815">
        <v>-34.521922280052465</v>
      </c>
      <c r="M1281" s="815">
        <v>-32.649077125109407</v>
      </c>
      <c r="N1281" s="815">
        <v>-14.875774713361753</v>
      </c>
      <c r="O1281" s="815">
        <v>-0.60069647873920529</v>
      </c>
      <c r="P1281" s="772">
        <v>0</v>
      </c>
      <c r="Q1281" s="774"/>
      <c r="R1281" s="774">
        <v>2017</v>
      </c>
      <c r="U1281" s="774"/>
      <c r="V1281" s="774"/>
    </row>
    <row r="1282" spans="1:22" hidden="1">
      <c r="A1282" s="786">
        <v>1282</v>
      </c>
      <c r="B1282" s="767"/>
      <c r="C1282" s="764"/>
      <c r="D1282" s="767"/>
      <c r="E1282" s="767" t="s">
        <v>1005</v>
      </c>
      <c r="F1282" s="806" t="s">
        <v>1412</v>
      </c>
      <c r="G1282" s="778"/>
      <c r="H1282" s="815">
        <v>-63198.615737185115</v>
      </c>
      <c r="I1282" s="815">
        <v>-32203.283170152186</v>
      </c>
      <c r="J1282" s="815">
        <v>-8689.2333576161</v>
      </c>
      <c r="K1282" s="815">
        <v>-11328.316745322005</v>
      </c>
      <c r="L1282" s="815">
        <v>-4584.0950448987414</v>
      </c>
      <c r="M1282" s="815">
        <v>-3530.0368676885746</v>
      </c>
      <c r="N1282" s="815">
        <v>-2408.7922668498882</v>
      </c>
      <c r="O1282" s="815">
        <v>-454.85828465761529</v>
      </c>
      <c r="P1282" s="772">
        <v>0</v>
      </c>
      <c r="R1282" s="774">
        <v>2018</v>
      </c>
    </row>
    <row r="1283" spans="1:22" hidden="1">
      <c r="A1283" s="786">
        <v>1283</v>
      </c>
      <c r="B1283" s="767"/>
      <c r="C1283" s="764"/>
      <c r="D1283" s="767"/>
      <c r="E1283" s="767" t="s">
        <v>1273</v>
      </c>
      <c r="F1283" s="806" t="s">
        <v>1437</v>
      </c>
      <c r="G1283" s="778"/>
      <c r="H1283" s="815">
        <v>-230854.38068992412</v>
      </c>
      <c r="I1283" s="815">
        <v>-107546.19696401659</v>
      </c>
      <c r="J1283" s="815">
        <v>-32971.345398304111</v>
      </c>
      <c r="K1283" s="815">
        <v>-45693.100869855371</v>
      </c>
      <c r="L1283" s="815">
        <v>-18292.907388114327</v>
      </c>
      <c r="M1283" s="815">
        <v>-15264.530856179594</v>
      </c>
      <c r="N1283" s="815">
        <v>-10067.608709567123</v>
      </c>
      <c r="O1283" s="815">
        <v>-1018.6905038869726</v>
      </c>
      <c r="P1283" s="772">
        <v>0</v>
      </c>
      <c r="R1283" s="774">
        <v>2019</v>
      </c>
    </row>
    <row r="1284" spans="1:22" hidden="1">
      <c r="A1284" s="786">
        <v>1284</v>
      </c>
      <c r="B1284" s="767"/>
      <c r="C1284" s="764"/>
      <c r="D1284" s="767"/>
      <c r="E1284" s="767" t="s">
        <v>1314</v>
      </c>
      <c r="F1284" s="806" t="s">
        <v>1437</v>
      </c>
      <c r="G1284" s="778"/>
      <c r="H1284" s="815">
        <v>-68194.589608705544</v>
      </c>
      <c r="I1284" s="815">
        <v>-31825.385459441091</v>
      </c>
      <c r="J1284" s="815">
        <v>-9819.3280093170797</v>
      </c>
      <c r="K1284" s="815">
        <v>-13438.211545431437</v>
      </c>
      <c r="L1284" s="815">
        <v>-5370.6758406840981</v>
      </c>
      <c r="M1284" s="815">
        <v>-4387.2644955509204</v>
      </c>
      <c r="N1284" s="815">
        <v>-3035.431259643542</v>
      </c>
      <c r="O1284" s="815">
        <v>-318.29299863736981</v>
      </c>
      <c r="P1284" s="772">
        <v>0</v>
      </c>
      <c r="R1284" s="774">
        <v>2020</v>
      </c>
    </row>
    <row r="1285" spans="1:22" hidden="1">
      <c r="A1285" s="786">
        <v>1285</v>
      </c>
      <c r="B1285" s="767"/>
      <c r="C1285" s="764"/>
      <c r="D1285" s="767"/>
      <c r="E1285" s="767" t="s">
        <v>1323</v>
      </c>
      <c r="F1285" s="806" t="s">
        <v>1437</v>
      </c>
      <c r="G1285" s="778"/>
      <c r="H1285" s="815">
        <v>0</v>
      </c>
      <c r="I1285" s="815">
        <v>0</v>
      </c>
      <c r="J1285" s="815">
        <v>0</v>
      </c>
      <c r="K1285" s="815">
        <v>0</v>
      </c>
      <c r="L1285" s="815">
        <v>0</v>
      </c>
      <c r="M1285" s="815">
        <v>0</v>
      </c>
      <c r="N1285" s="815">
        <v>0</v>
      </c>
      <c r="O1285" s="815">
        <v>0</v>
      </c>
      <c r="P1285" s="772">
        <v>0</v>
      </c>
      <c r="R1285" s="774">
        <v>2021</v>
      </c>
    </row>
    <row r="1286" spans="1:22" hidden="1">
      <c r="A1286" s="786">
        <v>1286</v>
      </c>
      <c r="B1286" s="767"/>
      <c r="C1286" s="764"/>
      <c r="D1286" s="767"/>
      <c r="E1286" s="767" t="s">
        <v>1315</v>
      </c>
      <c r="F1286" s="806" t="s">
        <v>1437</v>
      </c>
      <c r="G1286" s="778"/>
      <c r="H1286" s="815">
        <v>0</v>
      </c>
      <c r="I1286" s="815">
        <v>0</v>
      </c>
      <c r="J1286" s="815">
        <v>0</v>
      </c>
      <c r="K1286" s="815">
        <v>0</v>
      </c>
      <c r="L1286" s="815">
        <v>0</v>
      </c>
      <c r="M1286" s="815">
        <v>0</v>
      </c>
      <c r="N1286" s="815">
        <v>0</v>
      </c>
      <c r="O1286" s="815">
        <v>0</v>
      </c>
      <c r="P1286" s="772">
        <v>0</v>
      </c>
      <c r="R1286" s="774">
        <v>2022</v>
      </c>
    </row>
    <row r="1287" spans="1:22" hidden="1">
      <c r="A1287" s="786">
        <v>1287</v>
      </c>
      <c r="B1287" s="767"/>
      <c r="C1287" s="764"/>
      <c r="D1287" s="767"/>
      <c r="E1287" s="767" t="s">
        <v>723</v>
      </c>
      <c r="F1287" s="806" t="s">
        <v>1437</v>
      </c>
      <c r="G1287" s="778"/>
      <c r="H1287" s="815">
        <v>-5069.2951108237385</v>
      </c>
      <c r="I1287" s="815">
        <v>-2120.185544929172</v>
      </c>
      <c r="J1287" s="815">
        <v>-677.4338027438364</v>
      </c>
      <c r="K1287" s="815">
        <v>-1149.6612635756974</v>
      </c>
      <c r="L1287" s="815">
        <v>-468.66645853169052</v>
      </c>
      <c r="M1287" s="815">
        <v>-443.24088405107778</v>
      </c>
      <c r="N1287" s="815">
        <v>-201.9521565534308</v>
      </c>
      <c r="O1287" s="815">
        <v>-8.1550004388322375</v>
      </c>
      <c r="P1287" s="772">
        <v>0</v>
      </c>
      <c r="R1287" s="774">
        <v>2023</v>
      </c>
    </row>
    <row r="1288" spans="1:22" hidden="1">
      <c r="A1288" s="786">
        <v>1288</v>
      </c>
      <c r="B1288" s="767"/>
      <c r="C1288" s="764"/>
      <c r="D1288" s="767"/>
      <c r="E1288" s="767" t="s">
        <v>1321</v>
      </c>
      <c r="F1288" s="806"/>
      <c r="G1288" s="778"/>
      <c r="H1288" s="815">
        <v>-450848.84213986865</v>
      </c>
      <c r="I1288" s="815">
        <v>-204964.74307795335</v>
      </c>
      <c r="J1288" s="815">
        <v>-62612.609356502398</v>
      </c>
      <c r="K1288" s="815">
        <v>-92775.538089088353</v>
      </c>
      <c r="L1288" s="815">
        <v>-37456.352810037883</v>
      </c>
      <c r="M1288" s="815">
        <v>-32570.005801795814</v>
      </c>
      <c r="N1288" s="815">
        <v>-18751.123158389699</v>
      </c>
      <c r="O1288" s="815">
        <v>-1718.4698461012024</v>
      </c>
      <c r="P1288" s="772">
        <v>0</v>
      </c>
      <c r="R1288" s="774"/>
    </row>
    <row r="1289" spans="1:22" hidden="1">
      <c r="A1289" s="786">
        <v>1289</v>
      </c>
      <c r="B1289" s="767"/>
      <c r="C1289" s="764"/>
      <c r="D1289" s="767"/>
      <c r="E1289" s="767"/>
      <c r="F1289" s="806"/>
      <c r="G1289" s="778"/>
      <c r="H1289" s="788"/>
      <c r="I1289" s="788"/>
      <c r="J1289" s="788"/>
      <c r="K1289" s="788"/>
      <c r="L1289" s="788"/>
      <c r="M1289" s="788"/>
      <c r="N1289" s="788"/>
      <c r="O1289" s="788"/>
      <c r="P1289" s="772"/>
      <c r="R1289" s="774"/>
    </row>
    <row r="1290" spans="1:22" hidden="1">
      <c r="A1290" s="786">
        <v>1290</v>
      </c>
      <c r="B1290" s="767"/>
      <c r="C1290" s="764" t="s">
        <v>1324</v>
      </c>
      <c r="D1290" s="767" t="s">
        <v>1325</v>
      </c>
      <c r="E1290" s="767"/>
      <c r="F1290" s="806" t="s">
        <v>1437</v>
      </c>
      <c r="G1290" s="778"/>
      <c r="H1290" s="828">
        <v>-19597.460327859611</v>
      </c>
      <c r="I1290" s="828">
        <v>-9145.8388786992164</v>
      </c>
      <c r="J1290" s="828">
        <v>-2821.8351662939917</v>
      </c>
      <c r="K1290" s="828">
        <v>-3861.8139525449733</v>
      </c>
      <c r="L1290" s="828">
        <v>-1543.401130874531</v>
      </c>
      <c r="M1290" s="828">
        <v>-1260.7927167349692</v>
      </c>
      <c r="N1290" s="828">
        <v>-872.3088448825464</v>
      </c>
      <c r="O1290" s="828">
        <v>-91.46963782937749</v>
      </c>
      <c r="P1290" s="772">
        <v>0</v>
      </c>
      <c r="Q1290" s="774"/>
      <c r="R1290" s="774">
        <v>2037</v>
      </c>
      <c r="U1290" s="774"/>
      <c r="V1290" s="774"/>
    </row>
    <row r="1291" spans="1:22" hidden="1">
      <c r="A1291" s="786">
        <v>1291</v>
      </c>
      <c r="B1291" s="767"/>
      <c r="C1291" s="767" t="s">
        <v>1326</v>
      </c>
      <c r="D1291" s="767"/>
      <c r="E1291" s="767"/>
      <c r="F1291" s="806"/>
      <c r="G1291" s="778"/>
      <c r="H1291" s="788">
        <v>-293283130.70543867</v>
      </c>
      <c r="I1291" s="788">
        <v>-135291362.13523263</v>
      </c>
      <c r="J1291" s="788">
        <v>-42483404.678655438</v>
      </c>
      <c r="K1291" s="788">
        <v>-58464998.276100412</v>
      </c>
      <c r="L1291" s="788">
        <v>-23417416.07727487</v>
      </c>
      <c r="M1291" s="788">
        <v>-19911521.606491193</v>
      </c>
      <c r="N1291" s="788">
        <v>-12559873.920120992</v>
      </c>
      <c r="O1291" s="788">
        <v>-1154554.0115631239</v>
      </c>
      <c r="P1291" s="772">
        <v>0</v>
      </c>
      <c r="Q1291" s="774"/>
      <c r="R1291" s="774"/>
      <c r="U1291" s="774"/>
      <c r="V1291" s="774"/>
    </row>
    <row r="1292" spans="1:22" hidden="1">
      <c r="A1292" s="786">
        <v>1292</v>
      </c>
      <c r="B1292" s="767"/>
      <c r="C1292" s="767"/>
      <c r="D1292" s="767"/>
      <c r="E1292" s="767"/>
      <c r="F1292" s="806"/>
      <c r="G1292" s="778"/>
      <c r="H1292" s="788"/>
      <c r="I1292" s="788"/>
      <c r="J1292" s="788"/>
      <c r="K1292" s="788"/>
      <c r="L1292" s="788"/>
      <c r="M1292" s="788"/>
      <c r="N1292" s="788"/>
      <c r="O1292" s="788"/>
      <c r="P1292" s="772"/>
      <c r="Q1292" s="774"/>
      <c r="R1292" s="774"/>
      <c r="U1292" s="774"/>
      <c r="V1292" s="774"/>
    </row>
    <row r="1293" spans="1:22" hidden="1">
      <c r="A1293" s="786">
        <v>1293</v>
      </c>
      <c r="B1293" s="767"/>
      <c r="C1293" s="767"/>
      <c r="D1293" s="767"/>
      <c r="E1293" s="767"/>
      <c r="F1293" s="806"/>
      <c r="H1293" s="817" t="s">
        <v>1327</v>
      </c>
      <c r="I1293" s="817"/>
      <c r="J1293" s="817"/>
      <c r="K1293" s="817"/>
      <c r="L1293" s="817"/>
      <c r="M1293" s="817"/>
      <c r="N1293" s="817"/>
      <c r="O1293" s="817"/>
      <c r="P1293" s="772"/>
      <c r="R1293" s="774"/>
    </row>
    <row r="1294" spans="1:22" hidden="1">
      <c r="A1294" s="786">
        <v>1294</v>
      </c>
      <c r="C1294" s="795"/>
      <c r="D1294" s="795"/>
      <c r="E1294" s="795"/>
      <c r="F1294" s="806"/>
      <c r="H1294" s="817" t="s">
        <v>1328</v>
      </c>
      <c r="I1294" s="817"/>
      <c r="J1294" s="817"/>
      <c r="K1294" s="817"/>
      <c r="L1294" s="817"/>
      <c r="M1294" s="817"/>
      <c r="N1294" s="817"/>
      <c r="O1294" s="817"/>
      <c r="P1294" s="772"/>
      <c r="R1294" s="774"/>
    </row>
    <row r="1295" spans="1:22" hidden="1">
      <c r="A1295" s="786">
        <v>1295</v>
      </c>
      <c r="B1295" s="767"/>
      <c r="C1295" s="767"/>
      <c r="D1295" s="767"/>
      <c r="E1295" s="767"/>
      <c r="F1295" s="806"/>
      <c r="H1295" s="817"/>
      <c r="I1295" s="817"/>
      <c r="J1295" s="817"/>
      <c r="K1295" s="817"/>
      <c r="L1295" s="817"/>
      <c r="M1295" s="817"/>
      <c r="N1295" s="817"/>
      <c r="O1295" s="817"/>
      <c r="P1295" s="772"/>
      <c r="R1295" s="774"/>
    </row>
    <row r="1296" spans="1:22" hidden="1">
      <c r="A1296" s="786">
        <v>1296</v>
      </c>
      <c r="B1296" s="767"/>
      <c r="C1296" s="767" t="s">
        <v>1329</v>
      </c>
      <c r="D1296" s="767" t="s">
        <v>1330</v>
      </c>
      <c r="E1296" s="767"/>
      <c r="F1296" s="806" t="s">
        <v>1392</v>
      </c>
      <c r="G1296" s="778"/>
      <c r="H1296" s="815">
        <v>-168212192.80217132</v>
      </c>
      <c r="I1296" s="815">
        <v>-70354703.475412056</v>
      </c>
      <c r="J1296" s="815">
        <v>-22479307.250657003</v>
      </c>
      <c r="K1296" s="815">
        <v>-38147784.898748428</v>
      </c>
      <c r="L1296" s="815">
        <v>-15551128.738651257</v>
      </c>
      <c r="M1296" s="815">
        <v>-14707132.252909617</v>
      </c>
      <c r="N1296" s="815">
        <v>-6701438.7410004074</v>
      </c>
      <c r="O1296" s="815">
        <v>-270697.44479257043</v>
      </c>
      <c r="P1296" s="772">
        <v>0</v>
      </c>
      <c r="Q1296" s="774"/>
      <c r="R1296" s="774">
        <v>2048</v>
      </c>
      <c r="U1296" s="774"/>
      <c r="V1296" s="774"/>
    </row>
    <row r="1297" spans="1:22" hidden="1">
      <c r="A1297" s="786">
        <v>1297</v>
      </c>
      <c r="B1297" s="767"/>
      <c r="C1297" s="767"/>
      <c r="D1297" s="767"/>
      <c r="E1297" s="767"/>
      <c r="F1297" s="806"/>
      <c r="G1297" s="778"/>
      <c r="H1297" s="788"/>
      <c r="I1297" s="788"/>
      <c r="J1297" s="788"/>
      <c r="K1297" s="788"/>
      <c r="L1297" s="788"/>
      <c r="M1297" s="788"/>
      <c r="N1297" s="788"/>
      <c r="O1297" s="788"/>
      <c r="P1297" s="772"/>
      <c r="R1297" s="774"/>
    </row>
    <row r="1298" spans="1:22" hidden="1">
      <c r="A1298" s="786">
        <v>1298</v>
      </c>
      <c r="B1298" s="767"/>
      <c r="C1298" s="767" t="s">
        <v>1331</v>
      </c>
      <c r="D1298" s="767" t="s">
        <v>1332</v>
      </c>
      <c r="E1298" s="767"/>
      <c r="F1298" s="806" t="s">
        <v>1392</v>
      </c>
      <c r="G1298" s="778"/>
      <c r="H1298" s="815">
        <v>0</v>
      </c>
      <c r="I1298" s="815">
        <v>0</v>
      </c>
      <c r="J1298" s="815">
        <v>0</v>
      </c>
      <c r="K1298" s="815">
        <v>0</v>
      </c>
      <c r="L1298" s="815">
        <v>0</v>
      </c>
      <c r="M1298" s="815">
        <v>0</v>
      </c>
      <c r="N1298" s="815">
        <v>0</v>
      </c>
      <c r="O1298" s="815">
        <v>0</v>
      </c>
      <c r="P1298" s="772">
        <v>0</v>
      </c>
      <c r="Q1298" s="774"/>
      <c r="R1298" s="774">
        <v>2054</v>
      </c>
      <c r="S1298" s="774"/>
      <c r="T1298" s="774"/>
      <c r="U1298" s="774"/>
      <c r="V1298" s="774"/>
    </row>
    <row r="1299" spans="1:22" hidden="1">
      <c r="A1299" s="786">
        <v>1299</v>
      </c>
      <c r="B1299" s="767"/>
      <c r="C1299" s="767"/>
      <c r="D1299" s="767"/>
      <c r="E1299" s="767"/>
      <c r="F1299" s="806"/>
      <c r="G1299" s="778"/>
      <c r="H1299" s="788"/>
      <c r="I1299" s="788"/>
      <c r="J1299" s="788"/>
      <c r="K1299" s="788"/>
      <c r="L1299" s="788"/>
      <c r="M1299" s="788"/>
      <c r="N1299" s="788"/>
      <c r="O1299" s="788"/>
      <c r="P1299" s="772"/>
      <c r="R1299" s="774"/>
    </row>
    <row r="1300" spans="1:22" hidden="1">
      <c r="A1300" s="786">
        <v>1300</v>
      </c>
      <c r="B1300" s="767"/>
      <c r="C1300" s="767" t="s">
        <v>1333</v>
      </c>
      <c r="D1300" s="767" t="s">
        <v>1334</v>
      </c>
      <c r="E1300" s="767"/>
      <c r="F1300" s="806" t="s">
        <v>1392</v>
      </c>
      <c r="G1300" s="778"/>
      <c r="H1300" s="815">
        <v>-51260552.262449294</v>
      </c>
      <c r="I1300" s="815">
        <v>-21439711.915841158</v>
      </c>
      <c r="J1300" s="815">
        <v>-6850286.4444620954</v>
      </c>
      <c r="K1300" s="815">
        <v>-11625058.141883552</v>
      </c>
      <c r="L1300" s="815">
        <v>-4739011.0916943001</v>
      </c>
      <c r="M1300" s="815">
        <v>-4481813.767017819</v>
      </c>
      <c r="N1300" s="815">
        <v>-2042179.2564148749</v>
      </c>
      <c r="O1300" s="815">
        <v>-82491.64513550009</v>
      </c>
      <c r="P1300" s="772">
        <v>0</v>
      </c>
      <c r="Q1300" s="774"/>
      <c r="R1300" s="774">
        <v>2062</v>
      </c>
      <c r="S1300" s="774"/>
      <c r="T1300" s="774"/>
      <c r="U1300" s="774"/>
      <c r="V1300" s="774"/>
    </row>
    <row r="1301" spans="1:22" hidden="1">
      <c r="A1301" s="786">
        <v>1301</v>
      </c>
      <c r="B1301" s="767"/>
      <c r="C1301" s="767"/>
      <c r="D1301" s="767"/>
      <c r="E1301" s="767"/>
      <c r="F1301" s="806"/>
      <c r="G1301" s="778"/>
      <c r="H1301" s="788"/>
      <c r="I1301" s="788"/>
      <c r="J1301" s="788"/>
      <c r="K1301" s="788"/>
      <c r="L1301" s="788"/>
      <c r="M1301" s="788"/>
      <c r="N1301" s="788"/>
      <c r="O1301" s="788"/>
      <c r="P1301" s="772"/>
      <c r="R1301" s="774"/>
    </row>
    <row r="1302" spans="1:22" hidden="1">
      <c r="A1302" s="786">
        <v>1302</v>
      </c>
      <c r="B1302" s="767"/>
      <c r="C1302" s="767" t="s">
        <v>1335</v>
      </c>
      <c r="D1302" s="767" t="s">
        <v>1336</v>
      </c>
      <c r="E1302" s="767"/>
      <c r="F1302" s="806" t="s">
        <v>1392</v>
      </c>
      <c r="G1302" s="778"/>
      <c r="H1302" s="815">
        <v>0</v>
      </c>
      <c r="I1302" s="815">
        <v>0</v>
      </c>
      <c r="J1302" s="815">
        <v>0</v>
      </c>
      <c r="K1302" s="815">
        <v>0</v>
      </c>
      <c r="L1302" s="815">
        <v>0</v>
      </c>
      <c r="M1302" s="815">
        <v>0</v>
      </c>
      <c r="N1302" s="815">
        <v>0</v>
      </c>
      <c r="O1302" s="815">
        <v>0</v>
      </c>
      <c r="P1302" s="772">
        <v>0</v>
      </c>
      <c r="Q1302" s="774"/>
      <c r="R1302" s="774">
        <v>2065</v>
      </c>
      <c r="S1302" s="774"/>
      <c r="T1302" s="774"/>
      <c r="U1302" s="774"/>
      <c r="V1302" s="774"/>
    </row>
    <row r="1303" spans="1:22" hidden="1">
      <c r="A1303" s="786">
        <v>1303</v>
      </c>
      <c r="B1303" s="767"/>
      <c r="C1303" s="767"/>
      <c r="D1303" s="767"/>
      <c r="E1303" s="767" t="s">
        <v>1187</v>
      </c>
      <c r="F1303" s="806" t="s">
        <v>1392</v>
      </c>
      <c r="G1303" s="778"/>
      <c r="H1303" s="815">
        <v>0</v>
      </c>
      <c r="I1303" s="815">
        <v>0</v>
      </c>
      <c r="J1303" s="815">
        <v>0</v>
      </c>
      <c r="K1303" s="815">
        <v>0</v>
      </c>
      <c r="L1303" s="815">
        <v>0</v>
      </c>
      <c r="M1303" s="815">
        <v>0</v>
      </c>
      <c r="N1303" s="815">
        <v>0</v>
      </c>
      <c r="O1303" s="815">
        <v>0</v>
      </c>
      <c r="P1303" s="772">
        <v>0</v>
      </c>
      <c r="Q1303" s="774"/>
      <c r="R1303" s="774">
        <v>2066</v>
      </c>
      <c r="S1303" s="774"/>
      <c r="T1303" s="774"/>
      <c r="U1303" s="774"/>
      <c r="V1303" s="774"/>
    </row>
    <row r="1304" spans="1:22" hidden="1">
      <c r="A1304" s="786">
        <v>1304</v>
      </c>
      <c r="B1304" s="767"/>
      <c r="C1304" s="767"/>
      <c r="D1304" s="767"/>
      <c r="E1304" s="820" t="s">
        <v>1196</v>
      </c>
      <c r="F1304" s="806" t="s">
        <v>1392</v>
      </c>
      <c r="G1304" s="778"/>
      <c r="H1304" s="815">
        <v>0</v>
      </c>
      <c r="I1304" s="815">
        <v>0</v>
      </c>
      <c r="J1304" s="815">
        <v>0</v>
      </c>
      <c r="K1304" s="815">
        <v>0</v>
      </c>
      <c r="L1304" s="815">
        <v>0</v>
      </c>
      <c r="M1304" s="815">
        <v>0</v>
      </c>
      <c r="N1304" s="815">
        <v>0</v>
      </c>
      <c r="O1304" s="815">
        <v>0</v>
      </c>
      <c r="P1304" s="772">
        <v>0</v>
      </c>
      <c r="Q1304" s="774"/>
      <c r="R1304" s="774">
        <v>2067</v>
      </c>
      <c r="S1304" s="774"/>
      <c r="T1304" s="774"/>
      <c r="U1304" s="774"/>
      <c r="V1304" s="774"/>
    </row>
    <row r="1305" spans="1:22" hidden="1">
      <c r="A1305" s="786">
        <v>1305</v>
      </c>
      <c r="B1305" s="767"/>
      <c r="C1305" s="767"/>
      <c r="D1305" s="767"/>
      <c r="E1305" s="820" t="s">
        <v>788</v>
      </c>
      <c r="F1305" s="806" t="s">
        <v>1392</v>
      </c>
      <c r="G1305" s="778"/>
      <c r="H1305" s="815">
        <v>25935761.323484868</v>
      </c>
      <c r="I1305" s="815">
        <v>10847625.055746164</v>
      </c>
      <c r="J1305" s="815">
        <v>3465967.2278096429</v>
      </c>
      <c r="K1305" s="815">
        <v>5881808.1357346661</v>
      </c>
      <c r="L1305" s="815">
        <v>2397747.4911749619</v>
      </c>
      <c r="M1305" s="815">
        <v>2267616.0717611569</v>
      </c>
      <c r="N1305" s="815">
        <v>1033259.9130608204</v>
      </c>
      <c r="O1305" s="815">
        <v>41737.428197456466</v>
      </c>
      <c r="P1305" s="772">
        <v>0</v>
      </c>
      <c r="Q1305" s="774"/>
      <c r="R1305" s="774">
        <v>2068</v>
      </c>
      <c r="S1305" s="774"/>
      <c r="T1305" s="774"/>
      <c r="U1305" s="774"/>
      <c r="V1305" s="774"/>
    </row>
    <row r="1306" spans="1:22" hidden="1">
      <c r="A1306" s="786">
        <v>1306</v>
      </c>
      <c r="B1306" s="767"/>
      <c r="C1306" s="767"/>
      <c r="D1306" s="767"/>
      <c r="E1306" s="820" t="s">
        <v>728</v>
      </c>
      <c r="F1306" s="806" t="s">
        <v>1392</v>
      </c>
      <c r="G1306" s="778"/>
      <c r="H1306" s="815">
        <v>-46978665.272633523</v>
      </c>
      <c r="I1306" s="815">
        <v>-19648813.857470296</v>
      </c>
      <c r="J1306" s="815">
        <v>-6278069.58162231</v>
      </c>
      <c r="K1306" s="815">
        <v>-10653995.930951284</v>
      </c>
      <c r="L1306" s="815">
        <v>-4343152.8919186564</v>
      </c>
      <c r="M1306" s="815">
        <v>-4107439.7266930752</v>
      </c>
      <c r="N1306" s="815">
        <v>-1871592.3157173952</v>
      </c>
      <c r="O1306" s="815">
        <v>-75600.968260507725</v>
      </c>
      <c r="P1306" s="772">
        <v>0</v>
      </c>
      <c r="Q1306" s="774"/>
      <c r="R1306" s="774">
        <v>2069</v>
      </c>
      <c r="S1306" s="774"/>
      <c r="T1306" s="774"/>
      <c r="U1306" s="774"/>
      <c r="V1306" s="774"/>
    </row>
    <row r="1307" spans="1:22" hidden="1">
      <c r="A1307" s="786">
        <v>1307</v>
      </c>
      <c r="B1307" s="767"/>
      <c r="C1307" s="767"/>
      <c r="D1307" s="767"/>
      <c r="E1307" s="820" t="s">
        <v>1192</v>
      </c>
      <c r="F1307" s="806" t="s">
        <v>1392</v>
      </c>
      <c r="G1307" s="778"/>
      <c r="H1307" s="815">
        <v>0</v>
      </c>
      <c r="I1307" s="815">
        <v>0</v>
      </c>
      <c r="J1307" s="815">
        <v>0</v>
      </c>
      <c r="K1307" s="815">
        <v>0</v>
      </c>
      <c r="L1307" s="815">
        <v>0</v>
      </c>
      <c r="M1307" s="815">
        <v>0</v>
      </c>
      <c r="N1307" s="815">
        <v>0</v>
      </c>
      <c r="O1307" s="815">
        <v>0</v>
      </c>
      <c r="P1307" s="772">
        <v>0</v>
      </c>
      <c r="Q1307" s="774"/>
      <c r="R1307" s="774">
        <v>2070</v>
      </c>
      <c r="S1307" s="774"/>
      <c r="T1307" s="774"/>
      <c r="U1307" s="774"/>
      <c r="V1307" s="774"/>
    </row>
    <row r="1308" spans="1:22" hidden="1">
      <c r="A1308" s="786">
        <v>1308</v>
      </c>
      <c r="B1308" s="767"/>
      <c r="C1308" s="767"/>
      <c r="D1308" s="767"/>
      <c r="E1308" s="767" t="s">
        <v>1337</v>
      </c>
      <c r="F1308" s="806"/>
      <c r="G1308" s="778"/>
      <c r="H1308" s="815">
        <v>-21042903.949148651</v>
      </c>
      <c r="I1308" s="815">
        <v>-8801188.8017241322</v>
      </c>
      <c r="J1308" s="815">
        <v>-2812102.3538126671</v>
      </c>
      <c r="K1308" s="815">
        <v>-4772187.7952166181</v>
      </c>
      <c r="L1308" s="815">
        <v>-1945405.4007436945</v>
      </c>
      <c r="M1308" s="815">
        <v>-1839823.6549319183</v>
      </c>
      <c r="N1308" s="815">
        <v>-838332.40265657473</v>
      </c>
      <c r="O1308" s="815">
        <v>-33863.540063051259</v>
      </c>
      <c r="P1308" s="772">
        <v>0</v>
      </c>
      <c r="Q1308" s="774"/>
      <c r="R1308" s="774"/>
      <c r="S1308" s="774"/>
      <c r="T1308" s="774"/>
      <c r="U1308" s="774"/>
      <c r="V1308" s="774"/>
    </row>
    <row r="1309" spans="1:22" hidden="1">
      <c r="A1309" s="786">
        <v>1309</v>
      </c>
      <c r="B1309" s="767"/>
      <c r="C1309" s="767"/>
      <c r="D1309" s="767"/>
      <c r="E1309" s="767"/>
      <c r="F1309" s="806"/>
      <c r="G1309" s="778"/>
      <c r="H1309" s="788"/>
      <c r="I1309" s="788"/>
      <c r="J1309" s="788"/>
      <c r="K1309" s="788"/>
      <c r="L1309" s="788"/>
      <c r="M1309" s="788"/>
      <c r="N1309" s="788"/>
      <c r="O1309" s="788"/>
      <c r="P1309" s="772"/>
      <c r="R1309" s="774"/>
    </row>
    <row r="1310" spans="1:22" hidden="1">
      <c r="A1310" s="786">
        <v>1310</v>
      </c>
      <c r="B1310" s="767"/>
      <c r="C1310" s="767" t="s">
        <v>1338</v>
      </c>
      <c r="D1310" s="767" t="s">
        <v>1339</v>
      </c>
      <c r="E1310" s="767"/>
      <c r="F1310" s="806" t="s">
        <v>1392</v>
      </c>
      <c r="G1310" s="778"/>
      <c r="H1310" s="815">
        <v>0</v>
      </c>
      <c r="I1310" s="815">
        <v>0</v>
      </c>
      <c r="J1310" s="815">
        <v>0</v>
      </c>
      <c r="K1310" s="815">
        <v>0</v>
      </c>
      <c r="L1310" s="815">
        <v>0</v>
      </c>
      <c r="M1310" s="815">
        <v>0</v>
      </c>
      <c r="N1310" s="815">
        <v>0</v>
      </c>
      <c r="O1310" s="815">
        <v>0</v>
      </c>
      <c r="P1310" s="772">
        <v>0</v>
      </c>
      <c r="Q1310" s="774"/>
      <c r="R1310" s="774">
        <v>2076</v>
      </c>
      <c r="S1310" s="774"/>
      <c r="T1310" s="774"/>
      <c r="U1310" s="774"/>
      <c r="V1310" s="774"/>
    </row>
    <row r="1311" spans="1:22" hidden="1">
      <c r="A1311" s="786">
        <v>1311</v>
      </c>
      <c r="B1311" s="767"/>
      <c r="C1311" s="767"/>
      <c r="D1311" s="767"/>
      <c r="E1311" s="767"/>
      <c r="F1311" s="806"/>
      <c r="G1311" s="778"/>
      <c r="H1311" s="788"/>
      <c r="I1311" s="788"/>
      <c r="J1311" s="788"/>
      <c r="K1311" s="788"/>
      <c r="L1311" s="788"/>
      <c r="M1311" s="788"/>
      <c r="N1311" s="788"/>
      <c r="O1311" s="788"/>
      <c r="P1311" s="772"/>
      <c r="R1311" s="774"/>
    </row>
    <row r="1312" spans="1:22" hidden="1">
      <c r="A1312" s="786">
        <v>1312</v>
      </c>
      <c r="B1312" s="767"/>
      <c r="C1312" s="767"/>
      <c r="D1312" s="767"/>
      <c r="E1312" s="767"/>
      <c r="F1312" s="806"/>
      <c r="G1312" s="778"/>
      <c r="H1312" s="827"/>
      <c r="I1312" s="827"/>
      <c r="J1312" s="827"/>
      <c r="K1312" s="827"/>
      <c r="L1312" s="827"/>
      <c r="M1312" s="827"/>
      <c r="N1312" s="827"/>
      <c r="O1312" s="827"/>
      <c r="P1312" s="772"/>
      <c r="R1312" s="774"/>
    </row>
    <row r="1313" spans="1:22" hidden="1">
      <c r="A1313" s="786">
        <v>1313</v>
      </c>
      <c r="B1313" s="767"/>
      <c r="C1313" s="767"/>
      <c r="D1313" s="767"/>
      <c r="E1313" s="767"/>
      <c r="F1313" s="806"/>
      <c r="G1313" s="778"/>
      <c r="H1313" s="788"/>
      <c r="I1313" s="788"/>
      <c r="J1313" s="788"/>
      <c r="K1313" s="788"/>
      <c r="L1313" s="788"/>
      <c r="M1313" s="788"/>
      <c r="N1313" s="788"/>
      <c r="O1313" s="788"/>
      <c r="P1313" s="772"/>
      <c r="R1313" s="774"/>
    </row>
    <row r="1314" spans="1:22">
      <c r="A1314" s="786">
        <v>1314</v>
      </c>
      <c r="B1314" s="767"/>
      <c r="C1314" s="767" t="s">
        <v>1340</v>
      </c>
      <c r="D1314" s="767"/>
      <c r="E1314" s="767"/>
      <c r="F1314" s="806"/>
      <c r="G1314" s="778"/>
      <c r="H1314" s="815">
        <v>-240515649.01376927</v>
      </c>
      <c r="I1314" s="815">
        <v>-100595604.19297735</v>
      </c>
      <c r="J1314" s="815">
        <v>-32141696.048931766</v>
      </c>
      <c r="K1314" s="815">
        <v>-54545030.8358486</v>
      </c>
      <c r="L1314" s="815">
        <v>-22235545.231089249</v>
      </c>
      <c r="M1314" s="815">
        <v>-21028769.674859352</v>
      </c>
      <c r="N1314" s="815">
        <v>-9581950.4000718556</v>
      </c>
      <c r="O1314" s="815">
        <v>-387052.62999112182</v>
      </c>
      <c r="P1314" s="772">
        <v>0</v>
      </c>
      <c r="Q1314" s="774"/>
      <c r="R1314" s="774"/>
      <c r="S1314" s="774"/>
      <c r="T1314" s="774"/>
      <c r="U1314" s="774"/>
      <c r="V1314" s="774"/>
    </row>
    <row r="1315" spans="1:22" hidden="1">
      <c r="A1315" s="786">
        <v>1315</v>
      </c>
      <c r="B1315" s="767"/>
      <c r="C1315" s="767"/>
      <c r="D1315" s="767"/>
      <c r="E1315" s="767"/>
      <c r="F1315" s="806"/>
      <c r="G1315" s="778"/>
      <c r="H1315" s="810"/>
      <c r="I1315" s="810"/>
      <c r="J1315" s="810"/>
      <c r="K1315" s="810"/>
      <c r="L1315" s="810"/>
      <c r="M1315" s="810"/>
      <c r="N1315" s="810"/>
      <c r="O1315" s="810"/>
      <c r="P1315" s="772"/>
      <c r="R1315" s="774"/>
    </row>
    <row r="1316" spans="1:22" hidden="1">
      <c r="A1316" s="786">
        <v>1316</v>
      </c>
      <c r="B1316" s="767"/>
      <c r="C1316" s="767"/>
      <c r="D1316" s="767"/>
      <c r="E1316" s="767"/>
      <c r="F1316" s="806"/>
      <c r="G1316" s="778"/>
      <c r="H1316" s="788"/>
      <c r="I1316" s="788"/>
      <c r="J1316" s="788"/>
      <c r="K1316" s="788"/>
      <c r="L1316" s="788"/>
      <c r="M1316" s="788"/>
      <c r="N1316" s="788"/>
      <c r="O1316" s="788"/>
      <c r="P1316" s="772"/>
      <c r="R1316" s="774"/>
    </row>
    <row r="1317" spans="1:22" hidden="1">
      <c r="A1317" s="786">
        <v>1317</v>
      </c>
      <c r="C1317" s="795"/>
      <c r="D1317" s="795"/>
      <c r="E1317" s="795"/>
      <c r="F1317" s="806"/>
      <c r="H1317" s="817" t="s">
        <v>1129</v>
      </c>
      <c r="I1317" s="817"/>
      <c r="J1317" s="817"/>
      <c r="K1317" s="817"/>
      <c r="L1317" s="817"/>
      <c r="M1317" s="817"/>
      <c r="N1317" s="817"/>
      <c r="O1317" s="817"/>
      <c r="P1317" s="772"/>
      <c r="R1317" s="774"/>
    </row>
    <row r="1318" spans="1:22" hidden="1">
      <c r="A1318" s="786">
        <v>1318</v>
      </c>
      <c r="B1318" s="767"/>
      <c r="F1318" s="806"/>
      <c r="G1318" s="778"/>
      <c r="H1318" s="788"/>
      <c r="I1318" s="788"/>
      <c r="J1318" s="788"/>
      <c r="K1318" s="788"/>
      <c r="L1318" s="788"/>
      <c r="M1318" s="788"/>
      <c r="N1318" s="788"/>
      <c r="O1318" s="788"/>
      <c r="P1318" s="772"/>
      <c r="R1318" s="774"/>
    </row>
    <row r="1319" spans="1:22">
      <c r="A1319" s="786">
        <v>1319</v>
      </c>
      <c r="B1319" s="767"/>
      <c r="C1319" s="767" t="s">
        <v>1341</v>
      </c>
      <c r="D1319" s="775" t="s">
        <v>1342</v>
      </c>
      <c r="E1319" s="767"/>
      <c r="F1319" s="806" t="s">
        <v>1416</v>
      </c>
      <c r="G1319" s="778"/>
      <c r="H1319" s="815">
        <v>-154058324.84538019</v>
      </c>
      <c r="I1319" s="815">
        <v>-68747168.760128945</v>
      </c>
      <c r="J1319" s="815">
        <v>-20448544.926134709</v>
      </c>
      <c r="K1319" s="815">
        <v>-32739253.029750396</v>
      </c>
      <c r="L1319" s="815">
        <v>-13256734.579773119</v>
      </c>
      <c r="M1319" s="815">
        <v>-13007085.511893436</v>
      </c>
      <c r="N1319" s="815">
        <v>-5680339.7127010329</v>
      </c>
      <c r="O1319" s="815">
        <v>-179198.3249985126</v>
      </c>
      <c r="P1319" s="772">
        <v>0</v>
      </c>
      <c r="Q1319" s="774"/>
      <c r="R1319" s="774">
        <v>2087</v>
      </c>
      <c r="S1319" s="774"/>
      <c r="T1319" s="774"/>
      <c r="U1319" s="774"/>
      <c r="V1319" s="774"/>
    </row>
    <row r="1320" spans="1:22" hidden="1">
      <c r="A1320" s="786">
        <v>1320</v>
      </c>
      <c r="B1320" s="767"/>
      <c r="C1320" s="767"/>
      <c r="D1320" s="767"/>
      <c r="E1320" s="767"/>
      <c r="F1320" s="806"/>
      <c r="G1320" s="778"/>
      <c r="H1320" s="810"/>
      <c r="I1320" s="810"/>
      <c r="J1320" s="810"/>
      <c r="K1320" s="810"/>
      <c r="L1320" s="810"/>
      <c r="M1320" s="810"/>
      <c r="N1320" s="810"/>
      <c r="O1320" s="810"/>
      <c r="P1320" s="772"/>
      <c r="R1320" s="774"/>
    </row>
    <row r="1321" spans="1:22" hidden="1">
      <c r="A1321" s="786">
        <v>1321</v>
      </c>
      <c r="B1321" s="767"/>
      <c r="C1321" s="767"/>
      <c r="D1321" s="767"/>
      <c r="E1321" s="767"/>
      <c r="F1321" s="806"/>
      <c r="G1321" s="778"/>
      <c r="H1321" s="788"/>
      <c r="I1321" s="788"/>
      <c r="J1321" s="788"/>
      <c r="K1321" s="788"/>
      <c r="L1321" s="788"/>
      <c r="M1321" s="788"/>
      <c r="N1321" s="788"/>
      <c r="O1321" s="788"/>
      <c r="P1321" s="772"/>
      <c r="R1321" s="774"/>
    </row>
    <row r="1322" spans="1:22" hidden="1">
      <c r="A1322" s="786">
        <v>1322</v>
      </c>
      <c r="C1322" s="768"/>
      <c r="D1322" s="795"/>
      <c r="E1322" s="795"/>
      <c r="F1322" s="806"/>
      <c r="H1322" s="817" t="s">
        <v>1152</v>
      </c>
      <c r="I1322" s="817"/>
      <c r="J1322" s="817"/>
      <c r="K1322" s="817"/>
      <c r="L1322" s="817"/>
      <c r="M1322" s="817"/>
      <c r="N1322" s="817"/>
      <c r="O1322" s="817"/>
      <c r="P1322" s="772"/>
      <c r="R1322" s="774"/>
    </row>
    <row r="1323" spans="1:22" hidden="1">
      <c r="A1323" s="786">
        <v>1323</v>
      </c>
      <c r="B1323" s="767"/>
      <c r="C1323" s="767"/>
      <c r="D1323" s="767"/>
      <c r="E1323" s="767"/>
      <c r="F1323" s="806"/>
      <c r="G1323" s="778"/>
      <c r="H1323" s="788"/>
      <c r="I1323" s="788"/>
      <c r="J1323" s="788"/>
      <c r="K1323" s="788"/>
      <c r="L1323" s="788"/>
      <c r="M1323" s="788"/>
      <c r="N1323" s="788"/>
      <c r="O1323" s="788"/>
      <c r="P1323" s="772"/>
      <c r="R1323" s="774"/>
    </row>
    <row r="1324" spans="1:22" hidden="1">
      <c r="A1324" s="786">
        <v>1324</v>
      </c>
      <c r="B1324" s="767"/>
      <c r="C1324" s="767" t="s">
        <v>1343</v>
      </c>
      <c r="D1324" s="775" t="s">
        <v>1060</v>
      </c>
      <c r="E1324" s="767"/>
      <c r="F1324" s="806" t="s">
        <v>1417</v>
      </c>
      <c r="G1324" s="778"/>
      <c r="H1324" s="815">
        <v>-340137.93776479212</v>
      </c>
      <c r="I1324" s="815">
        <v>-160211.69985845109</v>
      </c>
      <c r="J1324" s="815">
        <v>-48928.267714901333</v>
      </c>
      <c r="K1324" s="815">
        <v>-76992.759293798008</v>
      </c>
      <c r="L1324" s="815">
        <v>-32736.180531439484</v>
      </c>
      <c r="M1324" s="815">
        <v>0</v>
      </c>
      <c r="N1324" s="815">
        <v>-20597.205613785838</v>
      </c>
      <c r="O1324" s="815">
        <v>-671.82475241629174</v>
      </c>
      <c r="P1324" s="772">
        <v>0</v>
      </c>
      <c r="Q1324" s="774"/>
      <c r="R1324" s="774">
        <v>2091</v>
      </c>
      <c r="S1324" s="774"/>
      <c r="T1324" s="774"/>
      <c r="U1324" s="774"/>
      <c r="V1324" s="774"/>
    </row>
    <row r="1325" spans="1:22" hidden="1">
      <c r="A1325" s="786">
        <v>1325</v>
      </c>
      <c r="B1325" s="767"/>
      <c r="C1325" s="767"/>
      <c r="D1325" s="767"/>
      <c r="E1325" s="767"/>
      <c r="F1325" s="806"/>
      <c r="G1325" s="778"/>
      <c r="H1325" s="788"/>
      <c r="I1325" s="788"/>
      <c r="J1325" s="788"/>
      <c r="K1325" s="788"/>
      <c r="L1325" s="788"/>
      <c r="M1325" s="788"/>
      <c r="N1325" s="788"/>
      <c r="O1325" s="788"/>
      <c r="P1325" s="772"/>
      <c r="R1325" s="774"/>
    </row>
    <row r="1326" spans="1:22" hidden="1">
      <c r="A1326" s="786">
        <v>1326</v>
      </c>
      <c r="B1326" s="767"/>
      <c r="C1326" s="767" t="s">
        <v>1344</v>
      </c>
      <c r="D1326" s="775" t="s">
        <v>1063</v>
      </c>
      <c r="E1326" s="767"/>
      <c r="F1326" s="806" t="s">
        <v>1404</v>
      </c>
      <c r="G1326" s="778"/>
      <c r="H1326" s="815">
        <v>-1499292.0224534813</v>
      </c>
      <c r="I1326" s="815">
        <v>-641040.5303882336</v>
      </c>
      <c r="J1326" s="815">
        <v>-195772.23582702872</v>
      </c>
      <c r="K1326" s="815">
        <v>-308064.13824555895</v>
      </c>
      <c r="L1326" s="815">
        <v>-130984.30732149786</v>
      </c>
      <c r="M1326" s="815">
        <v>-138328.97030095352</v>
      </c>
      <c r="N1326" s="815">
        <v>-82413.728977611187</v>
      </c>
      <c r="O1326" s="815">
        <v>-2688.1113925973109</v>
      </c>
      <c r="P1326" s="772">
        <v>0</v>
      </c>
      <c r="Q1326" s="774"/>
      <c r="R1326" s="774">
        <v>2095</v>
      </c>
      <c r="S1326" s="774"/>
      <c r="T1326" s="774"/>
      <c r="U1326" s="774"/>
      <c r="V1326" s="774"/>
    </row>
    <row r="1327" spans="1:22" hidden="1">
      <c r="A1327" s="786">
        <v>1327</v>
      </c>
      <c r="B1327" s="767"/>
      <c r="C1327" s="767"/>
      <c r="D1327" s="767"/>
      <c r="E1327" s="767"/>
      <c r="F1327" s="806"/>
      <c r="G1327" s="778"/>
      <c r="H1327" s="788"/>
      <c r="I1327" s="788"/>
      <c r="J1327" s="788"/>
      <c r="K1327" s="788"/>
      <c r="L1327" s="788"/>
      <c r="M1327" s="788"/>
      <c r="N1327" s="788"/>
      <c r="O1327" s="788"/>
      <c r="P1327" s="772"/>
      <c r="R1327" s="774"/>
    </row>
    <row r="1328" spans="1:22" hidden="1">
      <c r="A1328" s="786">
        <v>1328</v>
      </c>
      <c r="B1328" s="767"/>
      <c r="C1328" s="767" t="s">
        <v>1345</v>
      </c>
      <c r="D1328" s="775" t="s">
        <v>1134</v>
      </c>
      <c r="E1328" s="767"/>
      <c r="F1328" s="806" t="s">
        <v>1399</v>
      </c>
      <c r="G1328" s="778"/>
      <c r="H1328" s="815">
        <v>-25511466.445360575</v>
      </c>
      <c r="I1328" s="815">
        <v>-11233068.4650093</v>
      </c>
      <c r="J1328" s="815">
        <v>-3430552.0857801368</v>
      </c>
      <c r="K1328" s="815">
        <v>-5398263.2805302758</v>
      </c>
      <c r="L1328" s="815">
        <v>-2295261.5665238933</v>
      </c>
      <c r="M1328" s="815">
        <v>-1663066.1984703948</v>
      </c>
      <c r="N1328" s="815">
        <v>-1444150.5898255128</v>
      </c>
      <c r="O1328" s="815">
        <v>-47104.259221066146</v>
      </c>
      <c r="P1328" s="772">
        <v>0</v>
      </c>
      <c r="Q1328" s="774"/>
      <c r="R1328" s="774">
        <v>2099</v>
      </c>
      <c r="S1328" s="774"/>
      <c r="T1328" s="774"/>
      <c r="U1328" s="774"/>
      <c r="V1328" s="774"/>
    </row>
    <row r="1329" spans="1:22" hidden="1">
      <c r="A1329" s="786">
        <v>1329</v>
      </c>
      <c r="B1329" s="767"/>
      <c r="C1329" s="767"/>
      <c r="D1329" s="775"/>
      <c r="E1329" s="767"/>
      <c r="F1329" s="806"/>
      <c r="G1329" s="778"/>
      <c r="H1329" s="815"/>
      <c r="I1329" s="815"/>
      <c r="J1329" s="815"/>
      <c r="K1329" s="815"/>
      <c r="L1329" s="815"/>
      <c r="M1329" s="815"/>
      <c r="N1329" s="815"/>
      <c r="O1329" s="815"/>
      <c r="P1329" s="772"/>
      <c r="Q1329" s="774"/>
      <c r="R1329" s="774"/>
      <c r="S1329" s="774"/>
      <c r="T1329" s="774"/>
      <c r="U1329" s="774"/>
      <c r="V1329" s="774"/>
    </row>
    <row r="1330" spans="1:22" hidden="1">
      <c r="A1330" s="786">
        <v>1330</v>
      </c>
      <c r="B1330" s="767"/>
      <c r="C1330" s="781" t="s">
        <v>714</v>
      </c>
      <c r="D1330" s="767"/>
      <c r="E1330" s="767"/>
      <c r="F1330" s="806"/>
      <c r="G1330" s="778"/>
      <c r="H1330" s="788"/>
      <c r="I1330" s="788"/>
      <c r="J1330" s="788"/>
      <c r="K1330" s="788"/>
      <c r="L1330" s="788"/>
      <c r="M1330" s="788"/>
      <c r="N1330" s="788"/>
      <c r="O1330" s="788"/>
      <c r="P1330" s="772"/>
      <c r="R1330" s="774"/>
    </row>
    <row r="1331" spans="1:22" hidden="1">
      <c r="A1331" s="786">
        <v>1331</v>
      </c>
      <c r="B1331" s="767"/>
      <c r="C1331" s="767"/>
      <c r="D1331" s="767"/>
      <c r="E1331" s="767"/>
      <c r="F1331" s="806"/>
      <c r="G1331" s="778"/>
      <c r="H1331" s="810"/>
      <c r="I1331" s="810"/>
      <c r="J1331" s="810"/>
      <c r="K1331" s="810"/>
      <c r="L1331" s="810"/>
      <c r="M1331" s="810"/>
      <c r="N1331" s="810"/>
      <c r="O1331" s="810"/>
      <c r="P1331" s="772"/>
      <c r="R1331" s="774"/>
    </row>
    <row r="1332" spans="1:22" hidden="1">
      <c r="A1332" s="786">
        <v>1332</v>
      </c>
      <c r="B1332" s="767"/>
      <c r="C1332" s="777" t="s">
        <v>575</v>
      </c>
      <c r="D1332" s="767"/>
      <c r="E1332" s="777" t="s">
        <v>576</v>
      </c>
      <c r="F1332" s="806" t="s">
        <v>577</v>
      </c>
      <c r="G1332" s="778"/>
      <c r="H1332" s="777" t="s">
        <v>578</v>
      </c>
      <c r="I1332" s="777" t="s">
        <v>579</v>
      </c>
      <c r="J1332" s="777" t="s">
        <v>580</v>
      </c>
      <c r="K1332" s="777" t="s">
        <v>581</v>
      </c>
      <c r="L1332" s="777" t="s">
        <v>582</v>
      </c>
      <c r="M1332" s="777" t="s">
        <v>583</v>
      </c>
      <c r="N1332" s="777" t="s">
        <v>584</v>
      </c>
      <c r="O1332" s="777" t="s">
        <v>585</v>
      </c>
      <c r="P1332" s="772"/>
      <c r="R1332" s="774"/>
    </row>
    <row r="1333" spans="1:22" ht="38.25" hidden="1">
      <c r="A1333" s="786">
        <v>1333</v>
      </c>
      <c r="B1333" s="767"/>
      <c r="C1333" s="797" t="s">
        <v>656</v>
      </c>
      <c r="D1333" s="781"/>
      <c r="E1333" s="782" t="s">
        <v>587</v>
      </c>
      <c r="F1333" s="806" t="s">
        <v>1391</v>
      </c>
      <c r="G1333" s="783"/>
      <c r="H1333" s="784" t="s">
        <v>588</v>
      </c>
      <c r="I1333" s="784" t="s">
        <v>589</v>
      </c>
      <c r="J1333" s="784" t="s">
        <v>590</v>
      </c>
      <c r="K1333" s="784" t="s">
        <v>591</v>
      </c>
      <c r="L1333" s="784" t="s">
        <v>592</v>
      </c>
      <c r="M1333" s="784" t="s">
        <v>593</v>
      </c>
      <c r="N1333" s="784" t="s">
        <v>594</v>
      </c>
      <c r="O1333" s="784" t="s">
        <v>595</v>
      </c>
      <c r="P1333" s="772"/>
      <c r="R1333" s="774"/>
    </row>
    <row r="1334" spans="1:22" hidden="1">
      <c r="A1334" s="786">
        <v>1334</v>
      </c>
      <c r="B1334" s="767"/>
      <c r="C1334" s="767"/>
      <c r="D1334" s="767"/>
      <c r="E1334" s="767"/>
      <c r="F1334" s="806"/>
      <c r="G1334" s="778"/>
      <c r="H1334" s="788"/>
      <c r="I1334" s="788"/>
      <c r="J1334" s="788"/>
      <c r="K1334" s="788"/>
      <c r="L1334" s="788"/>
      <c r="M1334" s="788"/>
      <c r="N1334" s="788"/>
      <c r="O1334" s="788"/>
      <c r="P1334" s="772"/>
      <c r="R1334" s="774"/>
    </row>
    <row r="1335" spans="1:22" hidden="1">
      <c r="A1335" s="786">
        <v>1335</v>
      </c>
      <c r="B1335" s="767"/>
      <c r="C1335" s="767" t="s">
        <v>1346</v>
      </c>
      <c r="D1335" s="775" t="s">
        <v>1159</v>
      </c>
      <c r="E1335" s="767"/>
      <c r="F1335" s="806" t="s">
        <v>1418</v>
      </c>
      <c r="G1335" s="778"/>
      <c r="H1335" s="815">
        <v>-74342788.67411077</v>
      </c>
      <c r="I1335" s="815">
        <v>-35154066.464850865</v>
      </c>
      <c r="J1335" s="815">
        <v>-10690830.458624698</v>
      </c>
      <c r="K1335" s="815">
        <v>-16748812.080118643</v>
      </c>
      <c r="L1335" s="815">
        <v>-7121346.7470321581</v>
      </c>
      <c r="M1335" s="815">
        <v>0</v>
      </c>
      <c r="N1335" s="815">
        <v>-4480664.5373554341</v>
      </c>
      <c r="O1335" s="815">
        <v>-147068.38612895549</v>
      </c>
      <c r="P1335" s="772">
        <v>0</v>
      </c>
      <c r="Q1335" s="774"/>
      <c r="R1335" s="774">
        <v>2103</v>
      </c>
      <c r="S1335" s="774"/>
      <c r="T1335" s="774"/>
      <c r="U1335" s="774"/>
      <c r="V1335" s="774"/>
    </row>
    <row r="1336" spans="1:22" hidden="1">
      <c r="A1336" s="786">
        <v>1336</v>
      </c>
      <c r="B1336" s="767"/>
      <c r="C1336" s="767"/>
      <c r="D1336" s="767"/>
      <c r="E1336" s="767"/>
      <c r="F1336" s="806"/>
      <c r="G1336" s="778"/>
      <c r="H1336" s="788"/>
      <c r="I1336" s="788"/>
      <c r="J1336" s="788"/>
      <c r="K1336" s="788"/>
      <c r="L1336" s="788"/>
      <c r="M1336" s="788"/>
      <c r="N1336" s="788"/>
      <c r="O1336" s="788"/>
      <c r="P1336" s="772"/>
      <c r="R1336" s="774"/>
    </row>
    <row r="1337" spans="1:22" hidden="1">
      <c r="A1337" s="786">
        <v>1337</v>
      </c>
      <c r="B1337" s="767"/>
      <c r="C1337" s="767" t="s">
        <v>1347</v>
      </c>
      <c r="D1337" s="775" t="s">
        <v>1140</v>
      </c>
      <c r="E1337" s="767"/>
      <c r="F1337" s="806" t="s">
        <v>1419</v>
      </c>
      <c r="G1337" s="778"/>
      <c r="H1337" s="815">
        <v>-36334315.766321488</v>
      </c>
      <c r="I1337" s="815">
        <v>-21642587.605950139</v>
      </c>
      <c r="J1337" s="815">
        <v>-5119180.0488259103</v>
      </c>
      <c r="K1337" s="815">
        <v>-5608290.3303204998</v>
      </c>
      <c r="L1337" s="815">
        <v>-2384561.9563460331</v>
      </c>
      <c r="M1337" s="815">
        <v>0</v>
      </c>
      <c r="N1337" s="815">
        <v>-1500337.3061955357</v>
      </c>
      <c r="O1337" s="815">
        <v>-79358.518683375791</v>
      </c>
      <c r="P1337" s="772">
        <v>0</v>
      </c>
      <c r="Q1337" s="774"/>
      <c r="R1337" s="774">
        <v>2107</v>
      </c>
      <c r="S1337" s="774"/>
      <c r="T1337" s="774"/>
      <c r="U1337" s="774"/>
      <c r="V1337" s="774"/>
    </row>
    <row r="1338" spans="1:22" hidden="1">
      <c r="A1338" s="786">
        <v>1338</v>
      </c>
      <c r="B1338" s="767"/>
      <c r="C1338" s="767"/>
      <c r="D1338" s="767"/>
      <c r="E1338" s="767"/>
      <c r="F1338" s="806"/>
      <c r="G1338" s="778"/>
      <c r="H1338" s="788"/>
      <c r="I1338" s="788"/>
      <c r="J1338" s="788"/>
      <c r="K1338" s="788"/>
      <c r="L1338" s="788"/>
      <c r="M1338" s="788"/>
      <c r="N1338" s="788"/>
      <c r="O1338" s="788"/>
      <c r="P1338" s="772"/>
      <c r="R1338" s="774"/>
    </row>
    <row r="1339" spans="1:22" hidden="1">
      <c r="A1339" s="786">
        <v>1339</v>
      </c>
      <c r="B1339" s="767"/>
      <c r="C1339" s="767" t="s">
        <v>1348</v>
      </c>
      <c r="D1339" s="775" t="s">
        <v>1142</v>
      </c>
      <c r="E1339" s="767"/>
      <c r="F1339" s="806" t="s">
        <v>1420</v>
      </c>
      <c r="G1339" s="778"/>
      <c r="H1339" s="815">
        <v>-12252024.424455926</v>
      </c>
      <c r="I1339" s="815">
        <v>-8151857.9067341806</v>
      </c>
      <c r="J1339" s="815">
        <v>-1705938.8010019637</v>
      </c>
      <c r="K1339" s="815">
        <v>-1397782.8105016623</v>
      </c>
      <c r="L1339" s="815">
        <v>-594316.54155576194</v>
      </c>
      <c r="M1339" s="815">
        <v>0</v>
      </c>
      <c r="N1339" s="815">
        <v>-373936.72100328706</v>
      </c>
      <c r="O1339" s="815">
        <v>-28191.643659069483</v>
      </c>
      <c r="P1339" s="772">
        <v>0</v>
      </c>
      <c r="Q1339" s="774"/>
      <c r="R1339" s="774">
        <v>2111</v>
      </c>
      <c r="S1339" s="774"/>
      <c r="T1339" s="774"/>
      <c r="U1339" s="774"/>
      <c r="V1339" s="774"/>
    </row>
    <row r="1340" spans="1:22" hidden="1">
      <c r="A1340" s="786">
        <v>1340</v>
      </c>
      <c r="B1340" s="767"/>
      <c r="C1340" s="767"/>
      <c r="D1340" s="767"/>
      <c r="E1340" s="767"/>
      <c r="F1340" s="806"/>
      <c r="G1340" s="778"/>
      <c r="H1340" s="788"/>
      <c r="I1340" s="788"/>
      <c r="J1340" s="788"/>
      <c r="K1340" s="788"/>
      <c r="L1340" s="788"/>
      <c r="M1340" s="788"/>
      <c r="N1340" s="788"/>
      <c r="O1340" s="788"/>
      <c r="P1340" s="772"/>
      <c r="R1340" s="774"/>
    </row>
    <row r="1341" spans="1:22" hidden="1">
      <c r="A1341" s="786">
        <v>1341</v>
      </c>
      <c r="B1341" s="767"/>
      <c r="C1341" s="767" t="s">
        <v>1349</v>
      </c>
      <c r="D1341" s="767" t="s">
        <v>1144</v>
      </c>
      <c r="E1341" s="767"/>
      <c r="F1341" s="806" t="s">
        <v>1421</v>
      </c>
      <c r="G1341" s="778"/>
      <c r="H1341" s="815">
        <v>-15899562.431960732</v>
      </c>
      <c r="I1341" s="815">
        <v>-10674299.338918103</v>
      </c>
      <c r="J1341" s="815">
        <v>-2211544.7017821376</v>
      </c>
      <c r="K1341" s="815">
        <v>-1758706.3015944418</v>
      </c>
      <c r="L1341" s="815">
        <v>-747775.86254677328</v>
      </c>
      <c r="M1341" s="815">
        <v>0</v>
      </c>
      <c r="N1341" s="815">
        <v>-470491.45452719921</v>
      </c>
      <c r="O1341" s="815">
        <v>-36744.772592076944</v>
      </c>
      <c r="P1341" s="772">
        <v>0</v>
      </c>
      <c r="Q1341" s="774"/>
      <c r="R1341" s="774">
        <v>2115</v>
      </c>
      <c r="S1341" s="774"/>
      <c r="T1341" s="774"/>
      <c r="U1341" s="774"/>
      <c r="V1341" s="774"/>
    </row>
    <row r="1342" spans="1:22" hidden="1">
      <c r="A1342" s="786">
        <v>1342</v>
      </c>
      <c r="B1342" s="767"/>
      <c r="C1342" s="767"/>
      <c r="D1342" s="767"/>
      <c r="E1342" s="767"/>
      <c r="F1342" s="806"/>
      <c r="G1342" s="778"/>
      <c r="H1342" s="788"/>
      <c r="I1342" s="788"/>
      <c r="J1342" s="788"/>
      <c r="K1342" s="788"/>
      <c r="L1342" s="788"/>
      <c r="M1342" s="788"/>
      <c r="N1342" s="788"/>
      <c r="O1342" s="788"/>
      <c r="P1342" s="772"/>
      <c r="R1342" s="774"/>
    </row>
    <row r="1343" spans="1:22" hidden="1">
      <c r="A1343" s="786">
        <v>1343</v>
      </c>
      <c r="B1343" s="767"/>
      <c r="C1343" s="767" t="s">
        <v>1350</v>
      </c>
      <c r="D1343" s="767" t="s">
        <v>1165</v>
      </c>
      <c r="E1343" s="767"/>
      <c r="F1343" s="806" t="s">
        <v>1407</v>
      </c>
      <c r="G1343" s="778"/>
      <c r="H1343" s="815">
        <v>-64568972.76185485</v>
      </c>
      <c r="I1343" s="815">
        <v>-34642433.590429001</v>
      </c>
      <c r="J1343" s="815">
        <v>-15470772.27338098</v>
      </c>
      <c r="K1343" s="815">
        <v>-5634862.7906275997</v>
      </c>
      <c r="L1343" s="815">
        <v>-686952.37176747608</v>
      </c>
      <c r="M1343" s="815">
        <v>0</v>
      </c>
      <c r="N1343" s="815">
        <v>-8000478.6522394167</v>
      </c>
      <c r="O1343" s="815">
        <v>-133473.08341037447</v>
      </c>
      <c r="P1343" s="772">
        <v>0</v>
      </c>
      <c r="Q1343" s="774"/>
      <c r="R1343" s="774">
        <v>2119</v>
      </c>
      <c r="S1343" s="774"/>
      <c r="T1343" s="774"/>
      <c r="U1343" s="774"/>
      <c r="V1343" s="774"/>
    </row>
    <row r="1344" spans="1:22" hidden="1">
      <c r="A1344" s="786">
        <v>1344</v>
      </c>
      <c r="B1344" s="767"/>
      <c r="C1344" s="767"/>
      <c r="D1344" s="767"/>
      <c r="E1344" s="767"/>
      <c r="F1344" s="806"/>
      <c r="G1344" s="778"/>
      <c r="H1344" s="788"/>
      <c r="I1344" s="788"/>
      <c r="J1344" s="788"/>
      <c r="K1344" s="788"/>
      <c r="L1344" s="788"/>
      <c r="M1344" s="788"/>
      <c r="N1344" s="788"/>
      <c r="O1344" s="788"/>
      <c r="P1344" s="772"/>
      <c r="R1344" s="774"/>
    </row>
    <row r="1345" spans="1:22" hidden="1">
      <c r="A1345" s="786">
        <v>1345</v>
      </c>
      <c r="B1345" s="767"/>
      <c r="C1345" s="767" t="s">
        <v>1351</v>
      </c>
      <c r="D1345" s="767" t="s">
        <v>994</v>
      </c>
      <c r="E1345" s="767"/>
      <c r="F1345" s="806" t="s">
        <v>1422</v>
      </c>
      <c r="G1345" s="778"/>
      <c r="H1345" s="815">
        <v>-31461451.897854395</v>
      </c>
      <c r="I1345" s="815">
        <v>-23003377.392187472</v>
      </c>
      <c r="J1345" s="815">
        <v>-6399916.8639543336</v>
      </c>
      <c r="K1345" s="815">
        <v>-1644582.2637705768</v>
      </c>
      <c r="L1345" s="815">
        <v>-413575.37794201594</v>
      </c>
      <c r="M1345" s="815">
        <v>0</v>
      </c>
      <c r="N1345" s="815">
        <v>0</v>
      </c>
      <c r="O1345" s="815">
        <v>0</v>
      </c>
      <c r="P1345" s="772">
        <v>0</v>
      </c>
      <c r="Q1345" s="774"/>
      <c r="R1345" s="774">
        <v>2123</v>
      </c>
      <c r="S1345" s="774"/>
      <c r="T1345" s="774"/>
      <c r="U1345" s="774"/>
      <c r="V1345" s="774"/>
    </row>
    <row r="1346" spans="1:22" hidden="1">
      <c r="A1346" s="786">
        <v>1346</v>
      </c>
      <c r="B1346" s="767"/>
      <c r="C1346" s="767"/>
      <c r="D1346" s="767"/>
      <c r="E1346" s="767"/>
      <c r="F1346" s="806"/>
      <c r="G1346" s="778"/>
      <c r="H1346" s="788"/>
      <c r="I1346" s="788"/>
      <c r="J1346" s="788"/>
      <c r="K1346" s="788"/>
      <c r="L1346" s="788"/>
      <c r="M1346" s="788"/>
      <c r="N1346" s="788"/>
      <c r="O1346" s="788"/>
      <c r="P1346" s="772"/>
      <c r="R1346" s="774"/>
    </row>
    <row r="1347" spans="1:22" hidden="1">
      <c r="A1347" s="786">
        <v>1347</v>
      </c>
      <c r="B1347" s="767"/>
      <c r="C1347" s="767" t="s">
        <v>1352</v>
      </c>
      <c r="D1347" s="767" t="s">
        <v>995</v>
      </c>
      <c r="E1347" s="767"/>
      <c r="F1347" s="806" t="s">
        <v>1403</v>
      </c>
      <c r="G1347" s="778"/>
      <c r="H1347" s="815">
        <v>-6004966.2802861473</v>
      </c>
      <c r="I1347" s="815">
        <v>-4044170.872264225</v>
      </c>
      <c r="J1347" s="815">
        <v>-1040332.6413245075</v>
      </c>
      <c r="K1347" s="815">
        <v>-454100.34374326712</v>
      </c>
      <c r="L1347" s="815">
        <v>-79706.515585591289</v>
      </c>
      <c r="M1347" s="815">
        <v>-46795.445977842232</v>
      </c>
      <c r="N1347" s="815">
        <v>-339860.46139071422</v>
      </c>
      <c r="O1347" s="815">
        <v>0</v>
      </c>
      <c r="P1347" s="772">
        <v>0</v>
      </c>
      <c r="Q1347" s="774"/>
      <c r="R1347" s="774">
        <v>2127</v>
      </c>
      <c r="S1347" s="774"/>
      <c r="T1347" s="774"/>
      <c r="U1347" s="774"/>
      <c r="V1347" s="774"/>
    </row>
    <row r="1348" spans="1:22" hidden="1">
      <c r="A1348" s="786">
        <v>1348</v>
      </c>
      <c r="B1348" s="767"/>
      <c r="C1348" s="767"/>
      <c r="D1348" s="767"/>
      <c r="E1348" s="767"/>
      <c r="F1348" s="806"/>
      <c r="G1348" s="778"/>
      <c r="H1348" s="788"/>
      <c r="I1348" s="788"/>
      <c r="J1348" s="788"/>
      <c r="K1348" s="788"/>
      <c r="L1348" s="788"/>
      <c r="M1348" s="788"/>
      <c r="N1348" s="788"/>
      <c r="O1348" s="788"/>
      <c r="P1348" s="772"/>
      <c r="R1348" s="774"/>
    </row>
    <row r="1349" spans="1:22" hidden="1">
      <c r="A1349" s="786">
        <v>1349</v>
      </c>
      <c r="B1349" s="767"/>
      <c r="C1349" s="767" t="s">
        <v>1353</v>
      </c>
      <c r="D1349" s="767" t="s">
        <v>1169</v>
      </c>
      <c r="E1349" s="767"/>
      <c r="F1349" s="806" t="s">
        <v>1423</v>
      </c>
      <c r="G1349" s="778"/>
      <c r="H1349" s="815">
        <v>-381179.30636343086</v>
      </c>
      <c r="I1349" s="815">
        <v>0</v>
      </c>
      <c r="J1349" s="815">
        <v>0</v>
      </c>
      <c r="K1349" s="815">
        <v>0</v>
      </c>
      <c r="L1349" s="815">
        <v>0</v>
      </c>
      <c r="M1349" s="815">
        <v>0</v>
      </c>
      <c r="N1349" s="815">
        <v>0</v>
      </c>
      <c r="O1349" s="815">
        <v>-381179.30636343086</v>
      </c>
      <c r="P1349" s="772">
        <v>0</v>
      </c>
      <c r="Q1349" s="774"/>
      <c r="R1349" s="774">
        <v>2131</v>
      </c>
      <c r="S1349" s="774"/>
      <c r="T1349" s="774"/>
      <c r="U1349" s="774"/>
      <c r="V1349" s="774"/>
    </row>
    <row r="1350" spans="1:22" hidden="1">
      <c r="A1350" s="786">
        <v>1350</v>
      </c>
      <c r="B1350" s="767"/>
      <c r="C1350" s="767"/>
      <c r="D1350" s="767"/>
      <c r="E1350" s="767"/>
      <c r="F1350" s="806"/>
      <c r="G1350" s="778"/>
      <c r="H1350" s="788"/>
      <c r="I1350" s="788"/>
      <c r="J1350" s="788"/>
      <c r="K1350" s="788"/>
      <c r="L1350" s="788"/>
      <c r="M1350" s="788"/>
      <c r="N1350" s="788"/>
      <c r="O1350" s="788"/>
      <c r="P1350" s="772"/>
      <c r="R1350" s="774"/>
    </row>
    <row r="1351" spans="1:22" hidden="1">
      <c r="A1351" s="786">
        <v>1351</v>
      </c>
      <c r="B1351" s="767"/>
      <c r="C1351" s="767" t="s">
        <v>1354</v>
      </c>
      <c r="D1351" s="767" t="s">
        <v>997</v>
      </c>
      <c r="E1351" s="767"/>
      <c r="F1351" s="806" t="s">
        <v>1424</v>
      </c>
      <c r="G1351" s="778"/>
      <c r="H1351" s="815">
        <v>0</v>
      </c>
      <c r="I1351" s="815">
        <v>0</v>
      </c>
      <c r="J1351" s="815">
        <v>0</v>
      </c>
      <c r="K1351" s="815">
        <v>0</v>
      </c>
      <c r="L1351" s="815">
        <v>0</v>
      </c>
      <c r="M1351" s="815">
        <v>0</v>
      </c>
      <c r="N1351" s="815">
        <v>0</v>
      </c>
      <c r="O1351" s="815">
        <v>0</v>
      </c>
      <c r="P1351" s="772">
        <v>0</v>
      </c>
      <c r="Q1351" s="774"/>
      <c r="R1351" s="774">
        <v>2135</v>
      </c>
      <c r="S1351" s="774"/>
      <c r="T1351" s="774"/>
      <c r="U1351" s="774"/>
      <c r="V1351" s="774"/>
    </row>
    <row r="1352" spans="1:22" hidden="1">
      <c r="A1352" s="786">
        <v>1352</v>
      </c>
      <c r="B1352" s="767"/>
      <c r="C1352" s="767"/>
      <c r="D1352" s="767"/>
      <c r="E1352" s="767"/>
      <c r="F1352" s="806"/>
      <c r="G1352" s="778"/>
      <c r="H1352" s="788"/>
      <c r="I1352" s="788"/>
      <c r="J1352" s="788"/>
      <c r="K1352" s="788"/>
      <c r="L1352" s="788"/>
      <c r="M1352" s="788"/>
      <c r="N1352" s="788"/>
      <c r="O1352" s="788"/>
      <c r="P1352" s="772"/>
      <c r="R1352" s="774"/>
    </row>
    <row r="1353" spans="1:22" hidden="1">
      <c r="A1353" s="786">
        <v>1353</v>
      </c>
      <c r="B1353" s="767"/>
      <c r="C1353" s="767" t="s">
        <v>1355</v>
      </c>
      <c r="D1353" s="767" t="s">
        <v>1172</v>
      </c>
      <c r="E1353" s="767"/>
      <c r="F1353" s="806" t="s">
        <v>1402</v>
      </c>
      <c r="G1353" s="778"/>
      <c r="H1353" s="815">
        <v>-2362957.0242237644</v>
      </c>
      <c r="I1353" s="815">
        <v>0</v>
      </c>
      <c r="J1353" s="815">
        <v>0</v>
      </c>
      <c r="K1353" s="815">
        <v>0</v>
      </c>
      <c r="L1353" s="815">
        <v>0</v>
      </c>
      <c r="M1353" s="815">
        <v>0</v>
      </c>
      <c r="N1353" s="815">
        <v>0</v>
      </c>
      <c r="O1353" s="815">
        <v>-2362957.0242237644</v>
      </c>
      <c r="P1353" s="772">
        <v>0</v>
      </c>
      <c r="Q1353" s="774"/>
      <c r="R1353" s="774">
        <v>2139</v>
      </c>
      <c r="S1353" s="774"/>
      <c r="T1353" s="774"/>
      <c r="U1353" s="774"/>
      <c r="V1353" s="774"/>
    </row>
    <row r="1354" spans="1:22" hidden="1">
      <c r="A1354" s="786">
        <v>1354</v>
      </c>
      <c r="B1354" s="767"/>
      <c r="C1354" s="767"/>
      <c r="D1354" s="767"/>
      <c r="E1354" s="767"/>
      <c r="F1354" s="806"/>
      <c r="G1354" s="778"/>
      <c r="H1354" s="788"/>
      <c r="I1354" s="788"/>
      <c r="J1354" s="788"/>
      <c r="K1354" s="788"/>
      <c r="L1354" s="788"/>
      <c r="M1354" s="788"/>
      <c r="N1354" s="788"/>
      <c r="O1354" s="788"/>
      <c r="P1354" s="772"/>
      <c r="R1354" s="774"/>
    </row>
    <row r="1355" spans="1:22" hidden="1">
      <c r="A1355" s="786">
        <v>1355</v>
      </c>
      <c r="B1355" s="767"/>
      <c r="C1355" s="767" t="s">
        <v>1356</v>
      </c>
      <c r="D1355" s="767" t="s">
        <v>1174</v>
      </c>
      <c r="E1355" s="767"/>
      <c r="F1355" s="806" t="s">
        <v>1418</v>
      </c>
      <c r="G1355" s="778"/>
      <c r="H1355" s="815">
        <v>0</v>
      </c>
      <c r="I1355" s="815">
        <v>0</v>
      </c>
      <c r="J1355" s="815">
        <v>0</v>
      </c>
      <c r="K1355" s="815">
        <v>0</v>
      </c>
      <c r="L1355" s="815">
        <v>0</v>
      </c>
      <c r="M1355" s="815">
        <v>0</v>
      </c>
      <c r="N1355" s="815">
        <v>0</v>
      </c>
      <c r="O1355" s="815">
        <v>0</v>
      </c>
      <c r="P1355" s="772">
        <v>0</v>
      </c>
      <c r="Q1355" s="774"/>
      <c r="R1355" s="774">
        <v>2143</v>
      </c>
      <c r="S1355" s="774"/>
      <c r="T1355" s="774"/>
      <c r="U1355" s="774"/>
      <c r="V1355" s="774"/>
    </row>
    <row r="1356" spans="1:22" hidden="1">
      <c r="A1356" s="786">
        <v>1356</v>
      </c>
      <c r="B1356" s="767"/>
      <c r="C1356" s="767"/>
      <c r="D1356" s="767"/>
      <c r="E1356" s="767"/>
      <c r="F1356" s="806"/>
      <c r="G1356" s="778"/>
      <c r="H1356" s="788"/>
      <c r="I1356" s="788"/>
      <c r="J1356" s="788"/>
      <c r="K1356" s="788"/>
      <c r="L1356" s="788"/>
      <c r="M1356" s="788"/>
      <c r="N1356" s="788"/>
      <c r="O1356" s="788"/>
      <c r="P1356" s="772"/>
      <c r="R1356" s="774"/>
    </row>
    <row r="1357" spans="1:22" hidden="1">
      <c r="A1357" s="786">
        <v>1357</v>
      </c>
      <c r="B1357" s="767"/>
      <c r="C1357" s="767" t="s">
        <v>1357</v>
      </c>
      <c r="D1357" s="767" t="s">
        <v>1358</v>
      </c>
      <c r="E1357" s="767"/>
      <c r="F1357" s="806" t="s">
        <v>1399</v>
      </c>
      <c r="G1357" s="778"/>
      <c r="H1357" s="815">
        <v>0</v>
      </c>
      <c r="I1357" s="815">
        <v>0</v>
      </c>
      <c r="J1357" s="815">
        <v>0</v>
      </c>
      <c r="K1357" s="815">
        <v>0</v>
      </c>
      <c r="L1357" s="815">
        <v>0</v>
      </c>
      <c r="M1357" s="815">
        <v>0</v>
      </c>
      <c r="N1357" s="815">
        <v>0</v>
      </c>
      <c r="O1357" s="815">
        <v>0</v>
      </c>
      <c r="P1357" s="772">
        <v>0</v>
      </c>
      <c r="Q1357" s="774"/>
      <c r="R1357" s="774">
        <v>2147</v>
      </c>
      <c r="S1357" s="774"/>
      <c r="T1357" s="774"/>
      <c r="U1357" s="774"/>
      <c r="V1357" s="774"/>
    </row>
    <row r="1358" spans="1:22" hidden="1">
      <c r="A1358" s="786">
        <v>1358</v>
      </c>
      <c r="B1358" s="767"/>
      <c r="C1358" s="767"/>
      <c r="D1358" s="767"/>
      <c r="E1358" s="767"/>
      <c r="F1358" s="806"/>
      <c r="G1358" s="778"/>
      <c r="H1358" s="788"/>
      <c r="I1358" s="788"/>
      <c r="J1358" s="788"/>
      <c r="K1358" s="788"/>
      <c r="L1358" s="788"/>
      <c r="M1358" s="788"/>
      <c r="N1358" s="788"/>
      <c r="O1358" s="788"/>
      <c r="P1358" s="772"/>
      <c r="R1358" s="774"/>
    </row>
    <row r="1359" spans="1:22" hidden="1">
      <c r="A1359" s="786">
        <v>1359</v>
      </c>
      <c r="B1359" s="767"/>
      <c r="C1359" s="767" t="s">
        <v>1359</v>
      </c>
      <c r="D1359" s="767" t="s">
        <v>1176</v>
      </c>
      <c r="E1359" s="767"/>
      <c r="F1359" s="806" t="s">
        <v>1411</v>
      </c>
      <c r="G1359" s="778"/>
      <c r="H1359" s="808">
        <v>352743</v>
      </c>
      <c r="I1359" s="808">
        <v>195526.23417417993</v>
      </c>
      <c r="J1359" s="808">
        <v>59723.155017986275</v>
      </c>
      <c r="K1359" s="808">
        <v>49992.426194433909</v>
      </c>
      <c r="L1359" s="808">
        <v>18622.766514776977</v>
      </c>
      <c r="M1359" s="808">
        <v>3813.3168886686753</v>
      </c>
      <c r="N1359" s="808">
        <v>20882.068150753508</v>
      </c>
      <c r="O1359" s="808">
        <v>4183.0330592006467</v>
      </c>
      <c r="P1359" s="772">
        <v>0</v>
      </c>
      <c r="Q1359" s="774"/>
      <c r="R1359" s="774">
        <v>2151</v>
      </c>
      <c r="S1359" s="774"/>
      <c r="T1359" s="774"/>
      <c r="U1359" s="774"/>
      <c r="V1359" s="774"/>
    </row>
    <row r="1360" spans="1:22" hidden="1">
      <c r="A1360" s="786">
        <v>1360</v>
      </c>
      <c r="B1360" s="767"/>
      <c r="C1360" s="767"/>
      <c r="D1360" s="767"/>
      <c r="E1360" s="767"/>
      <c r="F1360" s="806"/>
      <c r="G1360" s="778"/>
      <c r="H1360" s="788"/>
      <c r="I1360" s="788"/>
      <c r="J1360" s="788"/>
      <c r="K1360" s="788"/>
      <c r="L1360" s="788"/>
      <c r="M1360" s="788"/>
      <c r="N1360" s="788"/>
      <c r="O1360" s="788"/>
      <c r="P1360" s="772"/>
      <c r="R1360" s="774"/>
    </row>
    <row r="1361" spans="1:22" hidden="1">
      <c r="A1361" s="786">
        <v>1361</v>
      </c>
      <c r="B1361" s="767"/>
      <c r="C1361" s="767"/>
      <c r="D1361" s="767"/>
      <c r="E1361" s="767"/>
      <c r="F1361" s="806"/>
      <c r="G1361" s="778"/>
      <c r="H1361" s="788"/>
      <c r="I1361" s="788"/>
      <c r="J1361" s="788"/>
      <c r="K1361" s="788"/>
      <c r="L1361" s="788"/>
      <c r="M1361" s="788"/>
      <c r="N1361" s="788"/>
      <c r="O1361" s="788"/>
      <c r="P1361" s="772"/>
      <c r="R1361" s="774"/>
    </row>
    <row r="1362" spans="1:22" hidden="1">
      <c r="A1362" s="786">
        <v>1362</v>
      </c>
      <c r="B1362" s="767"/>
      <c r="C1362" s="767" t="s">
        <v>1360</v>
      </c>
      <c r="D1362" s="767"/>
      <c r="E1362" s="767"/>
      <c r="F1362" s="806"/>
      <c r="G1362" s="778"/>
      <c r="H1362" s="815">
        <v>-270606371.97301036</v>
      </c>
      <c r="I1362" s="815">
        <v>-149151587.6324158</v>
      </c>
      <c r="J1362" s="815">
        <v>-46254045.223198608</v>
      </c>
      <c r="K1362" s="815">
        <v>-38980464.672551885</v>
      </c>
      <c r="L1362" s="815">
        <v>-14468594.660637867</v>
      </c>
      <c r="M1362" s="815">
        <v>-1844377.2978605221</v>
      </c>
      <c r="N1362" s="815">
        <v>-16692048.588977745</v>
      </c>
      <c r="O1362" s="815">
        <v>-3215253.8973679268</v>
      </c>
      <c r="P1362" s="772">
        <v>0</v>
      </c>
      <c r="Q1362" s="774"/>
      <c r="R1362" s="774"/>
      <c r="S1362" s="774"/>
      <c r="T1362" s="774"/>
      <c r="U1362" s="774"/>
      <c r="V1362" s="774"/>
    </row>
    <row r="1363" spans="1:22" hidden="1">
      <c r="A1363" s="786">
        <v>1363</v>
      </c>
      <c r="B1363" s="767"/>
      <c r="C1363" s="767"/>
      <c r="D1363" s="767"/>
      <c r="E1363" s="767"/>
      <c r="F1363" s="806"/>
      <c r="G1363" s="778"/>
      <c r="H1363" s="788"/>
      <c r="I1363" s="788"/>
      <c r="J1363" s="788"/>
      <c r="K1363" s="788"/>
      <c r="L1363" s="788"/>
      <c r="M1363" s="788"/>
      <c r="N1363" s="788"/>
      <c r="O1363" s="788"/>
      <c r="P1363" s="772"/>
      <c r="Q1363" s="774"/>
      <c r="R1363" s="774"/>
      <c r="S1363" s="774"/>
      <c r="T1363" s="774"/>
      <c r="U1363" s="774"/>
      <c r="V1363" s="774"/>
    </row>
    <row r="1364" spans="1:22" hidden="1">
      <c r="A1364" s="786">
        <v>1364</v>
      </c>
      <c r="B1364" s="767"/>
      <c r="C1364" s="767"/>
      <c r="D1364" s="767"/>
      <c r="E1364" s="767"/>
      <c r="F1364" s="806"/>
      <c r="H1364" s="817" t="s">
        <v>1178</v>
      </c>
      <c r="I1364" s="817"/>
      <c r="J1364" s="817"/>
      <c r="K1364" s="817"/>
      <c r="L1364" s="817"/>
      <c r="M1364" s="817"/>
      <c r="N1364" s="817"/>
      <c r="O1364" s="817"/>
      <c r="P1364" s="772"/>
      <c r="R1364" s="774"/>
    </row>
    <row r="1365" spans="1:22" hidden="1">
      <c r="A1365" s="786">
        <v>1365</v>
      </c>
      <c r="B1365" s="767"/>
      <c r="C1365" s="767" t="s">
        <v>1361</v>
      </c>
      <c r="D1365" s="775" t="s">
        <v>1362</v>
      </c>
      <c r="E1365" s="767"/>
      <c r="F1365" s="806"/>
      <c r="G1365" s="778"/>
      <c r="H1365" s="788"/>
      <c r="I1365" s="788"/>
      <c r="J1365" s="788"/>
      <c r="K1365" s="788"/>
      <c r="L1365" s="788"/>
      <c r="M1365" s="788"/>
      <c r="N1365" s="788"/>
      <c r="O1365" s="788"/>
      <c r="P1365" s="772"/>
      <c r="R1365" s="774"/>
    </row>
    <row r="1366" spans="1:22" hidden="1">
      <c r="A1366" s="786">
        <v>1366</v>
      </c>
      <c r="B1366" s="767"/>
      <c r="C1366" s="767"/>
      <c r="D1366" s="767"/>
      <c r="E1366" s="767" t="s">
        <v>727</v>
      </c>
      <c r="F1366" s="806" t="s">
        <v>1425</v>
      </c>
      <c r="G1366" s="778"/>
      <c r="H1366" s="815">
        <v>-25429456.711387709</v>
      </c>
      <c r="I1366" s="815">
        <v>-13255171.324803438</v>
      </c>
      <c r="J1366" s="815">
        <v>-4020995.4919363079</v>
      </c>
      <c r="K1366" s="815">
        <v>-4154524.8932707673</v>
      </c>
      <c r="L1366" s="815">
        <v>-1601171.1815193594</v>
      </c>
      <c r="M1366" s="815">
        <v>-847469.47140964074</v>
      </c>
      <c r="N1366" s="815">
        <v>-1331749.3055267422</v>
      </c>
      <c r="O1366" s="815">
        <v>-218375.04292144999</v>
      </c>
      <c r="P1366" s="772">
        <v>0</v>
      </c>
      <c r="Q1366" s="774"/>
      <c r="R1366" s="774">
        <v>2157</v>
      </c>
      <c r="S1366" s="774"/>
      <c r="T1366" s="774"/>
      <c r="U1366" s="774"/>
      <c r="V1366" s="774"/>
    </row>
    <row r="1367" spans="1:22" hidden="1">
      <c r="A1367" s="786">
        <v>1367</v>
      </c>
      <c r="B1367" s="767"/>
      <c r="C1367" s="767"/>
      <c r="D1367" s="767"/>
      <c r="E1367" s="767" t="s">
        <v>1196</v>
      </c>
      <c r="F1367" s="806" t="s">
        <v>1426</v>
      </c>
      <c r="G1367" s="778"/>
      <c r="H1367" s="815">
        <v>1931.598069928471</v>
      </c>
      <c r="I1367" s="815">
        <v>839.50908180656472</v>
      </c>
      <c r="J1367" s="815">
        <v>257.11093704800089</v>
      </c>
      <c r="K1367" s="815">
        <v>421.933945679153</v>
      </c>
      <c r="L1367" s="815">
        <v>171.34659294825235</v>
      </c>
      <c r="M1367" s="815">
        <v>165.49205583930365</v>
      </c>
      <c r="N1367" s="815">
        <v>73.600891255676544</v>
      </c>
      <c r="O1367" s="815">
        <v>2.6045653515197129</v>
      </c>
      <c r="P1367" s="772">
        <v>0</v>
      </c>
      <c r="Q1367" s="774"/>
      <c r="R1367" s="774">
        <v>2158</v>
      </c>
      <c r="S1367" s="774"/>
      <c r="T1367" s="774"/>
      <c r="U1367" s="774"/>
      <c r="V1367" s="774"/>
    </row>
    <row r="1368" spans="1:22" hidden="1">
      <c r="A1368" s="786">
        <v>1368</v>
      </c>
      <c r="B1368" s="767"/>
      <c r="C1368" s="767"/>
      <c r="D1368" s="767"/>
      <c r="E1368" s="767" t="s">
        <v>1191</v>
      </c>
      <c r="F1368" s="806" t="s">
        <v>1426</v>
      </c>
      <c r="G1368" s="778"/>
      <c r="H1368" s="815">
        <v>0</v>
      </c>
      <c r="I1368" s="815">
        <v>0</v>
      </c>
      <c r="J1368" s="815">
        <v>0</v>
      </c>
      <c r="K1368" s="815">
        <v>0</v>
      </c>
      <c r="L1368" s="815">
        <v>0</v>
      </c>
      <c r="M1368" s="815">
        <v>0</v>
      </c>
      <c r="N1368" s="815">
        <v>0</v>
      </c>
      <c r="O1368" s="815">
        <v>0</v>
      </c>
      <c r="P1368" s="772">
        <v>0</v>
      </c>
      <c r="Q1368" s="774"/>
      <c r="R1368" s="774">
        <v>2159</v>
      </c>
      <c r="S1368" s="774"/>
      <c r="T1368" s="774"/>
      <c r="U1368" s="774"/>
      <c r="V1368" s="774"/>
    </row>
    <row r="1369" spans="1:22" hidden="1">
      <c r="A1369" s="786">
        <v>1369</v>
      </c>
      <c r="B1369" s="767"/>
      <c r="C1369" s="767"/>
      <c r="D1369" s="767"/>
      <c r="E1369" s="767" t="s">
        <v>719</v>
      </c>
      <c r="F1369" s="806" t="s">
        <v>1426</v>
      </c>
      <c r="G1369" s="778"/>
      <c r="H1369" s="815">
        <v>-7791522.7139448579</v>
      </c>
      <c r="I1369" s="815">
        <v>-3386343.2467092201</v>
      </c>
      <c r="J1369" s="815">
        <v>-1037113.122652545</v>
      </c>
      <c r="K1369" s="815">
        <v>-1701962.7285428154</v>
      </c>
      <c r="L1369" s="815">
        <v>-691163.90811200719</v>
      </c>
      <c r="M1369" s="815">
        <v>-667548.35393737699</v>
      </c>
      <c r="N1369" s="815">
        <v>-296885.270757402</v>
      </c>
      <c r="O1369" s="815">
        <v>-10506.083233491274</v>
      </c>
      <c r="P1369" s="772">
        <v>0</v>
      </c>
      <c r="Q1369" s="774"/>
      <c r="R1369" s="774">
        <v>2160</v>
      </c>
      <c r="S1369" s="774"/>
      <c r="T1369" s="774"/>
      <c r="U1369" s="774"/>
      <c r="V1369" s="774"/>
    </row>
    <row r="1370" spans="1:22" hidden="1">
      <c r="A1370" s="786">
        <v>1370</v>
      </c>
      <c r="B1370" s="767"/>
      <c r="C1370" s="767"/>
      <c r="D1370" s="767"/>
      <c r="E1370" s="767" t="s">
        <v>1003</v>
      </c>
      <c r="F1370" s="806" t="s">
        <v>1410</v>
      </c>
      <c r="G1370" s="778"/>
      <c r="H1370" s="815">
        <v>-332175.91108839225</v>
      </c>
      <c r="I1370" s="815">
        <v>-270849.93495784386</v>
      </c>
      <c r="J1370" s="815">
        <v>-47011.994350183748</v>
      </c>
      <c r="K1370" s="815">
        <v>-2736.2045414603836</v>
      </c>
      <c r="L1370" s="815">
        <v>-700.04713054831075</v>
      </c>
      <c r="M1370" s="815">
        <v>-10.857269560847959</v>
      </c>
      <c r="N1370" s="815">
        <v>-4601.092575952116</v>
      </c>
      <c r="O1370" s="815">
        <v>-6265.7802628429436</v>
      </c>
      <c r="P1370" s="772">
        <v>0</v>
      </c>
      <c r="Q1370" s="774"/>
      <c r="R1370" s="774">
        <v>2161</v>
      </c>
      <c r="S1370" s="774"/>
      <c r="T1370" s="774"/>
      <c r="U1370" s="774"/>
      <c r="V1370" s="774"/>
    </row>
    <row r="1371" spans="1:22" hidden="1">
      <c r="A1371" s="786">
        <v>1371</v>
      </c>
      <c r="B1371" s="767"/>
      <c r="C1371" s="767"/>
      <c r="D1371" s="767"/>
      <c r="E1371" s="767" t="s">
        <v>1005</v>
      </c>
      <c r="F1371" s="806" t="s">
        <v>1411</v>
      </c>
      <c r="G1371" s="778"/>
      <c r="H1371" s="815">
        <v>-7130526.3291732343</v>
      </c>
      <c r="I1371" s="815">
        <v>-3320712.7122686803</v>
      </c>
      <c r="J1371" s="815">
        <v>-1029666.6491555984</v>
      </c>
      <c r="K1371" s="815">
        <v>-1410222.1876356136</v>
      </c>
      <c r="L1371" s="815">
        <v>-563139.5623683139</v>
      </c>
      <c r="M1371" s="815">
        <v>-451382.69133439718</v>
      </c>
      <c r="N1371" s="815">
        <v>-322142.28207109659</v>
      </c>
      <c r="O1371" s="815">
        <v>-33260.244339533245</v>
      </c>
      <c r="P1371" s="772">
        <v>0</v>
      </c>
      <c r="Q1371" s="774"/>
      <c r="R1371" s="774">
        <v>2162</v>
      </c>
      <c r="S1371" s="774"/>
      <c r="T1371" s="774"/>
      <c r="U1371" s="774"/>
      <c r="V1371" s="774"/>
    </row>
    <row r="1372" spans="1:22" hidden="1">
      <c r="A1372" s="786">
        <v>1372</v>
      </c>
      <c r="B1372" s="767"/>
      <c r="C1372" s="767"/>
      <c r="D1372" s="767"/>
      <c r="E1372" s="767" t="s">
        <v>738</v>
      </c>
      <c r="F1372" s="806" t="s">
        <v>1392</v>
      </c>
      <c r="G1372" s="778"/>
      <c r="H1372" s="815">
        <v>0</v>
      </c>
      <c r="I1372" s="815">
        <v>0</v>
      </c>
      <c r="J1372" s="815">
        <v>0</v>
      </c>
      <c r="K1372" s="815">
        <v>0</v>
      </c>
      <c r="L1372" s="815">
        <v>0</v>
      </c>
      <c r="M1372" s="815">
        <v>0</v>
      </c>
      <c r="N1372" s="815">
        <v>0</v>
      </c>
      <c r="O1372" s="815">
        <v>0</v>
      </c>
      <c r="P1372" s="772">
        <v>0</v>
      </c>
      <c r="Q1372" s="774"/>
      <c r="R1372" s="774">
        <v>2163</v>
      </c>
      <c r="S1372" s="774"/>
      <c r="T1372" s="774"/>
      <c r="U1372" s="774"/>
      <c r="V1372" s="774"/>
    </row>
    <row r="1373" spans="1:22" hidden="1">
      <c r="A1373" s="786">
        <v>1373</v>
      </c>
      <c r="B1373" s="767"/>
      <c r="C1373" s="767"/>
      <c r="D1373" s="767"/>
      <c r="E1373" s="767" t="s">
        <v>718</v>
      </c>
      <c r="F1373" s="806" t="s">
        <v>1426</v>
      </c>
      <c r="G1373" s="778"/>
      <c r="H1373" s="815">
        <v>-1312646.2266117241</v>
      </c>
      <c r="I1373" s="815">
        <v>-570500.89539614622</v>
      </c>
      <c r="J1373" s="815">
        <v>-174723.56521310913</v>
      </c>
      <c r="K1373" s="815">
        <v>-286731.49466112588</v>
      </c>
      <c r="L1373" s="815">
        <v>-116441.12829571601</v>
      </c>
      <c r="M1373" s="815">
        <v>-112462.59043928483</v>
      </c>
      <c r="N1373" s="815">
        <v>-50016.581444193151</v>
      </c>
      <c r="O1373" s="815">
        <v>-1769.9711621489632</v>
      </c>
      <c r="P1373" s="772">
        <v>0</v>
      </c>
      <c r="Q1373" s="774"/>
      <c r="R1373" s="774">
        <v>2164</v>
      </c>
      <c r="S1373" s="774"/>
      <c r="T1373" s="774"/>
      <c r="U1373" s="774"/>
      <c r="V1373" s="774"/>
    </row>
    <row r="1374" spans="1:22" hidden="1">
      <c r="A1374" s="786">
        <v>1374</v>
      </c>
      <c r="B1374" s="767"/>
      <c r="C1374" s="767"/>
      <c r="D1374" s="767"/>
      <c r="E1374" s="767" t="s">
        <v>1192</v>
      </c>
      <c r="F1374" s="806" t="s">
        <v>1426</v>
      </c>
      <c r="G1374" s="778"/>
      <c r="H1374" s="815">
        <v>72.497943240430459</v>
      </c>
      <c r="I1374" s="815">
        <v>30.322244863999533</v>
      </c>
      <c r="J1374" s="815">
        <v>9.6883793855476785</v>
      </c>
      <c r="K1374" s="815">
        <v>16.441352426754133</v>
      </c>
      <c r="L1374" s="815">
        <v>6.7023967159461026</v>
      </c>
      <c r="M1374" s="815">
        <v>6.3386418162618599</v>
      </c>
      <c r="N1374" s="815">
        <v>2.8882598661896641</v>
      </c>
      <c r="O1374" s="815">
        <v>0.11666816573149152</v>
      </c>
      <c r="P1374" s="772">
        <v>0</v>
      </c>
      <c r="Q1374" s="774"/>
      <c r="R1374" s="774">
        <v>2165</v>
      </c>
      <c r="S1374" s="774"/>
      <c r="T1374" s="774"/>
      <c r="U1374" s="774"/>
      <c r="V1374" s="774"/>
    </row>
    <row r="1375" spans="1:22" hidden="1">
      <c r="A1375" s="786">
        <v>1375</v>
      </c>
      <c r="B1375" s="767"/>
      <c r="C1375" s="767"/>
      <c r="D1375" s="767"/>
      <c r="E1375" s="767" t="s">
        <v>1192</v>
      </c>
      <c r="F1375" s="806" t="s">
        <v>1426</v>
      </c>
      <c r="G1375" s="778"/>
      <c r="H1375" s="815">
        <v>0</v>
      </c>
      <c r="I1375" s="815">
        <v>0</v>
      </c>
      <c r="J1375" s="815">
        <v>0</v>
      </c>
      <c r="K1375" s="815">
        <v>0</v>
      </c>
      <c r="L1375" s="815">
        <v>0</v>
      </c>
      <c r="M1375" s="815">
        <v>0</v>
      </c>
      <c r="N1375" s="815">
        <v>0</v>
      </c>
      <c r="O1375" s="815">
        <v>0</v>
      </c>
      <c r="P1375" s="772">
        <v>0</v>
      </c>
      <c r="Q1375" s="774"/>
      <c r="R1375" s="774">
        <v>2166</v>
      </c>
      <c r="S1375" s="774"/>
      <c r="T1375" s="774"/>
      <c r="U1375" s="774"/>
      <c r="V1375" s="774"/>
    </row>
    <row r="1376" spans="1:22" hidden="1">
      <c r="A1376" s="786">
        <v>1376</v>
      </c>
      <c r="B1376" s="767"/>
      <c r="C1376" s="767"/>
      <c r="D1376" s="775" t="s">
        <v>1363</v>
      </c>
      <c r="E1376" s="767"/>
      <c r="F1376" s="806"/>
      <c r="G1376" s="778"/>
      <c r="H1376" s="815">
        <v>-41994323.796192743</v>
      </c>
      <c r="I1376" s="815">
        <v>-20802708.282808658</v>
      </c>
      <c r="J1376" s="815">
        <v>-6309244.023991311</v>
      </c>
      <c r="K1376" s="815">
        <v>-7555739.1333536776</v>
      </c>
      <c r="L1376" s="815">
        <v>-2972437.7784362808</v>
      </c>
      <c r="M1376" s="815">
        <v>-2078702.133692605</v>
      </c>
      <c r="N1376" s="815">
        <v>-2005318.0432242644</v>
      </c>
      <c r="O1376" s="815">
        <v>-270174.40068594919</v>
      </c>
      <c r="P1376" s="772">
        <v>0</v>
      </c>
      <c r="Q1376" s="774"/>
      <c r="R1376" s="774"/>
      <c r="S1376" s="774"/>
      <c r="T1376" s="774"/>
      <c r="U1376" s="774"/>
      <c r="V1376" s="774"/>
    </row>
    <row r="1377" spans="1:22" hidden="1">
      <c r="A1377" s="786">
        <v>1377</v>
      </c>
      <c r="B1377" s="767"/>
      <c r="C1377" s="767"/>
      <c r="D1377" s="767"/>
      <c r="E1377" s="767"/>
      <c r="F1377" s="806"/>
      <c r="G1377" s="778"/>
      <c r="H1377" s="788"/>
      <c r="I1377" s="788"/>
      <c r="J1377" s="788"/>
      <c r="K1377" s="788"/>
      <c r="L1377" s="788"/>
      <c r="M1377" s="788"/>
      <c r="N1377" s="788"/>
      <c r="O1377" s="788"/>
      <c r="P1377" s="772"/>
      <c r="R1377" s="774"/>
    </row>
    <row r="1378" spans="1:22" hidden="1">
      <c r="A1378" s="786">
        <v>1378</v>
      </c>
      <c r="B1378" s="767"/>
      <c r="C1378" s="767" t="s">
        <v>1364</v>
      </c>
      <c r="D1378" s="767" t="s">
        <v>1365</v>
      </c>
      <c r="E1378" s="767"/>
      <c r="F1378" s="806" t="s">
        <v>1392</v>
      </c>
      <c r="G1378" s="778"/>
      <c r="H1378" s="815">
        <v>-57337030.203123763</v>
      </c>
      <c r="I1378" s="815">
        <v>-23981197.146901745</v>
      </c>
      <c r="J1378" s="815">
        <v>-7662326.3587797554</v>
      </c>
      <c r="K1378" s="815">
        <v>-13003104.343893752</v>
      </c>
      <c r="L1378" s="815">
        <v>-5300778.2808548193</v>
      </c>
      <c r="M1378" s="815">
        <v>-5013092.5240249848</v>
      </c>
      <c r="N1378" s="815">
        <v>-2284261.260115766</v>
      </c>
      <c r="O1378" s="815">
        <v>-92270.288552945436</v>
      </c>
      <c r="P1378" s="772">
        <v>0</v>
      </c>
      <c r="Q1378" s="774"/>
      <c r="R1378" s="774">
        <v>2173</v>
      </c>
      <c r="S1378" s="774"/>
      <c r="T1378" s="774"/>
      <c r="U1378" s="774"/>
      <c r="V1378" s="774"/>
    </row>
    <row r="1379" spans="1:22" hidden="1">
      <c r="A1379" s="786">
        <v>1379</v>
      </c>
      <c r="B1379" s="767"/>
      <c r="C1379" s="767"/>
      <c r="D1379" s="767"/>
      <c r="E1379" s="767"/>
      <c r="F1379" s="806"/>
      <c r="G1379" s="778"/>
      <c r="H1379" s="788"/>
      <c r="I1379" s="788"/>
      <c r="J1379" s="788"/>
      <c r="K1379" s="788"/>
      <c r="L1379" s="788"/>
      <c r="M1379" s="788"/>
      <c r="N1379" s="788"/>
      <c r="O1379" s="788"/>
      <c r="P1379" s="772"/>
      <c r="R1379" s="774"/>
    </row>
    <row r="1380" spans="1:22" hidden="1">
      <c r="A1380" s="786">
        <v>1380</v>
      </c>
      <c r="B1380" s="767"/>
      <c r="C1380" s="767" t="s">
        <v>1366</v>
      </c>
      <c r="D1380" s="767" t="s">
        <v>1367</v>
      </c>
      <c r="E1380" s="767"/>
      <c r="F1380" s="806" t="s">
        <v>1392</v>
      </c>
      <c r="G1380" s="778"/>
      <c r="H1380" s="815">
        <v>0</v>
      </c>
      <c r="I1380" s="815">
        <v>0</v>
      </c>
      <c r="J1380" s="815">
        <v>0</v>
      </c>
      <c r="K1380" s="815">
        <v>0</v>
      </c>
      <c r="L1380" s="815">
        <v>0</v>
      </c>
      <c r="M1380" s="815">
        <v>0</v>
      </c>
      <c r="N1380" s="815">
        <v>0</v>
      </c>
      <c r="O1380" s="815">
        <v>0</v>
      </c>
      <c r="P1380" s="772">
        <v>0</v>
      </c>
      <c r="Q1380" s="774"/>
      <c r="R1380" s="774">
        <v>2180</v>
      </c>
      <c r="S1380" s="774"/>
      <c r="T1380" s="774"/>
      <c r="U1380" s="774"/>
      <c r="V1380" s="774"/>
    </row>
    <row r="1381" spans="1:22" hidden="1">
      <c r="A1381" s="786">
        <v>1381</v>
      </c>
      <c r="B1381" s="767"/>
      <c r="C1381" s="767"/>
      <c r="D1381" s="767" t="s">
        <v>1217</v>
      </c>
      <c r="E1381" s="767"/>
      <c r="F1381" s="806" t="s">
        <v>1392</v>
      </c>
      <c r="G1381" s="778"/>
      <c r="H1381" s="815">
        <v>0</v>
      </c>
      <c r="I1381" s="815">
        <v>0</v>
      </c>
      <c r="J1381" s="815">
        <v>0</v>
      </c>
      <c r="K1381" s="815">
        <v>0</v>
      </c>
      <c r="L1381" s="815">
        <v>0</v>
      </c>
      <c r="M1381" s="815">
        <v>0</v>
      </c>
      <c r="N1381" s="815">
        <v>0</v>
      </c>
      <c r="O1381" s="815">
        <v>0</v>
      </c>
      <c r="P1381" s="772">
        <v>0</v>
      </c>
      <c r="Q1381" s="774"/>
      <c r="R1381" s="774">
        <v>2183</v>
      </c>
      <c r="S1381" s="774"/>
      <c r="T1381" s="774"/>
      <c r="U1381" s="774"/>
      <c r="V1381" s="774"/>
    </row>
    <row r="1382" spans="1:22" hidden="1">
      <c r="A1382" s="786">
        <v>1382</v>
      </c>
      <c r="B1382" s="767"/>
      <c r="C1382" s="767"/>
      <c r="D1382" s="767"/>
      <c r="E1382" s="767"/>
      <c r="F1382" s="806"/>
      <c r="G1382" s="778"/>
      <c r="H1382" s="788"/>
      <c r="I1382" s="788"/>
      <c r="J1382" s="788"/>
      <c r="K1382" s="788"/>
      <c r="L1382" s="788"/>
      <c r="M1382" s="788"/>
      <c r="N1382" s="788"/>
      <c r="O1382" s="788"/>
      <c r="P1382" s="772"/>
      <c r="R1382" s="774"/>
    </row>
    <row r="1383" spans="1:22" hidden="1">
      <c r="A1383" s="786">
        <v>1383</v>
      </c>
      <c r="B1383" s="767"/>
      <c r="C1383" s="767" t="s">
        <v>1368</v>
      </c>
      <c r="D1383" s="767" t="s">
        <v>1369</v>
      </c>
      <c r="E1383" s="767"/>
      <c r="F1383" s="806" t="s">
        <v>1392</v>
      </c>
      <c r="G1383" s="778"/>
      <c r="H1383" s="815">
        <v>0</v>
      </c>
      <c r="I1383" s="815">
        <v>0</v>
      </c>
      <c r="J1383" s="815">
        <v>0</v>
      </c>
      <c r="K1383" s="815">
        <v>0</v>
      </c>
      <c r="L1383" s="815">
        <v>0</v>
      </c>
      <c r="M1383" s="815">
        <v>0</v>
      </c>
      <c r="N1383" s="815">
        <v>0</v>
      </c>
      <c r="O1383" s="815">
        <v>0</v>
      </c>
      <c r="P1383" s="772">
        <v>0</v>
      </c>
      <c r="Q1383" s="774"/>
      <c r="R1383" s="774">
        <v>2187</v>
      </c>
      <c r="S1383" s="774"/>
      <c r="T1383" s="774"/>
      <c r="U1383" s="774"/>
      <c r="V1383" s="774"/>
    </row>
    <row r="1384" spans="1:22" hidden="1">
      <c r="A1384" s="786">
        <v>1384</v>
      </c>
      <c r="B1384" s="767"/>
      <c r="C1384" s="767"/>
      <c r="D1384" s="767"/>
      <c r="E1384" s="767" t="s">
        <v>738</v>
      </c>
      <c r="F1384" s="806" t="s">
        <v>1392</v>
      </c>
      <c r="G1384" s="778"/>
      <c r="H1384" s="815">
        <v>0</v>
      </c>
      <c r="I1384" s="815">
        <v>0</v>
      </c>
      <c r="J1384" s="815">
        <v>0</v>
      </c>
      <c r="K1384" s="815">
        <v>0</v>
      </c>
      <c r="L1384" s="815">
        <v>0</v>
      </c>
      <c r="M1384" s="815">
        <v>0</v>
      </c>
      <c r="N1384" s="815">
        <v>0</v>
      </c>
      <c r="O1384" s="815">
        <v>0</v>
      </c>
      <c r="P1384" s="772">
        <v>0</v>
      </c>
      <c r="Q1384" s="774"/>
      <c r="R1384" s="774">
        <v>2188</v>
      </c>
      <c r="S1384" s="774"/>
      <c r="T1384" s="774"/>
      <c r="U1384" s="774"/>
      <c r="V1384" s="774"/>
    </row>
    <row r="1385" spans="1:22" hidden="1">
      <c r="A1385" s="786">
        <v>1385</v>
      </c>
      <c r="B1385" s="767"/>
      <c r="C1385" s="767"/>
      <c r="D1385" s="767" t="s">
        <v>1370</v>
      </c>
      <c r="E1385" s="767"/>
      <c r="F1385" s="806" t="s">
        <v>1392</v>
      </c>
      <c r="G1385" s="778"/>
      <c r="H1385" s="815">
        <v>0</v>
      </c>
      <c r="I1385" s="815">
        <v>0</v>
      </c>
      <c r="J1385" s="815">
        <v>0</v>
      </c>
      <c r="K1385" s="815">
        <v>0</v>
      </c>
      <c r="L1385" s="815">
        <v>0</v>
      </c>
      <c r="M1385" s="815">
        <v>0</v>
      </c>
      <c r="N1385" s="815">
        <v>0</v>
      </c>
      <c r="O1385" s="815">
        <v>0</v>
      </c>
      <c r="P1385" s="772">
        <v>0</v>
      </c>
      <c r="Q1385" s="774"/>
      <c r="R1385" s="774">
        <v>2191</v>
      </c>
      <c r="S1385" s="774"/>
      <c r="T1385" s="774"/>
      <c r="U1385" s="774"/>
      <c r="V1385" s="774"/>
    </row>
    <row r="1386" spans="1:22" hidden="1">
      <c r="A1386" s="786">
        <v>1386</v>
      </c>
      <c r="B1386" s="767"/>
      <c r="C1386" s="767"/>
      <c r="D1386" s="767"/>
      <c r="E1386" s="767"/>
      <c r="F1386" s="806"/>
      <c r="G1386" s="778"/>
      <c r="H1386" s="788"/>
      <c r="I1386" s="788"/>
      <c r="J1386" s="788"/>
      <c r="K1386" s="788"/>
      <c r="L1386" s="788"/>
      <c r="M1386" s="788"/>
      <c r="N1386" s="788"/>
      <c r="O1386" s="788"/>
      <c r="P1386" s="772"/>
      <c r="R1386" s="774"/>
    </row>
    <row r="1387" spans="1:22" hidden="1">
      <c r="A1387" s="786">
        <v>1387</v>
      </c>
      <c r="B1387" s="767"/>
      <c r="C1387" s="767" t="s">
        <v>1371</v>
      </c>
      <c r="D1387" s="767"/>
      <c r="E1387" s="767"/>
      <c r="F1387" s="806"/>
      <c r="G1387" s="778"/>
      <c r="H1387" s="827">
        <v>-99331353.999316528</v>
      </c>
      <c r="I1387" s="827">
        <v>-44783905.429710411</v>
      </c>
      <c r="J1387" s="827">
        <v>-13971570.382771065</v>
      </c>
      <c r="K1387" s="827">
        <v>-20558843.477247428</v>
      </c>
      <c r="L1387" s="827">
        <v>-8273216.0592911001</v>
      </c>
      <c r="M1387" s="827">
        <v>-7091794.6577175893</v>
      </c>
      <c r="N1387" s="827">
        <v>-4289579.3033400308</v>
      </c>
      <c r="O1387" s="827">
        <v>-362444.68923889461</v>
      </c>
      <c r="P1387" s="772">
        <v>0</v>
      </c>
      <c r="Q1387" s="774"/>
      <c r="R1387" s="774"/>
      <c r="S1387" s="774"/>
      <c r="T1387" s="774"/>
      <c r="U1387" s="774"/>
      <c r="V1387" s="774"/>
    </row>
    <row r="1388" spans="1:22" hidden="1">
      <c r="A1388" s="786">
        <v>1388</v>
      </c>
      <c r="B1388" s="767"/>
      <c r="C1388" s="767"/>
      <c r="D1388" s="767"/>
      <c r="E1388" s="767"/>
      <c r="F1388" s="806"/>
      <c r="G1388" s="778"/>
      <c r="H1388" s="788"/>
      <c r="I1388" s="788"/>
      <c r="J1388" s="788"/>
      <c r="K1388" s="788"/>
      <c r="L1388" s="788"/>
      <c r="M1388" s="788"/>
      <c r="N1388" s="788"/>
      <c r="O1388" s="788"/>
      <c r="P1388" s="772"/>
      <c r="R1388" s="774"/>
    </row>
    <row r="1389" spans="1:22" hidden="1">
      <c r="A1389" s="786">
        <v>1389</v>
      </c>
      <c r="B1389" s="767"/>
      <c r="C1389" s="767"/>
      <c r="D1389" s="767"/>
      <c r="E1389" s="767"/>
      <c r="F1389" s="806"/>
      <c r="G1389" s="778"/>
      <c r="H1389" s="788"/>
      <c r="I1389" s="788"/>
      <c r="J1389" s="788"/>
      <c r="K1389" s="788"/>
      <c r="L1389" s="788"/>
      <c r="M1389" s="788"/>
      <c r="N1389" s="788"/>
      <c r="O1389" s="788"/>
      <c r="P1389" s="772"/>
      <c r="R1389" s="774"/>
    </row>
    <row r="1390" spans="1:22" ht="13.5" hidden="1" thickBot="1">
      <c r="A1390" s="786">
        <v>1390</v>
      </c>
      <c r="B1390" s="767"/>
      <c r="C1390" s="767" t="s">
        <v>1372</v>
      </c>
      <c r="D1390" s="767"/>
      <c r="E1390" s="767"/>
      <c r="F1390" s="806"/>
      <c r="G1390" s="778"/>
      <c r="H1390" s="814">
        <v>-764511699.83147621</v>
      </c>
      <c r="I1390" s="814">
        <v>-363278266.01523256</v>
      </c>
      <c r="J1390" s="814">
        <v>-112815856.58103614</v>
      </c>
      <c r="K1390" s="814">
        <v>-146823592.01539832</v>
      </c>
      <c r="L1390" s="814">
        <v>-58234090.530791335</v>
      </c>
      <c r="M1390" s="814">
        <v>-42972027.1423309</v>
      </c>
      <c r="N1390" s="814">
        <v>-36243918.005090669</v>
      </c>
      <c r="O1390" s="814">
        <v>-4143949.5415964555</v>
      </c>
      <c r="P1390" s="772">
        <v>0</v>
      </c>
      <c r="Q1390" s="774"/>
      <c r="R1390" s="774"/>
      <c r="S1390" s="774"/>
      <c r="T1390" s="774"/>
      <c r="U1390" s="774"/>
      <c r="V1390" s="774"/>
    </row>
    <row r="1391" spans="1:22" ht="13.5" hidden="1" thickTop="1">
      <c r="A1391" s="786">
        <v>1391</v>
      </c>
      <c r="B1391" s="767"/>
      <c r="C1391" s="767"/>
      <c r="D1391" s="767"/>
      <c r="E1391" s="767"/>
      <c r="F1391" s="806"/>
      <c r="G1391" s="778"/>
      <c r="H1391" s="810"/>
      <c r="I1391" s="810"/>
      <c r="J1391" s="810"/>
      <c r="K1391" s="810"/>
      <c r="L1391" s="810"/>
      <c r="M1391" s="810"/>
      <c r="N1391" s="810"/>
      <c r="O1391" s="810"/>
      <c r="P1391" s="772"/>
      <c r="R1391" s="774"/>
    </row>
    <row r="1392" spans="1:22" hidden="1">
      <c r="A1392" s="786">
        <v>1392</v>
      </c>
      <c r="B1392" s="767"/>
      <c r="C1392" s="767"/>
      <c r="D1392" s="767"/>
      <c r="E1392" s="767"/>
      <c r="F1392" s="806"/>
      <c r="G1392" s="778"/>
      <c r="H1392" s="788"/>
      <c r="I1392" s="788"/>
      <c r="J1392" s="788"/>
      <c r="K1392" s="788"/>
      <c r="L1392" s="788"/>
      <c r="M1392" s="788"/>
      <c r="N1392" s="788"/>
      <c r="O1392" s="788"/>
      <c r="P1392" s="772"/>
      <c r="R1392" s="774"/>
    </row>
    <row r="1393" spans="1:22" hidden="1">
      <c r="A1393" s="786">
        <v>1393</v>
      </c>
      <c r="C1393" s="769"/>
      <c r="D1393" s="795"/>
      <c r="E1393" s="795"/>
      <c r="F1393" s="806"/>
      <c r="H1393" s="817" t="s">
        <v>1373</v>
      </c>
      <c r="I1393" s="817"/>
      <c r="J1393" s="817"/>
      <c r="K1393" s="817"/>
      <c r="L1393" s="817"/>
      <c r="M1393" s="817"/>
      <c r="N1393" s="817"/>
      <c r="O1393" s="817"/>
      <c r="P1393" s="772"/>
      <c r="R1393" s="774"/>
    </row>
    <row r="1394" spans="1:22" hidden="1">
      <c r="A1394" s="786">
        <v>1394</v>
      </c>
      <c r="B1394" s="767"/>
      <c r="C1394" s="767"/>
      <c r="D1394" s="767"/>
      <c r="E1394" s="767"/>
      <c r="F1394" s="806"/>
      <c r="G1394" s="778"/>
      <c r="H1394" s="788"/>
      <c r="I1394" s="788"/>
      <c r="J1394" s="788"/>
      <c r="K1394" s="788"/>
      <c r="L1394" s="788"/>
      <c r="M1394" s="788"/>
      <c r="N1394" s="788"/>
      <c r="O1394" s="788"/>
      <c r="P1394" s="772"/>
      <c r="R1394" s="774"/>
    </row>
    <row r="1395" spans="1:22" hidden="1">
      <c r="A1395" s="786">
        <v>1395</v>
      </c>
      <c r="B1395" s="767"/>
      <c r="C1395" s="767" t="s">
        <v>1374</v>
      </c>
      <c r="D1395" s="767" t="s">
        <v>1375</v>
      </c>
      <c r="E1395" s="767"/>
      <c r="F1395" s="806" t="s">
        <v>1392</v>
      </c>
      <c r="G1395" s="778"/>
      <c r="H1395" s="815">
        <v>0</v>
      </c>
      <c r="I1395" s="815">
        <v>0</v>
      </c>
      <c r="J1395" s="815">
        <v>0</v>
      </c>
      <c r="K1395" s="815">
        <v>0</v>
      </c>
      <c r="L1395" s="815">
        <v>0</v>
      </c>
      <c r="M1395" s="815">
        <v>0</v>
      </c>
      <c r="N1395" s="815">
        <v>0</v>
      </c>
      <c r="O1395" s="815">
        <v>0</v>
      </c>
      <c r="P1395" s="772">
        <v>0</v>
      </c>
      <c r="Q1395" s="774"/>
      <c r="R1395" s="774">
        <v>2204</v>
      </c>
      <c r="S1395" s="774"/>
      <c r="T1395" s="774"/>
      <c r="U1395" s="774"/>
      <c r="V1395" s="774"/>
    </row>
    <row r="1396" spans="1:22" hidden="1">
      <c r="A1396" s="786">
        <v>1396</v>
      </c>
      <c r="B1396" s="767"/>
      <c r="C1396" s="767"/>
      <c r="D1396" s="767"/>
      <c r="E1396" s="767"/>
      <c r="F1396" s="806"/>
      <c r="G1396" s="778"/>
      <c r="H1396" s="810"/>
      <c r="I1396" s="810"/>
      <c r="J1396" s="810"/>
      <c r="K1396" s="810"/>
      <c r="L1396" s="810"/>
      <c r="M1396" s="810"/>
      <c r="N1396" s="810"/>
      <c r="O1396" s="810"/>
      <c r="P1396" s="772"/>
      <c r="R1396" s="774"/>
    </row>
    <row r="1397" spans="1:22" hidden="1">
      <c r="A1397" s="786">
        <v>1397</v>
      </c>
      <c r="B1397" s="767"/>
      <c r="C1397" s="767" t="s">
        <v>1376</v>
      </c>
      <c r="D1397" s="767" t="s">
        <v>1377</v>
      </c>
      <c r="E1397" s="767"/>
      <c r="F1397" s="806"/>
      <c r="G1397" s="778"/>
      <c r="H1397" s="788"/>
      <c r="I1397" s="788"/>
      <c r="J1397" s="788"/>
      <c r="K1397" s="788"/>
      <c r="L1397" s="788"/>
      <c r="M1397" s="788"/>
      <c r="N1397" s="788"/>
      <c r="O1397" s="788"/>
      <c r="P1397" s="772"/>
      <c r="R1397" s="774"/>
    </row>
    <row r="1398" spans="1:22" hidden="1">
      <c r="A1398" s="786">
        <v>1398</v>
      </c>
      <c r="B1398" s="767"/>
      <c r="D1398" s="767"/>
      <c r="E1398" s="767" t="s">
        <v>727</v>
      </c>
      <c r="F1398" s="806" t="s">
        <v>1415</v>
      </c>
      <c r="G1398" s="778"/>
      <c r="H1398" s="815">
        <v>-1811790.4050000007</v>
      </c>
      <c r="I1398" s="815">
        <v>-834582.3945179499</v>
      </c>
      <c r="J1398" s="815">
        <v>-258260.00973425398</v>
      </c>
      <c r="K1398" s="815">
        <v>-364346.1301424632</v>
      </c>
      <c r="L1398" s="815">
        <v>-146021.72096724712</v>
      </c>
      <c r="M1398" s="815">
        <v>-121204.69473410642</v>
      </c>
      <c r="N1398" s="815">
        <v>-79721.505098642214</v>
      </c>
      <c r="O1398" s="815">
        <v>-7653.9498053376137</v>
      </c>
      <c r="P1398" s="772">
        <v>0</v>
      </c>
      <c r="Q1398" s="774"/>
      <c r="R1398" s="774">
        <v>2208</v>
      </c>
      <c r="S1398" s="774"/>
      <c r="T1398" s="774"/>
      <c r="U1398" s="774"/>
      <c r="V1398" s="774"/>
    </row>
    <row r="1399" spans="1:22" hidden="1">
      <c r="A1399" s="786">
        <v>1399</v>
      </c>
      <c r="B1399" s="767"/>
      <c r="C1399" s="767"/>
      <c r="D1399" s="767"/>
      <c r="E1399" s="767" t="s">
        <v>1003</v>
      </c>
      <c r="F1399" s="806" t="s">
        <v>1415</v>
      </c>
      <c r="G1399" s="778"/>
      <c r="H1399" s="815">
        <v>0</v>
      </c>
      <c r="I1399" s="815">
        <v>0</v>
      </c>
      <c r="J1399" s="815">
        <v>0</v>
      </c>
      <c r="K1399" s="815">
        <v>0</v>
      </c>
      <c r="L1399" s="815">
        <v>0</v>
      </c>
      <c r="M1399" s="815">
        <v>0</v>
      </c>
      <c r="N1399" s="815">
        <v>0</v>
      </c>
      <c r="O1399" s="815">
        <v>0</v>
      </c>
      <c r="P1399" s="772">
        <v>0</v>
      </c>
      <c r="Q1399" s="774"/>
      <c r="R1399" s="774">
        <v>2209</v>
      </c>
      <c r="S1399" s="774"/>
      <c r="T1399" s="774"/>
      <c r="U1399" s="774"/>
      <c r="V1399" s="774"/>
    </row>
    <row r="1400" spans="1:22" hidden="1">
      <c r="A1400" s="786">
        <v>1400</v>
      </c>
      <c r="B1400" s="767"/>
      <c r="D1400" s="767"/>
      <c r="E1400" s="767" t="s">
        <v>788</v>
      </c>
      <c r="F1400" s="806" t="s">
        <v>1415</v>
      </c>
      <c r="G1400" s="778"/>
      <c r="H1400" s="815">
        <v>0</v>
      </c>
      <c r="I1400" s="815">
        <v>0</v>
      </c>
      <c r="J1400" s="815">
        <v>0</v>
      </c>
      <c r="K1400" s="815">
        <v>0</v>
      </c>
      <c r="L1400" s="815">
        <v>0</v>
      </c>
      <c r="M1400" s="815">
        <v>0</v>
      </c>
      <c r="N1400" s="815">
        <v>0</v>
      </c>
      <c r="O1400" s="815">
        <v>0</v>
      </c>
      <c r="P1400" s="772">
        <v>0</v>
      </c>
      <c r="Q1400" s="774"/>
      <c r="R1400" s="774">
        <v>2210</v>
      </c>
      <c r="S1400" s="774"/>
      <c r="T1400" s="774"/>
      <c r="U1400" s="774"/>
      <c r="V1400" s="774"/>
    </row>
    <row r="1401" spans="1:22" hidden="1">
      <c r="A1401" s="786">
        <v>1401</v>
      </c>
      <c r="B1401" s="767"/>
      <c r="D1401" s="767"/>
      <c r="E1401" s="767" t="s">
        <v>1005</v>
      </c>
      <c r="F1401" s="806" t="s">
        <v>1415</v>
      </c>
      <c r="G1401" s="778"/>
      <c r="H1401" s="815">
        <v>-259306.78856897124</v>
      </c>
      <c r="I1401" s="815">
        <v>-119446.97351383296</v>
      </c>
      <c r="J1401" s="815">
        <v>-36962.649517939484</v>
      </c>
      <c r="K1401" s="815">
        <v>-52145.890978363226</v>
      </c>
      <c r="L1401" s="815">
        <v>-20898.898360890285</v>
      </c>
      <c r="M1401" s="815">
        <v>-17347.039737183964</v>
      </c>
      <c r="N1401" s="815">
        <v>-11409.889030190428</v>
      </c>
      <c r="O1401" s="815">
        <v>-1095.4474305708659</v>
      </c>
      <c r="P1401" s="772">
        <v>0</v>
      </c>
      <c r="Q1401" s="774"/>
      <c r="R1401" s="774">
        <v>2211</v>
      </c>
      <c r="S1401" s="774"/>
      <c r="T1401" s="774"/>
      <c r="U1401" s="774"/>
      <c r="V1401" s="774"/>
    </row>
    <row r="1402" spans="1:22" hidden="1">
      <c r="A1402" s="786">
        <v>1402</v>
      </c>
      <c r="B1402" s="767"/>
      <c r="D1402" s="767"/>
      <c r="E1402" s="767" t="s">
        <v>738</v>
      </c>
      <c r="F1402" s="806" t="s">
        <v>1415</v>
      </c>
      <c r="G1402" s="778"/>
      <c r="H1402" s="815">
        <v>0</v>
      </c>
      <c r="I1402" s="815">
        <v>0</v>
      </c>
      <c r="J1402" s="815">
        <v>0</v>
      </c>
      <c r="K1402" s="815">
        <v>0</v>
      </c>
      <c r="L1402" s="815">
        <v>0</v>
      </c>
      <c r="M1402" s="815">
        <v>0</v>
      </c>
      <c r="N1402" s="815">
        <v>0</v>
      </c>
      <c r="O1402" s="815">
        <v>0</v>
      </c>
      <c r="P1402" s="772">
        <v>0</v>
      </c>
      <c r="Q1402" s="774"/>
      <c r="R1402" s="774">
        <v>2212</v>
      </c>
      <c r="S1402" s="774"/>
      <c r="T1402" s="774"/>
      <c r="U1402" s="774"/>
      <c r="V1402" s="774"/>
    </row>
    <row r="1403" spans="1:22" hidden="1">
      <c r="A1403" s="786">
        <v>1403</v>
      </c>
      <c r="B1403" s="767"/>
      <c r="C1403" s="767"/>
      <c r="D1403" s="767" t="s">
        <v>1378</v>
      </c>
      <c r="E1403" s="767"/>
      <c r="F1403" s="806"/>
      <c r="G1403" s="778"/>
      <c r="H1403" s="815">
        <v>-2071097.1935689715</v>
      </c>
      <c r="I1403" s="815">
        <v>-954029.36803178291</v>
      </c>
      <c r="J1403" s="815">
        <v>-295222.65925219341</v>
      </c>
      <c r="K1403" s="815">
        <v>-416492.02112082642</v>
      </c>
      <c r="L1403" s="815">
        <v>-166920.6193281374</v>
      </c>
      <c r="M1403" s="815">
        <v>-138551.73447129037</v>
      </c>
      <c r="N1403" s="815">
        <v>-91131.394128832646</v>
      </c>
      <c r="O1403" s="815">
        <v>-8749.3972359084801</v>
      </c>
      <c r="P1403" s="772">
        <v>0</v>
      </c>
      <c r="Q1403" s="774"/>
      <c r="R1403" s="774">
        <v>2213</v>
      </c>
      <c r="S1403" s="774"/>
      <c r="T1403" s="774"/>
      <c r="U1403" s="774"/>
      <c r="V1403" s="774"/>
    </row>
    <row r="1404" spans="1:22" hidden="1">
      <c r="A1404" s="786">
        <v>1404</v>
      </c>
      <c r="B1404" s="767"/>
      <c r="C1404" s="767"/>
      <c r="D1404" s="767"/>
      <c r="E1404" s="767"/>
      <c r="F1404" s="806"/>
      <c r="G1404" s="778"/>
      <c r="H1404" s="788"/>
      <c r="I1404" s="788"/>
      <c r="J1404" s="788"/>
      <c r="K1404" s="788"/>
      <c r="L1404" s="788"/>
      <c r="M1404" s="788"/>
      <c r="N1404" s="788"/>
      <c r="O1404" s="788"/>
      <c r="P1404" s="772"/>
      <c r="R1404" s="774"/>
    </row>
    <row r="1405" spans="1:22" hidden="1">
      <c r="A1405" s="786">
        <v>1405</v>
      </c>
      <c r="B1405" s="767"/>
      <c r="C1405" s="767" t="s">
        <v>1379</v>
      </c>
      <c r="D1405" s="767" t="s">
        <v>1380</v>
      </c>
      <c r="E1405" s="767"/>
      <c r="F1405" s="806" t="s">
        <v>1392</v>
      </c>
      <c r="G1405" s="778"/>
      <c r="H1405" s="815">
        <v>-643731.16798202484</v>
      </c>
      <c r="I1405" s="815">
        <v>-269240.38434312248</v>
      </c>
      <c r="J1405" s="815">
        <v>-86026.051208491481</v>
      </c>
      <c r="K1405" s="815">
        <v>-145987.74155259324</v>
      </c>
      <c r="L1405" s="815">
        <v>-59512.607853249421</v>
      </c>
      <c r="M1405" s="815">
        <v>-56282.71806649564</v>
      </c>
      <c r="N1405" s="815">
        <v>-25645.73302351301</v>
      </c>
      <c r="O1405" s="815">
        <v>-1035.9319345596316</v>
      </c>
      <c r="P1405" s="772">
        <v>0</v>
      </c>
      <c r="Q1405" s="774"/>
      <c r="R1405" s="774">
        <v>2219</v>
      </c>
      <c r="S1405" s="774"/>
      <c r="T1405" s="774"/>
      <c r="U1405" s="774"/>
      <c r="V1405" s="774"/>
    </row>
    <row r="1406" spans="1:22" hidden="1">
      <c r="A1406" s="786">
        <v>1406</v>
      </c>
      <c r="B1406" s="767"/>
      <c r="C1406" s="767"/>
      <c r="D1406" s="767"/>
      <c r="E1406" s="767"/>
      <c r="F1406" s="806"/>
      <c r="G1406" s="778"/>
      <c r="H1406" s="788"/>
      <c r="I1406" s="788"/>
      <c r="J1406" s="788"/>
      <c r="K1406" s="788"/>
      <c r="L1406" s="788"/>
      <c r="M1406" s="788"/>
      <c r="N1406" s="788"/>
      <c r="O1406" s="788"/>
      <c r="P1406" s="772"/>
      <c r="R1406" s="774"/>
    </row>
    <row r="1407" spans="1:22" hidden="1">
      <c r="A1407" s="786">
        <v>1407</v>
      </c>
      <c r="B1407" s="767"/>
      <c r="C1407" s="767" t="s">
        <v>1381</v>
      </c>
      <c r="D1407" s="767" t="s">
        <v>1382</v>
      </c>
      <c r="E1407" s="767"/>
      <c r="F1407" s="806"/>
      <c r="G1407" s="778"/>
      <c r="H1407" s="788"/>
      <c r="I1407" s="788"/>
      <c r="J1407" s="788"/>
      <c r="K1407" s="788"/>
      <c r="L1407" s="788"/>
      <c r="M1407" s="788"/>
      <c r="N1407" s="788"/>
      <c r="O1407" s="788"/>
      <c r="P1407" s="772"/>
      <c r="R1407" s="774"/>
    </row>
    <row r="1408" spans="1:22" hidden="1">
      <c r="A1408" s="786">
        <v>1408</v>
      </c>
      <c r="B1408" s="767"/>
      <c r="D1408" s="767"/>
      <c r="E1408" s="767" t="s">
        <v>727</v>
      </c>
      <c r="F1408" s="806" t="s">
        <v>1425</v>
      </c>
      <c r="G1408" s="778"/>
      <c r="H1408" s="815">
        <v>-9070.8000000000084</v>
      </c>
      <c r="I1408" s="815">
        <v>-2370.7395771846495</v>
      </c>
      <c r="J1408" s="815">
        <v>-937.56276473000707</v>
      </c>
      <c r="K1408" s="815">
        <v>-2908.2483736715026</v>
      </c>
      <c r="L1408" s="815">
        <v>-1232.361890404989</v>
      </c>
      <c r="M1408" s="815">
        <v>-1442.0231675673035</v>
      </c>
      <c r="N1408" s="815">
        <v>-241.9420883535322</v>
      </c>
      <c r="O1408" s="815">
        <v>62.077861911966735</v>
      </c>
      <c r="P1408" s="772">
        <v>0</v>
      </c>
      <c r="Q1408" s="774"/>
      <c r="R1408" s="774">
        <v>2223</v>
      </c>
      <c r="S1408" s="774"/>
      <c r="T1408" s="774"/>
      <c r="U1408" s="774"/>
      <c r="V1408" s="774"/>
    </row>
    <row r="1409" spans="1:22" hidden="1">
      <c r="A1409" s="786">
        <v>1409</v>
      </c>
      <c r="B1409" s="767"/>
      <c r="C1409" s="767"/>
      <c r="D1409" s="767"/>
      <c r="E1409" s="767" t="s">
        <v>835</v>
      </c>
      <c r="F1409" s="806" t="s">
        <v>1426</v>
      </c>
      <c r="G1409" s="778"/>
      <c r="H1409" s="815">
        <v>0</v>
      </c>
      <c r="I1409" s="815">
        <v>0</v>
      </c>
      <c r="J1409" s="815">
        <v>0</v>
      </c>
      <c r="K1409" s="815">
        <v>0</v>
      </c>
      <c r="L1409" s="815">
        <v>0</v>
      </c>
      <c r="M1409" s="815">
        <v>0</v>
      </c>
      <c r="N1409" s="815">
        <v>0</v>
      </c>
      <c r="O1409" s="815">
        <v>0</v>
      </c>
      <c r="P1409" s="772">
        <v>0</v>
      </c>
      <c r="Q1409" s="774"/>
      <c r="R1409" s="774">
        <v>2224</v>
      </c>
      <c r="S1409" s="774"/>
      <c r="T1409" s="774"/>
      <c r="U1409" s="774"/>
      <c r="V1409" s="774"/>
    </row>
    <row r="1410" spans="1:22" hidden="1">
      <c r="A1410" s="786">
        <v>1410</v>
      </c>
      <c r="B1410" s="767"/>
      <c r="C1410" s="767"/>
      <c r="D1410" s="767"/>
      <c r="E1410" s="767" t="s">
        <v>1002</v>
      </c>
      <c r="F1410" s="806" t="s">
        <v>1426</v>
      </c>
      <c r="G1410" s="778"/>
      <c r="H1410" s="815">
        <v>0</v>
      </c>
      <c r="I1410" s="815">
        <v>0</v>
      </c>
      <c r="J1410" s="815">
        <v>0</v>
      </c>
      <c r="K1410" s="815">
        <v>0</v>
      </c>
      <c r="L1410" s="815">
        <v>0</v>
      </c>
      <c r="M1410" s="815">
        <v>0</v>
      </c>
      <c r="N1410" s="815">
        <v>0</v>
      </c>
      <c r="O1410" s="815">
        <v>0</v>
      </c>
      <c r="P1410" s="772">
        <v>0</v>
      </c>
      <c r="Q1410" s="774"/>
      <c r="R1410" s="774">
        <v>2225</v>
      </c>
      <c r="S1410" s="774"/>
      <c r="T1410" s="774"/>
      <c r="U1410" s="774"/>
      <c r="V1410" s="774"/>
    </row>
    <row r="1411" spans="1:22" hidden="1">
      <c r="A1411" s="786">
        <v>1411</v>
      </c>
      <c r="B1411" s="767"/>
      <c r="C1411" s="767"/>
      <c r="D1411" s="767"/>
      <c r="E1411" s="767" t="s">
        <v>738</v>
      </c>
      <c r="F1411" s="806" t="s">
        <v>1392</v>
      </c>
      <c r="G1411" s="778"/>
      <c r="H1411" s="815">
        <v>0</v>
      </c>
      <c r="I1411" s="815">
        <v>0</v>
      </c>
      <c r="J1411" s="815">
        <v>0</v>
      </c>
      <c r="K1411" s="815">
        <v>0</v>
      </c>
      <c r="L1411" s="815">
        <v>0</v>
      </c>
      <c r="M1411" s="815">
        <v>0</v>
      </c>
      <c r="N1411" s="815">
        <v>0</v>
      </c>
      <c r="O1411" s="815">
        <v>0</v>
      </c>
      <c r="P1411" s="772">
        <v>0</v>
      </c>
      <c r="Q1411" s="774"/>
      <c r="R1411" s="774">
        <v>2226</v>
      </c>
      <c r="S1411" s="774"/>
      <c r="T1411" s="774"/>
      <c r="U1411" s="774"/>
      <c r="V1411" s="774"/>
    </row>
    <row r="1412" spans="1:22" hidden="1">
      <c r="A1412" s="786">
        <v>1412</v>
      </c>
      <c r="B1412" s="767"/>
      <c r="C1412" s="767"/>
      <c r="D1412" s="767"/>
      <c r="E1412" s="767" t="s">
        <v>788</v>
      </c>
      <c r="F1412" s="806" t="s">
        <v>1426</v>
      </c>
      <c r="G1412" s="778"/>
      <c r="H1412" s="815">
        <v>-5677951.4320653491</v>
      </c>
      <c r="I1412" s="815">
        <v>-2401276.0498973234</v>
      </c>
      <c r="J1412" s="815">
        <v>-757927.0614877179</v>
      </c>
      <c r="K1412" s="815">
        <v>-1274168.7110090908</v>
      </c>
      <c r="L1412" s="815">
        <v>-518871.07349078864</v>
      </c>
      <c r="M1412" s="815">
        <v>-493595.0928163132</v>
      </c>
      <c r="N1412" s="815">
        <v>-223398.03447598507</v>
      </c>
      <c r="O1412" s="815">
        <v>-8715.4088881307307</v>
      </c>
      <c r="P1412" s="772">
        <v>0</v>
      </c>
      <c r="Q1412" s="774"/>
      <c r="R1412" s="774">
        <v>2227</v>
      </c>
      <c r="S1412" s="774"/>
      <c r="T1412" s="774"/>
      <c r="U1412" s="774"/>
      <c r="V1412" s="774"/>
    </row>
    <row r="1413" spans="1:22" hidden="1">
      <c r="A1413" s="786">
        <v>1413</v>
      </c>
      <c r="B1413" s="767"/>
      <c r="C1413" s="767"/>
      <c r="D1413" s="767"/>
      <c r="E1413" s="767" t="s">
        <v>1003</v>
      </c>
      <c r="F1413" s="806" t="s">
        <v>1410</v>
      </c>
      <c r="G1413" s="778"/>
      <c r="H1413" s="815">
        <v>-10574359.873286717</v>
      </c>
      <c r="I1413" s="815">
        <v>-8622132.3952007219</v>
      </c>
      <c r="J1413" s="815">
        <v>-1496561.7012712292</v>
      </c>
      <c r="K1413" s="815">
        <v>-87103.280347816384</v>
      </c>
      <c r="L1413" s="815">
        <v>-22285.030429884908</v>
      </c>
      <c r="M1413" s="815">
        <v>-345.62613285686837</v>
      </c>
      <c r="N1413" s="815">
        <v>-146469.40697478424</v>
      </c>
      <c r="O1413" s="815">
        <v>-199462.43292942271</v>
      </c>
      <c r="P1413" s="772">
        <v>0</v>
      </c>
      <c r="Q1413" s="774"/>
      <c r="R1413" s="774">
        <v>2228</v>
      </c>
      <c r="S1413" s="774"/>
      <c r="T1413" s="774"/>
      <c r="U1413" s="774"/>
      <c r="V1413" s="774"/>
    </row>
    <row r="1414" spans="1:22" hidden="1">
      <c r="A1414" s="786">
        <v>1414</v>
      </c>
      <c r="B1414" s="767"/>
      <c r="C1414" s="767"/>
      <c r="D1414" s="767"/>
      <c r="E1414" s="767" t="s">
        <v>718</v>
      </c>
      <c r="F1414" s="806" t="s">
        <v>1426</v>
      </c>
      <c r="G1414" s="778"/>
      <c r="H1414" s="815">
        <v>-356466.20281539264</v>
      </c>
      <c r="I1414" s="815">
        <v>-150753.97626412674</v>
      </c>
      <c r="J1414" s="815">
        <v>-47583.249848489708</v>
      </c>
      <c r="K1414" s="815">
        <v>-79993.301738119975</v>
      </c>
      <c r="L1414" s="815">
        <v>-32575.129169558422</v>
      </c>
      <c r="M1414" s="815">
        <v>-30988.283462745443</v>
      </c>
      <c r="N1414" s="815">
        <v>-14025.102190264744</v>
      </c>
      <c r="O1414" s="815">
        <v>-547.16014208762044</v>
      </c>
      <c r="P1414" s="772">
        <v>0</v>
      </c>
      <c r="Q1414" s="774"/>
      <c r="R1414" s="774">
        <v>2229</v>
      </c>
      <c r="S1414" s="774"/>
      <c r="T1414" s="774"/>
      <c r="U1414" s="774"/>
      <c r="V1414" s="774"/>
    </row>
    <row r="1415" spans="1:22" hidden="1">
      <c r="A1415" s="786">
        <v>1415</v>
      </c>
      <c r="B1415" s="767"/>
      <c r="C1415" s="767"/>
      <c r="D1415" s="767"/>
      <c r="E1415" s="767" t="s">
        <v>1192</v>
      </c>
      <c r="F1415" s="806" t="s">
        <v>1426</v>
      </c>
      <c r="G1415" s="778"/>
      <c r="H1415" s="815">
        <v>-22784835.882376481</v>
      </c>
      <c r="I1415" s="815">
        <v>-9635989.5571156908</v>
      </c>
      <c r="J1415" s="815">
        <v>-3041456.749574177</v>
      </c>
      <c r="K1415" s="815">
        <v>-5113063.2789229508</v>
      </c>
      <c r="L1415" s="815">
        <v>-2082158.0450362784</v>
      </c>
      <c r="M1415" s="815">
        <v>-1980729.0211489508</v>
      </c>
      <c r="N1415" s="815">
        <v>-896465.49691061513</v>
      </c>
      <c r="O1415" s="815">
        <v>-34973.733667818815</v>
      </c>
      <c r="P1415" s="772">
        <v>0</v>
      </c>
      <c r="Q1415" s="774"/>
      <c r="R1415" s="774">
        <v>2230</v>
      </c>
      <c r="S1415" s="774"/>
      <c r="T1415" s="774"/>
      <c r="U1415" s="774"/>
      <c r="V1415" s="774"/>
    </row>
    <row r="1416" spans="1:22" hidden="1">
      <c r="A1416" s="786">
        <v>1416</v>
      </c>
      <c r="B1416" s="767"/>
      <c r="C1416" s="767"/>
      <c r="D1416" s="767"/>
      <c r="E1416" s="767" t="s">
        <v>1192</v>
      </c>
      <c r="F1416" s="806" t="s">
        <v>1426</v>
      </c>
      <c r="G1416" s="778"/>
      <c r="H1416" s="815">
        <v>0</v>
      </c>
      <c r="I1416" s="815">
        <v>0</v>
      </c>
      <c r="J1416" s="815">
        <v>0</v>
      </c>
      <c r="K1416" s="815">
        <v>0</v>
      </c>
      <c r="L1416" s="815">
        <v>0</v>
      </c>
      <c r="M1416" s="815">
        <v>0</v>
      </c>
      <c r="N1416" s="815">
        <v>0</v>
      </c>
      <c r="O1416" s="815">
        <v>0</v>
      </c>
      <c r="P1416" s="772">
        <v>0</v>
      </c>
      <c r="Q1416" s="774"/>
      <c r="R1416" s="774">
        <v>2231</v>
      </c>
      <c r="S1416" s="774"/>
      <c r="T1416" s="774"/>
      <c r="U1416" s="774"/>
      <c r="V1416" s="774"/>
    </row>
    <row r="1417" spans="1:22" hidden="1">
      <c r="A1417" s="786">
        <v>1417</v>
      </c>
      <c r="B1417" s="767"/>
      <c r="C1417" s="767"/>
      <c r="D1417" s="767"/>
      <c r="E1417" s="767" t="s">
        <v>1005</v>
      </c>
      <c r="F1417" s="806" t="s">
        <v>1411</v>
      </c>
      <c r="G1417" s="778"/>
      <c r="H1417" s="815">
        <v>-19756284.061505541</v>
      </c>
      <c r="I1417" s="815">
        <v>-9200575.1892145798</v>
      </c>
      <c r="J1417" s="815">
        <v>-2852859.083648487</v>
      </c>
      <c r="K1417" s="815">
        <v>-3907250.1583480341</v>
      </c>
      <c r="L1417" s="815">
        <v>-1560269.8379924926</v>
      </c>
      <c r="M1417" s="815">
        <v>-1250629.2325104144</v>
      </c>
      <c r="N1417" s="815">
        <v>-892547.63800250296</v>
      </c>
      <c r="O1417" s="815">
        <v>-92152.921789027227</v>
      </c>
      <c r="P1417" s="772">
        <v>0</v>
      </c>
      <c r="Q1417" s="774"/>
      <c r="R1417" s="774">
        <v>2232</v>
      </c>
      <c r="S1417" s="774"/>
      <c r="T1417" s="774"/>
      <c r="U1417" s="774"/>
      <c r="V1417" s="774"/>
    </row>
    <row r="1418" spans="1:22" hidden="1">
      <c r="A1418" s="786">
        <v>1418</v>
      </c>
      <c r="B1418" s="767"/>
      <c r="C1418" s="767"/>
      <c r="D1418" s="767" t="s">
        <v>1383</v>
      </c>
      <c r="E1418" s="767"/>
      <c r="F1418" s="806"/>
      <c r="G1418" s="778"/>
      <c r="H1418" s="815">
        <v>-59158968.252049476</v>
      </c>
      <c r="I1418" s="815">
        <v>-30013097.907269623</v>
      </c>
      <c r="J1418" s="815">
        <v>-8197325.4085948309</v>
      </c>
      <c r="K1418" s="815">
        <v>-10464486.978739684</v>
      </c>
      <c r="L1418" s="815">
        <v>-4217391.4780094074</v>
      </c>
      <c r="M1418" s="815">
        <v>-3757729.2792388485</v>
      </c>
      <c r="N1418" s="815">
        <v>-2173147.6206425056</v>
      </c>
      <c r="O1418" s="815">
        <v>-335789.57955457515</v>
      </c>
      <c r="P1418" s="772">
        <v>0</v>
      </c>
      <c r="Q1418" s="774"/>
      <c r="R1418" s="774"/>
      <c r="S1418" s="774"/>
      <c r="T1418" s="774"/>
      <c r="U1418" s="774"/>
      <c r="V1418" s="774"/>
    </row>
    <row r="1419" spans="1:22" hidden="1">
      <c r="A1419" s="786">
        <v>1419</v>
      </c>
      <c r="B1419" s="767"/>
      <c r="C1419" s="767"/>
      <c r="D1419" s="767"/>
      <c r="E1419" s="767"/>
      <c r="F1419" s="806"/>
      <c r="G1419" s="778"/>
      <c r="H1419" s="788"/>
      <c r="I1419" s="788"/>
      <c r="J1419" s="788"/>
      <c r="K1419" s="788"/>
      <c r="L1419" s="788"/>
      <c r="M1419" s="788"/>
      <c r="N1419" s="788"/>
      <c r="O1419" s="788"/>
      <c r="P1419" s="772"/>
      <c r="R1419" s="774"/>
    </row>
    <row r="1420" spans="1:22" hidden="1">
      <c r="A1420" s="786">
        <v>1420</v>
      </c>
      <c r="B1420" s="767"/>
      <c r="C1420" s="821" t="s">
        <v>1384</v>
      </c>
      <c r="D1420" s="767" t="s">
        <v>1385</v>
      </c>
      <c r="E1420" s="767"/>
      <c r="F1420" s="806" t="s">
        <v>1392</v>
      </c>
      <c r="G1420" s="778"/>
      <c r="H1420" s="815">
        <v>0</v>
      </c>
      <c r="I1420" s="815">
        <v>0</v>
      </c>
      <c r="J1420" s="815">
        <v>0</v>
      </c>
      <c r="K1420" s="815">
        <v>0</v>
      </c>
      <c r="L1420" s="815">
        <v>0</v>
      </c>
      <c r="M1420" s="815">
        <v>0</v>
      </c>
      <c r="N1420" s="815">
        <v>0</v>
      </c>
      <c r="O1420" s="815">
        <v>0</v>
      </c>
      <c r="P1420" s="772">
        <v>0</v>
      </c>
      <c r="Q1420" s="774"/>
      <c r="R1420" s="774">
        <v>2243</v>
      </c>
      <c r="S1420" s="774"/>
      <c r="T1420" s="774"/>
      <c r="U1420" s="774"/>
      <c r="V1420" s="774"/>
    </row>
    <row r="1421" spans="1:22" hidden="1">
      <c r="A1421" s="786">
        <v>1421</v>
      </c>
      <c r="B1421" s="767"/>
      <c r="C1421" s="767"/>
      <c r="D1421" s="767"/>
      <c r="E1421" s="767"/>
      <c r="F1421" s="806"/>
      <c r="G1421" s="778"/>
      <c r="H1421" s="788"/>
      <c r="I1421" s="788"/>
      <c r="J1421" s="788"/>
      <c r="K1421" s="788"/>
      <c r="L1421" s="788"/>
      <c r="M1421" s="788"/>
      <c r="N1421" s="788"/>
      <c r="O1421" s="788"/>
      <c r="P1421" s="772"/>
    </row>
    <row r="1422" spans="1:22" hidden="1">
      <c r="A1422" s="786">
        <v>1422</v>
      </c>
      <c r="B1422" s="767"/>
      <c r="C1422" s="767"/>
      <c r="D1422" s="767"/>
      <c r="E1422" s="767"/>
      <c r="F1422" s="806"/>
      <c r="G1422" s="778"/>
      <c r="H1422" s="788"/>
      <c r="I1422" s="788"/>
      <c r="J1422" s="788"/>
      <c r="K1422" s="788"/>
      <c r="L1422" s="788"/>
      <c r="M1422" s="788"/>
      <c r="N1422" s="788"/>
      <c r="O1422" s="788"/>
      <c r="P1422" s="772"/>
    </row>
    <row r="1423" spans="1:22" hidden="1">
      <c r="A1423" s="786">
        <v>1423</v>
      </c>
      <c r="B1423" s="767"/>
      <c r="C1423" s="767" t="s">
        <v>1386</v>
      </c>
      <c r="D1423" s="767"/>
      <c r="E1423" s="767"/>
      <c r="F1423" s="838"/>
      <c r="G1423" s="778"/>
      <c r="H1423" s="815">
        <v>-61873796.613600478</v>
      </c>
      <c r="I1423" s="815">
        <v>-31236367.659644533</v>
      </c>
      <c r="J1423" s="815">
        <v>-8578574.1190555152</v>
      </c>
      <c r="K1423" s="815">
        <v>-11026966.741413103</v>
      </c>
      <c r="L1423" s="815">
        <v>-4443824.7051907945</v>
      </c>
      <c r="M1423" s="815">
        <v>-3952563.7317766347</v>
      </c>
      <c r="N1423" s="815">
        <v>-2289924.7477948512</v>
      </c>
      <c r="O1423" s="815">
        <v>-345574.90872504323</v>
      </c>
      <c r="P1423" s="772">
        <v>0</v>
      </c>
      <c r="Q1423" s="774"/>
      <c r="R1423" s="774"/>
      <c r="S1423" s="774"/>
      <c r="T1423" s="774"/>
      <c r="U1423" s="774"/>
      <c r="V1423" s="774"/>
    </row>
    <row r="1424" spans="1:22">
      <c r="A1424" s="786"/>
      <c r="G1424" s="763"/>
    </row>
    <row r="1425" spans="1:16">
      <c r="A1425" s="786"/>
      <c r="I1425" s="765"/>
    </row>
    <row r="1426" spans="1:16">
      <c r="A1426" s="786"/>
      <c r="H1426" s="774">
        <f>H855+H898+H1314+H1319</f>
        <v>989959246.23517525</v>
      </c>
      <c r="I1426" s="774">
        <f t="shared" ref="I1426:O1426" si="0">I855+I898+I1314+I1319</f>
        <v>426319670.92760909</v>
      </c>
      <c r="J1426" s="774">
        <f t="shared" si="0"/>
        <v>131898494.75658381</v>
      </c>
      <c r="K1426" s="774">
        <f t="shared" si="0"/>
        <v>218250943.81700936</v>
      </c>
      <c r="L1426" s="774">
        <f t="shared" si="0"/>
        <v>88716176.395047694</v>
      </c>
      <c r="M1426" s="774">
        <f t="shared" si="0"/>
        <v>85238095.911648139</v>
      </c>
      <c r="N1426" s="774">
        <f t="shared" si="0"/>
        <v>38138289.626005955</v>
      </c>
      <c r="O1426" s="774">
        <f t="shared" si="0"/>
        <v>1397574.8012710705</v>
      </c>
    </row>
    <row r="1427" spans="1:16">
      <c r="A1427" s="786"/>
    </row>
    <row r="1428" spans="1:16">
      <c r="A1428" s="786"/>
    </row>
    <row r="1429" spans="1:16">
      <c r="A1429" s="786"/>
    </row>
    <row r="1430" spans="1:16">
      <c r="A1430" s="786"/>
    </row>
    <row r="1431" spans="1:16">
      <c r="A1431" s="786"/>
    </row>
    <row r="1432" spans="1:16">
      <c r="A1432" s="786"/>
    </row>
    <row r="1433" spans="1:16">
      <c r="A1433" s="786"/>
    </row>
    <row r="1434" spans="1:16">
      <c r="A1434" s="786"/>
    </row>
    <row r="1435" spans="1:16">
      <c r="A1435" s="786"/>
    </row>
    <row r="1436" spans="1:16">
      <c r="A1436" s="786"/>
    </row>
    <row r="1437" spans="1:16">
      <c r="A1437" s="786"/>
      <c r="G1437" s="763"/>
      <c r="P1437" s="763"/>
    </row>
    <row r="1438" spans="1:16">
      <c r="A1438" s="786"/>
      <c r="G1438" s="763"/>
      <c r="P1438" s="763"/>
    </row>
    <row r="1439" spans="1:16">
      <c r="A1439" s="786"/>
      <c r="G1439" s="763"/>
      <c r="P1439" s="763"/>
    </row>
    <row r="1440" spans="1:16">
      <c r="A1440" s="786"/>
      <c r="G1440" s="763"/>
      <c r="P1440" s="763"/>
    </row>
    <row r="1441" spans="1:16">
      <c r="A1441" s="786"/>
      <c r="G1441" s="763"/>
      <c r="P1441" s="763"/>
    </row>
    <row r="1442" spans="1:16">
      <c r="A1442" s="786"/>
      <c r="G1442" s="763"/>
      <c r="P1442" s="763"/>
    </row>
    <row r="1443" spans="1:16">
      <c r="A1443" s="786"/>
      <c r="G1443" s="763"/>
      <c r="P1443" s="763"/>
    </row>
    <row r="1444" spans="1:16">
      <c r="A1444" s="786"/>
      <c r="G1444" s="763"/>
      <c r="P1444" s="763"/>
    </row>
    <row r="1445" spans="1:16">
      <c r="A1445" s="786"/>
      <c r="G1445" s="763"/>
      <c r="P1445" s="763"/>
    </row>
    <row r="1446" spans="1:16">
      <c r="A1446" s="786"/>
      <c r="G1446" s="763"/>
      <c r="P1446" s="763"/>
    </row>
    <row r="1447" spans="1:16">
      <c r="D1447" s="839"/>
      <c r="E1447" s="839"/>
      <c r="G1447" s="763"/>
      <c r="P1447" s="763"/>
    </row>
    <row r="1448" spans="1:16">
      <c r="D1448" s="839"/>
      <c r="E1448" s="839"/>
      <c r="G1448" s="763"/>
      <c r="P1448" s="763"/>
    </row>
    <row r="1449" spans="1:16">
      <c r="D1449" s="839"/>
      <c r="E1449" s="839"/>
      <c r="G1449" s="763"/>
      <c r="P1449" s="763"/>
    </row>
    <row r="1450" spans="1:16">
      <c r="D1450" s="839"/>
      <c r="E1450" s="839"/>
      <c r="G1450" s="763"/>
      <c r="P1450" s="763"/>
    </row>
    <row r="1451" spans="1:16">
      <c r="D1451" s="839"/>
      <c r="E1451" s="839"/>
      <c r="G1451" s="763"/>
      <c r="P1451" s="763"/>
    </row>
    <row r="1452" spans="1:16">
      <c r="D1452" s="839"/>
      <c r="E1452" s="839"/>
      <c r="G1452" s="763"/>
      <c r="P1452" s="763"/>
    </row>
    <row r="1453" spans="1:16">
      <c r="D1453" s="839"/>
      <c r="E1453" s="839"/>
      <c r="G1453" s="763"/>
      <c r="P1453" s="763"/>
    </row>
  </sheetData>
  <pageMargins left="0.7" right="0.7" top="0.75" bottom="0.75" header="0.3" footer="0.3"/>
  <pageSetup scale="33" orientation="portrait" r:id="rId1"/>
  <rowBreaks count="11" manualBreakCount="11">
    <brk id="114" max="14" man="1"/>
    <brk id="200" max="14" man="1"/>
    <brk id="300" max="14" man="1"/>
    <brk id="405" max="14" man="1"/>
    <brk id="545" max="14" man="1"/>
    <brk id="704" max="14" man="1"/>
    <brk id="856" max="14" man="1"/>
    <brk id="964" max="14" man="1"/>
    <brk id="1102" max="14" man="1"/>
    <brk id="1226" max="14" man="1"/>
    <brk id="1331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transitionEvaluation="1" transitionEntry="1"/>
  <dimension ref="A1:AK69"/>
  <sheetViews>
    <sheetView workbookViewId="0">
      <selection sqref="A1:N1"/>
    </sheetView>
  </sheetViews>
  <sheetFormatPr defaultColWidth="10.25" defaultRowHeight="15.75"/>
  <cols>
    <col min="1" max="1" width="21.625" style="3" customWidth="1"/>
    <col min="2" max="2" width="5.875" style="3" customWidth="1"/>
    <col min="3" max="3" width="14.875" style="3" customWidth="1"/>
    <col min="4" max="4" width="14.875" style="3" hidden="1" customWidth="1"/>
    <col min="5" max="5" width="2.125" style="3" hidden="1" customWidth="1"/>
    <col min="6" max="6" width="16.875" style="3" hidden="1" customWidth="1"/>
    <col min="7" max="7" width="10.5" style="3" bestFit="1" customWidth="1"/>
    <col min="8" max="8" width="2.625" style="3" customWidth="1"/>
    <col min="9" max="9" width="15" style="3" customWidth="1"/>
    <col min="10" max="10" width="16.25" style="3" bestFit="1" customWidth="1"/>
    <col min="11" max="12" width="16.625" style="3" bestFit="1" customWidth="1"/>
    <col min="13" max="13" width="15.75" style="3" bestFit="1" customWidth="1"/>
    <col min="14" max="14" width="16.25" style="3" bestFit="1" customWidth="1"/>
    <col min="15" max="15" width="16.625" style="3" bestFit="1" customWidth="1"/>
    <col min="16" max="16" width="16.625" style="33" bestFit="1" customWidth="1"/>
    <col min="17" max="18" width="16.25" style="33" bestFit="1" customWidth="1"/>
    <col min="19" max="19" width="16.625" style="3" bestFit="1" customWidth="1"/>
    <col min="20" max="20" width="15.75" style="3" bestFit="1" customWidth="1"/>
    <col min="21" max="21" width="16.625" style="3" bestFit="1" customWidth="1"/>
    <col min="22" max="22" width="18.75" style="3" bestFit="1" customWidth="1"/>
    <col min="23" max="23" width="14.75" style="3" customWidth="1"/>
    <col min="24" max="24" width="13.25" style="3" bestFit="1" customWidth="1"/>
    <col min="25" max="25" width="13" style="3" bestFit="1" customWidth="1"/>
    <col min="26" max="26" width="12.25" style="3" bestFit="1" customWidth="1"/>
    <col min="27" max="27" width="5.5" style="3" bestFit="1" customWidth="1"/>
    <col min="28" max="28" width="18" style="3" customWidth="1"/>
    <col min="29" max="29" width="10.25" style="3" customWidth="1"/>
    <col min="30" max="30" width="12.125" style="3" customWidth="1"/>
    <col min="31" max="16384" width="10.25" style="3"/>
  </cols>
  <sheetData>
    <row r="1" spans="1:37" ht="18">
      <c r="A1" s="870" t="s">
        <v>73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11"/>
      <c r="P1" s="38"/>
      <c r="Q1" s="38"/>
      <c r="R1" s="38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7" ht="18">
      <c r="A2" s="870" t="s">
        <v>150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11"/>
      <c r="P2" s="38"/>
      <c r="Q2" s="38"/>
      <c r="R2" s="38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7" ht="18">
      <c r="A3" s="871" t="s">
        <v>494</v>
      </c>
      <c r="B3" s="870"/>
      <c r="C3" s="870"/>
      <c r="D3" s="870"/>
      <c r="E3" s="870"/>
      <c r="F3" s="870"/>
      <c r="G3" s="870"/>
      <c r="H3" s="870"/>
      <c r="I3" s="870"/>
      <c r="J3" s="870"/>
      <c r="K3" s="870"/>
      <c r="L3" s="870"/>
      <c r="M3" s="870"/>
      <c r="N3" s="870"/>
      <c r="O3" s="11"/>
      <c r="P3" s="38"/>
      <c r="Q3" s="38"/>
      <c r="R3" s="38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7" ht="18">
      <c r="A4" s="870"/>
      <c r="B4" s="870"/>
      <c r="C4" s="870"/>
      <c r="D4" s="870"/>
      <c r="E4" s="870"/>
      <c r="F4" s="870"/>
      <c r="G4" s="870"/>
      <c r="H4" s="870"/>
      <c r="I4" s="870"/>
      <c r="J4" s="870"/>
      <c r="K4" s="870"/>
      <c r="L4" s="870"/>
      <c r="M4" s="870"/>
      <c r="N4" s="870"/>
      <c r="O4" s="11"/>
      <c r="P4" s="38"/>
      <c r="Q4" s="38"/>
      <c r="R4" s="38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7">
      <c r="A5" s="115"/>
      <c r="B5" s="113"/>
      <c r="C5" s="113"/>
      <c r="D5" s="114"/>
      <c r="E5" s="114"/>
      <c r="F5" s="113"/>
      <c r="G5" s="114"/>
      <c r="H5" s="114"/>
      <c r="I5" s="113"/>
      <c r="J5" s="113"/>
      <c r="K5" s="113"/>
      <c r="L5" s="113"/>
      <c r="M5" s="113"/>
      <c r="N5" s="113"/>
      <c r="O5" s="11"/>
      <c r="P5" s="38"/>
      <c r="Q5" s="38"/>
      <c r="R5" s="38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</row>
    <row r="6" spans="1:37" hidden="1">
      <c r="A6" s="115"/>
      <c r="B6" s="113"/>
      <c r="C6" s="113"/>
      <c r="D6" s="114"/>
      <c r="E6" s="114"/>
      <c r="F6" s="113"/>
      <c r="G6" s="114"/>
      <c r="H6" s="114"/>
      <c r="I6" s="113"/>
      <c r="J6" s="113"/>
      <c r="K6" s="113"/>
      <c r="L6" s="113"/>
      <c r="M6" s="113"/>
      <c r="N6" s="113"/>
      <c r="O6" s="11"/>
      <c r="P6" s="38"/>
      <c r="Q6" s="38"/>
      <c r="R6" s="38"/>
      <c r="S6" s="38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7" hidden="1">
      <c r="A7" s="113"/>
      <c r="B7" s="113"/>
      <c r="C7" s="113"/>
      <c r="D7" s="114"/>
      <c r="E7" s="114"/>
      <c r="F7" s="113"/>
      <c r="G7" s="114"/>
      <c r="H7" s="114"/>
      <c r="I7" s="113"/>
      <c r="J7" s="113"/>
      <c r="K7" s="113"/>
      <c r="L7" s="113"/>
      <c r="M7" s="113"/>
      <c r="N7" s="113"/>
      <c r="O7" s="11"/>
      <c r="P7" s="38"/>
      <c r="Q7" s="38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</row>
    <row r="8" spans="1:37">
      <c r="A8" s="116"/>
      <c r="B8" s="116"/>
      <c r="C8" s="117"/>
      <c r="D8" s="118"/>
      <c r="E8" s="118"/>
      <c r="F8" s="119" t="s">
        <v>379</v>
      </c>
      <c r="G8" s="118"/>
      <c r="H8" s="118"/>
      <c r="I8" s="492" t="s">
        <v>85</v>
      </c>
      <c r="J8" s="492"/>
      <c r="K8" s="492"/>
      <c r="L8" s="492"/>
      <c r="M8" s="492"/>
      <c r="N8" s="492"/>
      <c r="O8" s="11"/>
      <c r="P8" s="38"/>
      <c r="Q8" s="38"/>
      <c r="R8" s="38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</row>
    <row r="9" spans="1:37">
      <c r="A9" s="116"/>
      <c r="B9" s="116"/>
      <c r="C9" s="117" t="s">
        <v>152</v>
      </c>
      <c r="D9" s="119" t="s">
        <v>416</v>
      </c>
      <c r="E9" s="118"/>
      <c r="F9" s="121" t="s">
        <v>153</v>
      </c>
      <c r="G9" s="119" t="s">
        <v>85</v>
      </c>
      <c r="H9" s="119"/>
      <c r="I9" s="492" t="s">
        <v>153</v>
      </c>
      <c r="J9" s="492"/>
      <c r="K9" s="492"/>
      <c r="L9" s="492"/>
      <c r="M9" s="492"/>
      <c r="N9" s="492"/>
      <c r="O9" s="11"/>
      <c r="P9" s="38"/>
      <c r="Q9" s="38"/>
      <c r="R9" s="38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7">
      <c r="A10" s="116"/>
      <c r="B10" s="116"/>
      <c r="C10" s="122" t="s">
        <v>119</v>
      </c>
      <c r="D10" s="123" t="s">
        <v>4</v>
      </c>
      <c r="E10" s="124"/>
      <c r="F10" s="123" t="s">
        <v>119</v>
      </c>
      <c r="G10" s="123" t="s">
        <v>4</v>
      </c>
      <c r="H10" s="121"/>
      <c r="I10" s="119" t="s">
        <v>119</v>
      </c>
      <c r="J10" s="119"/>
      <c r="K10" s="119"/>
      <c r="L10" s="119"/>
      <c r="M10" s="119"/>
      <c r="N10" s="119"/>
      <c r="O10" s="11"/>
      <c r="P10" s="38"/>
      <c r="Q10" s="38"/>
      <c r="R10" s="38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7">
      <c r="A11" s="125"/>
      <c r="F11" s="126"/>
      <c r="I11" s="126"/>
      <c r="J11" s="126"/>
      <c r="K11" s="126"/>
      <c r="L11" s="126"/>
      <c r="M11" s="126"/>
      <c r="N11" s="126"/>
      <c r="O11" s="11"/>
      <c r="P11" s="38"/>
      <c r="Q11" s="38"/>
      <c r="R11" s="38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7">
      <c r="A12" s="634" t="s">
        <v>498</v>
      </c>
      <c r="B12" s="1"/>
      <c r="C12" s="1" t="s">
        <v>13</v>
      </c>
      <c r="D12" s="12"/>
      <c r="E12" s="12"/>
      <c r="F12" s="1"/>
      <c r="G12" s="12"/>
      <c r="H12" s="1"/>
      <c r="I12" s="1"/>
      <c r="J12" s="1"/>
      <c r="K12" s="1"/>
      <c r="L12" s="1"/>
      <c r="M12" s="1"/>
      <c r="N12" s="1"/>
      <c r="O12" s="2" t="s">
        <v>13</v>
      </c>
      <c r="P12" s="2" t="s">
        <v>13</v>
      </c>
      <c r="Q12" s="2" t="s">
        <v>13</v>
      </c>
      <c r="T12" s="2"/>
      <c r="U12" s="1" t="s">
        <v>13</v>
      </c>
      <c r="V12" s="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K12" s="42"/>
    </row>
    <row r="13" spans="1:37">
      <c r="A13" s="1" t="s">
        <v>135</v>
      </c>
      <c r="B13" s="1"/>
      <c r="C13" s="1" t="s">
        <v>13</v>
      </c>
      <c r="D13" s="12"/>
      <c r="E13" s="12"/>
      <c r="F13" s="1"/>
      <c r="G13" s="12"/>
      <c r="H13" s="1"/>
      <c r="I13" s="1"/>
      <c r="J13" s="1"/>
      <c r="K13" s="1"/>
      <c r="L13" s="1"/>
      <c r="M13" s="1"/>
      <c r="N13" s="1"/>
      <c r="O13" s="11"/>
      <c r="P13" s="38"/>
      <c r="Q13" s="38"/>
      <c r="R13" s="38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K13" s="42"/>
    </row>
    <row r="14" spans="1:37">
      <c r="A14" s="211" t="s">
        <v>497</v>
      </c>
      <c r="B14" s="1"/>
      <c r="C14" s="1"/>
      <c r="D14" s="12"/>
      <c r="E14" s="12"/>
      <c r="F14" s="1"/>
      <c r="G14" s="12"/>
      <c r="H14" s="1"/>
      <c r="I14" s="1"/>
      <c r="J14" s="1"/>
      <c r="K14" s="1"/>
      <c r="L14" s="1"/>
      <c r="M14" s="1"/>
      <c r="N14" s="1"/>
      <c r="O14" s="11"/>
      <c r="P14" s="38"/>
      <c r="Q14" s="38"/>
      <c r="R14" s="38"/>
      <c r="S14" s="6" t="s">
        <v>13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K14" s="42"/>
    </row>
    <row r="15" spans="1:37">
      <c r="A15" s="1" t="s">
        <v>174</v>
      </c>
      <c r="B15" s="1"/>
      <c r="C15" s="12" t="e">
        <f>#REF!-C28</f>
        <v>#REF!</v>
      </c>
      <c r="D15" s="161">
        <v>6</v>
      </c>
      <c r="E15" s="1"/>
      <c r="F15" s="2">
        <v>7578622</v>
      </c>
      <c r="G15" s="161">
        <v>7.75</v>
      </c>
      <c r="H15" s="1"/>
      <c r="I15" s="2" t="e">
        <f>ROUND(G15*C15,0)</f>
        <v>#REF!</v>
      </c>
      <c r="J15" s="2"/>
      <c r="K15" s="2"/>
      <c r="L15" s="2"/>
      <c r="M15" s="2"/>
      <c r="N15" s="2"/>
      <c r="O15" s="11"/>
      <c r="P15" s="38"/>
      <c r="Q15" s="38"/>
      <c r="R15" s="38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K15" s="42"/>
    </row>
    <row r="16" spans="1:37">
      <c r="A16" s="1" t="s">
        <v>177</v>
      </c>
      <c r="B16" s="1"/>
      <c r="C16" s="12" t="e">
        <f>#REF!-C29</f>
        <v>#REF!</v>
      </c>
      <c r="D16" s="162">
        <v>5.9489999999999998</v>
      </c>
      <c r="E16" s="1" t="s">
        <v>178</v>
      </c>
      <c r="F16" s="2">
        <v>42058950</v>
      </c>
      <c r="G16" s="162">
        <v>6.4249999999999998</v>
      </c>
      <c r="H16" s="1" t="s">
        <v>178</v>
      </c>
      <c r="I16" s="2" t="e">
        <f>ROUND(C16*G16/100,0)</f>
        <v>#REF!</v>
      </c>
      <c r="J16" s="2"/>
      <c r="K16" s="2"/>
      <c r="L16" s="2"/>
      <c r="M16" s="2"/>
      <c r="N16" s="2"/>
      <c r="O16" s="11"/>
      <c r="P16" s="38"/>
      <c r="Q16" s="38"/>
      <c r="R16" s="38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K16" s="42"/>
    </row>
    <row r="17" spans="1:37">
      <c r="A17" s="1" t="s">
        <v>179</v>
      </c>
      <c r="B17" s="12"/>
      <c r="C17" s="12" t="e">
        <f>#REF!-C30</f>
        <v>#REF!</v>
      </c>
      <c r="D17" s="162">
        <v>9.4159999999999986</v>
      </c>
      <c r="E17" s="1" t="s">
        <v>178</v>
      </c>
      <c r="F17" s="2">
        <v>79398076</v>
      </c>
      <c r="G17" s="162">
        <v>10.166</v>
      </c>
      <c r="H17" s="1" t="s">
        <v>178</v>
      </c>
      <c r="I17" s="2" t="e">
        <f>ROUND(C17*G17/100,0)</f>
        <v>#REF!</v>
      </c>
      <c r="J17" s="2"/>
      <c r="K17" s="2"/>
      <c r="L17" s="2"/>
      <c r="M17" s="2"/>
      <c r="N17" s="2"/>
      <c r="O17" s="11"/>
      <c r="P17" s="38"/>
      <c r="Q17" s="38"/>
      <c r="R17" s="38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K17" s="42"/>
    </row>
    <row r="18" spans="1:37">
      <c r="A18" s="1" t="s">
        <v>181</v>
      </c>
      <c r="B18" s="1"/>
      <c r="C18" s="12" t="e">
        <f>#REF!-C31</f>
        <v>#REF!</v>
      </c>
      <c r="D18" s="164">
        <v>1.65</v>
      </c>
      <c r="E18" s="1"/>
      <c r="F18" s="2">
        <v>8755</v>
      </c>
      <c r="G18" s="164">
        <v>1.71</v>
      </c>
      <c r="H18" s="1"/>
      <c r="I18" s="2" t="e">
        <f>ROUND(C18*G18,0)</f>
        <v>#REF!</v>
      </c>
      <c r="J18" s="2"/>
      <c r="K18" s="2"/>
      <c r="L18" s="2"/>
      <c r="M18" s="2"/>
      <c r="N18" s="2"/>
      <c r="O18" s="11"/>
      <c r="P18" s="38"/>
      <c r="Q18" s="38"/>
      <c r="R18" s="38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K18" s="42"/>
    </row>
    <row r="19" spans="1:37">
      <c r="A19" s="166" t="s">
        <v>183</v>
      </c>
      <c r="B19" s="166"/>
      <c r="C19" s="12" t="e">
        <f>#REF!-C32</f>
        <v>#REF!</v>
      </c>
      <c r="D19" s="164">
        <v>3.2</v>
      </c>
      <c r="E19" s="166"/>
      <c r="F19" s="2">
        <v>2250</v>
      </c>
      <c r="G19" s="164">
        <v>3.3</v>
      </c>
      <c r="H19" s="166"/>
      <c r="I19" s="2" t="e">
        <f>ROUND(C19*G19,0)</f>
        <v>#REF!</v>
      </c>
      <c r="J19" s="2"/>
      <c r="K19" s="2"/>
      <c r="L19" s="2"/>
      <c r="M19" s="2"/>
      <c r="N19" s="2"/>
      <c r="O19" s="11"/>
      <c r="P19" s="38"/>
      <c r="Q19" s="38"/>
      <c r="R19" s="38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K19" s="42"/>
    </row>
    <row r="20" spans="1:37" s="545" customFormat="1">
      <c r="A20" s="524" t="s">
        <v>184</v>
      </c>
      <c r="C20" s="547" t="e">
        <f>#REF!-C33</f>
        <v>#REF!</v>
      </c>
      <c r="D20" s="132">
        <v>-1.65</v>
      </c>
      <c r="E20" s="546"/>
      <c r="F20" s="548">
        <v>-117</v>
      </c>
      <c r="G20" s="132">
        <v>-1.71</v>
      </c>
      <c r="H20" s="546"/>
      <c r="I20" s="2" t="e">
        <f>ROUND(C20*G20,0)</f>
        <v>#REF!</v>
      </c>
      <c r="J20" s="2"/>
      <c r="K20" s="2"/>
      <c r="L20" s="2"/>
      <c r="M20" s="2"/>
      <c r="N20" s="2"/>
      <c r="P20" s="508"/>
      <c r="S20" s="550"/>
      <c r="T20" s="550"/>
      <c r="Y20" s="546"/>
      <c r="Z20" s="546"/>
      <c r="AA20" s="546"/>
      <c r="AB20" s="546"/>
      <c r="AC20" s="546"/>
      <c r="AD20" s="546"/>
      <c r="AE20" s="546"/>
      <c r="AF20" s="546"/>
      <c r="AG20" s="546"/>
      <c r="AH20" s="546"/>
      <c r="AI20" s="546"/>
      <c r="AK20" s="549"/>
    </row>
    <row r="21" spans="1:37">
      <c r="A21" s="1" t="s">
        <v>185</v>
      </c>
      <c r="B21" s="1"/>
      <c r="C21" s="213" t="e">
        <f>SUM(C16:C17)</f>
        <v>#REF!</v>
      </c>
      <c r="D21" s="20"/>
      <c r="E21" s="20"/>
      <c r="F21" s="20">
        <v>129046536</v>
      </c>
      <c r="G21" s="20"/>
      <c r="H21" s="20"/>
      <c r="I21" s="2" t="e">
        <f>SUM(I15:I20)</f>
        <v>#REF!</v>
      </c>
      <c r="J21" s="2"/>
      <c r="K21" s="2"/>
      <c r="L21" s="2"/>
      <c r="M21" s="2"/>
      <c r="N21" s="2"/>
      <c r="O21" s="274"/>
      <c r="P21" s="333"/>
      <c r="Q21" s="38"/>
      <c r="R21" s="38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K21" s="42"/>
    </row>
    <row r="22" spans="1:37">
      <c r="A22" s="1" t="s">
        <v>167</v>
      </c>
      <c r="B22" s="1"/>
      <c r="C22" s="203">
        <f>V56</f>
        <v>-20556736.125963882</v>
      </c>
      <c r="D22" s="494"/>
      <c r="E22" s="494"/>
      <c r="F22" s="494">
        <v>1987055.0327333291</v>
      </c>
      <c r="G22" s="20"/>
      <c r="H22" s="20"/>
      <c r="I22" s="636" t="e">
        <f>#REF!*I21/(I21+I34)</f>
        <v>#REF!</v>
      </c>
      <c r="J22" s="637"/>
      <c r="K22" s="637"/>
      <c r="L22" s="637"/>
      <c r="M22" s="637"/>
      <c r="N22" s="637"/>
      <c r="O22" s="274"/>
      <c r="P22" s="333"/>
      <c r="Q22" s="38"/>
      <c r="R22" s="38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K22" s="42"/>
    </row>
    <row r="23" spans="1:37" ht="16.5" thickBot="1">
      <c r="A23" s="1" t="s">
        <v>186</v>
      </c>
      <c r="B23" s="1"/>
      <c r="C23" s="497" t="e">
        <f>SUM(C21:C22)</f>
        <v>#REF!</v>
      </c>
      <c r="D23" s="495"/>
      <c r="E23" s="495"/>
      <c r="F23" s="495">
        <v>131033591.03273334</v>
      </c>
      <c r="G23" s="496"/>
      <c r="H23" s="496"/>
      <c r="I23" s="495" t="e">
        <f>SUM(I21:I22)</f>
        <v>#REF!</v>
      </c>
      <c r="J23" s="20"/>
      <c r="K23" s="20"/>
      <c r="L23" s="20"/>
      <c r="M23" s="20"/>
      <c r="N23" s="20"/>
      <c r="O23" s="274"/>
      <c r="P23" s="333"/>
      <c r="Q23" s="38"/>
      <c r="R23" s="38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K23" s="42"/>
    </row>
    <row r="24" spans="1:37" ht="16.5" thickTop="1"/>
    <row r="25" spans="1:37">
      <c r="A25" s="634" t="s">
        <v>519</v>
      </c>
    </row>
    <row r="26" spans="1:37">
      <c r="A26" s="1" t="s">
        <v>135</v>
      </c>
    </row>
    <row r="27" spans="1:37">
      <c r="A27" s="211" t="s">
        <v>496</v>
      </c>
    </row>
    <row r="28" spans="1:37">
      <c r="A28" s="1" t="s">
        <v>174</v>
      </c>
      <c r="B28" s="1"/>
      <c r="C28" s="12">
        <v>2626.10193548387</v>
      </c>
      <c r="D28" s="161">
        <v>6</v>
      </c>
      <c r="E28" s="1"/>
      <c r="F28" s="2">
        <f>ROUND(D28*$C28,0)</f>
        <v>15757</v>
      </c>
      <c r="G28" s="161">
        <v>7.75</v>
      </c>
      <c r="H28" s="1"/>
      <c r="I28" s="2">
        <f>ROUND(G28*C28,0)</f>
        <v>20352</v>
      </c>
      <c r="J28" s="2"/>
      <c r="K28" s="2"/>
      <c r="L28" s="2"/>
      <c r="M28" s="2"/>
      <c r="N28" s="2"/>
      <c r="O28" s="11"/>
      <c r="P28" s="38"/>
      <c r="Q28" s="38"/>
      <c r="R28" s="38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K28" s="42"/>
    </row>
    <row r="29" spans="1:37">
      <c r="A29" s="1" t="s">
        <v>177</v>
      </c>
      <c r="B29" s="1"/>
      <c r="C29" s="12">
        <v>1055889</v>
      </c>
      <c r="D29" s="162">
        <v>5.9489999999999998</v>
      </c>
      <c r="E29" s="1" t="s">
        <v>178</v>
      </c>
      <c r="F29" s="2">
        <f>ROUND(D29*$C29/100,0)</f>
        <v>62815</v>
      </c>
      <c r="G29" s="162">
        <v>6.4249999999999998</v>
      </c>
      <c r="H29" s="1" t="s">
        <v>178</v>
      </c>
      <c r="I29" s="2">
        <f>ROUND(C29*G29/100,0)</f>
        <v>67841</v>
      </c>
      <c r="J29" s="2"/>
      <c r="K29" s="2"/>
      <c r="L29" s="2"/>
      <c r="M29" s="2"/>
      <c r="N29" s="2"/>
      <c r="O29" s="11"/>
      <c r="P29" s="38"/>
      <c r="Q29" s="38"/>
      <c r="R29" s="38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K29" s="42"/>
    </row>
    <row r="30" spans="1:37">
      <c r="A30" s="1" t="s">
        <v>179</v>
      </c>
      <c r="B30" s="12"/>
      <c r="C30" s="12">
        <v>1843001</v>
      </c>
      <c r="D30" s="162">
        <v>9.4159999999999986</v>
      </c>
      <c r="E30" s="1" t="s">
        <v>178</v>
      </c>
      <c r="F30" s="2">
        <f>ROUND(D30*$C30/100,0)</f>
        <v>173537</v>
      </c>
      <c r="G30" s="162">
        <v>10.166</v>
      </c>
      <c r="H30" s="1" t="s">
        <v>178</v>
      </c>
      <c r="I30" s="2">
        <f>ROUND(C30*G30/100,0)</f>
        <v>187359</v>
      </c>
      <c r="J30" s="2"/>
      <c r="K30" s="2"/>
      <c r="L30" s="2"/>
      <c r="M30" s="2"/>
      <c r="N30" s="2"/>
      <c r="O30" s="11"/>
      <c r="P30" s="38"/>
      <c r="Q30" s="38"/>
      <c r="R30" s="38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K30" s="42"/>
    </row>
    <row r="31" spans="1:37">
      <c r="A31" s="1" t="s">
        <v>181</v>
      </c>
      <c r="B31" s="1"/>
      <c r="C31" s="12">
        <v>0</v>
      </c>
      <c r="D31" s="164">
        <v>1.65</v>
      </c>
      <c r="E31" s="1"/>
      <c r="F31" s="2">
        <f>ROUND(D31*$C31,0)</f>
        <v>0</v>
      </c>
      <c r="G31" s="164">
        <v>1.71</v>
      </c>
      <c r="H31" s="1"/>
      <c r="I31" s="2">
        <f>ROUND(C31*G31,0)</f>
        <v>0</v>
      </c>
      <c r="J31" s="2"/>
      <c r="K31" s="2"/>
      <c r="L31" s="2"/>
      <c r="M31" s="2"/>
      <c r="N31" s="2"/>
      <c r="O31" s="11"/>
      <c r="P31" s="38"/>
      <c r="Q31" s="38"/>
      <c r="R31" s="38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K31" s="42"/>
    </row>
    <row r="32" spans="1:37">
      <c r="A32" s="166" t="s">
        <v>183</v>
      </c>
      <c r="B32" s="166"/>
      <c r="C32" s="12">
        <v>0</v>
      </c>
      <c r="D32" s="164">
        <v>3.2</v>
      </c>
      <c r="E32" s="166"/>
      <c r="F32" s="2">
        <f>ROUND(D32*$C32,0)</f>
        <v>0</v>
      </c>
      <c r="G32" s="164">
        <v>3.3</v>
      </c>
      <c r="H32" s="166"/>
      <c r="I32" s="2">
        <f>ROUND(C32*G32,0)</f>
        <v>0</v>
      </c>
      <c r="J32" s="2"/>
      <c r="K32" s="2"/>
      <c r="L32" s="2"/>
      <c r="M32" s="2"/>
      <c r="N32" s="2"/>
      <c r="O32" s="11"/>
      <c r="P32" s="38"/>
      <c r="Q32" s="38"/>
      <c r="R32" s="38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K32" s="42"/>
    </row>
    <row r="33" spans="1:37">
      <c r="A33" s="166" t="s">
        <v>184</v>
      </c>
      <c r="B33" s="166"/>
      <c r="C33" s="12">
        <v>0</v>
      </c>
      <c r="D33" s="167">
        <v>-1.65</v>
      </c>
      <c r="E33" s="166"/>
      <c r="F33" s="2">
        <f>ROUND(D33*$C33,0)</f>
        <v>0</v>
      </c>
      <c r="G33" s="132">
        <v>-1.71</v>
      </c>
      <c r="H33" s="166"/>
      <c r="I33" s="2">
        <f>ROUND(C33*G33,0)</f>
        <v>0</v>
      </c>
      <c r="J33" s="2"/>
      <c r="K33" s="2"/>
      <c r="L33" s="2"/>
      <c r="M33" s="2"/>
      <c r="N33" s="2"/>
      <c r="O33" s="11"/>
      <c r="P33" s="38"/>
      <c r="Q33" s="38"/>
      <c r="R33" s="38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K33" s="42"/>
    </row>
    <row r="34" spans="1:37">
      <c r="A34" s="1" t="s">
        <v>185</v>
      </c>
      <c r="B34" s="168"/>
      <c r="C34" s="12">
        <f>SUM(C29:C30)</f>
        <v>2898890</v>
      </c>
      <c r="D34" s="518"/>
      <c r="E34" s="2"/>
      <c r="F34" s="2">
        <f>SUM(F28:F33)</f>
        <v>252109</v>
      </c>
      <c r="G34" s="518"/>
      <c r="H34" s="2"/>
      <c r="I34" s="2">
        <f>SUM(I28:I33)</f>
        <v>275552</v>
      </c>
      <c r="J34" s="2"/>
      <c r="K34" s="2"/>
      <c r="L34" s="2"/>
      <c r="M34" s="2"/>
      <c r="N34" s="2"/>
      <c r="O34" s="11"/>
      <c r="P34" s="20"/>
      <c r="Q34" s="38"/>
      <c r="R34" s="38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K34" s="42"/>
    </row>
    <row r="35" spans="1:37">
      <c r="A35" s="1" t="s">
        <v>167</v>
      </c>
      <c r="B35" s="170"/>
      <c r="C35" s="171">
        <f>V57</f>
        <v>-39521.476073420687</v>
      </c>
      <c r="D35" s="635"/>
      <c r="E35" s="635"/>
      <c r="F35" s="494" t="e">
        <f>I35</f>
        <v>#REF!</v>
      </c>
      <c r="G35" s="523"/>
      <c r="H35" s="523"/>
      <c r="I35" s="636" t="e">
        <f>#REF!*I34/(I21+I34)</f>
        <v>#REF!</v>
      </c>
      <c r="J35" s="637"/>
      <c r="K35" s="637"/>
      <c r="L35" s="637"/>
      <c r="M35" s="637"/>
      <c r="N35" s="637"/>
      <c r="O35" s="307"/>
      <c r="P35" s="150"/>
      <c r="Q35" s="38"/>
      <c r="R35" s="38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K35" s="42"/>
    </row>
    <row r="36" spans="1:37" ht="16.5" thickBot="1">
      <c r="A36" s="1" t="s">
        <v>186</v>
      </c>
      <c r="B36" s="1"/>
      <c r="C36" s="497">
        <f>C34+C35</f>
        <v>2859368.5239265794</v>
      </c>
      <c r="D36" s="495"/>
      <c r="E36" s="495"/>
      <c r="F36" s="495" t="e">
        <f>F34+F35</f>
        <v>#REF!</v>
      </c>
      <c r="G36" s="496"/>
      <c r="H36" s="496"/>
      <c r="I36" s="495" t="e">
        <f>SUM(I34:I35)</f>
        <v>#REF!</v>
      </c>
      <c r="J36" s="20"/>
      <c r="K36" s="20"/>
      <c r="L36" s="20"/>
      <c r="M36" s="20"/>
      <c r="N36" s="20"/>
      <c r="O36" s="274"/>
      <c r="P36" s="333"/>
      <c r="Q36" s="38"/>
      <c r="R36" s="38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K36" s="42"/>
    </row>
    <row r="37" spans="1:37" ht="16.5" thickTop="1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37" ht="16.5" thickBot="1">
      <c r="I38" s="643"/>
      <c r="J38" s="644" t="s">
        <v>501</v>
      </c>
      <c r="K38" s="644" t="s">
        <v>502</v>
      </c>
      <c r="L38" s="644" t="s">
        <v>503</v>
      </c>
      <c r="M38" s="644" t="s">
        <v>504</v>
      </c>
      <c r="N38" s="644" t="s">
        <v>505</v>
      </c>
      <c r="O38" s="644" t="s">
        <v>506</v>
      </c>
      <c r="P38" s="644" t="s">
        <v>507</v>
      </c>
      <c r="Q38" s="644" t="s">
        <v>508</v>
      </c>
      <c r="R38" s="644" t="s">
        <v>509</v>
      </c>
      <c r="S38" s="644" t="s">
        <v>510</v>
      </c>
      <c r="T38" s="644" t="s">
        <v>511</v>
      </c>
      <c r="U38" s="644" t="s">
        <v>512</v>
      </c>
      <c r="V38" s="644" t="s">
        <v>513</v>
      </c>
    </row>
    <row r="39" spans="1:37">
      <c r="I39" s="638" t="s">
        <v>500</v>
      </c>
    </row>
    <row r="40" spans="1:37">
      <c r="I40" s="639" t="s">
        <v>438</v>
      </c>
      <c r="J40" s="641">
        <v>109650975</v>
      </c>
      <c r="K40" s="641">
        <v>128089470</v>
      </c>
      <c r="L40" s="641">
        <v>101547178</v>
      </c>
      <c r="M40" s="641">
        <v>82427457</v>
      </c>
      <c r="N40" s="641">
        <v>109082077</v>
      </c>
      <c r="O40" s="641">
        <v>177998198</v>
      </c>
      <c r="P40" s="641">
        <v>178739087</v>
      </c>
      <c r="Q40" s="641">
        <v>142955147</v>
      </c>
      <c r="R40" s="641">
        <v>114199404</v>
      </c>
      <c r="S40" s="641">
        <v>93799885</v>
      </c>
      <c r="T40" s="641">
        <v>84179447</v>
      </c>
      <c r="U40" s="641">
        <v>96893759</v>
      </c>
      <c r="V40" s="9">
        <f>SUM(J40:U40)</f>
        <v>1419562084</v>
      </c>
    </row>
    <row r="41" spans="1:37">
      <c r="I41" s="639" t="s">
        <v>445</v>
      </c>
      <c r="J41" s="641">
        <v>5226995</v>
      </c>
      <c r="K41" s="641">
        <v>5896396</v>
      </c>
      <c r="L41" s="641">
        <v>5068062</v>
      </c>
      <c r="M41" s="641">
        <v>4397329</v>
      </c>
      <c r="N41" s="641">
        <v>6449256</v>
      </c>
      <c r="O41" s="641">
        <v>11403661</v>
      </c>
      <c r="P41" s="641">
        <v>11685152</v>
      </c>
      <c r="Q41" s="641">
        <v>9831706</v>
      </c>
      <c r="R41" s="641">
        <v>7959009</v>
      </c>
      <c r="S41" s="641">
        <v>6394456</v>
      </c>
      <c r="T41" s="641">
        <v>5594402</v>
      </c>
      <c r="U41" s="641">
        <v>5776692</v>
      </c>
      <c r="V41" s="9">
        <f t="shared" ref="V41:V49" si="0">SUM(J41:U41)</f>
        <v>85683116</v>
      </c>
    </row>
    <row r="42" spans="1:37">
      <c r="I42" s="639" t="s">
        <v>439</v>
      </c>
      <c r="J42" s="641">
        <v>185061</v>
      </c>
      <c r="K42" s="641">
        <v>215220</v>
      </c>
      <c r="L42" s="641">
        <v>175360</v>
      </c>
      <c r="M42" s="641">
        <v>143837</v>
      </c>
      <c r="N42" s="641">
        <v>168813</v>
      </c>
      <c r="O42" s="641">
        <v>236002</v>
      </c>
      <c r="P42" s="641">
        <v>246895</v>
      </c>
      <c r="Q42" s="641">
        <v>189085</v>
      </c>
      <c r="R42" s="641">
        <v>166114</v>
      </c>
      <c r="S42" s="641">
        <v>141925</v>
      </c>
      <c r="T42" s="641">
        <v>151170</v>
      </c>
      <c r="U42" s="641">
        <v>169508</v>
      </c>
      <c r="V42" s="9">
        <f t="shared" si="0"/>
        <v>2188990</v>
      </c>
    </row>
    <row r="43" spans="1:37">
      <c r="I43" s="639" t="s">
        <v>499</v>
      </c>
      <c r="J43" s="641">
        <v>45311</v>
      </c>
      <c r="K43" s="641">
        <v>46329</v>
      </c>
      <c r="L43" s="641">
        <v>32741</v>
      </c>
      <c r="M43" s="641">
        <v>25192</v>
      </c>
      <c r="N43" s="641">
        <v>29546</v>
      </c>
      <c r="O43" s="641">
        <v>41682</v>
      </c>
      <c r="P43" s="641">
        <v>41101</v>
      </c>
      <c r="Q43" s="641">
        <v>32283</v>
      </c>
      <c r="R43" s="641">
        <v>26274</v>
      </c>
      <c r="S43" s="641">
        <v>24052</v>
      </c>
      <c r="T43" s="641">
        <v>24250</v>
      </c>
      <c r="U43" s="641">
        <v>28302</v>
      </c>
      <c r="V43" s="9">
        <f t="shared" si="0"/>
        <v>397063</v>
      </c>
    </row>
    <row r="44" spans="1:37">
      <c r="I44" s="640" t="s">
        <v>185</v>
      </c>
      <c r="J44" s="476">
        <f>SUM(J40:J43)</f>
        <v>115108342</v>
      </c>
      <c r="K44" s="476">
        <f t="shared" ref="K44:U44" si="1">SUM(K40:K43)</f>
        <v>134247415</v>
      </c>
      <c r="L44" s="476">
        <f t="shared" si="1"/>
        <v>106823341</v>
      </c>
      <c r="M44" s="476">
        <f t="shared" si="1"/>
        <v>86993815</v>
      </c>
      <c r="N44" s="476">
        <f t="shared" si="1"/>
        <v>115729692</v>
      </c>
      <c r="O44" s="476">
        <f t="shared" si="1"/>
        <v>189679543</v>
      </c>
      <c r="P44" s="476">
        <f t="shared" si="1"/>
        <v>190712235</v>
      </c>
      <c r="Q44" s="476">
        <f t="shared" si="1"/>
        <v>153008221</v>
      </c>
      <c r="R44" s="476">
        <f t="shared" si="1"/>
        <v>122350801</v>
      </c>
      <c r="S44" s="476">
        <f t="shared" si="1"/>
        <v>100360318</v>
      </c>
      <c r="T44" s="476">
        <f t="shared" si="1"/>
        <v>89949269</v>
      </c>
      <c r="U44" s="476">
        <f t="shared" si="1"/>
        <v>102868261</v>
      </c>
      <c r="V44" s="642">
        <f t="shared" si="0"/>
        <v>1507831253</v>
      </c>
    </row>
    <row r="45" spans="1:37">
      <c r="I45" s="639" t="s">
        <v>520</v>
      </c>
      <c r="J45" s="641">
        <v>145402</v>
      </c>
      <c r="K45" s="641">
        <v>191012</v>
      </c>
      <c r="L45" s="641">
        <v>149617</v>
      </c>
      <c r="M45" s="641">
        <v>121857</v>
      </c>
      <c r="N45" s="641">
        <v>209989</v>
      </c>
      <c r="O45" s="641">
        <v>440726</v>
      </c>
      <c r="P45" s="641">
        <v>516637</v>
      </c>
      <c r="Q45" s="641">
        <v>412951</v>
      </c>
      <c r="R45" s="641">
        <v>244366</v>
      </c>
      <c r="S45" s="641">
        <v>173674</v>
      </c>
      <c r="T45" s="641">
        <v>127563</v>
      </c>
      <c r="U45" s="641">
        <v>165096</v>
      </c>
      <c r="V45" s="9">
        <f t="shared" si="0"/>
        <v>2898890</v>
      </c>
    </row>
    <row r="46" spans="1:37">
      <c r="I46" s="640" t="s">
        <v>515</v>
      </c>
      <c r="J46" s="476">
        <f>SUM(J44:J45)</f>
        <v>115253744</v>
      </c>
      <c r="K46" s="476">
        <f t="shared" ref="K46:T46" si="2">SUM(K44:K45)</f>
        <v>134438427</v>
      </c>
      <c r="L46" s="476">
        <f t="shared" si="2"/>
        <v>106972958</v>
      </c>
      <c r="M46" s="476">
        <f t="shared" si="2"/>
        <v>87115672</v>
      </c>
      <c r="N46" s="476">
        <f t="shared" si="2"/>
        <v>115939681</v>
      </c>
      <c r="O46" s="476">
        <f t="shared" si="2"/>
        <v>190120269</v>
      </c>
      <c r="P46" s="476">
        <f t="shared" si="2"/>
        <v>191228872</v>
      </c>
      <c r="Q46" s="476">
        <f t="shared" si="2"/>
        <v>153421172</v>
      </c>
      <c r="R46" s="476">
        <f t="shared" si="2"/>
        <v>122595167</v>
      </c>
      <c r="S46" s="476">
        <f t="shared" si="2"/>
        <v>100533992</v>
      </c>
      <c r="T46" s="476">
        <f t="shared" si="2"/>
        <v>90076832</v>
      </c>
      <c r="U46" s="476">
        <f>SUM(U44:U45)</f>
        <v>103033357</v>
      </c>
      <c r="V46" s="642">
        <f t="shared" si="0"/>
        <v>1510730143</v>
      </c>
    </row>
    <row r="47" spans="1:37">
      <c r="I47" s="645" t="s">
        <v>516</v>
      </c>
      <c r="J47" s="508">
        <v>79561.5</v>
      </c>
      <c r="K47" s="508">
        <v>79957</v>
      </c>
      <c r="L47" s="508">
        <v>80109</v>
      </c>
      <c r="M47" s="508">
        <v>80337</v>
      </c>
      <c r="N47" s="508">
        <v>79727</v>
      </c>
      <c r="O47" s="508">
        <v>79145</v>
      </c>
      <c r="P47" s="508">
        <v>79252</v>
      </c>
      <c r="Q47" s="508">
        <v>78773</v>
      </c>
      <c r="R47" s="508">
        <v>77809</v>
      </c>
      <c r="S47" s="508">
        <v>78235.5</v>
      </c>
      <c r="T47" s="508">
        <v>78358</v>
      </c>
      <c r="U47" s="508">
        <v>78277</v>
      </c>
      <c r="V47" s="7">
        <f t="shared" si="0"/>
        <v>949541</v>
      </c>
    </row>
    <row r="48" spans="1:37">
      <c r="I48" s="645" t="s">
        <v>517</v>
      </c>
      <c r="J48" s="508">
        <v>1746915</v>
      </c>
      <c r="K48" s="508">
        <v>1942419</v>
      </c>
      <c r="L48" s="508">
        <v>1666377</v>
      </c>
      <c r="M48" s="508">
        <v>1365198</v>
      </c>
      <c r="N48" s="508">
        <v>1415824</v>
      </c>
      <c r="O48" s="508">
        <v>2050100</v>
      </c>
      <c r="P48" s="508">
        <v>2085519</v>
      </c>
      <c r="Q48" s="508">
        <v>2166637</v>
      </c>
      <c r="R48" s="508">
        <v>2323029</v>
      </c>
      <c r="S48" s="508">
        <v>1438003</v>
      </c>
      <c r="T48" s="508">
        <v>1304153</v>
      </c>
      <c r="U48" s="508">
        <v>1532312</v>
      </c>
      <c r="V48" s="7">
        <f t="shared" si="0"/>
        <v>21036486</v>
      </c>
    </row>
    <row r="49" spans="9:22">
      <c r="I49" s="640" t="s">
        <v>518</v>
      </c>
      <c r="J49" s="476">
        <f>SUM(J46:J48)</f>
        <v>117080220.5</v>
      </c>
      <c r="K49" s="476">
        <f t="shared" ref="K49:U49" si="3">SUM(K46:K48)</f>
        <v>136460803</v>
      </c>
      <c r="L49" s="476">
        <f t="shared" si="3"/>
        <v>108719444</v>
      </c>
      <c r="M49" s="476">
        <f t="shared" si="3"/>
        <v>88561207</v>
      </c>
      <c r="N49" s="476">
        <f t="shared" si="3"/>
        <v>117435232</v>
      </c>
      <c r="O49" s="476">
        <f t="shared" si="3"/>
        <v>192249514</v>
      </c>
      <c r="P49" s="476">
        <f t="shared" si="3"/>
        <v>193393643</v>
      </c>
      <c r="Q49" s="476">
        <f t="shared" si="3"/>
        <v>155666582</v>
      </c>
      <c r="R49" s="476">
        <f t="shared" si="3"/>
        <v>124996005</v>
      </c>
      <c r="S49" s="476">
        <f t="shared" si="3"/>
        <v>102050230.5</v>
      </c>
      <c r="T49" s="476">
        <f t="shared" si="3"/>
        <v>91459343</v>
      </c>
      <c r="U49" s="476">
        <f t="shared" si="3"/>
        <v>104643946</v>
      </c>
      <c r="V49" s="642">
        <f t="shared" si="0"/>
        <v>1532716170</v>
      </c>
    </row>
    <row r="51" spans="9:22">
      <c r="I51" s="638" t="s">
        <v>514</v>
      </c>
      <c r="J51" s="647">
        <v>-20896000</v>
      </c>
    </row>
    <row r="52" spans="9:22">
      <c r="I52" s="639" t="s">
        <v>438</v>
      </c>
      <c r="J52" s="641">
        <f>$J$51*J40/$V$49</f>
        <v>-1494906.1140263171</v>
      </c>
      <c r="K52" s="641">
        <f t="shared" ref="K52:U52" si="4">$J$51*K40/$V$49</f>
        <v>-1746283.8962023868</v>
      </c>
      <c r="L52" s="641">
        <f t="shared" si="4"/>
        <v>-1384424.5092605762</v>
      </c>
      <c r="M52" s="641">
        <f t="shared" si="4"/>
        <v>-1123759.3594853247</v>
      </c>
      <c r="N52" s="641">
        <f t="shared" si="4"/>
        <v>-1487150.1492621428</v>
      </c>
      <c r="O52" s="641">
        <f t="shared" si="4"/>
        <v>-2426705.2297151661</v>
      </c>
      <c r="P52" s="641">
        <f t="shared" si="4"/>
        <v>-2436806.0016956693</v>
      </c>
      <c r="Q52" s="641">
        <f t="shared" si="4"/>
        <v>-1948952.330627529</v>
      </c>
      <c r="R52" s="641">
        <f t="shared" si="4"/>
        <v>-1556916.2723611118</v>
      </c>
      <c r="S52" s="641">
        <f t="shared" si="4"/>
        <v>-1278803.2352787144</v>
      </c>
      <c r="T52" s="641">
        <f t="shared" si="4"/>
        <v>-1147644.7883446026</v>
      </c>
      <c r="U52" s="641">
        <f t="shared" si="4"/>
        <v>-1320982.9893449876</v>
      </c>
      <c r="V52" s="9">
        <f>SUM(J52:U52)</f>
        <v>-19353334.875604529</v>
      </c>
    </row>
    <row r="53" spans="9:22">
      <c r="I53" s="639" t="s">
        <v>445</v>
      </c>
      <c r="J53" s="641">
        <f>$J$51*J41/$V$49</f>
        <v>-71261.261320156889</v>
      </c>
      <c r="K53" s="641">
        <f t="shared" ref="K53:U53" si="5">$J$51*K41/$V$49</f>
        <v>-80387.414987603348</v>
      </c>
      <c r="L53" s="641">
        <f t="shared" si="5"/>
        <v>-69094.477911066861</v>
      </c>
      <c r="M53" s="641">
        <f t="shared" si="5"/>
        <v>-59950.164670083701</v>
      </c>
      <c r="N53" s="641">
        <f t="shared" si="5"/>
        <v>-87924.728670409997</v>
      </c>
      <c r="O53" s="641">
        <f t="shared" si="5"/>
        <v>-155469.68507287296</v>
      </c>
      <c r="P53" s="641">
        <f t="shared" si="5"/>
        <v>-159307.34011372764</v>
      </c>
      <c r="Q53" s="641">
        <f t="shared" si="5"/>
        <v>-134038.72980344429</v>
      </c>
      <c r="R53" s="641">
        <f t="shared" si="5"/>
        <v>-108507.6645756272</v>
      </c>
      <c r="S53" s="641">
        <f t="shared" si="5"/>
        <v>-87177.623092473805</v>
      </c>
      <c r="T53" s="641">
        <f t="shared" si="5"/>
        <v>-76270.236120755479</v>
      </c>
      <c r="U53" s="641">
        <f t="shared" si="5"/>
        <v>-78755.452832470604</v>
      </c>
      <c r="V53" s="9">
        <f t="shared" ref="V53:V58" si="6">SUM(J53:U53)</f>
        <v>-1168144.7791706929</v>
      </c>
    </row>
    <row r="54" spans="9:22">
      <c r="I54" s="639" t="s">
        <v>439</v>
      </c>
      <c r="J54" s="641">
        <f>$J$51*J42/$V$49</f>
        <v>-2522.9946233293799</v>
      </c>
      <c r="K54" s="641">
        <f t="shared" ref="K54:U54" si="7">$J$51*K42/$V$49</f>
        <v>-2934.1617241501408</v>
      </c>
      <c r="L54" s="641">
        <f t="shared" si="7"/>
        <v>-2390.7378493958213</v>
      </c>
      <c r="M54" s="641">
        <f t="shared" si="7"/>
        <v>-1960.9749090074517</v>
      </c>
      <c r="N54" s="641">
        <f t="shared" si="7"/>
        <v>-2301.4805461339915</v>
      </c>
      <c r="O54" s="641">
        <f t="shared" si="7"/>
        <v>-3217.4892446003228</v>
      </c>
      <c r="P54" s="641">
        <f t="shared" si="7"/>
        <v>-3365.9969281853405</v>
      </c>
      <c r="Q54" s="641">
        <f t="shared" si="7"/>
        <v>-2577.8550767165198</v>
      </c>
      <c r="R54" s="641">
        <f t="shared" si="7"/>
        <v>-2264.6842330892873</v>
      </c>
      <c r="S54" s="641">
        <f t="shared" si="7"/>
        <v>-1934.9080136604809</v>
      </c>
      <c r="T54" s="641">
        <f t="shared" si="7"/>
        <v>-2060.9479966535487</v>
      </c>
      <c r="U54" s="641">
        <f t="shared" si="7"/>
        <v>-2310.9556989928542</v>
      </c>
      <c r="V54" s="9">
        <f t="shared" si="6"/>
        <v>-29843.186843915137</v>
      </c>
    </row>
    <row r="55" spans="9:22">
      <c r="I55" s="639" t="s">
        <v>499</v>
      </c>
      <c r="J55" s="641">
        <f>$J$51*J43/$V$49</f>
        <v>-617.73906645742511</v>
      </c>
      <c r="K55" s="641">
        <f t="shared" ref="K55:U55" si="8">$J$51*K43/$V$49</f>
        <v>-631.61777956580181</v>
      </c>
      <c r="L55" s="641">
        <f t="shared" si="8"/>
        <v>-446.36831618994404</v>
      </c>
      <c r="M55" s="641">
        <f t="shared" si="8"/>
        <v>-343.45043283519351</v>
      </c>
      <c r="N55" s="641">
        <f t="shared" si="8"/>
        <v>-402.80987966610934</v>
      </c>
      <c r="O55" s="641">
        <f t="shared" si="8"/>
        <v>-568.26377188935123</v>
      </c>
      <c r="P55" s="641">
        <f t="shared" si="8"/>
        <v>-560.34281676561159</v>
      </c>
      <c r="Q55" s="641">
        <f t="shared" si="8"/>
        <v>-440.1242586225211</v>
      </c>
      <c r="R55" s="641">
        <f t="shared" si="8"/>
        <v>-358.20167800539355</v>
      </c>
      <c r="S55" s="641">
        <f t="shared" si="8"/>
        <v>-327.90845548396607</v>
      </c>
      <c r="T55" s="641">
        <f t="shared" si="8"/>
        <v>-330.60785155023189</v>
      </c>
      <c r="U55" s="641">
        <f t="shared" si="8"/>
        <v>-385.8500377144191</v>
      </c>
      <c r="V55" s="9">
        <f t="shared" si="6"/>
        <v>-5413.2843447459691</v>
      </c>
    </row>
    <row r="56" spans="9:22">
      <c r="I56" s="640" t="s">
        <v>185</v>
      </c>
      <c r="J56" s="646">
        <f>SUM(J52:J55)</f>
        <v>-1569308.109036261</v>
      </c>
      <c r="K56" s="646">
        <f t="shared" ref="K56:U56" si="9">SUM(K52:K55)</f>
        <v>-1830237.0906937062</v>
      </c>
      <c r="L56" s="646">
        <f t="shared" si="9"/>
        <v>-1456356.0933372288</v>
      </c>
      <c r="M56" s="646">
        <f t="shared" si="9"/>
        <v>-1186013.9494972511</v>
      </c>
      <c r="N56" s="646">
        <f t="shared" si="9"/>
        <v>-1577779.168358353</v>
      </c>
      <c r="O56" s="646">
        <f t="shared" si="9"/>
        <v>-2585960.6678045285</v>
      </c>
      <c r="P56" s="646">
        <f t="shared" si="9"/>
        <v>-2600039.6815543477</v>
      </c>
      <c r="Q56" s="646">
        <f t="shared" si="9"/>
        <v>-2086009.0397663123</v>
      </c>
      <c r="R56" s="646">
        <f t="shared" si="9"/>
        <v>-1668046.8228478336</v>
      </c>
      <c r="S56" s="646">
        <f t="shared" si="9"/>
        <v>-1368243.6748403327</v>
      </c>
      <c r="T56" s="646">
        <f t="shared" si="9"/>
        <v>-1226306.5803135619</v>
      </c>
      <c r="U56" s="646">
        <f t="shared" si="9"/>
        <v>-1402435.2479141655</v>
      </c>
      <c r="V56" s="642">
        <f t="shared" si="6"/>
        <v>-20556736.125963882</v>
      </c>
    </row>
    <row r="57" spans="9:22">
      <c r="I57" s="639" t="s">
        <v>520</v>
      </c>
      <c r="J57" s="641">
        <f t="shared" ref="J57:U57" si="10">$J$51*J45/$V$49</f>
        <v>-1982.3110445817244</v>
      </c>
      <c r="K57" s="641">
        <f t="shared" si="10"/>
        <v>-2604.1264717654803</v>
      </c>
      <c r="L57" s="641">
        <f t="shared" si="10"/>
        <v>-2039.7754608408679</v>
      </c>
      <c r="M57" s="641">
        <f t="shared" si="10"/>
        <v>-1661.3146790250148</v>
      </c>
      <c r="N57" s="641">
        <f t="shared" si="10"/>
        <v>-2862.8458614095525</v>
      </c>
      <c r="O57" s="641">
        <f t="shared" si="10"/>
        <v>-6008.5557106114438</v>
      </c>
      <c r="P57" s="641">
        <f t="shared" si="10"/>
        <v>-7043.4741691281306</v>
      </c>
      <c r="Q57" s="641">
        <f t="shared" si="10"/>
        <v>-5629.8904290936007</v>
      </c>
      <c r="R57" s="641">
        <f t="shared" si="10"/>
        <v>-3331.5182784298545</v>
      </c>
      <c r="S57" s="641">
        <f t="shared" si="10"/>
        <v>-2367.7520828921638</v>
      </c>
      <c r="T57" s="641">
        <f t="shared" si="10"/>
        <v>-1739.1063656619476</v>
      </c>
      <c r="U57" s="641">
        <f t="shared" si="10"/>
        <v>-2250.805519980911</v>
      </c>
      <c r="V57" s="9">
        <f t="shared" si="6"/>
        <v>-39521.476073420687</v>
      </c>
    </row>
    <row r="58" spans="9:22">
      <c r="I58" s="640" t="s">
        <v>186</v>
      </c>
      <c r="J58" s="642">
        <f>SUM(J56:J57)</f>
        <v>-1571290.4200808427</v>
      </c>
      <c r="K58" s="642">
        <f>SUM(K56:K57)</f>
        <v>-1832841.2171654718</v>
      </c>
      <c r="L58" s="642">
        <f>SUM(L56:L57)</f>
        <v>-1458395.8687980697</v>
      </c>
      <c r="M58" s="642">
        <f t="shared" ref="M58:U58" si="11">SUM(M56:M57)</f>
        <v>-1187675.264176276</v>
      </c>
      <c r="N58" s="642">
        <f t="shared" si="11"/>
        <v>-1580642.0142197625</v>
      </c>
      <c r="O58" s="642">
        <f t="shared" si="11"/>
        <v>-2591969.2235151399</v>
      </c>
      <c r="P58" s="642">
        <f t="shared" si="11"/>
        <v>-2607083.1557234759</v>
      </c>
      <c r="Q58" s="642">
        <f t="shared" si="11"/>
        <v>-2091638.9301954058</v>
      </c>
      <c r="R58" s="642">
        <f t="shared" si="11"/>
        <v>-1671378.3411262634</v>
      </c>
      <c r="S58" s="642">
        <f t="shared" si="11"/>
        <v>-1370611.4269232249</v>
      </c>
      <c r="T58" s="642">
        <f t="shared" si="11"/>
        <v>-1228045.6866792238</v>
      </c>
      <c r="U58" s="642">
        <f t="shared" si="11"/>
        <v>-1404686.0534341463</v>
      </c>
      <c r="V58" s="642">
        <f t="shared" si="6"/>
        <v>-20596257.602037303</v>
      </c>
    </row>
    <row r="60" spans="9:22">
      <c r="I60" s="638" t="s">
        <v>3</v>
      </c>
    </row>
    <row r="61" spans="9:22">
      <c r="I61" s="639" t="s">
        <v>438</v>
      </c>
      <c r="J61" s="526">
        <v>-5916885.1836873954</v>
      </c>
      <c r="K61" s="526">
        <v>650273.33192590426</v>
      </c>
      <c r="L61" s="526">
        <v>2754914.4961191299</v>
      </c>
      <c r="M61" s="526">
        <v>-1212764.3976792207</v>
      </c>
      <c r="N61" s="526">
        <v>-5757958.6088567059</v>
      </c>
      <c r="O61" s="526">
        <v>22284833.693557587</v>
      </c>
      <c r="P61" s="526">
        <v>8645417.979012968</v>
      </c>
      <c r="Q61" s="526">
        <v>-50976994.179540589</v>
      </c>
      <c r="R61" s="526">
        <v>-34066043.198493175</v>
      </c>
      <c r="S61" s="526">
        <v>6877102.2106041508</v>
      </c>
      <c r="T61" s="526">
        <v>1878105.6123750396</v>
      </c>
      <c r="U61" s="526">
        <v>-1551637.6791642753</v>
      </c>
      <c r="V61" s="9">
        <f>SUM(J61:U61)</f>
        <v>-56391635.923826575</v>
      </c>
    </row>
    <row r="62" spans="9:22">
      <c r="I62" s="639" t="s">
        <v>445</v>
      </c>
      <c r="J62" s="526">
        <v>-228323.58922888245</v>
      </c>
      <c r="K62" s="526">
        <v>23969.361147138192</v>
      </c>
      <c r="L62" s="526">
        <v>106788.42978419113</v>
      </c>
      <c r="M62" s="526">
        <v>-56757.463050247323</v>
      </c>
      <c r="N62" s="526">
        <v>-307191.02152479475</v>
      </c>
      <c r="O62" s="526">
        <v>1271886.5606757847</v>
      </c>
      <c r="P62" s="526">
        <v>521155.84563762823</v>
      </c>
      <c r="Q62" s="526">
        <v>-3293687.6909134365</v>
      </c>
      <c r="R62" s="526">
        <v>-1987101.215273743</v>
      </c>
      <c r="S62" s="526">
        <v>380985.97093047237</v>
      </c>
      <c r="T62" s="526">
        <v>94657.565509963402</v>
      </c>
      <c r="U62" s="526">
        <v>-71159.248992110181</v>
      </c>
      <c r="V62" s="9">
        <f>SUM(J62:U62)</f>
        <v>-3544776.4952980359</v>
      </c>
    </row>
    <row r="63" spans="9:22">
      <c r="I63" s="639" t="s">
        <v>439</v>
      </c>
      <c r="J63" s="526">
        <v>-11881.252983722208</v>
      </c>
      <c r="K63" s="526">
        <v>1128.0257269575241</v>
      </c>
      <c r="L63" s="526">
        <v>5055.7582966790069</v>
      </c>
      <c r="M63" s="526">
        <v>-2319.4202705320822</v>
      </c>
      <c r="N63" s="526">
        <v>-8199.1384184992239</v>
      </c>
      <c r="O63" s="526">
        <v>32608.008566627872</v>
      </c>
      <c r="P63" s="526">
        <v>11864.212349404113</v>
      </c>
      <c r="Q63" s="526">
        <v>-73944.79224597034</v>
      </c>
      <c r="R63" s="526">
        <v>-46848.889733076583</v>
      </c>
      <c r="S63" s="526">
        <v>11576.455765377112</v>
      </c>
      <c r="T63" s="526">
        <v>3269.3679149971413</v>
      </c>
      <c r="U63" s="526">
        <v>-2849.7692436144803</v>
      </c>
      <c r="V63" s="9">
        <f>SUM(J63:U63)</f>
        <v>-80541.434275372143</v>
      </c>
    </row>
    <row r="64" spans="9:22">
      <c r="I64" s="639"/>
    </row>
    <row r="65" spans="9:22">
      <c r="I65" s="648" t="s">
        <v>1</v>
      </c>
      <c r="J65" s="5"/>
      <c r="K65" s="5"/>
      <c r="L65" s="5"/>
      <c r="M65" s="5"/>
      <c r="N65" s="5"/>
      <c r="O65" s="5"/>
      <c r="P65" s="26"/>
      <c r="Q65" s="26"/>
      <c r="R65" s="26"/>
      <c r="S65" s="5"/>
      <c r="T65" s="5"/>
      <c r="U65" s="5"/>
      <c r="V65" s="5"/>
    </row>
    <row r="66" spans="9:22">
      <c r="I66" s="640" t="s">
        <v>438</v>
      </c>
      <c r="J66" s="642">
        <f>SUM(J61:J63,J52:J55,J40:J43)</f>
        <v>107381943.86506374</v>
      </c>
      <c r="K66" s="642">
        <f t="shared" ref="K66:U66" si="12">SUM(K61:K63,K52:K55,K40:K43)</f>
        <v>133092548.6281063</v>
      </c>
      <c r="L66" s="642">
        <f t="shared" si="12"/>
        <v>108233743.59086277</v>
      </c>
      <c r="M66" s="642">
        <f t="shared" si="12"/>
        <v>84535959.769502744</v>
      </c>
      <c r="N66" s="642">
        <f t="shared" si="12"/>
        <v>108078564.06284165</v>
      </c>
      <c r="O66" s="642">
        <f t="shared" si="12"/>
        <v>210682910.59499547</v>
      </c>
      <c r="P66" s="642">
        <f t="shared" si="12"/>
        <v>197290633.35544565</v>
      </c>
      <c r="Q66" s="642">
        <f t="shared" si="12"/>
        <v>96577585.297533691</v>
      </c>
      <c r="R66" s="642">
        <f t="shared" si="12"/>
        <v>84582760.87365216</v>
      </c>
      <c r="S66" s="642">
        <f t="shared" si="12"/>
        <v>106261738.96245967</v>
      </c>
      <c r="T66" s="642">
        <f t="shared" si="12"/>
        <v>90698994.965486437</v>
      </c>
      <c r="U66" s="642">
        <f t="shared" si="12"/>
        <v>99840179.054685831</v>
      </c>
      <c r="V66" s="642">
        <f>SUM(J66:U66)</f>
        <v>1427257563.0206361</v>
      </c>
    </row>
    <row r="67" spans="9:22">
      <c r="I67" s="640" t="s">
        <v>520</v>
      </c>
      <c r="J67" s="642">
        <f>J45+J57</f>
        <v>143419.68895541827</v>
      </c>
      <c r="K67" s="642">
        <f t="shared" ref="K67:U67" si="13">K45+K57</f>
        <v>188407.87352823452</v>
      </c>
      <c r="L67" s="642">
        <f t="shared" si="13"/>
        <v>147577.22453915913</v>
      </c>
      <c r="M67" s="642">
        <f t="shared" si="13"/>
        <v>120195.68532097498</v>
      </c>
      <c r="N67" s="642">
        <f t="shared" si="13"/>
        <v>207126.15413859044</v>
      </c>
      <c r="O67" s="642">
        <f t="shared" si="13"/>
        <v>434717.44428938854</v>
      </c>
      <c r="P67" s="642">
        <f t="shared" si="13"/>
        <v>509593.52583087189</v>
      </c>
      <c r="Q67" s="642">
        <f t="shared" si="13"/>
        <v>407321.10957090638</v>
      </c>
      <c r="R67" s="642">
        <f t="shared" si="13"/>
        <v>241034.48172157013</v>
      </c>
      <c r="S67" s="642">
        <f t="shared" si="13"/>
        <v>171306.24791710783</v>
      </c>
      <c r="T67" s="642">
        <f t="shared" si="13"/>
        <v>125823.89363433805</v>
      </c>
      <c r="U67" s="642">
        <f t="shared" si="13"/>
        <v>162845.1944800191</v>
      </c>
      <c r="V67" s="642">
        <f>SUM(J67:U67)</f>
        <v>2859368.5239265794</v>
      </c>
    </row>
    <row r="68" spans="9:22">
      <c r="I68" s="491"/>
    </row>
    <row r="69" spans="9:22">
      <c r="I69" s="640"/>
    </row>
  </sheetData>
  <mergeCells count="4">
    <mergeCell ref="A1:N1"/>
    <mergeCell ref="A2:N2"/>
    <mergeCell ref="A3:N3"/>
    <mergeCell ref="A4:N4"/>
  </mergeCells>
  <printOptions horizontalCentered="1"/>
  <pageMargins left="0" right="0" top="0.25" bottom="0.05" header="0.5" footer="0.25"/>
  <pageSetup scale="33" fitToHeight="1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transitionEvaluation="1" transitionEntry="1">
    <pageSetUpPr fitToPage="1"/>
  </sheetPr>
  <dimension ref="B1:W66"/>
  <sheetViews>
    <sheetView workbookViewId="0"/>
  </sheetViews>
  <sheetFormatPr defaultColWidth="8.5" defaultRowHeight="15"/>
  <cols>
    <col min="1" max="1" width="5" style="21" customWidth="1"/>
    <col min="2" max="2" width="3.25" style="21" customWidth="1"/>
    <col min="3" max="3" width="1.125" style="21" customWidth="1"/>
    <col min="4" max="4" width="32.25" style="21" customWidth="1"/>
    <col min="5" max="5" width="1.125" style="21" customWidth="1"/>
    <col min="6" max="6" width="7.25" style="21" bestFit="1" customWidth="1"/>
    <col min="7" max="7" width="1.125" style="21" customWidth="1"/>
    <col min="8" max="8" width="8.5" style="21" bestFit="1" customWidth="1"/>
    <col min="9" max="9" width="1.125" style="21" customWidth="1"/>
    <col min="10" max="10" width="11.75" style="21" bestFit="1" customWidth="1"/>
    <col min="11" max="11" width="1.125" style="21" customWidth="1"/>
    <col min="12" max="12" width="12.25" style="21" bestFit="1" customWidth="1"/>
    <col min="13" max="13" width="1.125" style="21" customWidth="1"/>
    <col min="14" max="14" width="12.25" style="21" hidden="1" customWidth="1"/>
    <col min="15" max="15" width="1.125" style="21" hidden="1" customWidth="1"/>
    <col min="16" max="16" width="13.25" style="21" hidden="1" customWidth="1"/>
    <col min="17" max="17" width="2.875" style="21" hidden="1" customWidth="1"/>
    <col min="18" max="18" width="10.5" style="21" hidden="1" customWidth="1"/>
    <col min="19" max="19" width="2.125" style="21" hidden="1" customWidth="1"/>
    <col min="20" max="20" width="10.5" style="21" hidden="1" customWidth="1"/>
    <col min="21" max="21" width="2.125" style="21" hidden="1" customWidth="1"/>
    <col min="22" max="22" width="10.5" style="21" hidden="1" customWidth="1"/>
    <col min="23" max="23" width="2.125" style="21" hidden="1" customWidth="1"/>
    <col min="24" max="24" width="0" style="21" hidden="1" customWidth="1"/>
    <col min="25" max="16384" width="8.5" style="21"/>
  </cols>
  <sheetData>
    <row r="1" spans="2:23" ht="15.75">
      <c r="B1" s="557" t="s">
        <v>13</v>
      </c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  <c r="O1" s="557"/>
      <c r="P1" s="557"/>
      <c r="Q1" s="557"/>
      <c r="R1" s="557"/>
      <c r="S1" s="557"/>
      <c r="U1" s="557"/>
      <c r="W1" s="557"/>
    </row>
    <row r="2" spans="2:23" ht="15.75">
      <c r="B2" s="558" t="s">
        <v>443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</row>
    <row r="3" spans="2:23" ht="15.75">
      <c r="B3" s="558" t="s">
        <v>450</v>
      </c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</row>
    <row r="4" spans="2:23" ht="15.75">
      <c r="B4" s="558" t="s">
        <v>451</v>
      </c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  <c r="N4" s="558"/>
      <c r="O4" s="558"/>
      <c r="P4" s="558"/>
      <c r="Q4" s="558"/>
      <c r="R4" s="558"/>
      <c r="S4" s="558"/>
      <c r="T4" s="558"/>
      <c r="U4" s="558"/>
      <c r="V4" s="558"/>
      <c r="W4" s="558"/>
    </row>
    <row r="5" spans="2:23" ht="15.75">
      <c r="B5" s="559" t="s">
        <v>495</v>
      </c>
      <c r="C5" s="559"/>
      <c r="D5" s="559"/>
      <c r="E5" s="559"/>
      <c r="F5" s="559"/>
      <c r="G5" s="559"/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</row>
    <row r="6" spans="2:23"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1"/>
      <c r="R6" s="560"/>
      <c r="S6" s="560"/>
      <c r="U6" s="560"/>
      <c r="W6" s="560"/>
    </row>
    <row r="7" spans="2:23">
      <c r="B7" s="560"/>
      <c r="C7" s="560"/>
      <c r="D7" s="560"/>
      <c r="E7" s="560"/>
      <c r="F7" s="560"/>
      <c r="G7" s="560"/>
      <c r="H7" s="560"/>
      <c r="I7" s="560"/>
      <c r="J7" s="560"/>
      <c r="K7" s="560"/>
      <c r="L7" s="560"/>
      <c r="M7" s="560"/>
      <c r="N7" s="560"/>
      <c r="O7" s="560"/>
      <c r="P7" s="560"/>
      <c r="Q7" s="561"/>
      <c r="R7" s="560"/>
      <c r="S7" s="560"/>
      <c r="U7" s="560"/>
      <c r="W7" s="560"/>
    </row>
    <row r="8" spans="2:23">
      <c r="L8" s="562" t="s">
        <v>13</v>
      </c>
      <c r="N8" s="562" t="s">
        <v>85</v>
      </c>
      <c r="P8" s="562" t="s">
        <v>85</v>
      </c>
      <c r="Q8" s="563"/>
      <c r="R8" s="564" t="s">
        <v>17</v>
      </c>
      <c r="S8" s="565"/>
      <c r="T8" s="566" t="s">
        <v>17</v>
      </c>
      <c r="U8" s="565"/>
      <c r="V8" s="566" t="s">
        <v>17</v>
      </c>
      <c r="W8" s="565"/>
    </row>
    <row r="9" spans="2:23">
      <c r="F9" s="567" t="s">
        <v>452</v>
      </c>
      <c r="I9" s="44"/>
      <c r="K9" s="44"/>
      <c r="L9" s="562" t="s">
        <v>475</v>
      </c>
      <c r="M9" s="568"/>
      <c r="N9" s="562" t="s">
        <v>88</v>
      </c>
      <c r="O9" s="568"/>
      <c r="P9" s="562" t="s">
        <v>89</v>
      </c>
      <c r="Q9" s="561"/>
      <c r="R9" s="564" t="s">
        <v>75</v>
      </c>
      <c r="S9" s="565"/>
      <c r="T9" s="566" t="s">
        <v>88</v>
      </c>
      <c r="U9" s="565"/>
      <c r="V9" s="566" t="s">
        <v>89</v>
      </c>
      <c r="W9" s="565"/>
    </row>
    <row r="10" spans="2:23" s="570" customFormat="1" ht="17.25">
      <c r="B10" s="567" t="s">
        <v>74</v>
      </c>
      <c r="C10" s="45"/>
      <c r="D10" s="567"/>
      <c r="E10" s="567"/>
      <c r="F10" s="567" t="s">
        <v>453</v>
      </c>
      <c r="G10" s="567"/>
      <c r="H10" s="567" t="s">
        <v>454</v>
      </c>
      <c r="I10" s="562"/>
      <c r="J10" s="567"/>
      <c r="K10" s="562"/>
      <c r="L10" s="562" t="s">
        <v>16</v>
      </c>
      <c r="M10" s="562"/>
      <c r="N10" s="562" t="s">
        <v>16</v>
      </c>
      <c r="O10" s="562"/>
      <c r="P10" s="562" t="s">
        <v>455</v>
      </c>
      <c r="Q10" s="569"/>
      <c r="R10" s="564" t="s">
        <v>77</v>
      </c>
      <c r="S10" s="562"/>
      <c r="T10" s="564" t="s">
        <v>77</v>
      </c>
      <c r="U10" s="562"/>
      <c r="V10" s="564" t="s">
        <v>77</v>
      </c>
      <c r="W10" s="562"/>
    </row>
    <row r="11" spans="2:23" ht="18" customHeight="1">
      <c r="B11" s="571" t="s">
        <v>76</v>
      </c>
      <c r="C11" s="45"/>
      <c r="D11" s="571" t="s">
        <v>90</v>
      </c>
      <c r="E11" s="45"/>
      <c r="F11" s="571" t="s">
        <v>76</v>
      </c>
      <c r="G11" s="567"/>
      <c r="H11" s="571" t="s">
        <v>456</v>
      </c>
      <c r="I11" s="567"/>
      <c r="J11" s="571" t="s">
        <v>8</v>
      </c>
      <c r="K11" s="567"/>
      <c r="L11" s="572" t="s">
        <v>86</v>
      </c>
      <c r="M11" s="567"/>
      <c r="N11" s="572" t="s">
        <v>86</v>
      </c>
      <c r="O11" s="567"/>
      <c r="P11" s="572" t="s">
        <v>86</v>
      </c>
      <c r="Q11" s="569"/>
      <c r="R11" s="573" t="s">
        <v>457</v>
      </c>
      <c r="S11" s="574"/>
      <c r="T11" s="573" t="s">
        <v>457</v>
      </c>
      <c r="U11" s="574"/>
      <c r="V11" s="573" t="s">
        <v>457</v>
      </c>
      <c r="W11" s="574"/>
    </row>
    <row r="12" spans="2:23" ht="18" customHeight="1">
      <c r="D12" s="575">
        <v>-1</v>
      </c>
      <c r="F12" s="575">
        <f>MIN($D12:E12)-1</f>
        <v>-2</v>
      </c>
      <c r="H12" s="575">
        <f>MIN($D12:G12)-1</f>
        <v>-3</v>
      </c>
      <c r="J12" s="575">
        <f>MIN($D12:I12)-1</f>
        <v>-4</v>
      </c>
      <c r="L12" s="575">
        <f>MIN($D12:K12)-1</f>
        <v>-5</v>
      </c>
      <c r="N12" s="575">
        <f>MIN($D12:M12)-1</f>
        <v>-6</v>
      </c>
      <c r="P12" s="575">
        <f>MIN($D12:O12)-1</f>
        <v>-7</v>
      </c>
      <c r="Q12" s="563"/>
      <c r="R12" s="576">
        <f>MIN($D12:Q12)-1</f>
        <v>-8</v>
      </c>
      <c r="S12" s="44"/>
      <c r="T12" s="576">
        <f>MIN($D12:S12)-1</f>
        <v>-9</v>
      </c>
      <c r="U12" s="44"/>
      <c r="V12" s="576">
        <f>MIN($D12:U12)-1</f>
        <v>-10</v>
      </c>
      <c r="W12" s="44"/>
    </row>
    <row r="13" spans="2:23" ht="18" customHeight="1">
      <c r="Q13" s="563"/>
      <c r="R13" s="577" t="s">
        <v>458</v>
      </c>
      <c r="S13" s="44"/>
      <c r="T13" s="577" t="s">
        <v>459</v>
      </c>
      <c r="U13" s="44"/>
      <c r="V13" s="577" t="s">
        <v>460</v>
      </c>
      <c r="W13" s="44"/>
    </row>
    <row r="14" spans="2:23" ht="18" customHeight="1">
      <c r="D14" s="578" t="s">
        <v>5</v>
      </c>
      <c r="E14" s="578"/>
      <c r="Q14" s="563"/>
    </row>
    <row r="15" spans="2:23" ht="18" customHeight="1">
      <c r="B15" s="44">
        <v>1</v>
      </c>
      <c r="D15" s="21" t="s">
        <v>5</v>
      </c>
      <c r="E15" s="579"/>
      <c r="F15" s="580" t="s">
        <v>461</v>
      </c>
      <c r="H15" s="581" t="e">
        <f>#REF!+#REF!+#REF!+#REF!+#REF!</f>
        <v>#REF!</v>
      </c>
      <c r="J15" s="581" t="e">
        <f>(#REF!+#REF!+#REF!+#REF!+#REF!)/1000</f>
        <v>#REF!</v>
      </c>
      <c r="L15" s="583" t="e">
        <f>#REF!/1000</f>
        <v>#REF!</v>
      </c>
      <c r="M15" s="583"/>
      <c r="N15" s="583" t="e">
        <f>0.00245*J15</f>
        <v>#REF!</v>
      </c>
      <c r="O15" s="583"/>
      <c r="P15" s="583" t="e">
        <f>SUM(L15:O15)</f>
        <v>#REF!</v>
      </c>
      <c r="Q15" s="584"/>
      <c r="R15" s="585" t="e">
        <f>L15/$J15</f>
        <v>#REF!</v>
      </c>
      <c r="S15" s="583"/>
      <c r="T15" s="585" t="e">
        <f>N15/$J15</f>
        <v>#REF!</v>
      </c>
      <c r="U15" s="583"/>
      <c r="V15" s="585" t="e">
        <f>P15/$J15</f>
        <v>#REF!</v>
      </c>
      <c r="W15" s="583"/>
    </row>
    <row r="16" spans="2:23" ht="18" customHeight="1">
      <c r="B16" s="44">
        <f>MAX(B$15:B15)+1</f>
        <v>2</v>
      </c>
      <c r="D16" s="21" t="s">
        <v>78</v>
      </c>
      <c r="F16" s="44" t="s">
        <v>79</v>
      </c>
      <c r="H16" s="581" t="e">
        <f>#REF!</f>
        <v>#REF!</v>
      </c>
      <c r="I16" s="582"/>
      <c r="J16" s="581" t="e">
        <f>#REF!/1000</f>
        <v>#REF!</v>
      </c>
      <c r="L16" s="583" t="e">
        <f>#REF!/1000</f>
        <v>#REF!</v>
      </c>
      <c r="M16" s="583"/>
      <c r="N16" s="583" t="e">
        <f>0.00219*J16</f>
        <v>#REF!</v>
      </c>
      <c r="O16" s="583"/>
      <c r="P16" s="583" t="e">
        <f>SUM(L16:O16)</f>
        <v>#REF!</v>
      </c>
      <c r="Q16" s="584"/>
      <c r="R16" s="585" t="e">
        <f>L16/$J16</f>
        <v>#REF!</v>
      </c>
      <c r="S16" s="586"/>
      <c r="T16" s="585" t="e">
        <f>N16/$J16</f>
        <v>#REF!</v>
      </c>
      <c r="U16" s="586"/>
      <c r="V16" s="585" t="e">
        <f>P16/$J16</f>
        <v>#REF!</v>
      </c>
      <c r="W16" s="586"/>
    </row>
    <row r="17" spans="2:23" ht="18" customHeight="1">
      <c r="B17" s="44">
        <f>MAX(B$15:B16)+1</f>
        <v>3</v>
      </c>
      <c r="D17" s="21" t="s">
        <v>462</v>
      </c>
      <c r="F17" s="44">
        <v>24</v>
      </c>
      <c r="H17" s="581" t="e">
        <f>#REF!</f>
        <v>#REF!</v>
      </c>
      <c r="I17" s="582"/>
      <c r="J17" s="581" t="e">
        <f>#REF!/1000</f>
        <v>#REF!</v>
      </c>
      <c r="L17" s="583" t="e">
        <f>#REF!/1000</f>
        <v>#REF!</v>
      </c>
      <c r="M17" s="583"/>
      <c r="N17" s="583" t="e">
        <f>0.00245*J17</f>
        <v>#REF!</v>
      </c>
      <c r="O17" s="583"/>
      <c r="P17" s="583" t="e">
        <f>SUM(L17:O17)</f>
        <v>#REF!</v>
      </c>
      <c r="Q17" s="584"/>
      <c r="R17" s="585" t="e">
        <f>L17/$J17</f>
        <v>#REF!</v>
      </c>
      <c r="S17" s="583"/>
      <c r="T17" s="585" t="e">
        <f>N17/$J17</f>
        <v>#REF!</v>
      </c>
      <c r="U17" s="583"/>
      <c r="V17" s="585" t="e">
        <f>P17/$J17</f>
        <v>#REF!</v>
      </c>
      <c r="W17" s="583"/>
    </row>
    <row r="18" spans="2:23" ht="18" customHeight="1">
      <c r="B18" s="44">
        <f>MAX(B$15:B16)+1</f>
        <v>3</v>
      </c>
      <c r="D18" s="21" t="s">
        <v>87</v>
      </c>
      <c r="F18" s="44"/>
      <c r="H18" s="581"/>
      <c r="I18" s="582"/>
      <c r="J18" s="582">
        <v>0</v>
      </c>
      <c r="L18" s="583">
        <v>0</v>
      </c>
      <c r="M18" s="583"/>
      <c r="N18" s="583"/>
      <c r="O18" s="583"/>
      <c r="P18" s="583">
        <f>SUM(L18:O18)</f>
        <v>0</v>
      </c>
      <c r="Q18" s="584"/>
      <c r="R18" s="585"/>
      <c r="S18" s="586"/>
      <c r="T18" s="587"/>
      <c r="U18" s="586"/>
      <c r="V18" s="587"/>
      <c r="W18" s="586"/>
    </row>
    <row r="19" spans="2:23" ht="18" customHeight="1">
      <c r="B19" s="44">
        <f>MAX(B$15:B18)+1</f>
        <v>4</v>
      </c>
      <c r="D19" s="45" t="s">
        <v>10</v>
      </c>
      <c r="H19" s="588" t="e">
        <f>SUM(H15:H18)</f>
        <v>#REF!</v>
      </c>
      <c r="I19" s="582"/>
      <c r="J19" s="588" t="e">
        <f>SUM(J15:J18)</f>
        <v>#REF!</v>
      </c>
      <c r="L19" s="633" t="e">
        <f>SUM(L15:L18)</f>
        <v>#REF!</v>
      </c>
      <c r="M19" s="583"/>
      <c r="N19" s="589" t="e">
        <f>SUM(N15:N18)</f>
        <v>#REF!</v>
      </c>
      <c r="O19" s="583"/>
      <c r="P19" s="589" t="e">
        <f>SUM(P15:P18)</f>
        <v>#REF!</v>
      </c>
      <c r="Q19" s="584"/>
      <c r="R19" s="590" t="e">
        <f>L19/$J19</f>
        <v>#REF!</v>
      </c>
      <c r="S19" s="583"/>
      <c r="T19" s="590" t="e">
        <f>N19/$J19</f>
        <v>#REF!</v>
      </c>
      <c r="U19" s="583"/>
      <c r="V19" s="590" t="e">
        <f>P19/$J19</f>
        <v>#REF!</v>
      </c>
      <c r="W19" s="583"/>
    </row>
    <row r="20" spans="2:23" ht="8.25" customHeight="1">
      <c r="H20" s="582"/>
      <c r="I20" s="582"/>
      <c r="J20" s="582"/>
      <c r="L20" s="583"/>
      <c r="M20" s="583"/>
      <c r="N20" s="583"/>
      <c r="O20" s="583"/>
      <c r="P20" s="583"/>
      <c r="Q20" s="584"/>
      <c r="R20" s="587"/>
      <c r="S20" s="583"/>
      <c r="T20" s="587"/>
      <c r="U20" s="583"/>
      <c r="V20" s="587"/>
      <c r="W20" s="583"/>
    </row>
    <row r="21" spans="2:23" ht="18" customHeight="1">
      <c r="D21" s="578" t="s">
        <v>6</v>
      </c>
      <c r="E21" s="578"/>
      <c r="F21" s="578"/>
      <c r="L21" s="583"/>
      <c r="N21" s="583"/>
      <c r="P21" s="583"/>
      <c r="Q21" s="563"/>
      <c r="R21" s="587"/>
      <c r="T21" s="587"/>
      <c r="V21" s="587"/>
    </row>
    <row r="22" spans="2:23" ht="18" customHeight="1">
      <c r="B22" s="44">
        <f>MAX(B$15:B21)+1</f>
        <v>5</v>
      </c>
      <c r="D22" s="21" t="s">
        <v>78</v>
      </c>
      <c r="F22" s="44" t="s">
        <v>79</v>
      </c>
      <c r="H22" s="581" t="e">
        <f>#REF!</f>
        <v>#REF!</v>
      </c>
      <c r="I22" s="582"/>
      <c r="J22" s="581" t="e">
        <f>#REF!/1000</f>
        <v>#REF!</v>
      </c>
      <c r="L22" s="583" t="e">
        <f>#REF!/1000</f>
        <v>#REF!</v>
      </c>
      <c r="M22" s="583"/>
      <c r="N22" s="583" t="e">
        <f>0.00219*J22</f>
        <v>#REF!</v>
      </c>
      <c r="O22" s="583"/>
      <c r="P22" s="583" t="e">
        <f t="shared" ref="P22:P27" si="0">SUM(L22:O22)</f>
        <v>#REF!</v>
      </c>
      <c r="Q22" s="584"/>
      <c r="R22" s="585" t="e">
        <f>L22/$J22</f>
        <v>#REF!</v>
      </c>
      <c r="S22" s="583"/>
      <c r="T22" s="585" t="e">
        <f>N22/$J22</f>
        <v>#REF!</v>
      </c>
      <c r="U22" s="583"/>
      <c r="V22" s="585" t="e">
        <f>P22/$J22</f>
        <v>#REF!</v>
      </c>
      <c r="W22" s="583"/>
    </row>
    <row r="23" spans="2:23" ht="18" customHeight="1">
      <c r="B23" s="44">
        <f>MAX(B$15:B22)+1</f>
        <v>6</v>
      </c>
      <c r="D23" s="21" t="s">
        <v>80</v>
      </c>
      <c r="F23" s="44" t="s">
        <v>81</v>
      </c>
      <c r="H23" s="581" t="e">
        <f>#REF!</f>
        <v>#REF!</v>
      </c>
      <c r="I23" s="582"/>
      <c r="J23" s="581" t="e">
        <f>#REF!/1000</f>
        <v>#REF!</v>
      </c>
      <c r="L23" s="583" t="e">
        <f>#REF!/1000</f>
        <v>#REF!</v>
      </c>
      <c r="M23" s="583"/>
      <c r="N23" s="583" t="e">
        <f>0.00278*J23</f>
        <v>#REF!</v>
      </c>
      <c r="O23" s="583"/>
      <c r="P23" s="583" t="e">
        <f t="shared" si="0"/>
        <v>#REF!</v>
      </c>
      <c r="Q23" s="584"/>
      <c r="R23" s="585" t="e">
        <f>L23/$J23</f>
        <v>#REF!</v>
      </c>
      <c r="S23" s="583"/>
      <c r="T23" s="585" t="e">
        <f>N23/$J23</f>
        <v>#REF!</v>
      </c>
      <c r="U23" s="583"/>
      <c r="V23" s="585" t="e">
        <f>P23/$J23</f>
        <v>#REF!</v>
      </c>
      <c r="W23" s="583"/>
    </row>
    <row r="24" spans="2:23" ht="18" customHeight="1">
      <c r="B24" s="44">
        <f>MAX(B$15:B23)+1</f>
        <v>7</v>
      </c>
      <c r="D24" s="21" t="s">
        <v>462</v>
      </c>
      <c r="F24" s="44">
        <v>24</v>
      </c>
      <c r="H24" s="581" t="e">
        <f>#REF!</f>
        <v>#REF!</v>
      </c>
      <c r="I24" s="582"/>
      <c r="J24" s="581" t="e">
        <f>#REF!/1000</f>
        <v>#REF!</v>
      </c>
      <c r="L24" s="583" t="e">
        <f>(#REF!+#REF!+#REF!)/1000</f>
        <v>#REF!</v>
      </c>
      <c r="M24" s="583"/>
      <c r="N24" s="583" t="e">
        <f>0.00245*J24</f>
        <v>#REF!</v>
      </c>
      <c r="O24" s="583"/>
      <c r="P24" s="583" t="e">
        <f t="shared" si="0"/>
        <v>#REF!</v>
      </c>
      <c r="Q24" s="584"/>
      <c r="R24" s="585" t="e">
        <f>L24/$J24</f>
        <v>#REF!</v>
      </c>
      <c r="S24" s="583"/>
      <c r="T24" s="585" t="e">
        <f>N24/$J24</f>
        <v>#REF!</v>
      </c>
      <c r="U24" s="583"/>
      <c r="V24" s="585" t="e">
        <f>P24/$J24</f>
        <v>#REF!</v>
      </c>
      <c r="W24" s="583"/>
    </row>
    <row r="25" spans="2:23" ht="18" customHeight="1">
      <c r="B25" s="44">
        <f>MAX(B$15:B24)+1</f>
        <v>8</v>
      </c>
      <c r="D25" s="21" t="s">
        <v>463</v>
      </c>
      <c r="F25" s="44">
        <v>36</v>
      </c>
      <c r="H25" s="581" t="e">
        <f>#REF!</f>
        <v>#REF!</v>
      </c>
      <c r="I25" s="582"/>
      <c r="J25" s="581" t="e">
        <f>#REF!/1000</f>
        <v>#REF!</v>
      </c>
      <c r="L25" s="583" t="e">
        <f>#REF!/1000</f>
        <v>#REF!</v>
      </c>
      <c r="M25" s="583"/>
      <c r="N25" s="583" t="e">
        <f>0.00204*J25</f>
        <v>#REF!</v>
      </c>
      <c r="O25" s="583"/>
      <c r="P25" s="583" t="e">
        <f t="shared" si="0"/>
        <v>#REF!</v>
      </c>
      <c r="Q25" s="584"/>
      <c r="R25" s="585" t="e">
        <f>L25/$J25</f>
        <v>#REF!</v>
      </c>
      <c r="S25" s="583"/>
      <c r="T25" s="585" t="e">
        <f>N25/$J25</f>
        <v>#REF!</v>
      </c>
      <c r="U25" s="583"/>
      <c r="V25" s="585" t="e">
        <f>P25/$J25</f>
        <v>#REF!</v>
      </c>
      <c r="W25" s="583"/>
    </row>
    <row r="26" spans="2:23" ht="18" customHeight="1">
      <c r="B26" s="44">
        <f>MAX(B$15:B25)+1</f>
        <v>9</v>
      </c>
      <c r="D26" s="21" t="s">
        <v>464</v>
      </c>
      <c r="F26" s="44">
        <v>48</v>
      </c>
      <c r="H26" s="581" t="e">
        <f>#REF!</f>
        <v>#REF!</v>
      </c>
      <c r="I26" s="582"/>
      <c r="J26" s="581" t="e">
        <f>#REF!/1000</f>
        <v>#REF!</v>
      </c>
      <c r="L26" s="583" t="e">
        <f>#REF!/1000</f>
        <v>#REF!</v>
      </c>
      <c r="M26" s="583"/>
      <c r="N26" s="583" t="e">
        <f>0.00166*J26</f>
        <v>#REF!</v>
      </c>
      <c r="O26" s="583"/>
      <c r="P26" s="583" t="e">
        <f t="shared" si="0"/>
        <v>#REF!</v>
      </c>
      <c r="Q26" s="584"/>
      <c r="R26" s="585" t="e">
        <f>L26/$J26</f>
        <v>#REF!</v>
      </c>
      <c r="S26" s="586"/>
      <c r="T26" s="585" t="e">
        <f>N26/$J26</f>
        <v>#REF!</v>
      </c>
      <c r="U26" s="586"/>
      <c r="V26" s="585" t="e">
        <f>P26/$J26</f>
        <v>#REF!</v>
      </c>
      <c r="W26" s="586"/>
    </row>
    <row r="27" spans="2:23" ht="18" customHeight="1">
      <c r="B27" s="44">
        <f>MAX(B$15:B26)+1</f>
        <v>10</v>
      </c>
      <c r="D27" s="21" t="s">
        <v>87</v>
      </c>
      <c r="F27" s="44"/>
      <c r="H27" s="581"/>
      <c r="I27" s="582"/>
      <c r="J27" s="582">
        <v>0</v>
      </c>
      <c r="L27" s="583">
        <v>0</v>
      </c>
      <c r="M27" s="583"/>
      <c r="N27" s="583"/>
      <c r="O27" s="583"/>
      <c r="P27" s="583">
        <f t="shared" si="0"/>
        <v>0</v>
      </c>
      <c r="Q27" s="584"/>
      <c r="R27" s="585"/>
      <c r="S27" s="586"/>
      <c r="T27" s="587"/>
      <c r="U27" s="586"/>
      <c r="V27" s="587"/>
      <c r="W27" s="586"/>
    </row>
    <row r="28" spans="2:23" ht="18" customHeight="1">
      <c r="B28" s="44">
        <f>MAX(B$15:B27)+1</f>
        <v>11</v>
      </c>
      <c r="D28" s="45" t="s">
        <v>11</v>
      </c>
      <c r="H28" s="588" t="e">
        <f>SUM(H22:H27)</f>
        <v>#REF!</v>
      </c>
      <c r="I28" s="582"/>
      <c r="J28" s="588" t="e">
        <f>SUM(J22:J27)</f>
        <v>#REF!</v>
      </c>
      <c r="L28" s="589" t="e">
        <f>SUM(L22:L27)</f>
        <v>#REF!</v>
      </c>
      <c r="M28" s="583"/>
      <c r="N28" s="589" t="e">
        <f>SUM(N22:N27)</f>
        <v>#REF!</v>
      </c>
      <c r="O28" s="583"/>
      <c r="P28" s="589" t="e">
        <f>SUM(P22:P27)</f>
        <v>#REF!</v>
      </c>
      <c r="Q28" s="584"/>
      <c r="R28" s="590" t="e">
        <f>L28/$J28</f>
        <v>#REF!</v>
      </c>
      <c r="S28" s="583"/>
      <c r="T28" s="590" t="e">
        <f>N28/$J28</f>
        <v>#REF!</v>
      </c>
      <c r="U28" s="583"/>
      <c r="V28" s="590" t="e">
        <f>P28/$J28</f>
        <v>#REF!</v>
      </c>
      <c r="W28" s="583"/>
    </row>
    <row r="29" spans="2:23" ht="8.25" customHeight="1">
      <c r="L29" s="632"/>
      <c r="Q29" s="563"/>
      <c r="R29" s="587"/>
      <c r="T29" s="587"/>
      <c r="V29" s="587"/>
    </row>
    <row r="30" spans="2:23">
      <c r="D30" s="578" t="s">
        <v>12</v>
      </c>
      <c r="E30" s="578"/>
      <c r="F30" s="578"/>
      <c r="L30" s="583"/>
      <c r="N30" s="583"/>
      <c r="P30" s="583"/>
      <c r="Q30" s="563"/>
      <c r="R30" s="587"/>
      <c r="T30" s="587"/>
      <c r="V30" s="587"/>
    </row>
    <row r="31" spans="2:23" ht="18" customHeight="1">
      <c r="B31" s="44">
        <f>MAX(B$15:B30)+1</f>
        <v>12</v>
      </c>
      <c r="D31" s="21" t="s">
        <v>78</v>
      </c>
      <c r="F31" s="44" t="s">
        <v>79</v>
      </c>
      <c r="H31" s="581" t="e">
        <f>#REF!</f>
        <v>#REF!</v>
      </c>
      <c r="I31" s="582"/>
      <c r="J31" s="581" t="e">
        <f>#REF!/1000</f>
        <v>#REF!</v>
      </c>
      <c r="L31" s="583" t="e">
        <f>#REF!/1000</f>
        <v>#REF!</v>
      </c>
      <c r="M31" s="583"/>
      <c r="N31" s="583" t="e">
        <f>0.00219*J31</f>
        <v>#REF!</v>
      </c>
      <c r="O31" s="583"/>
      <c r="P31" s="583" t="e">
        <f>SUM(L31:O31)</f>
        <v>#REF!</v>
      </c>
      <c r="Q31" s="584"/>
      <c r="R31" s="585" t="e">
        <f>L31/$J31</f>
        <v>#REF!</v>
      </c>
      <c r="S31" s="583"/>
      <c r="T31" s="585" t="e">
        <f t="shared" ref="T31:T40" si="1">N31/$J31</f>
        <v>#REF!</v>
      </c>
      <c r="U31" s="583"/>
      <c r="V31" s="585" t="e">
        <f t="shared" ref="V31:V40" si="2">P31/$J31</f>
        <v>#REF!</v>
      </c>
      <c r="W31" s="583"/>
    </row>
    <row r="32" spans="2:23" ht="18" customHeight="1">
      <c r="B32" s="44">
        <f>MAX(B$15:B31)+1</f>
        <v>13</v>
      </c>
      <c r="D32" s="21" t="s">
        <v>462</v>
      </c>
      <c r="F32" s="44">
        <v>24</v>
      </c>
      <c r="H32" s="581" t="e">
        <f>#REF!</f>
        <v>#REF!</v>
      </c>
      <c r="I32" s="582"/>
      <c r="J32" s="581" t="e">
        <f>#REF!/1000</f>
        <v>#REF!</v>
      </c>
      <c r="L32" s="583" t="e">
        <f>(#REF!+#REF!+#REF!)/1000</f>
        <v>#REF!</v>
      </c>
      <c r="M32" s="583"/>
      <c r="N32" s="583" t="e">
        <f>0.00245*J32</f>
        <v>#REF!</v>
      </c>
      <c r="O32" s="583"/>
      <c r="P32" s="583" t="e">
        <f t="shared" ref="P32:P41" si="3">SUM(L32:O32)</f>
        <v>#REF!</v>
      </c>
      <c r="Q32" s="584"/>
      <c r="R32" s="585" t="e">
        <f>L32/$J32</f>
        <v>#REF!</v>
      </c>
      <c r="S32" s="583"/>
      <c r="T32" s="585" t="e">
        <f>N32/$J32</f>
        <v>#REF!</v>
      </c>
      <c r="U32" s="583"/>
      <c r="V32" s="585" t="e">
        <f t="shared" si="2"/>
        <v>#REF!</v>
      </c>
      <c r="W32" s="583"/>
    </row>
    <row r="33" spans="2:23" ht="18" customHeight="1">
      <c r="B33" s="44">
        <f>MAX(B$15:B32)+1</f>
        <v>14</v>
      </c>
      <c r="D33" s="21" t="s">
        <v>463</v>
      </c>
      <c r="F33" s="44">
        <v>36</v>
      </c>
      <c r="H33" s="581" t="e">
        <f>#REF!</f>
        <v>#REF!</v>
      </c>
      <c r="I33" s="582"/>
      <c r="J33" s="581" t="e">
        <f>#REF!/1000</f>
        <v>#REF!</v>
      </c>
      <c r="L33" s="583" t="e">
        <f>#REF!/1000</f>
        <v>#REF!</v>
      </c>
      <c r="M33" s="583"/>
      <c r="N33" s="583" t="e">
        <f>0.00204*J33</f>
        <v>#REF!</v>
      </c>
      <c r="O33" s="583"/>
      <c r="P33" s="583" t="e">
        <f t="shared" si="3"/>
        <v>#REF!</v>
      </c>
      <c r="Q33" s="584"/>
      <c r="R33" s="585" t="e">
        <f>L33/$J33</f>
        <v>#REF!</v>
      </c>
      <c r="S33" s="583"/>
      <c r="T33" s="585" t="e">
        <f t="shared" si="1"/>
        <v>#REF!</v>
      </c>
      <c r="U33" s="583"/>
      <c r="V33" s="585" t="e">
        <f t="shared" si="2"/>
        <v>#REF!</v>
      </c>
      <c r="W33" s="583"/>
    </row>
    <row r="34" spans="2:23" ht="18" customHeight="1">
      <c r="B34" s="44">
        <f>MAX(B$15:B33)+1</f>
        <v>15</v>
      </c>
      <c r="D34" s="21" t="s">
        <v>465</v>
      </c>
      <c r="F34" s="44">
        <v>47</v>
      </c>
      <c r="H34" s="581" t="e">
        <f>#REF!</f>
        <v>#REF!</v>
      </c>
      <c r="I34" s="582"/>
      <c r="J34" s="581" t="e">
        <f>#REF!/1000</f>
        <v>#REF!</v>
      </c>
      <c r="L34" s="583" t="e">
        <f>#REF!/1000</f>
        <v>#REF!</v>
      </c>
      <c r="M34" s="583"/>
      <c r="N34" s="583" t="e">
        <f>0.00166*J34</f>
        <v>#REF!</v>
      </c>
      <c r="O34" s="583"/>
      <c r="P34" s="583" t="e">
        <f>SUM(L34:O34)</f>
        <v>#REF!</v>
      </c>
      <c r="Q34" s="584"/>
      <c r="R34" s="585" t="e">
        <f>L34/$J34</f>
        <v>#REF!</v>
      </c>
      <c r="S34" s="583"/>
      <c r="T34" s="585" t="e">
        <f t="shared" si="1"/>
        <v>#REF!</v>
      </c>
      <c r="U34" s="583"/>
      <c r="V34" s="585" t="e">
        <f t="shared" si="2"/>
        <v>#REF!</v>
      </c>
      <c r="W34" s="583"/>
    </row>
    <row r="35" spans="2:23" ht="18" customHeight="1">
      <c r="B35" s="44">
        <f>MAX(B$15:B34)+1</f>
        <v>16</v>
      </c>
      <c r="D35" s="21" t="s">
        <v>464</v>
      </c>
      <c r="F35" s="44">
        <v>48</v>
      </c>
      <c r="H35" s="581" t="e">
        <f>#REF!+#REF!</f>
        <v>#REF!</v>
      </c>
      <c r="I35" s="582"/>
      <c r="J35" s="581" t="e">
        <f>(#REF!+#REF!)/1000</f>
        <v>#REF!</v>
      </c>
      <c r="L35" s="583" t="e">
        <f>(#REF!+#REF!)/1000</f>
        <v>#REF!</v>
      </c>
      <c r="M35" s="583"/>
      <c r="N35" s="583" t="e">
        <f>0.00166*J35</f>
        <v>#REF!</v>
      </c>
      <c r="O35" s="583"/>
      <c r="P35" s="583" t="e">
        <f t="shared" si="3"/>
        <v>#REF!</v>
      </c>
      <c r="Q35" s="584"/>
      <c r="R35" s="585" t="e">
        <f>L35/$J35</f>
        <v>#REF!</v>
      </c>
      <c r="S35" s="583"/>
      <c r="T35" s="585" t="e">
        <f t="shared" si="1"/>
        <v>#REF!</v>
      </c>
      <c r="U35" s="583"/>
      <c r="V35" s="585" t="e">
        <f t="shared" si="2"/>
        <v>#REF!</v>
      </c>
      <c r="W35" s="583"/>
    </row>
    <row r="36" spans="2:23" ht="18" customHeight="1">
      <c r="B36" s="44">
        <f>MAX(B$15:B35)+1</f>
        <v>17</v>
      </c>
      <c r="D36" s="21" t="s">
        <v>87</v>
      </c>
      <c r="F36" s="44"/>
      <c r="H36" s="591"/>
      <c r="I36" s="582"/>
      <c r="J36" s="592">
        <v>0</v>
      </c>
      <c r="L36" s="593">
        <v>0</v>
      </c>
      <c r="M36" s="583"/>
      <c r="N36" s="593"/>
      <c r="O36" s="583"/>
      <c r="P36" s="594">
        <f t="shared" si="3"/>
        <v>0</v>
      </c>
      <c r="Q36" s="584"/>
      <c r="R36" s="595"/>
      <c r="S36" s="583"/>
      <c r="T36" s="595"/>
      <c r="U36" s="583"/>
      <c r="V36" s="595"/>
      <c r="W36" s="583"/>
    </row>
    <row r="37" spans="2:23" ht="18" customHeight="1">
      <c r="B37" s="44"/>
      <c r="D37" s="45" t="s">
        <v>466</v>
      </c>
      <c r="F37" s="44"/>
      <c r="H37" s="581" t="e">
        <f>SUM(H31:H36)</f>
        <v>#REF!</v>
      </c>
      <c r="I37" s="582"/>
      <c r="J37" s="582" t="e">
        <f>SUM(J31:J36)</f>
        <v>#REF!</v>
      </c>
      <c r="L37" s="583" t="e">
        <f>SUM(L31:L36)</f>
        <v>#REF!</v>
      </c>
      <c r="M37" s="583"/>
      <c r="N37" s="583" t="e">
        <f>SUM(N31:N36)</f>
        <v>#REF!</v>
      </c>
      <c r="O37" s="583"/>
      <c r="P37" s="583" t="e">
        <f>SUM(P31:P36)</f>
        <v>#REF!</v>
      </c>
      <c r="Q37" s="584"/>
      <c r="R37" s="585" t="e">
        <f>L37/$J37</f>
        <v>#REF!</v>
      </c>
      <c r="S37" s="583"/>
      <c r="T37" s="585" t="e">
        <f>N37/$J37</f>
        <v>#REF!</v>
      </c>
      <c r="U37" s="583"/>
      <c r="V37" s="585" t="e">
        <f>P37/$J37</f>
        <v>#REF!</v>
      </c>
      <c r="W37" s="583"/>
    </row>
    <row r="38" spans="2:23" ht="10.5" customHeight="1">
      <c r="B38" s="44"/>
      <c r="F38" s="44"/>
      <c r="H38" s="581"/>
      <c r="I38" s="582"/>
      <c r="J38" s="582"/>
      <c r="L38" s="583"/>
      <c r="M38" s="583"/>
      <c r="N38" s="583"/>
      <c r="O38" s="583"/>
      <c r="P38" s="583"/>
      <c r="Q38" s="584"/>
      <c r="R38" s="585"/>
      <c r="S38" s="583"/>
      <c r="T38" s="585"/>
      <c r="U38" s="583"/>
      <c r="V38" s="585"/>
      <c r="W38" s="583"/>
    </row>
    <row r="39" spans="2:23">
      <c r="D39" s="578" t="s">
        <v>92</v>
      </c>
      <c r="E39" s="578"/>
      <c r="F39" s="578"/>
      <c r="L39" s="583"/>
      <c r="N39" s="583"/>
      <c r="P39" s="583"/>
      <c r="Q39" s="563"/>
      <c r="R39" s="587"/>
      <c r="T39" s="587"/>
      <c r="V39" s="587"/>
    </row>
    <row r="40" spans="2:23" ht="18" customHeight="1">
      <c r="B40" s="44">
        <f>MAX(B$15:B39)+1</f>
        <v>18</v>
      </c>
      <c r="D40" s="21" t="s">
        <v>84</v>
      </c>
      <c r="F40" s="44">
        <v>40</v>
      </c>
      <c r="H40" s="581" t="e">
        <f>#REF!</f>
        <v>#REF!</v>
      </c>
      <c r="I40" s="582"/>
      <c r="J40" s="581" t="e">
        <f>#REF!/1000</f>
        <v>#REF!</v>
      </c>
      <c r="L40" s="583" t="e">
        <f>#REF!/1000</f>
        <v>#REF!</v>
      </c>
      <c r="M40" s="583"/>
      <c r="N40" s="583" t="e">
        <f>0.0023*J40</f>
        <v>#REF!</v>
      </c>
      <c r="O40" s="583"/>
      <c r="P40" s="583" t="e">
        <f t="shared" si="3"/>
        <v>#REF!</v>
      </c>
      <c r="Q40" s="584"/>
      <c r="R40" s="585" t="e">
        <f>L40/$J40</f>
        <v>#REF!</v>
      </c>
      <c r="S40" s="586"/>
      <c r="T40" s="585" t="e">
        <f t="shared" si="1"/>
        <v>#REF!</v>
      </c>
      <c r="U40" s="586"/>
      <c r="V40" s="585" t="e">
        <f t="shared" si="2"/>
        <v>#REF!</v>
      </c>
      <c r="W40" s="586"/>
    </row>
    <row r="41" spans="2:23" ht="18" customHeight="1">
      <c r="B41" s="44">
        <f>MAX(B$15:B40)+1</f>
        <v>19</v>
      </c>
      <c r="D41" s="21" t="s">
        <v>87</v>
      </c>
      <c r="F41" s="44"/>
      <c r="H41" s="591"/>
      <c r="I41" s="582"/>
      <c r="J41" s="592">
        <v>0</v>
      </c>
      <c r="L41" s="593">
        <v>0</v>
      </c>
      <c r="M41" s="583"/>
      <c r="N41" s="593"/>
      <c r="O41" s="583"/>
      <c r="P41" s="593">
        <f t="shared" si="3"/>
        <v>0</v>
      </c>
      <c r="Q41" s="584"/>
      <c r="R41" s="595"/>
      <c r="S41" s="586"/>
      <c r="T41" s="596"/>
      <c r="U41" s="586"/>
      <c r="V41" s="596"/>
      <c r="W41" s="586"/>
    </row>
    <row r="42" spans="2:23" ht="18" customHeight="1">
      <c r="B42" s="44"/>
      <c r="D42" s="45" t="s">
        <v>93</v>
      </c>
      <c r="F42" s="44"/>
      <c r="H42" s="581" t="e">
        <f>SUM(H40:H41)</f>
        <v>#REF!</v>
      </c>
      <c r="I42" s="582"/>
      <c r="J42" s="582" t="e">
        <f>SUM(J40:J41)</f>
        <v>#REF!</v>
      </c>
      <c r="L42" s="583" t="e">
        <f>SUM(L40:L41)</f>
        <v>#REF!</v>
      </c>
      <c r="M42" s="583"/>
      <c r="N42" s="583" t="e">
        <f>SUM(N40:N41)</f>
        <v>#REF!</v>
      </c>
      <c r="O42" s="583"/>
      <c r="P42" s="583" t="e">
        <f>SUM(P40:P41)</f>
        <v>#REF!</v>
      </c>
      <c r="Q42" s="584"/>
      <c r="R42" s="585" t="e">
        <f>L42/$J42</f>
        <v>#REF!</v>
      </c>
      <c r="S42" s="583"/>
      <c r="T42" s="585" t="e">
        <f>N42/$J42</f>
        <v>#REF!</v>
      </c>
      <c r="U42" s="583"/>
      <c r="V42" s="585" t="e">
        <f>P42/$J42</f>
        <v>#REF!</v>
      </c>
      <c r="W42" s="583"/>
    </row>
    <row r="43" spans="2:23" ht="9" customHeight="1">
      <c r="B43" s="44"/>
      <c r="F43" s="44"/>
      <c r="H43" s="581"/>
      <c r="I43" s="582"/>
      <c r="J43" s="582"/>
      <c r="L43" s="583"/>
      <c r="M43" s="583"/>
      <c r="N43" s="583"/>
      <c r="O43" s="583"/>
      <c r="P43" s="583"/>
      <c r="Q43" s="584"/>
      <c r="R43" s="585"/>
      <c r="S43" s="583"/>
      <c r="T43" s="585"/>
      <c r="U43" s="583"/>
      <c r="V43" s="585"/>
      <c r="W43" s="583"/>
    </row>
    <row r="44" spans="2:23">
      <c r="B44" s="44">
        <f>MAX(B$15:B43)+1</f>
        <v>20</v>
      </c>
      <c r="D44" s="45" t="s">
        <v>467</v>
      </c>
      <c r="H44" s="588" t="e">
        <f>H37+H42</f>
        <v>#REF!</v>
      </c>
      <c r="I44" s="582"/>
      <c r="J44" s="588" t="e">
        <f>J37+J42</f>
        <v>#REF!</v>
      </c>
      <c r="L44" s="589" t="e">
        <f>L37+L42</f>
        <v>#REF!</v>
      </c>
      <c r="M44" s="583"/>
      <c r="N44" s="589" t="e">
        <f>N37+N42</f>
        <v>#REF!</v>
      </c>
      <c r="O44" s="583"/>
      <c r="P44" s="589" t="e">
        <f>P37+P42</f>
        <v>#REF!</v>
      </c>
      <c r="Q44" s="584"/>
      <c r="R44" s="590" t="e">
        <f>L44/$J44</f>
        <v>#REF!</v>
      </c>
      <c r="S44" s="583"/>
      <c r="T44" s="590" t="e">
        <f>N44/$J44</f>
        <v>#REF!</v>
      </c>
      <c r="U44" s="583"/>
      <c r="V44" s="590" t="e">
        <f>P44/$J44</f>
        <v>#REF!</v>
      </c>
      <c r="W44" s="583"/>
    </row>
    <row r="45" spans="2:23" ht="8.25" customHeight="1">
      <c r="L45" s="632"/>
      <c r="Q45" s="563"/>
      <c r="R45" s="587"/>
      <c r="T45" s="587"/>
      <c r="V45" s="587"/>
    </row>
    <row r="46" spans="2:23">
      <c r="B46" s="44">
        <f>MAX(B$15:B45)+1</f>
        <v>21</v>
      </c>
      <c r="D46" s="45" t="s">
        <v>468</v>
      </c>
      <c r="H46" s="588" t="e">
        <f>H28+H37+H42</f>
        <v>#REF!</v>
      </c>
      <c r="I46" s="582"/>
      <c r="J46" s="588" t="e">
        <f>J28+J37+J42</f>
        <v>#REF!</v>
      </c>
      <c r="L46" s="589" t="e">
        <f>L28+L37+L42</f>
        <v>#REF!</v>
      </c>
      <c r="M46" s="583"/>
      <c r="N46" s="589" t="e">
        <f>N28+N37+N42</f>
        <v>#REF!</v>
      </c>
      <c r="O46" s="583"/>
      <c r="P46" s="589" t="e">
        <f>P28+P37+P42</f>
        <v>#REF!</v>
      </c>
      <c r="Q46" s="584"/>
      <c r="R46" s="590" t="e">
        <f>L46/$J46</f>
        <v>#REF!</v>
      </c>
      <c r="S46" s="583"/>
      <c r="T46" s="590" t="e">
        <f>N46/$J46</f>
        <v>#REF!</v>
      </c>
      <c r="U46" s="583"/>
      <c r="V46" s="590" t="e">
        <f>P46/$J46</f>
        <v>#REF!</v>
      </c>
      <c r="W46" s="583"/>
    </row>
    <row r="47" spans="2:23" ht="8.25" customHeight="1">
      <c r="L47" s="632"/>
      <c r="Q47" s="563"/>
      <c r="R47" s="587"/>
      <c r="T47" s="587"/>
      <c r="V47" s="587"/>
    </row>
    <row r="48" spans="2:23">
      <c r="D48" s="578" t="s">
        <v>82</v>
      </c>
      <c r="H48" s="582"/>
      <c r="I48" s="582"/>
      <c r="J48" s="582"/>
      <c r="L48" s="583"/>
      <c r="M48" s="583"/>
      <c r="N48" s="583"/>
      <c r="O48" s="583"/>
      <c r="P48" s="583"/>
      <c r="Q48" s="584"/>
      <c r="R48" s="587"/>
      <c r="S48" s="583"/>
      <c r="T48" s="587"/>
      <c r="U48" s="583"/>
      <c r="V48" s="587"/>
      <c r="W48" s="583"/>
    </row>
    <row r="49" spans="2:23" ht="18" customHeight="1">
      <c r="B49" s="44">
        <f>MAX(B$15:B48)+1</f>
        <v>22</v>
      </c>
      <c r="D49" s="21" t="s">
        <v>469</v>
      </c>
      <c r="F49" s="44">
        <v>51</v>
      </c>
      <c r="H49" s="581" t="e">
        <f>#REF!</f>
        <v>#REF!</v>
      </c>
      <c r="I49" s="582"/>
      <c r="J49" s="581" t="e">
        <f>#REF!/1000</f>
        <v>#REF!</v>
      </c>
      <c r="L49" s="583" t="e">
        <f>#REF!/1000</f>
        <v>#REF!</v>
      </c>
      <c r="M49" s="583"/>
      <c r="N49" s="583" t="e">
        <f>0.00219*J49</f>
        <v>#REF!</v>
      </c>
      <c r="O49" s="583"/>
      <c r="P49" s="583" t="e">
        <f>SUM(L49:O49)</f>
        <v>#REF!</v>
      </c>
      <c r="Q49" s="584"/>
      <c r="R49" s="585" t="e">
        <f>L49/$J49</f>
        <v>#REF!</v>
      </c>
      <c r="S49" s="583"/>
      <c r="T49" s="585" t="e">
        <f>N49/$J49</f>
        <v>#REF!</v>
      </c>
      <c r="U49" s="583"/>
      <c r="V49" s="585" t="e">
        <f>P49/$J49</f>
        <v>#REF!</v>
      </c>
      <c r="W49" s="583"/>
    </row>
    <row r="50" spans="2:23" ht="18" customHeight="1">
      <c r="B50" s="44">
        <f>MAX(B$15:B49)+1</f>
        <v>23</v>
      </c>
      <c r="D50" s="21" t="s">
        <v>470</v>
      </c>
      <c r="F50" s="44">
        <v>52</v>
      </c>
      <c r="H50" s="581" t="e">
        <f>#REF!</f>
        <v>#REF!</v>
      </c>
      <c r="I50" s="582"/>
      <c r="J50" s="581" t="e">
        <f>#REF!/1000</f>
        <v>#REF!</v>
      </c>
      <c r="L50" s="583" t="e">
        <f>#REF!/1000</f>
        <v>#REF!</v>
      </c>
      <c r="M50" s="597"/>
      <c r="N50" s="583" t="e">
        <f>0.00219*J50</f>
        <v>#REF!</v>
      </c>
      <c r="O50" s="597"/>
      <c r="P50" s="583" t="e">
        <f>SUM(L50:O50)</f>
        <v>#REF!</v>
      </c>
      <c r="Q50" s="598"/>
      <c r="R50" s="585" t="e">
        <f>L50/$J50</f>
        <v>#REF!</v>
      </c>
      <c r="S50" s="583"/>
      <c r="T50" s="585" t="e">
        <f>N50/$J50</f>
        <v>#REF!</v>
      </c>
      <c r="U50" s="583"/>
      <c r="V50" s="585" t="e">
        <f>P50/$J50</f>
        <v>#REF!</v>
      </c>
      <c r="W50" s="583"/>
    </row>
    <row r="51" spans="2:23" ht="18" customHeight="1">
      <c r="B51" s="44">
        <f>MAX(B$15:B50)+1</f>
        <v>24</v>
      </c>
      <c r="D51" s="21" t="s">
        <v>471</v>
      </c>
      <c r="F51" s="44">
        <v>53</v>
      </c>
      <c r="H51" s="581" t="e">
        <f>#REF!+#REF!</f>
        <v>#REF!</v>
      </c>
      <c r="I51" s="582"/>
      <c r="J51" s="581" t="e">
        <f>(#REF!+#REF!)/1000</f>
        <v>#REF!</v>
      </c>
      <c r="L51" s="583" t="e">
        <f>#REF!/1000</f>
        <v>#REF!</v>
      </c>
      <c r="M51" s="583"/>
      <c r="N51" s="583" t="e">
        <f>0.00219*J51</f>
        <v>#REF!</v>
      </c>
      <c r="O51" s="583"/>
      <c r="P51" s="583" t="e">
        <f>SUM(L51:O51)</f>
        <v>#REF!</v>
      </c>
      <c r="Q51" s="584"/>
      <c r="R51" s="585" t="e">
        <f>L51/$J51</f>
        <v>#REF!</v>
      </c>
      <c r="S51" s="583"/>
      <c r="T51" s="585" t="e">
        <f>N51/$J51</f>
        <v>#REF!</v>
      </c>
      <c r="U51" s="583"/>
      <c r="V51" s="585" t="e">
        <f>P51/$J51</f>
        <v>#REF!</v>
      </c>
      <c r="W51" s="583"/>
    </row>
    <row r="52" spans="2:23" ht="18" customHeight="1">
      <c r="B52" s="44">
        <f>MAX(B$15:B51)+1</f>
        <v>25</v>
      </c>
      <c r="D52" s="21" t="s">
        <v>472</v>
      </c>
      <c r="F52" s="44">
        <v>57</v>
      </c>
      <c r="H52" s="581" t="e">
        <f>#REF!</f>
        <v>#REF!</v>
      </c>
      <c r="I52" s="582"/>
      <c r="J52" s="581" t="e">
        <f>#REF!/1000</f>
        <v>#REF!</v>
      </c>
      <c r="L52" s="583" t="e">
        <f>#REF!/1000</f>
        <v>#REF!</v>
      </c>
      <c r="M52" s="583"/>
      <c r="N52" s="583" t="e">
        <f>0.00219*J52</f>
        <v>#REF!</v>
      </c>
      <c r="O52" s="583"/>
      <c r="P52" s="583" t="e">
        <f>SUM(L52:O52)</f>
        <v>#REF!</v>
      </c>
      <c r="Q52" s="584"/>
      <c r="R52" s="585" t="e">
        <f>L52/$J52</f>
        <v>#REF!</v>
      </c>
      <c r="S52" s="586"/>
      <c r="T52" s="585" t="e">
        <f>N52/$J52</f>
        <v>#REF!</v>
      </c>
      <c r="U52" s="586"/>
      <c r="V52" s="585" t="e">
        <f>P52/$J52</f>
        <v>#REF!</v>
      </c>
      <c r="W52" s="586"/>
    </row>
    <row r="53" spans="2:23" ht="18" customHeight="1">
      <c r="B53" s="44">
        <f>MAX(B$15:B52)+1</f>
        <v>26</v>
      </c>
      <c r="D53" s="21" t="s">
        <v>87</v>
      </c>
      <c r="F53" s="44"/>
      <c r="H53" s="581"/>
      <c r="I53" s="582"/>
      <c r="J53" s="582">
        <v>0</v>
      </c>
      <c r="L53" s="583">
        <v>0</v>
      </c>
      <c r="M53" s="583"/>
      <c r="N53" s="583"/>
      <c r="O53" s="583"/>
      <c r="P53" s="583">
        <f>SUM(L53:O53)</f>
        <v>0</v>
      </c>
      <c r="Q53" s="584"/>
      <c r="R53" s="585"/>
      <c r="S53" s="586"/>
      <c r="T53" s="587"/>
      <c r="U53" s="586"/>
      <c r="V53" s="587"/>
      <c r="W53" s="586"/>
    </row>
    <row r="54" spans="2:23" ht="18" customHeight="1">
      <c r="B54" s="44">
        <f>MAX(B$15:B53)+1</f>
        <v>27</v>
      </c>
      <c r="D54" s="45" t="s">
        <v>473</v>
      </c>
      <c r="H54" s="588" t="e">
        <f>SUM(H49:H53)</f>
        <v>#REF!</v>
      </c>
      <c r="I54" s="582"/>
      <c r="J54" s="588" t="e">
        <f>SUM(J49:J53)</f>
        <v>#REF!</v>
      </c>
      <c r="L54" s="589" t="e">
        <f>SUM(L49:L53)</f>
        <v>#REF!</v>
      </c>
      <c r="M54" s="583"/>
      <c r="N54" s="589" t="e">
        <f>SUM(N49:N53)</f>
        <v>#REF!</v>
      </c>
      <c r="O54" s="583"/>
      <c r="P54" s="589" t="e">
        <f>SUM(P49:P53)</f>
        <v>#REF!</v>
      </c>
      <c r="Q54" s="584"/>
      <c r="R54" s="590" t="e">
        <f>L54/$J54</f>
        <v>#REF!</v>
      </c>
      <c r="S54" s="583"/>
      <c r="T54" s="590" t="e">
        <f>N54/$J54</f>
        <v>#REF!</v>
      </c>
      <c r="U54" s="583"/>
      <c r="V54" s="590" t="e">
        <f>P54/$J54</f>
        <v>#REF!</v>
      </c>
      <c r="W54" s="583"/>
    </row>
    <row r="55" spans="2:23" ht="8.25" customHeight="1">
      <c r="H55" s="582"/>
      <c r="I55" s="582"/>
      <c r="J55" s="582"/>
      <c r="L55" s="583"/>
      <c r="M55" s="583"/>
      <c r="N55" s="583"/>
      <c r="O55" s="583"/>
      <c r="P55" s="583"/>
      <c r="Q55" s="584"/>
      <c r="R55" s="587"/>
      <c r="S55" s="583"/>
      <c r="T55" s="587"/>
      <c r="U55" s="583"/>
      <c r="V55" s="587"/>
      <c r="W55" s="583"/>
    </row>
    <row r="56" spans="2:23" ht="18" customHeight="1">
      <c r="B56" s="44">
        <f>MAX(B$15:B55)+1</f>
        <v>28</v>
      </c>
      <c r="D56" s="21" t="s">
        <v>14</v>
      </c>
      <c r="F56" s="44"/>
      <c r="H56" s="581"/>
      <c r="I56" s="582"/>
      <c r="J56" s="582">
        <v>0</v>
      </c>
      <c r="L56" s="583" t="e">
        <f>#REF!/1000</f>
        <v>#REF!</v>
      </c>
      <c r="M56" s="583"/>
      <c r="N56" s="583"/>
      <c r="O56" s="583"/>
      <c r="P56" s="583" t="e">
        <f>SUM(L56:O56)</f>
        <v>#REF!</v>
      </c>
      <c r="Q56" s="584"/>
      <c r="R56" s="585"/>
      <c r="S56" s="586"/>
      <c r="T56" s="599"/>
      <c r="U56" s="586"/>
      <c r="V56" s="599"/>
      <c r="W56" s="586"/>
    </row>
    <row r="57" spans="2:23" ht="6.75" customHeight="1" thickBot="1">
      <c r="B57" s="44"/>
      <c r="F57" s="44"/>
      <c r="H57" s="581"/>
      <c r="I57" s="582"/>
      <c r="J57" s="582"/>
      <c r="L57" s="583"/>
      <c r="M57" s="583"/>
      <c r="N57" s="583"/>
      <c r="O57" s="583"/>
      <c r="P57" s="583"/>
      <c r="Q57" s="584"/>
      <c r="R57" s="585"/>
      <c r="S57" s="586"/>
      <c r="T57" s="587"/>
      <c r="U57" s="586"/>
      <c r="V57" s="587"/>
      <c r="W57" s="586"/>
    </row>
    <row r="58" spans="2:23" ht="18" customHeight="1" thickTop="1">
      <c r="B58" s="44">
        <f>MAX(B$15:B57)+1</f>
        <v>29</v>
      </c>
      <c r="D58" s="45" t="s">
        <v>83</v>
      </c>
      <c r="H58" s="600" t="e">
        <f>H19+H28+H37+H42+H54+H56</f>
        <v>#REF!</v>
      </c>
      <c r="I58" s="582"/>
      <c r="J58" s="600" t="e">
        <f>J19+J28+J37+J42+J54+J56</f>
        <v>#REF!</v>
      </c>
      <c r="K58" s="582"/>
      <c r="L58" s="601" t="e">
        <f>L19+L28+L37+L42+L54+L56</f>
        <v>#REF!</v>
      </c>
      <c r="M58" s="583"/>
      <c r="N58" s="601" t="e">
        <f>N19+N28+N37+N42+N54+N56</f>
        <v>#REF!</v>
      </c>
      <c r="O58" s="583"/>
      <c r="P58" s="601" t="e">
        <f>P19+P28+P37+P42+P54+P56</f>
        <v>#REF!</v>
      </c>
      <c r="Q58" s="584"/>
      <c r="R58" s="602" t="e">
        <f>L58/$J58</f>
        <v>#REF!</v>
      </c>
      <c r="S58" s="603"/>
      <c r="T58" s="602" t="e">
        <f>N58/$J58</f>
        <v>#REF!</v>
      </c>
      <c r="U58" s="603"/>
      <c r="V58" s="602" t="e">
        <f>P58/$J58</f>
        <v>#REF!</v>
      </c>
      <c r="W58" s="603"/>
    </row>
    <row r="59" spans="2:23" ht="8.25" customHeight="1">
      <c r="H59" s="582"/>
      <c r="I59" s="582"/>
      <c r="J59" s="582"/>
      <c r="L59" s="583"/>
      <c r="M59" s="583"/>
      <c r="N59" s="583"/>
      <c r="O59" s="583"/>
      <c r="P59" s="583"/>
      <c r="Q59" s="583"/>
      <c r="S59" s="583"/>
      <c r="U59" s="583"/>
      <c r="W59" s="583"/>
    </row>
    <row r="60" spans="2:23">
      <c r="H60" s="582"/>
      <c r="I60" s="582"/>
      <c r="L60" s="583"/>
      <c r="M60" s="583"/>
      <c r="N60" s="583"/>
      <c r="O60" s="583"/>
      <c r="P60" s="583"/>
      <c r="Q60" s="583"/>
      <c r="R60" s="583"/>
      <c r="S60" s="583"/>
      <c r="U60" s="583"/>
      <c r="W60" s="583"/>
    </row>
    <row r="61" spans="2:23" ht="23.25" customHeight="1">
      <c r="B61" s="604"/>
      <c r="D61" s="605" t="s">
        <v>474</v>
      </c>
    </row>
    <row r="62" spans="2:23" ht="16.5">
      <c r="B62" s="604"/>
      <c r="J62" s="21" t="s">
        <v>14</v>
      </c>
    </row>
    <row r="63" spans="2:23" ht="18">
      <c r="B63" s="605"/>
      <c r="J63" s="606" t="s">
        <v>476</v>
      </c>
      <c r="L63" s="583">
        <v>783</v>
      </c>
    </row>
    <row r="64" spans="2:23">
      <c r="J64" s="21" t="s">
        <v>477</v>
      </c>
      <c r="L64" s="583">
        <v>415441</v>
      </c>
    </row>
    <row r="65" spans="10:12">
      <c r="J65" s="21" t="s">
        <v>478</v>
      </c>
      <c r="L65" s="583">
        <v>235203</v>
      </c>
    </row>
    <row r="66" spans="10:12">
      <c r="J66" s="21" t="s">
        <v>442</v>
      </c>
      <c r="L66" s="583">
        <v>91</v>
      </c>
    </row>
  </sheetData>
  <printOptions horizontalCentered="1"/>
  <pageMargins left="0" right="0" top="0.75" bottom="0.5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2"/>
  <dimension ref="A1:R99"/>
  <sheetViews>
    <sheetView workbookViewId="0"/>
  </sheetViews>
  <sheetFormatPr defaultColWidth="9" defaultRowHeight="15.75"/>
  <cols>
    <col min="1" max="1" width="9" style="22"/>
    <col min="2" max="2" width="40.375" style="3" customWidth="1"/>
    <col min="3" max="14" width="12" style="3" customWidth="1"/>
    <col min="15" max="15" width="14.625" style="3" customWidth="1"/>
    <col min="16" max="16" width="9" style="3"/>
    <col min="17" max="17" width="2.25" style="3" customWidth="1"/>
    <col min="18" max="18" width="10.5" style="3" bestFit="1" customWidth="1"/>
    <col min="19" max="16384" width="9" style="3"/>
  </cols>
  <sheetData>
    <row r="1" spans="1:18"/>
    <row r="2" spans="1:18">
      <c r="A2" s="40" t="e">
        <f>#REF!</f>
        <v>#REF!</v>
      </c>
      <c r="B2" s="40"/>
      <c r="C2" s="3" t="s">
        <v>72</v>
      </c>
    </row>
    <row r="3" spans="1:18">
      <c r="A3" s="40" t="e">
        <f>#REF!</f>
        <v>#REF!</v>
      </c>
      <c r="B3" s="40"/>
    </row>
    <row r="4" spans="1:18">
      <c r="A4" s="40" t="e">
        <f>#REF!</f>
        <v>#REF!</v>
      </c>
      <c r="B4" s="40"/>
    </row>
    <row r="5" spans="1:18">
      <c r="B5" s="24" t="s">
        <v>109</v>
      </c>
      <c r="C5" s="25"/>
      <c r="D5" s="25"/>
      <c r="E5" s="25"/>
      <c r="F5" s="25"/>
      <c r="G5" s="41"/>
      <c r="H5" s="25"/>
      <c r="I5" s="25"/>
      <c r="J5" s="25"/>
      <c r="K5" s="25"/>
      <c r="L5" s="25"/>
      <c r="M5" s="25"/>
      <c r="N5" s="25"/>
      <c r="O5" s="30"/>
      <c r="P5" s="27" t="s">
        <v>22</v>
      </c>
    </row>
    <row r="6" spans="1:18">
      <c r="B6" s="3" t="s">
        <v>25</v>
      </c>
      <c r="G6" s="27"/>
      <c r="O6" s="39"/>
      <c r="P6" s="27" t="s">
        <v>110</v>
      </c>
      <c r="R6" s="10" t="s">
        <v>2</v>
      </c>
    </row>
    <row r="7" spans="1:18">
      <c r="C7" s="3">
        <v>200707</v>
      </c>
      <c r="D7" s="3">
        <v>200708</v>
      </c>
      <c r="E7" s="3">
        <f>D7+1</f>
        <v>200709</v>
      </c>
      <c r="F7" s="3">
        <f>E7+1</f>
        <v>200710</v>
      </c>
      <c r="G7" s="3">
        <f>F7+1</f>
        <v>200711</v>
      </c>
      <c r="H7" s="3">
        <f>G7+1</f>
        <v>200712</v>
      </c>
      <c r="I7" s="3">
        <v>200801</v>
      </c>
      <c r="J7" s="3">
        <f>I7+1</f>
        <v>200802</v>
      </c>
      <c r="K7" s="3">
        <f>J7+1</f>
        <v>200803</v>
      </c>
      <c r="L7" s="3">
        <f>K7+1</f>
        <v>200804</v>
      </c>
      <c r="M7" s="3">
        <f>L7+1</f>
        <v>200805</v>
      </c>
      <c r="N7" s="3">
        <f>M7+1</f>
        <v>200806</v>
      </c>
      <c r="O7" s="39" t="s">
        <v>41</v>
      </c>
      <c r="P7" s="47">
        <v>39260</v>
      </c>
      <c r="R7" s="10" t="s">
        <v>0</v>
      </c>
    </row>
    <row r="8" spans="1:18">
      <c r="A8" s="22">
        <v>24</v>
      </c>
      <c r="B8" s="3" t="s">
        <v>97</v>
      </c>
      <c r="C8" s="3">
        <v>4169692</v>
      </c>
      <c r="D8" s="3">
        <v>3723998</v>
      </c>
      <c r="E8" s="3">
        <v>3198923</v>
      </c>
      <c r="F8" s="3">
        <v>2755668</v>
      </c>
      <c r="G8" s="33">
        <v>3046052</v>
      </c>
      <c r="H8" s="3">
        <v>3335761</v>
      </c>
      <c r="I8" s="32">
        <v>3808717</v>
      </c>
      <c r="J8" s="32">
        <v>3873681</v>
      </c>
      <c r="K8" s="32">
        <v>3604333</v>
      </c>
      <c r="L8" s="32">
        <v>3283809</v>
      </c>
      <c r="M8" s="32">
        <v>3142167</v>
      </c>
      <c r="N8" s="32">
        <v>3774631</v>
      </c>
      <c r="O8" s="33">
        <f t="shared" ref="O8:O31" si="0">SUM(C8:N8)</f>
        <v>41717432</v>
      </c>
      <c r="P8" s="37">
        <v>1.24E-3</v>
      </c>
      <c r="R8" s="42">
        <f t="shared" ref="R8:R15" si="1">P8*O8</f>
        <v>51729.615680000003</v>
      </c>
    </row>
    <row r="9" spans="1:18">
      <c r="A9" s="22" t="s">
        <v>61</v>
      </c>
      <c r="B9" s="3" t="s">
        <v>102</v>
      </c>
      <c r="C9" s="3">
        <v>21238</v>
      </c>
      <c r="D9" s="3">
        <v>21238</v>
      </c>
      <c r="E9" s="3">
        <v>20942</v>
      </c>
      <c r="F9" s="3">
        <v>18280</v>
      </c>
      <c r="G9" s="33">
        <v>31065</v>
      </c>
      <c r="H9" s="3">
        <v>18280</v>
      </c>
      <c r="I9" s="9">
        <v>18281</v>
      </c>
      <c r="J9" s="9">
        <v>5495</v>
      </c>
      <c r="K9" s="9">
        <v>18280</v>
      </c>
      <c r="L9" s="9">
        <v>18280</v>
      </c>
      <c r="M9" s="9">
        <v>18280</v>
      </c>
      <c r="N9" s="9">
        <v>18280</v>
      </c>
      <c r="O9" s="33">
        <f t="shared" si="0"/>
        <v>227939</v>
      </c>
      <c r="P9" s="37">
        <v>1.24E-3</v>
      </c>
      <c r="R9" s="42">
        <f t="shared" si="1"/>
        <v>282.64436000000001</v>
      </c>
    </row>
    <row r="10" spans="1:18">
      <c r="A10" s="22" t="s">
        <v>65</v>
      </c>
      <c r="B10" s="3" t="s">
        <v>98</v>
      </c>
      <c r="C10" s="3">
        <v>1590</v>
      </c>
      <c r="D10" s="3">
        <v>2919</v>
      </c>
      <c r="E10" s="3">
        <v>11084</v>
      </c>
      <c r="F10" s="3">
        <v>174819</v>
      </c>
      <c r="G10" s="33">
        <v>139933</v>
      </c>
      <c r="H10" s="3">
        <v>22495</v>
      </c>
      <c r="I10" s="9">
        <v>14785</v>
      </c>
      <c r="J10" s="9">
        <v>13030</v>
      </c>
      <c r="K10" s="9">
        <v>-3559</v>
      </c>
      <c r="L10" s="9">
        <v>11843</v>
      </c>
      <c r="M10" s="9">
        <v>31064</v>
      </c>
      <c r="N10" s="9">
        <v>-15272</v>
      </c>
      <c r="O10" s="33">
        <f t="shared" si="0"/>
        <v>404731</v>
      </c>
      <c r="P10" s="37">
        <v>1.24E-3</v>
      </c>
      <c r="R10" s="42">
        <f t="shared" si="1"/>
        <v>501.86644000000001</v>
      </c>
    </row>
    <row r="11" spans="1:18">
      <c r="A11" s="22">
        <v>24</v>
      </c>
      <c r="B11" s="3" t="s">
        <v>26</v>
      </c>
      <c r="C11" s="33">
        <v>42970072</v>
      </c>
      <c r="D11" s="33">
        <v>42492319</v>
      </c>
      <c r="E11" s="33">
        <v>36262938</v>
      </c>
      <c r="F11" s="33">
        <v>33230542</v>
      </c>
      <c r="G11" s="33">
        <v>34869575</v>
      </c>
      <c r="H11" s="33">
        <v>36341153</v>
      </c>
      <c r="I11" s="9">
        <v>40445704</v>
      </c>
      <c r="J11" s="9">
        <v>44523686</v>
      </c>
      <c r="K11" s="9">
        <v>39679186</v>
      </c>
      <c r="L11" s="9">
        <v>35221083</v>
      </c>
      <c r="M11" s="9">
        <v>35809463</v>
      </c>
      <c r="N11" s="9">
        <v>43110158</v>
      </c>
      <c r="O11" s="33">
        <f t="shared" si="0"/>
        <v>464955879</v>
      </c>
      <c r="P11" s="37">
        <v>1.24E-3</v>
      </c>
      <c r="R11" s="42">
        <f t="shared" si="1"/>
        <v>576545.28995999997</v>
      </c>
    </row>
    <row r="12" spans="1:18">
      <c r="A12" s="22" t="s">
        <v>61</v>
      </c>
      <c r="B12" s="3" t="s">
        <v>27</v>
      </c>
      <c r="C12" s="33">
        <v>101764</v>
      </c>
      <c r="D12" s="33">
        <v>100304</v>
      </c>
      <c r="E12" s="33">
        <v>101677</v>
      </c>
      <c r="F12" s="33">
        <v>100074</v>
      </c>
      <c r="G12" s="33">
        <v>101098</v>
      </c>
      <c r="H12" s="33">
        <v>101728</v>
      </c>
      <c r="I12" s="9">
        <v>100888</v>
      </c>
      <c r="J12" s="9">
        <v>100882</v>
      </c>
      <c r="K12" s="9">
        <v>100000</v>
      </c>
      <c r="L12" s="9">
        <v>100094</v>
      </c>
      <c r="M12" s="9">
        <v>101670</v>
      </c>
      <c r="N12" s="9">
        <v>100935</v>
      </c>
      <c r="O12" s="33">
        <f t="shared" si="0"/>
        <v>1211114</v>
      </c>
      <c r="P12" s="37">
        <v>1.24E-3</v>
      </c>
      <c r="R12" s="42">
        <f t="shared" si="1"/>
        <v>1501.7813599999999</v>
      </c>
    </row>
    <row r="13" spans="1:18">
      <c r="A13" s="22">
        <v>36</v>
      </c>
      <c r="B13" s="3" t="s">
        <v>103</v>
      </c>
      <c r="C13" s="3">
        <v>7139320</v>
      </c>
      <c r="D13" s="3">
        <v>6651020</v>
      </c>
      <c r="E13" s="3">
        <v>5949180</v>
      </c>
      <c r="F13" s="3">
        <v>5427928</v>
      </c>
      <c r="G13" s="33">
        <v>5820260</v>
      </c>
      <c r="H13" s="3">
        <v>10710241</v>
      </c>
      <c r="I13" s="9">
        <v>6874968</v>
      </c>
      <c r="J13" s="9">
        <v>6866625</v>
      </c>
      <c r="K13" s="9">
        <v>7519899</v>
      </c>
      <c r="L13" s="9">
        <v>8709680</v>
      </c>
      <c r="M13" s="9">
        <v>6276100</v>
      </c>
      <c r="N13" s="9">
        <v>8286800</v>
      </c>
      <c r="O13" s="33">
        <f t="shared" si="0"/>
        <v>86232021</v>
      </c>
      <c r="P13" s="37">
        <v>1.0200000000000001E-3</v>
      </c>
      <c r="R13" s="42">
        <f t="shared" si="1"/>
        <v>87956.661420000004</v>
      </c>
    </row>
    <row r="14" spans="1:18">
      <c r="A14" s="22">
        <v>36</v>
      </c>
      <c r="B14" s="3" t="s">
        <v>28</v>
      </c>
      <c r="C14" s="33">
        <v>59368941</v>
      </c>
      <c r="D14" s="33">
        <v>56815580</v>
      </c>
      <c r="E14" s="33">
        <v>52729103</v>
      </c>
      <c r="F14" s="33">
        <v>48314509</v>
      </c>
      <c r="G14" s="33">
        <v>49936076</v>
      </c>
      <c r="H14" s="33">
        <v>46891727</v>
      </c>
      <c r="I14" s="9">
        <v>55644603</v>
      </c>
      <c r="J14" s="9">
        <v>59342604</v>
      </c>
      <c r="K14" s="9">
        <v>59603339</v>
      </c>
      <c r="L14" s="9">
        <v>65055503</v>
      </c>
      <c r="M14" s="9">
        <v>59222854</v>
      </c>
      <c r="N14" s="9">
        <v>61989884</v>
      </c>
      <c r="O14" s="33">
        <f t="shared" si="0"/>
        <v>674914723</v>
      </c>
      <c r="P14" s="37">
        <v>1.0200000000000001E-3</v>
      </c>
      <c r="R14" s="42">
        <f t="shared" si="1"/>
        <v>688413.01746</v>
      </c>
    </row>
    <row r="15" spans="1:18">
      <c r="A15" s="22" t="s">
        <v>64</v>
      </c>
      <c r="B15" s="3" t="s">
        <v>29</v>
      </c>
      <c r="C15" s="33">
        <v>14031760</v>
      </c>
      <c r="D15" s="33">
        <v>12105060</v>
      </c>
      <c r="E15" s="33">
        <v>12596320</v>
      </c>
      <c r="F15" s="33">
        <v>11333660</v>
      </c>
      <c r="G15" s="33">
        <v>11389980</v>
      </c>
      <c r="H15" s="33">
        <v>11786660</v>
      </c>
      <c r="I15" s="9">
        <v>12614402</v>
      </c>
      <c r="J15" s="9">
        <v>13075400</v>
      </c>
      <c r="K15" s="9">
        <v>13838880</v>
      </c>
      <c r="L15" s="9">
        <v>14709860</v>
      </c>
      <c r="M15" s="9">
        <v>12447520</v>
      </c>
      <c r="N15" s="9">
        <v>13113320</v>
      </c>
      <c r="O15" s="33">
        <f t="shared" si="0"/>
        <v>153042822</v>
      </c>
      <c r="P15" s="37">
        <v>8.3000000000000001E-4</v>
      </c>
      <c r="R15" s="42">
        <f t="shared" si="1"/>
        <v>127025.54226</v>
      </c>
    </row>
    <row r="16" spans="1:18">
      <c r="B16" s="3" t="s">
        <v>30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3">
        <f t="shared" si="0"/>
        <v>0</v>
      </c>
    </row>
    <row r="17" spans="1:18">
      <c r="B17" s="3" t="s">
        <v>31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3">
        <f t="shared" si="0"/>
        <v>0</v>
      </c>
    </row>
    <row r="18" spans="1:18">
      <c r="B18" s="3" t="s">
        <v>32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3">
        <f t="shared" si="0"/>
        <v>0</v>
      </c>
    </row>
    <row r="19" spans="1:18">
      <c r="B19" s="3" t="s">
        <v>33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3">
        <f t="shared" si="0"/>
        <v>0</v>
      </c>
    </row>
    <row r="20" spans="1:18">
      <c r="B20" s="3" t="s">
        <v>34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3">
        <f t="shared" si="0"/>
        <v>0</v>
      </c>
    </row>
    <row r="21" spans="1:18">
      <c r="A21" s="22" t="s">
        <v>13</v>
      </c>
      <c r="B21" s="3" t="s">
        <v>35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3">
        <f t="shared" si="0"/>
        <v>0</v>
      </c>
    </row>
    <row r="22" spans="1:18">
      <c r="A22" s="22" t="s">
        <v>13</v>
      </c>
      <c r="B22" s="3" t="s">
        <v>91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3">
        <f t="shared" si="0"/>
        <v>0</v>
      </c>
    </row>
    <row r="23" spans="1:18">
      <c r="B23" s="23" t="s">
        <v>105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3">
        <f t="shared" si="0"/>
        <v>0</v>
      </c>
    </row>
    <row r="24" spans="1:18">
      <c r="A24" s="22">
        <v>135</v>
      </c>
      <c r="B24" s="3" t="s">
        <v>94</v>
      </c>
      <c r="C24" s="33">
        <v>2307</v>
      </c>
      <c r="D24" s="33">
        <v>1428</v>
      </c>
      <c r="E24" s="3">
        <v>140</v>
      </c>
      <c r="F24" s="3">
        <v>0</v>
      </c>
      <c r="G24" s="3">
        <v>0</v>
      </c>
      <c r="H24" s="3">
        <v>0</v>
      </c>
      <c r="I24" s="9">
        <v>0</v>
      </c>
      <c r="J24" s="9">
        <v>0</v>
      </c>
      <c r="K24" s="9">
        <v>0</v>
      </c>
      <c r="L24" s="9">
        <v>18</v>
      </c>
      <c r="M24" s="9">
        <v>0</v>
      </c>
      <c r="N24" s="9">
        <v>1232</v>
      </c>
      <c r="O24" s="33">
        <f t="shared" si="0"/>
        <v>5125</v>
      </c>
      <c r="P24" s="37">
        <v>1.24E-3</v>
      </c>
      <c r="R24" s="42">
        <f>P24*O24</f>
        <v>6.3550000000000004</v>
      </c>
    </row>
    <row r="25" spans="1:18">
      <c r="A25" s="22" t="s">
        <v>62</v>
      </c>
      <c r="B25" s="3" t="s">
        <v>36</v>
      </c>
      <c r="C25" s="33">
        <v>135621</v>
      </c>
      <c r="D25" s="33">
        <v>152479</v>
      </c>
      <c r="E25" s="33">
        <v>143101</v>
      </c>
      <c r="F25" s="33">
        <v>144390</v>
      </c>
      <c r="G25" s="33">
        <v>147368</v>
      </c>
      <c r="H25" s="33">
        <v>125859</v>
      </c>
      <c r="I25" s="9">
        <v>142775</v>
      </c>
      <c r="J25" s="9">
        <v>145842</v>
      </c>
      <c r="K25" s="9">
        <v>135813</v>
      </c>
      <c r="L25" s="9">
        <v>146542</v>
      </c>
      <c r="M25" s="9">
        <v>137092</v>
      </c>
      <c r="N25" s="9">
        <v>143598</v>
      </c>
      <c r="O25" s="33">
        <f t="shared" si="0"/>
        <v>1700480</v>
      </c>
      <c r="P25" s="37">
        <v>1.09E-3</v>
      </c>
      <c r="R25" s="42">
        <f>P25*O25</f>
        <v>1853.5232000000001</v>
      </c>
    </row>
    <row r="26" spans="1:18">
      <c r="A26" s="22" t="s">
        <v>62</v>
      </c>
      <c r="B26" s="3" t="s">
        <v>101</v>
      </c>
      <c r="C26" s="3">
        <v>56080</v>
      </c>
      <c r="D26" s="3">
        <v>54964</v>
      </c>
      <c r="E26" s="3">
        <v>55214</v>
      </c>
      <c r="F26" s="3">
        <v>54647</v>
      </c>
      <c r="G26" s="33">
        <v>54911</v>
      </c>
      <c r="H26" s="3">
        <v>55184</v>
      </c>
      <c r="I26" s="9">
        <v>53677</v>
      </c>
      <c r="J26" s="9">
        <v>53325</v>
      </c>
      <c r="K26" s="9">
        <v>52348</v>
      </c>
      <c r="L26" s="9">
        <v>55316</v>
      </c>
      <c r="M26" s="9">
        <v>51552</v>
      </c>
      <c r="N26" s="9">
        <v>52753</v>
      </c>
      <c r="O26" s="33">
        <f t="shared" si="0"/>
        <v>649971</v>
      </c>
      <c r="P26" s="37">
        <v>1.09E-3</v>
      </c>
      <c r="R26" s="42">
        <f>P26*O26</f>
        <v>708.46839</v>
      </c>
    </row>
    <row r="27" spans="1:18">
      <c r="A27" s="22">
        <v>54</v>
      </c>
      <c r="B27" s="3" t="s">
        <v>37</v>
      </c>
      <c r="C27" s="33">
        <v>13222</v>
      </c>
      <c r="D27" s="33">
        <v>2552</v>
      </c>
      <c r="E27" s="33">
        <v>15473</v>
      </c>
      <c r="F27" s="33">
        <v>20107</v>
      </c>
      <c r="G27" s="33">
        <v>16713</v>
      </c>
      <c r="H27" s="33">
        <v>13439</v>
      </c>
      <c r="I27" s="9">
        <v>23259</v>
      </c>
      <c r="J27" s="9">
        <v>16201</v>
      </c>
      <c r="K27" s="9">
        <v>14873</v>
      </c>
      <c r="L27" s="9">
        <v>38831</v>
      </c>
      <c r="M27" s="9">
        <v>31315</v>
      </c>
      <c r="N27" s="9">
        <v>21266</v>
      </c>
      <c r="O27" s="33">
        <f t="shared" si="0"/>
        <v>227251</v>
      </c>
      <c r="P27" s="37">
        <v>1.48E-3</v>
      </c>
      <c r="R27" s="42">
        <f>P27*O27</f>
        <v>336.33148</v>
      </c>
    </row>
    <row r="28" spans="1:18">
      <c r="B28" s="3" t="s">
        <v>38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3">
        <f t="shared" si="0"/>
        <v>0</v>
      </c>
    </row>
    <row r="29" spans="1:18">
      <c r="B29" s="3" t="s">
        <v>39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3">
        <f t="shared" si="0"/>
        <v>0</v>
      </c>
    </row>
    <row r="30" spans="1:18">
      <c r="B30" s="3" t="s">
        <v>99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3">
        <f t="shared" si="0"/>
        <v>0</v>
      </c>
    </row>
    <row r="31" spans="1:18">
      <c r="B31" s="3" t="s">
        <v>100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3">
        <f t="shared" si="0"/>
        <v>0</v>
      </c>
    </row>
    <row r="32" spans="1:18">
      <c r="A32" s="22" t="s">
        <v>13</v>
      </c>
      <c r="B32" s="3" t="s">
        <v>40</v>
      </c>
    </row>
    <row r="33" spans="1:18">
      <c r="A33" s="22" t="s">
        <v>13</v>
      </c>
      <c r="C33" s="33">
        <f t="shared" ref="C33:O33" si="2">SUM(C8:C31)</f>
        <v>128011607</v>
      </c>
      <c r="D33" s="33">
        <f t="shared" si="2"/>
        <v>122123861</v>
      </c>
      <c r="E33" s="33">
        <f t="shared" si="2"/>
        <v>111084095</v>
      </c>
      <c r="F33" s="33">
        <f t="shared" si="2"/>
        <v>101574624</v>
      </c>
      <c r="G33" s="33">
        <f t="shared" si="2"/>
        <v>105553031</v>
      </c>
      <c r="H33" s="33">
        <f t="shared" si="2"/>
        <v>109402527</v>
      </c>
      <c r="I33" s="33">
        <f t="shared" si="2"/>
        <v>119742059</v>
      </c>
      <c r="J33" s="33">
        <f t="shared" si="2"/>
        <v>128016771</v>
      </c>
      <c r="K33" s="33">
        <f t="shared" si="2"/>
        <v>124563392</v>
      </c>
      <c r="L33" s="33">
        <f t="shared" si="2"/>
        <v>127350859</v>
      </c>
      <c r="M33" s="33">
        <f t="shared" si="2"/>
        <v>117269077</v>
      </c>
      <c r="N33" s="33">
        <f t="shared" si="2"/>
        <v>130597585</v>
      </c>
      <c r="O33" s="33">
        <f t="shared" si="2"/>
        <v>1425289488</v>
      </c>
    </row>
    <row r="34" spans="1:18">
      <c r="A34" s="22" t="s">
        <v>13</v>
      </c>
      <c r="B34" s="3" t="s">
        <v>42</v>
      </c>
    </row>
    <row r="35" spans="1:18">
      <c r="A35" s="22" t="s">
        <v>13</v>
      </c>
      <c r="C35" s="3">
        <v>200707</v>
      </c>
      <c r="D35" s="3">
        <v>200708</v>
      </c>
      <c r="E35" s="3">
        <f>D35+1</f>
        <v>200709</v>
      </c>
      <c r="F35" s="3">
        <f>E35+1</f>
        <v>200710</v>
      </c>
      <c r="G35" s="3">
        <f>F35+1</f>
        <v>200711</v>
      </c>
      <c r="H35" s="3">
        <f>G35+1</f>
        <v>200712</v>
      </c>
      <c r="I35" s="3">
        <v>200801</v>
      </c>
      <c r="J35" s="3">
        <f>I35+1</f>
        <v>200802</v>
      </c>
      <c r="K35" s="3">
        <f>J35+1</f>
        <v>200803</v>
      </c>
      <c r="L35" s="3">
        <f>K35+1</f>
        <v>200804</v>
      </c>
      <c r="M35" s="3">
        <f>L35+1</f>
        <v>200805</v>
      </c>
      <c r="N35" s="3">
        <f>M35+1</f>
        <v>200806</v>
      </c>
      <c r="O35" s="3" t="s">
        <v>41</v>
      </c>
      <c r="P35" s="37"/>
    </row>
    <row r="36" spans="1:18">
      <c r="A36" s="22">
        <v>24</v>
      </c>
      <c r="B36" s="3" t="s">
        <v>97</v>
      </c>
      <c r="C36" s="35">
        <v>245856</v>
      </c>
      <c r="D36" s="32">
        <v>237043</v>
      </c>
      <c r="E36" s="32">
        <v>190545</v>
      </c>
      <c r="F36" s="32">
        <v>164203</v>
      </c>
      <c r="G36" s="32">
        <v>178325</v>
      </c>
      <c r="H36" s="32">
        <v>215598</v>
      </c>
      <c r="I36" s="32">
        <v>293514</v>
      </c>
      <c r="J36" s="32">
        <v>307172</v>
      </c>
      <c r="K36" s="32">
        <v>526995</v>
      </c>
      <c r="L36" s="32">
        <v>447110</v>
      </c>
      <c r="M36" s="32">
        <v>227293</v>
      </c>
      <c r="N36" s="32">
        <v>220660</v>
      </c>
      <c r="O36" s="33">
        <f t="shared" ref="O36:O48" si="3">SUM(C36:N36)</f>
        <v>3254314</v>
      </c>
      <c r="P36" s="37">
        <v>1.24E-3</v>
      </c>
      <c r="R36" s="42">
        <f t="shared" ref="R36:R44" si="4">P36*O36</f>
        <v>4035.3493600000002</v>
      </c>
    </row>
    <row r="37" spans="1:18">
      <c r="A37" s="22" t="s">
        <v>65</v>
      </c>
      <c r="B37" s="3" t="s">
        <v>98</v>
      </c>
      <c r="C37" s="36">
        <v>96</v>
      </c>
      <c r="D37" s="9">
        <v>-84</v>
      </c>
      <c r="E37" s="9">
        <v>545</v>
      </c>
      <c r="F37" s="9">
        <v>1302</v>
      </c>
      <c r="G37" s="9">
        <v>150</v>
      </c>
      <c r="H37" s="9">
        <v>557</v>
      </c>
      <c r="I37" s="9">
        <v>1396</v>
      </c>
      <c r="J37" s="9">
        <v>33</v>
      </c>
      <c r="K37" s="9">
        <v>1826</v>
      </c>
      <c r="L37" s="9">
        <v>1074</v>
      </c>
      <c r="M37" s="9">
        <v>0</v>
      </c>
      <c r="N37" s="9">
        <v>34</v>
      </c>
      <c r="O37" s="33">
        <f t="shared" si="3"/>
        <v>6929</v>
      </c>
      <c r="P37" s="37">
        <v>1.24E-3</v>
      </c>
      <c r="R37" s="42">
        <f t="shared" si="4"/>
        <v>8.5919600000000003</v>
      </c>
    </row>
    <row r="38" spans="1:18">
      <c r="A38" s="22">
        <v>24</v>
      </c>
      <c r="B38" s="3" t="s">
        <v>26</v>
      </c>
      <c r="C38" s="36">
        <v>1909641</v>
      </c>
      <c r="D38" s="9">
        <v>1806944</v>
      </c>
      <c r="E38" s="9">
        <v>1549411</v>
      </c>
      <c r="F38" s="9">
        <v>1277233</v>
      </c>
      <c r="G38" s="9">
        <v>1348630</v>
      </c>
      <c r="H38" s="9">
        <v>1329979</v>
      </c>
      <c r="I38" s="9">
        <v>1795617</v>
      </c>
      <c r="J38" s="9">
        <v>1427677</v>
      </c>
      <c r="K38" s="9">
        <v>1355114</v>
      </c>
      <c r="L38" s="9">
        <v>1254624</v>
      </c>
      <c r="M38" s="9">
        <v>1247407</v>
      </c>
      <c r="N38" s="9">
        <v>1703611</v>
      </c>
      <c r="O38" s="33">
        <f t="shared" si="3"/>
        <v>18005888</v>
      </c>
      <c r="P38" s="37">
        <v>1.24E-3</v>
      </c>
      <c r="R38" s="42">
        <f t="shared" si="4"/>
        <v>22327.30112</v>
      </c>
    </row>
    <row r="39" spans="1:18">
      <c r="A39" s="22" t="s">
        <v>61</v>
      </c>
      <c r="B39" s="3" t="s">
        <v>27</v>
      </c>
      <c r="C39" s="36">
        <v>2776</v>
      </c>
      <c r="D39" s="9">
        <v>2776</v>
      </c>
      <c r="E39" s="9">
        <v>2776</v>
      </c>
      <c r="F39" s="9">
        <v>2776</v>
      </c>
      <c r="G39" s="9">
        <v>2776</v>
      </c>
      <c r="H39" s="9">
        <v>2776</v>
      </c>
      <c r="I39" s="9">
        <v>2776</v>
      </c>
      <c r="J39" s="9">
        <v>2776</v>
      </c>
      <c r="K39" s="9">
        <v>2776</v>
      </c>
      <c r="L39" s="9">
        <v>2776</v>
      </c>
      <c r="M39" s="9">
        <v>2776</v>
      </c>
      <c r="N39" s="9">
        <v>2776</v>
      </c>
      <c r="O39" s="33">
        <f t="shared" si="3"/>
        <v>33312</v>
      </c>
      <c r="P39" s="37">
        <v>1.24E-3</v>
      </c>
      <c r="R39" s="42">
        <f t="shared" si="4"/>
        <v>41.30688</v>
      </c>
    </row>
    <row r="40" spans="1:18">
      <c r="A40" s="22">
        <v>36</v>
      </c>
      <c r="B40" s="3" t="s">
        <v>103</v>
      </c>
      <c r="C40" s="36">
        <v>100640</v>
      </c>
      <c r="D40" s="9">
        <v>95384</v>
      </c>
      <c r="E40" s="9">
        <v>73480</v>
      </c>
      <c r="F40" s="9">
        <v>80320</v>
      </c>
      <c r="G40" s="9">
        <v>87200</v>
      </c>
      <c r="H40" s="9">
        <v>113520</v>
      </c>
      <c r="I40" s="9">
        <v>168842</v>
      </c>
      <c r="J40" s="9">
        <v>199560</v>
      </c>
      <c r="K40" s="9">
        <v>987400</v>
      </c>
      <c r="L40" s="9">
        <v>1570360</v>
      </c>
      <c r="M40" s="9">
        <v>249680</v>
      </c>
      <c r="N40" s="9">
        <v>149720</v>
      </c>
      <c r="O40" s="33">
        <f t="shared" si="3"/>
        <v>3876106</v>
      </c>
      <c r="P40" s="37">
        <v>1.0200000000000001E-3</v>
      </c>
      <c r="R40" s="42">
        <f t="shared" si="4"/>
        <v>3953.6281200000003</v>
      </c>
    </row>
    <row r="41" spans="1:18">
      <c r="A41" s="22" t="s">
        <v>64</v>
      </c>
      <c r="B41" s="3" t="s">
        <v>95</v>
      </c>
      <c r="C41" s="36"/>
      <c r="D41" s="9"/>
      <c r="E41" s="9"/>
      <c r="F41" s="9">
        <v>54000</v>
      </c>
      <c r="G41" s="9">
        <v>-54000</v>
      </c>
      <c r="H41" s="9"/>
      <c r="I41" s="9"/>
      <c r="J41" s="9"/>
      <c r="K41" s="9"/>
      <c r="L41" s="9"/>
      <c r="M41" s="9"/>
      <c r="N41" s="9"/>
      <c r="O41" s="33">
        <f t="shared" si="3"/>
        <v>0</v>
      </c>
      <c r="P41" s="37">
        <v>8.3000000000000001E-4</v>
      </c>
      <c r="R41" s="42">
        <f t="shared" si="4"/>
        <v>0</v>
      </c>
    </row>
    <row r="42" spans="1:18">
      <c r="A42" s="22">
        <v>36</v>
      </c>
      <c r="B42" s="3" t="s">
        <v>28</v>
      </c>
      <c r="C42" s="36">
        <v>10318300</v>
      </c>
      <c r="D42" s="9">
        <v>12442180</v>
      </c>
      <c r="E42" s="9">
        <v>11211240</v>
      </c>
      <c r="F42" s="9">
        <v>9636920</v>
      </c>
      <c r="G42" s="9">
        <v>10839840</v>
      </c>
      <c r="H42" s="9">
        <v>9171000</v>
      </c>
      <c r="I42" s="9">
        <v>10177875</v>
      </c>
      <c r="J42" s="9">
        <v>10771855</v>
      </c>
      <c r="K42" s="9">
        <v>11930134</v>
      </c>
      <c r="L42" s="9">
        <v>13859241</v>
      </c>
      <c r="M42" s="9">
        <v>14520180</v>
      </c>
      <c r="N42" s="9">
        <v>11750660</v>
      </c>
      <c r="O42" s="33">
        <f t="shared" si="3"/>
        <v>136629425</v>
      </c>
      <c r="P42" s="37">
        <v>1.0200000000000001E-3</v>
      </c>
      <c r="R42" s="42">
        <f t="shared" si="4"/>
        <v>139362.0135</v>
      </c>
    </row>
    <row r="43" spans="1:18">
      <c r="A43" s="22" t="s">
        <v>63</v>
      </c>
      <c r="B43" s="3" t="s">
        <v>43</v>
      </c>
      <c r="C43" s="34">
        <v>2948000</v>
      </c>
      <c r="D43" s="9">
        <v>2612000</v>
      </c>
      <c r="E43" s="9">
        <v>2349000</v>
      </c>
      <c r="F43" s="9">
        <v>2241000</v>
      </c>
      <c r="G43" s="9">
        <v>1942000</v>
      </c>
      <c r="H43" s="9">
        <v>1761000</v>
      </c>
      <c r="I43" s="9">
        <v>2096000</v>
      </c>
      <c r="J43" s="9">
        <v>2221000</v>
      </c>
      <c r="K43" s="9">
        <v>1602000</v>
      </c>
      <c r="L43" s="9">
        <v>1544000</v>
      </c>
      <c r="M43" s="9">
        <v>1868000</v>
      </c>
      <c r="N43" s="9">
        <v>2647000</v>
      </c>
      <c r="O43" s="33">
        <f t="shared" si="3"/>
        <v>25831000</v>
      </c>
      <c r="P43" s="37">
        <v>8.3000000000000001E-4</v>
      </c>
      <c r="R43" s="42">
        <f t="shared" si="4"/>
        <v>21439.73</v>
      </c>
    </row>
    <row r="44" spans="1:18">
      <c r="A44" s="22" t="s">
        <v>21</v>
      </c>
      <c r="B44" s="3" t="s">
        <v>29</v>
      </c>
      <c r="C44" s="34">
        <v>49783800</v>
      </c>
      <c r="D44" s="9">
        <v>59340000</v>
      </c>
      <c r="E44" s="9">
        <v>57320600</v>
      </c>
      <c r="F44" s="9">
        <v>54656650</v>
      </c>
      <c r="G44" s="9">
        <v>55667450</v>
      </c>
      <c r="H44" s="9">
        <v>40957550</v>
      </c>
      <c r="I44" s="9">
        <v>56388555</v>
      </c>
      <c r="J44" s="9">
        <v>61600850</v>
      </c>
      <c r="K44" s="9">
        <v>60175601</v>
      </c>
      <c r="L44" s="9">
        <v>57164750</v>
      </c>
      <c r="M44" s="9">
        <v>58007500</v>
      </c>
      <c r="N44" s="9">
        <v>63661250</v>
      </c>
      <c r="O44" s="33">
        <f t="shared" si="3"/>
        <v>674724556</v>
      </c>
      <c r="P44" s="37">
        <v>8.3000000000000001E-4</v>
      </c>
      <c r="R44" s="42">
        <f t="shared" si="4"/>
        <v>560021.38147999998</v>
      </c>
    </row>
    <row r="45" spans="1:18">
      <c r="B45" s="3" t="s">
        <v>30</v>
      </c>
      <c r="C45" s="34"/>
      <c r="D45" s="9"/>
      <c r="E45" s="9"/>
      <c r="F45" s="9"/>
      <c r="G45" s="9"/>
      <c r="H45" s="9"/>
      <c r="I45" s="9">
        <v>0</v>
      </c>
      <c r="J45" s="9">
        <v>0</v>
      </c>
      <c r="K45" s="9">
        <v>0</v>
      </c>
      <c r="L45" s="9"/>
      <c r="M45" s="9"/>
      <c r="N45" s="9"/>
      <c r="O45" s="33">
        <f t="shared" si="3"/>
        <v>0</v>
      </c>
    </row>
    <row r="46" spans="1:18">
      <c r="A46" s="22" t="s">
        <v>62</v>
      </c>
      <c r="B46" s="3" t="s">
        <v>36</v>
      </c>
      <c r="C46" s="34">
        <v>10756</v>
      </c>
      <c r="D46" s="9">
        <v>11243</v>
      </c>
      <c r="E46" s="9">
        <v>11348</v>
      </c>
      <c r="F46" s="9">
        <v>10494</v>
      </c>
      <c r="G46" s="9">
        <v>10714</v>
      </c>
      <c r="H46" s="9">
        <v>10392</v>
      </c>
      <c r="I46" s="9">
        <v>10322</v>
      </c>
      <c r="J46" s="9">
        <v>10317</v>
      </c>
      <c r="K46" s="9">
        <v>9746</v>
      </c>
      <c r="L46" s="9">
        <v>10468</v>
      </c>
      <c r="M46" s="9">
        <v>10361</v>
      </c>
      <c r="N46" s="9">
        <v>10770</v>
      </c>
      <c r="O46" s="33">
        <f t="shared" si="3"/>
        <v>126931</v>
      </c>
      <c r="P46" s="37">
        <v>1.09E-3</v>
      </c>
      <c r="R46" s="42">
        <f>P46*O46</f>
        <v>138.35479000000001</v>
      </c>
    </row>
    <row r="47" spans="1:18">
      <c r="A47" s="22" t="s">
        <v>62</v>
      </c>
      <c r="B47" s="3" t="s">
        <v>101</v>
      </c>
      <c r="C47" s="34">
        <v>2684</v>
      </c>
      <c r="D47" s="9">
        <v>2684</v>
      </c>
      <c r="E47" s="9">
        <v>2684</v>
      </c>
      <c r="F47" s="9">
        <v>2684</v>
      </c>
      <c r="G47" s="9">
        <v>2608</v>
      </c>
      <c r="H47" s="9">
        <v>2760</v>
      </c>
      <c r="I47" s="9">
        <v>2686</v>
      </c>
      <c r="J47" s="9">
        <v>2685</v>
      </c>
      <c r="K47" s="9">
        <v>2684</v>
      </c>
      <c r="L47" s="9">
        <v>2684</v>
      </c>
      <c r="M47" s="9">
        <v>2684</v>
      </c>
      <c r="N47" s="9">
        <v>2684</v>
      </c>
      <c r="O47" s="33">
        <f t="shared" si="3"/>
        <v>32211</v>
      </c>
      <c r="P47" s="37">
        <v>1.09E-3</v>
      </c>
      <c r="R47" s="42">
        <f>P47*O47</f>
        <v>35.109990000000003</v>
      </c>
    </row>
    <row r="48" spans="1:18">
      <c r="A48" s="22">
        <v>47</v>
      </c>
      <c r="B48" s="3" t="s">
        <v>44</v>
      </c>
      <c r="C48" s="34">
        <v>0</v>
      </c>
      <c r="D48" s="9">
        <v>420000</v>
      </c>
      <c r="E48" s="9">
        <v>0</v>
      </c>
      <c r="F48" s="9">
        <v>140000</v>
      </c>
      <c r="G48" s="9">
        <v>0</v>
      </c>
      <c r="H48" s="9">
        <v>140000</v>
      </c>
      <c r="I48" s="9">
        <v>140000</v>
      </c>
      <c r="J48" s="9">
        <v>140000</v>
      </c>
      <c r="K48" s="9">
        <v>140000</v>
      </c>
      <c r="L48" s="9">
        <v>140000</v>
      </c>
      <c r="M48" s="9">
        <v>140000</v>
      </c>
      <c r="N48" s="9">
        <v>140000</v>
      </c>
      <c r="O48" s="33">
        <f t="shared" si="3"/>
        <v>1540000</v>
      </c>
      <c r="P48" s="37">
        <v>8.3000000000000001E-4</v>
      </c>
      <c r="R48" s="42">
        <f>P48*O48</f>
        <v>1278.2</v>
      </c>
    </row>
    <row r="49" spans="1:18">
      <c r="A49" s="22" t="s">
        <v>13</v>
      </c>
      <c r="B49" s="3" t="s">
        <v>38</v>
      </c>
      <c r="C49" s="34"/>
      <c r="D49" s="9"/>
      <c r="E49" s="9"/>
      <c r="F49" s="9"/>
      <c r="G49" s="9"/>
      <c r="H49" s="9">
        <v>0</v>
      </c>
      <c r="I49" s="9"/>
      <c r="J49" s="9">
        <v>0</v>
      </c>
      <c r="K49" s="9"/>
      <c r="L49" s="9">
        <v>0</v>
      </c>
      <c r="M49" s="9"/>
      <c r="N49" s="9"/>
      <c r="O49" s="3">
        <v>0</v>
      </c>
    </row>
    <row r="50" spans="1:18">
      <c r="B50" s="3" t="s">
        <v>39</v>
      </c>
      <c r="C50" s="34"/>
      <c r="D50" s="9"/>
      <c r="E50" s="9"/>
      <c r="F50" s="9"/>
      <c r="G50" s="9"/>
      <c r="H50" s="9">
        <v>0</v>
      </c>
      <c r="I50" s="9"/>
      <c r="J50" s="9">
        <v>0</v>
      </c>
      <c r="K50" s="9"/>
      <c r="L50" s="9"/>
      <c r="M50" s="9"/>
      <c r="N50" s="9"/>
      <c r="O50" s="3">
        <v>0</v>
      </c>
    </row>
    <row r="51" spans="1:18">
      <c r="B51" s="3" t="s">
        <v>99</v>
      </c>
      <c r="C51" s="34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/>
      <c r="J51" s="9"/>
      <c r="K51" s="9"/>
      <c r="L51" s="9"/>
      <c r="M51" s="9"/>
      <c r="N51" s="9"/>
      <c r="O51" s="3">
        <v>0</v>
      </c>
    </row>
    <row r="52" spans="1:18">
      <c r="B52" s="3" t="s">
        <v>100</v>
      </c>
      <c r="C52" s="34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/>
      <c r="J52" s="9"/>
      <c r="K52" s="9"/>
      <c r="L52" s="9"/>
      <c r="M52" s="9"/>
      <c r="N52" s="9"/>
      <c r="O52" s="3">
        <v>0</v>
      </c>
    </row>
    <row r="53" spans="1:18">
      <c r="B53" s="3" t="s">
        <v>40</v>
      </c>
    </row>
    <row r="54" spans="1:18">
      <c r="C54" s="33">
        <f t="shared" ref="C54:O54" si="5">SUM(C36:C52)</f>
        <v>65322549</v>
      </c>
      <c r="D54" s="33">
        <f t="shared" si="5"/>
        <v>76970170</v>
      </c>
      <c r="E54" s="33">
        <f t="shared" si="5"/>
        <v>72711629</v>
      </c>
      <c r="F54" s="33">
        <f t="shared" si="5"/>
        <v>68267582</v>
      </c>
      <c r="G54" s="33">
        <f t="shared" si="5"/>
        <v>70025693</v>
      </c>
      <c r="H54" s="33">
        <f t="shared" si="5"/>
        <v>53705132</v>
      </c>
      <c r="I54" s="33">
        <f t="shared" si="5"/>
        <v>71077583</v>
      </c>
      <c r="J54" s="33">
        <f t="shared" si="5"/>
        <v>76683925</v>
      </c>
      <c r="K54" s="33">
        <f t="shared" si="5"/>
        <v>76734276</v>
      </c>
      <c r="L54" s="33">
        <f t="shared" si="5"/>
        <v>75997087</v>
      </c>
      <c r="M54" s="33">
        <f t="shared" si="5"/>
        <v>76275881</v>
      </c>
      <c r="N54" s="33">
        <f t="shared" si="5"/>
        <v>80289165</v>
      </c>
      <c r="O54" s="33">
        <f t="shared" si="5"/>
        <v>864060672</v>
      </c>
    </row>
    <row r="55" spans="1:18">
      <c r="B55" s="3" t="s">
        <v>45</v>
      </c>
    </row>
    <row r="56" spans="1:18">
      <c r="C56" s="3">
        <v>200707</v>
      </c>
      <c r="D56" s="3">
        <v>200708</v>
      </c>
      <c r="E56" s="3">
        <f>D56+1</f>
        <v>200709</v>
      </c>
      <c r="F56" s="3">
        <f>E56+1</f>
        <v>200710</v>
      </c>
      <c r="G56" s="3">
        <f>F56+1</f>
        <v>200711</v>
      </c>
      <c r="H56" s="3">
        <f>G56+1</f>
        <v>200712</v>
      </c>
      <c r="I56" s="3">
        <v>200801</v>
      </c>
      <c r="J56" s="3">
        <f>I56+1</f>
        <v>200802</v>
      </c>
      <c r="K56" s="3">
        <f>J56+1</f>
        <v>200803</v>
      </c>
      <c r="L56" s="3">
        <f>K56+1</f>
        <v>200804</v>
      </c>
      <c r="M56" s="3">
        <f>L56+1</f>
        <v>200805</v>
      </c>
      <c r="N56" s="3">
        <f>M56+1</f>
        <v>200806</v>
      </c>
      <c r="O56" s="3" t="s">
        <v>41</v>
      </c>
    </row>
    <row r="57" spans="1:18">
      <c r="A57" s="22">
        <v>40</v>
      </c>
      <c r="B57" s="3" t="s">
        <v>46</v>
      </c>
      <c r="C57" s="31">
        <v>124730</v>
      </c>
      <c r="D57" s="32">
        <v>162249</v>
      </c>
      <c r="E57" s="32">
        <v>1299080</v>
      </c>
      <c r="F57" s="32">
        <v>7016538</v>
      </c>
      <c r="G57" s="32">
        <v>14528558</v>
      </c>
      <c r="H57" s="32">
        <v>22434860</v>
      </c>
      <c r="I57" s="32">
        <v>27592080</v>
      </c>
      <c r="J57" s="32">
        <v>27861032</v>
      </c>
      <c r="K57" s="32">
        <v>22999788</v>
      </c>
      <c r="L57" s="32">
        <v>15185882</v>
      </c>
      <c r="M57" s="32">
        <v>4628381</v>
      </c>
      <c r="N57" s="32">
        <v>95256</v>
      </c>
      <c r="O57" s="33">
        <f t="shared" ref="O57:O68" si="6">SUM(C57:N57)</f>
        <v>143928434</v>
      </c>
      <c r="P57" s="37">
        <v>1.1299999999999999E-3</v>
      </c>
      <c r="R57" s="42">
        <f>P57*O57</f>
        <v>162639.13042</v>
      </c>
    </row>
    <row r="58" spans="1:18">
      <c r="A58" s="22" t="s">
        <v>66</v>
      </c>
      <c r="B58" s="3" t="s">
        <v>47</v>
      </c>
      <c r="C58" s="34">
        <v>102459</v>
      </c>
      <c r="D58" s="9">
        <v>42286</v>
      </c>
      <c r="E58" s="9">
        <v>64181</v>
      </c>
      <c r="F58" s="9">
        <v>1216993</v>
      </c>
      <c r="G58" s="9">
        <v>2153761</v>
      </c>
      <c r="H58" s="9">
        <v>2795376</v>
      </c>
      <c r="I58" s="9">
        <v>3573149</v>
      </c>
      <c r="J58" s="9">
        <v>4095509</v>
      </c>
      <c r="K58" s="9">
        <v>3017180</v>
      </c>
      <c r="L58" s="9">
        <v>2319141</v>
      </c>
      <c r="M58" s="9">
        <v>828689</v>
      </c>
      <c r="N58" s="9">
        <v>45789</v>
      </c>
      <c r="O58" s="33">
        <f t="shared" si="6"/>
        <v>20254513</v>
      </c>
      <c r="P58" s="37">
        <v>1.1299999999999999E-3</v>
      </c>
      <c r="R58" s="42">
        <f>P58*O58</f>
        <v>22887.599689999999</v>
      </c>
    </row>
    <row r="59" spans="1:18">
      <c r="B59" s="3" t="s">
        <v>30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3">
        <f t="shared" si="6"/>
        <v>0</v>
      </c>
    </row>
    <row r="60" spans="1:18">
      <c r="B60" s="3" t="s">
        <v>31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3">
        <f t="shared" si="6"/>
        <v>0</v>
      </c>
    </row>
    <row r="61" spans="1:18">
      <c r="A61" s="22" t="s">
        <v>13</v>
      </c>
      <c r="B61" s="3" t="s">
        <v>32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3">
        <f t="shared" si="6"/>
        <v>0</v>
      </c>
    </row>
    <row r="62" spans="1:18">
      <c r="A62" s="22" t="s">
        <v>13</v>
      </c>
      <c r="B62" s="3" t="s">
        <v>33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3">
        <f t="shared" si="6"/>
        <v>0</v>
      </c>
    </row>
    <row r="63" spans="1:18">
      <c r="A63" s="22" t="s">
        <v>13</v>
      </c>
      <c r="B63" s="3" t="s">
        <v>34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3">
        <f t="shared" si="6"/>
        <v>0</v>
      </c>
    </row>
    <row r="64" spans="1:18">
      <c r="B64" s="23" t="s">
        <v>106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3">
        <f t="shared" si="6"/>
        <v>0</v>
      </c>
    </row>
    <row r="65" spans="1:18">
      <c r="B65" s="23" t="s">
        <v>107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3">
        <f t="shared" si="6"/>
        <v>0</v>
      </c>
    </row>
    <row r="66" spans="1:18">
      <c r="A66" s="22" t="s">
        <v>13</v>
      </c>
      <c r="B66" s="3" t="s">
        <v>38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3">
        <f t="shared" si="6"/>
        <v>0</v>
      </c>
    </row>
    <row r="67" spans="1:18">
      <c r="A67" s="22" t="s">
        <v>13</v>
      </c>
      <c r="B67" s="3" t="s">
        <v>39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3">
        <f t="shared" si="6"/>
        <v>0</v>
      </c>
    </row>
    <row r="68" spans="1:18">
      <c r="A68" s="22" t="s">
        <v>13</v>
      </c>
      <c r="B68" s="3" t="s">
        <v>48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3">
        <f t="shared" si="6"/>
        <v>0</v>
      </c>
    </row>
    <row r="69" spans="1:18">
      <c r="C69" s="33">
        <f>SUM(C57:C68)</f>
        <v>227189</v>
      </c>
      <c r="D69" s="33">
        <v>197601</v>
      </c>
      <c r="E69" s="33">
        <v>775917</v>
      </c>
      <c r="F69" s="33">
        <v>9268537</v>
      </c>
      <c r="G69" s="33">
        <f>SUM(C69:F69)</f>
        <v>10469244</v>
      </c>
      <c r="H69" s="33">
        <v>13670831</v>
      </c>
      <c r="I69" s="33">
        <v>27350041</v>
      </c>
      <c r="J69" s="33">
        <v>33739633</v>
      </c>
      <c r="K69" s="33">
        <v>28176106</v>
      </c>
      <c r="L69" s="33">
        <v>17440142</v>
      </c>
      <c r="M69" s="33">
        <v>6008504</v>
      </c>
      <c r="N69" s="33">
        <v>295653</v>
      </c>
      <c r="O69" s="33">
        <f>SUM(O57:O68)</f>
        <v>164182947</v>
      </c>
    </row>
    <row r="70" spans="1:18">
      <c r="B70" s="3" t="s">
        <v>49</v>
      </c>
    </row>
    <row r="71" spans="1:18">
      <c r="C71" s="3">
        <v>200707</v>
      </c>
      <c r="D71" s="3">
        <v>200708</v>
      </c>
      <c r="E71" s="3">
        <f>D71+1</f>
        <v>200709</v>
      </c>
      <c r="F71" s="3">
        <f>E71+1</f>
        <v>200710</v>
      </c>
      <c r="G71" s="3">
        <f>F71+1</f>
        <v>200711</v>
      </c>
      <c r="H71" s="3">
        <f>G71+1</f>
        <v>200712</v>
      </c>
      <c r="I71" s="3">
        <v>200801</v>
      </c>
      <c r="J71" s="3">
        <f>I71+1</f>
        <v>200802</v>
      </c>
      <c r="K71" s="3">
        <f>J71+1</f>
        <v>200803</v>
      </c>
      <c r="L71" s="3">
        <f>K71+1</f>
        <v>200804</v>
      </c>
      <c r="M71" s="3">
        <f>L71+1</f>
        <v>200805</v>
      </c>
      <c r="N71" s="3">
        <f>M71+1</f>
        <v>200806</v>
      </c>
      <c r="O71" s="3" t="s">
        <v>41</v>
      </c>
    </row>
    <row r="72" spans="1:18">
      <c r="B72" s="3" t="s">
        <v>50</v>
      </c>
      <c r="C72" s="31">
        <v>0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9">
        <f t="shared" ref="O72:O77" si="7">SUM(C72:N72)</f>
        <v>0</v>
      </c>
    </row>
    <row r="73" spans="1:18">
      <c r="A73" s="22">
        <v>52</v>
      </c>
      <c r="B73" s="3" t="s">
        <v>51</v>
      </c>
      <c r="C73" s="34">
        <v>39116</v>
      </c>
      <c r="D73" s="9">
        <v>39034</v>
      </c>
      <c r="E73" s="9">
        <v>37272</v>
      </c>
      <c r="F73" s="9">
        <v>37252</v>
      </c>
      <c r="G73" s="9">
        <v>37208</v>
      </c>
      <c r="H73" s="9">
        <v>37208</v>
      </c>
      <c r="I73" s="9">
        <v>37678</v>
      </c>
      <c r="J73" s="9">
        <v>37814</v>
      </c>
      <c r="K73" s="9">
        <v>37522</v>
      </c>
      <c r="L73" s="9">
        <v>37522</v>
      </c>
      <c r="M73" s="9">
        <v>37522</v>
      </c>
      <c r="N73" s="9">
        <v>37478</v>
      </c>
      <c r="O73" s="9">
        <f t="shared" si="7"/>
        <v>452626</v>
      </c>
      <c r="P73" s="37">
        <v>1.09E-3</v>
      </c>
      <c r="R73" s="42">
        <f>P73*O73</f>
        <v>493.36234000000002</v>
      </c>
    </row>
    <row r="74" spans="1:18">
      <c r="A74" s="22" t="s">
        <v>67</v>
      </c>
      <c r="B74" s="3" t="s">
        <v>52</v>
      </c>
      <c r="C74" s="34">
        <v>276471</v>
      </c>
      <c r="D74" s="9">
        <v>290547</v>
      </c>
      <c r="E74" s="9">
        <v>288752</v>
      </c>
      <c r="F74" s="9">
        <v>285340</v>
      </c>
      <c r="G74" s="9">
        <v>286822</v>
      </c>
      <c r="H74" s="9">
        <v>286785</v>
      </c>
      <c r="I74" s="9">
        <v>289392</v>
      </c>
      <c r="J74" s="9">
        <v>288158</v>
      </c>
      <c r="K74" s="9">
        <v>278871</v>
      </c>
      <c r="L74" s="9">
        <v>296043</v>
      </c>
      <c r="M74" s="9">
        <v>274250</v>
      </c>
      <c r="N74" s="9">
        <v>291719</v>
      </c>
      <c r="O74" s="9">
        <f t="shared" si="7"/>
        <v>3433150</v>
      </c>
      <c r="P74" s="37">
        <v>1.09E-3</v>
      </c>
      <c r="R74" s="42">
        <f>P74*O74</f>
        <v>3742.1334999999999</v>
      </c>
    </row>
    <row r="75" spans="1:18">
      <c r="A75" s="22" t="s">
        <v>68</v>
      </c>
      <c r="B75" s="3" t="s">
        <v>53</v>
      </c>
      <c r="C75" s="34">
        <v>107921</v>
      </c>
      <c r="D75" s="9">
        <v>113134</v>
      </c>
      <c r="E75" s="9">
        <v>93288</v>
      </c>
      <c r="F75" s="9">
        <v>78692</v>
      </c>
      <c r="G75" s="9">
        <v>73504</v>
      </c>
      <c r="H75" s="9">
        <v>67123</v>
      </c>
      <c r="I75" s="9">
        <v>59224</v>
      </c>
      <c r="J75" s="9">
        <v>66326</v>
      </c>
      <c r="K75" s="9">
        <v>68501</v>
      </c>
      <c r="L75" s="9">
        <v>91363</v>
      </c>
      <c r="M75" s="9">
        <v>83603</v>
      </c>
      <c r="N75" s="9">
        <v>115636</v>
      </c>
      <c r="O75" s="9">
        <f t="shared" si="7"/>
        <v>1018315</v>
      </c>
      <c r="P75" s="37">
        <v>1.09E-3</v>
      </c>
      <c r="R75" s="42">
        <f>P75*O75</f>
        <v>1109.96335</v>
      </c>
    </row>
    <row r="76" spans="1:18">
      <c r="A76" s="22">
        <v>51</v>
      </c>
      <c r="B76" s="3" t="s">
        <v>54</v>
      </c>
      <c r="C76" s="34">
        <v>261534</v>
      </c>
      <c r="D76" s="9">
        <v>236821</v>
      </c>
      <c r="E76" s="9">
        <v>217887</v>
      </c>
      <c r="F76" s="9">
        <v>244442</v>
      </c>
      <c r="G76" s="9">
        <v>270529</v>
      </c>
      <c r="H76" s="9">
        <v>244741</v>
      </c>
      <c r="I76" s="9">
        <v>245152</v>
      </c>
      <c r="J76" s="9">
        <v>248212</v>
      </c>
      <c r="K76" s="9">
        <v>221114</v>
      </c>
      <c r="L76" s="9">
        <v>247975</v>
      </c>
      <c r="M76" s="9">
        <v>246781</v>
      </c>
      <c r="N76" s="9">
        <v>248442</v>
      </c>
      <c r="O76" s="9">
        <f t="shared" si="7"/>
        <v>2933630</v>
      </c>
      <c r="P76" s="37">
        <v>1.09E-3</v>
      </c>
      <c r="R76" s="42">
        <f>P76*O76</f>
        <v>3197.6567</v>
      </c>
    </row>
    <row r="77" spans="1:18">
      <c r="A77" s="22">
        <v>57</v>
      </c>
      <c r="B77" s="3" t="s">
        <v>55</v>
      </c>
      <c r="C77" s="34">
        <v>177159</v>
      </c>
      <c r="D77" s="9">
        <v>174004</v>
      </c>
      <c r="E77" s="9">
        <v>171585</v>
      </c>
      <c r="F77" s="9">
        <v>171220</v>
      </c>
      <c r="G77" s="9">
        <v>172424</v>
      </c>
      <c r="H77" s="9">
        <v>170016</v>
      </c>
      <c r="I77" s="9">
        <v>173034</v>
      </c>
      <c r="J77" s="9">
        <v>170420</v>
      </c>
      <c r="K77" s="9">
        <v>168890</v>
      </c>
      <c r="L77" s="9">
        <v>170578</v>
      </c>
      <c r="M77" s="9">
        <v>169577</v>
      </c>
      <c r="N77" s="9">
        <v>170320</v>
      </c>
      <c r="O77" s="9">
        <f t="shared" si="7"/>
        <v>2059227</v>
      </c>
      <c r="P77" s="37">
        <v>1.09E-3</v>
      </c>
      <c r="R77" s="42">
        <f>P77*O77</f>
        <v>2244.5574300000003</v>
      </c>
    </row>
    <row r="78" spans="1:18">
      <c r="B78" s="3" t="s">
        <v>38</v>
      </c>
      <c r="C78" s="34"/>
      <c r="D78" s="9"/>
      <c r="E78" s="9"/>
      <c r="F78" s="9"/>
      <c r="G78" s="9"/>
      <c r="H78" s="9"/>
      <c r="I78" s="9"/>
      <c r="J78" s="9"/>
      <c r="K78" s="9"/>
      <c r="L78" s="9">
        <v>0</v>
      </c>
      <c r="M78" s="9"/>
      <c r="N78" s="9"/>
      <c r="O78" s="33"/>
      <c r="P78" s="37"/>
      <c r="R78" s="42"/>
    </row>
    <row r="79" spans="1:18">
      <c r="B79" s="3" t="s">
        <v>39</v>
      </c>
      <c r="C79" s="34"/>
      <c r="D79" s="9">
        <v>0</v>
      </c>
      <c r="E79" s="9"/>
      <c r="F79" s="9"/>
      <c r="G79" s="9"/>
      <c r="H79" s="9"/>
      <c r="I79" s="9"/>
      <c r="J79" s="9"/>
      <c r="K79" s="9"/>
      <c r="L79" s="9">
        <v>0</v>
      </c>
      <c r="M79" s="9"/>
      <c r="N79" s="9"/>
      <c r="O79" s="33"/>
      <c r="P79" s="37"/>
      <c r="R79" s="42"/>
    </row>
    <row r="80" spans="1:18">
      <c r="A80" s="22" t="s">
        <v>13</v>
      </c>
      <c r="B80" s="3" t="s">
        <v>40</v>
      </c>
      <c r="C80" s="34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</row>
    <row r="81" spans="1:18">
      <c r="A81" s="22" t="s">
        <v>13</v>
      </c>
      <c r="C81" s="33">
        <f t="shared" ref="C81:O81" si="8">SUM(C72:C80)</f>
        <v>862201</v>
      </c>
      <c r="D81" s="33">
        <f t="shared" si="8"/>
        <v>853540</v>
      </c>
      <c r="E81" s="33">
        <f t="shared" si="8"/>
        <v>808784</v>
      </c>
      <c r="F81" s="33">
        <f t="shared" si="8"/>
        <v>816946</v>
      </c>
      <c r="G81" s="33">
        <f t="shared" si="8"/>
        <v>840487</v>
      </c>
      <c r="H81" s="33">
        <f t="shared" si="8"/>
        <v>805873</v>
      </c>
      <c r="I81" s="33">
        <f t="shared" si="8"/>
        <v>804480</v>
      </c>
      <c r="J81" s="33">
        <f t="shared" si="8"/>
        <v>810930</v>
      </c>
      <c r="K81" s="33">
        <f t="shared" si="8"/>
        <v>774898</v>
      </c>
      <c r="L81" s="33">
        <f t="shared" si="8"/>
        <v>843481</v>
      </c>
      <c r="M81" s="33">
        <f t="shared" si="8"/>
        <v>811733</v>
      </c>
      <c r="N81" s="33">
        <f t="shared" si="8"/>
        <v>863595</v>
      </c>
      <c r="O81" s="33">
        <f t="shared" si="8"/>
        <v>9896948</v>
      </c>
    </row>
    <row r="82" spans="1:18">
      <c r="A82" s="22" t="s">
        <v>13</v>
      </c>
      <c r="B82" s="3" t="s">
        <v>56</v>
      </c>
    </row>
    <row r="83" spans="1:18">
      <c r="A83" s="22" t="s">
        <v>13</v>
      </c>
      <c r="C83" s="3">
        <v>200707</v>
      </c>
      <c r="D83" s="3">
        <v>200708</v>
      </c>
      <c r="E83" s="3">
        <f>D83+1</f>
        <v>200709</v>
      </c>
      <c r="F83" s="3">
        <f>E83+1</f>
        <v>200710</v>
      </c>
      <c r="G83" s="3">
        <f>F83+1</f>
        <v>200711</v>
      </c>
      <c r="H83" s="3">
        <f>G83+1</f>
        <v>200712</v>
      </c>
      <c r="I83" s="3">
        <v>200801</v>
      </c>
      <c r="J83" s="3">
        <f>I83+1</f>
        <v>200802</v>
      </c>
      <c r="K83" s="3">
        <f>J83+1</f>
        <v>200803</v>
      </c>
      <c r="L83" s="3">
        <f>K83+1</f>
        <v>200804</v>
      </c>
      <c r="M83" s="3">
        <f>L83+1</f>
        <v>200805</v>
      </c>
      <c r="N83" s="3">
        <f>M83+1</f>
        <v>200806</v>
      </c>
      <c r="O83" s="3" t="s">
        <v>41</v>
      </c>
    </row>
    <row r="84" spans="1:18">
      <c r="B84" s="43" t="s">
        <v>108</v>
      </c>
      <c r="C84" s="31"/>
      <c r="D84" s="32"/>
      <c r="E84" s="32"/>
      <c r="F84" s="32"/>
      <c r="G84" s="32"/>
      <c r="H84" s="32"/>
      <c r="I84" s="32"/>
      <c r="J84" s="32">
        <v>0</v>
      </c>
      <c r="K84" s="32"/>
      <c r="L84" s="32"/>
      <c r="M84" s="32">
        <v>0</v>
      </c>
      <c r="N84" s="32"/>
      <c r="O84" s="9">
        <f t="shared" ref="O84:O95" si="9">SUM(C84:N84)</f>
        <v>0</v>
      </c>
    </row>
    <row r="85" spans="1:18">
      <c r="A85" s="22" t="s">
        <v>13</v>
      </c>
      <c r="B85" s="3" t="s">
        <v>33</v>
      </c>
      <c r="C85" s="34">
        <v>0</v>
      </c>
      <c r="D85" s="9">
        <v>0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9"/>
        <v>0</v>
      </c>
    </row>
    <row r="86" spans="1:18">
      <c r="A86" s="22" t="s">
        <v>69</v>
      </c>
      <c r="B86" s="3" t="s">
        <v>104</v>
      </c>
      <c r="C86" s="34">
        <v>96033</v>
      </c>
      <c r="D86" s="9">
        <v>102581</v>
      </c>
      <c r="E86" s="9">
        <v>98161</v>
      </c>
      <c r="F86" s="9">
        <v>96801</v>
      </c>
      <c r="G86" s="9">
        <v>101713</v>
      </c>
      <c r="H86" s="9">
        <v>97522</v>
      </c>
      <c r="I86" s="9">
        <v>98076</v>
      </c>
      <c r="J86" s="9">
        <v>97431</v>
      </c>
      <c r="K86" s="9">
        <v>94196</v>
      </c>
      <c r="L86" s="9">
        <v>97685</v>
      </c>
      <c r="M86" s="9">
        <v>96036</v>
      </c>
      <c r="N86" s="9">
        <v>96187</v>
      </c>
      <c r="O86" s="9">
        <f t="shared" si="9"/>
        <v>1172422</v>
      </c>
      <c r="P86" s="37">
        <v>1.09E-3</v>
      </c>
      <c r="R86" s="42">
        <f>P86*O86</f>
        <v>1277.9399800000001</v>
      </c>
    </row>
    <row r="87" spans="1:18">
      <c r="A87" s="22">
        <v>16</v>
      </c>
      <c r="B87" s="3" t="s">
        <v>57</v>
      </c>
      <c r="C87" s="34">
        <v>208728854</v>
      </c>
      <c r="D87" s="9">
        <v>192294557</v>
      </c>
      <c r="E87" s="9">
        <v>139201527</v>
      </c>
      <c r="F87" s="9">
        <v>110523128</v>
      </c>
      <c r="G87" s="9">
        <v>97501475</v>
      </c>
      <c r="H87" s="9">
        <v>94591910</v>
      </c>
      <c r="I87" s="9">
        <v>114063547</v>
      </c>
      <c r="J87" s="9">
        <v>121993355</v>
      </c>
      <c r="K87" s="9">
        <v>102349329</v>
      </c>
      <c r="L87" s="9">
        <v>93719602</v>
      </c>
      <c r="M87" s="9">
        <v>122711460</v>
      </c>
      <c r="N87" s="9">
        <v>181663338</v>
      </c>
      <c r="O87" s="9">
        <f t="shared" si="9"/>
        <v>1579342082</v>
      </c>
      <c r="P87" s="37">
        <v>1.2199999999999999E-3</v>
      </c>
      <c r="R87" s="42">
        <f>P87*O87</f>
        <v>1926797.3400399999</v>
      </c>
    </row>
    <row r="88" spans="1:18">
      <c r="A88" s="22">
        <v>17</v>
      </c>
      <c r="B88" s="3" t="s">
        <v>58</v>
      </c>
      <c r="C88" s="34">
        <v>6943483</v>
      </c>
      <c r="D88" s="9">
        <v>6819158</v>
      </c>
      <c r="E88" s="9">
        <v>5017558</v>
      </c>
      <c r="F88" s="9">
        <v>3565575</v>
      </c>
      <c r="G88" s="9">
        <v>2801635</v>
      </c>
      <c r="H88" s="9">
        <v>2210918</v>
      </c>
      <c r="I88" s="9">
        <v>2418611</v>
      </c>
      <c r="J88" s="9">
        <v>2445134</v>
      </c>
      <c r="K88" s="9">
        <v>1554422</v>
      </c>
      <c r="L88" s="9">
        <v>1767989</v>
      </c>
      <c r="M88" s="9">
        <v>3674873</v>
      </c>
      <c r="N88" s="9">
        <v>6622568</v>
      </c>
      <c r="O88" s="9">
        <f t="shared" si="9"/>
        <v>45841924</v>
      </c>
      <c r="P88" s="37">
        <v>1.2199999999999999E-3</v>
      </c>
      <c r="R88" s="42">
        <f>P88*O88</f>
        <v>55927.147279999997</v>
      </c>
    </row>
    <row r="89" spans="1:18">
      <c r="A89" s="22">
        <v>18</v>
      </c>
      <c r="B89" s="3" t="s">
        <v>59</v>
      </c>
      <c r="C89" s="34">
        <v>277527</v>
      </c>
      <c r="D89" s="9">
        <v>282459</v>
      </c>
      <c r="E89" s="9">
        <v>220886</v>
      </c>
      <c r="F89" s="9">
        <v>205763</v>
      </c>
      <c r="G89" s="9">
        <v>191937</v>
      </c>
      <c r="H89" s="9">
        <v>205945</v>
      </c>
      <c r="I89" s="9">
        <v>247950</v>
      </c>
      <c r="J89" s="9">
        <v>250179</v>
      </c>
      <c r="K89" s="9">
        <v>213978</v>
      </c>
      <c r="L89" s="9">
        <v>188874</v>
      </c>
      <c r="M89" s="9">
        <v>201556</v>
      </c>
      <c r="N89" s="9">
        <v>257499</v>
      </c>
      <c r="O89" s="9">
        <f t="shared" si="9"/>
        <v>2744553</v>
      </c>
      <c r="P89" s="37">
        <v>1.2199999999999999E-3</v>
      </c>
      <c r="R89" s="42">
        <f>P89*O89</f>
        <v>3348.35466</v>
      </c>
    </row>
    <row r="90" spans="1:18">
      <c r="A90" s="22" t="s">
        <v>70</v>
      </c>
      <c r="B90" s="3" t="s">
        <v>60</v>
      </c>
      <c r="C90" s="34">
        <v>79539</v>
      </c>
      <c r="D90" s="9">
        <v>71861</v>
      </c>
      <c r="E90" s="9">
        <v>65956</v>
      </c>
      <c r="F90" s="9">
        <v>53835</v>
      </c>
      <c r="G90" s="9">
        <v>58265</v>
      </c>
      <c r="H90" s="9">
        <v>42371</v>
      </c>
      <c r="I90" s="9">
        <v>68542</v>
      </c>
      <c r="J90" s="9">
        <v>68348</v>
      </c>
      <c r="K90" s="9">
        <v>54179</v>
      </c>
      <c r="L90" s="9">
        <v>40639</v>
      </c>
      <c r="M90" s="9">
        <v>47570</v>
      </c>
      <c r="N90" s="9">
        <v>58886</v>
      </c>
      <c r="O90" s="9">
        <f t="shared" si="9"/>
        <v>709991</v>
      </c>
      <c r="P90" s="37">
        <v>1.2199999999999999E-3</v>
      </c>
      <c r="R90" s="42">
        <f>P90*O90</f>
        <v>866.18901999999991</v>
      </c>
    </row>
    <row r="91" spans="1:18">
      <c r="B91" s="3" t="s">
        <v>38</v>
      </c>
      <c r="C91" s="34">
        <v>0</v>
      </c>
      <c r="D91" s="9">
        <v>0</v>
      </c>
      <c r="E91" s="9">
        <v>0</v>
      </c>
      <c r="F91" s="9"/>
      <c r="G91" s="9"/>
      <c r="H91" s="9"/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9"/>
        <v>0</v>
      </c>
    </row>
    <row r="92" spans="1:18">
      <c r="B92" s="3" t="s">
        <v>39</v>
      </c>
      <c r="C92" s="34"/>
      <c r="D92" s="9"/>
      <c r="E92" s="9">
        <v>0</v>
      </c>
      <c r="F92" s="9">
        <v>0</v>
      </c>
      <c r="G92" s="9"/>
      <c r="H92" s="9"/>
      <c r="I92" s="9"/>
      <c r="J92" s="9"/>
      <c r="K92" s="9">
        <v>0</v>
      </c>
      <c r="L92" s="9">
        <v>0</v>
      </c>
      <c r="M92" s="9"/>
      <c r="N92" s="9"/>
      <c r="O92" s="9">
        <f t="shared" si="9"/>
        <v>0</v>
      </c>
    </row>
    <row r="93" spans="1:18">
      <c r="B93" s="3" t="s">
        <v>96</v>
      </c>
      <c r="C93" s="34">
        <v>0</v>
      </c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>
        <f t="shared" si="9"/>
        <v>0</v>
      </c>
    </row>
    <row r="94" spans="1:18">
      <c r="B94" s="3" t="s">
        <v>99</v>
      </c>
      <c r="C94" s="34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/>
      <c r="J94" s="9"/>
      <c r="K94" s="9"/>
      <c r="L94" s="9"/>
      <c r="M94" s="9"/>
      <c r="N94" s="9"/>
      <c r="O94" s="9">
        <f t="shared" si="9"/>
        <v>0</v>
      </c>
    </row>
    <row r="95" spans="1:18">
      <c r="B95" s="3" t="s">
        <v>100</v>
      </c>
      <c r="C95" s="34">
        <v>0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/>
      <c r="J95" s="9"/>
      <c r="K95" s="9"/>
      <c r="L95" s="9"/>
      <c r="M95" s="9"/>
      <c r="N95" s="9"/>
      <c r="O95" s="9">
        <f t="shared" si="9"/>
        <v>0</v>
      </c>
    </row>
    <row r="96" spans="1:18">
      <c r="B96" s="3" t="s">
        <v>40</v>
      </c>
    </row>
    <row r="97" spans="3:18">
      <c r="C97" s="33">
        <f t="shared" ref="C97:O97" si="10">SUM(C84:C95)</f>
        <v>216125436</v>
      </c>
      <c r="D97" s="33">
        <f t="shared" si="10"/>
        <v>199570616</v>
      </c>
      <c r="E97" s="33">
        <f t="shared" si="10"/>
        <v>144604088</v>
      </c>
      <c r="F97" s="33">
        <f t="shared" si="10"/>
        <v>114445102</v>
      </c>
      <c r="G97" s="33">
        <f t="shared" si="10"/>
        <v>100655025</v>
      </c>
      <c r="H97" s="33">
        <f t="shared" si="10"/>
        <v>97148666</v>
      </c>
      <c r="I97" s="33">
        <f t="shared" si="10"/>
        <v>116896726</v>
      </c>
      <c r="J97" s="33">
        <f t="shared" si="10"/>
        <v>124854447</v>
      </c>
      <c r="K97" s="33">
        <f t="shared" si="10"/>
        <v>104266104</v>
      </c>
      <c r="L97" s="33">
        <f t="shared" si="10"/>
        <v>95814789</v>
      </c>
      <c r="M97" s="33">
        <f t="shared" si="10"/>
        <v>126731495</v>
      </c>
      <c r="N97" s="33">
        <f t="shared" si="10"/>
        <v>188698478</v>
      </c>
      <c r="O97" s="33">
        <f t="shared" si="10"/>
        <v>1629810972</v>
      </c>
      <c r="R97" s="42">
        <f>SUM(R8:R96)</f>
        <v>4474033.4386200001</v>
      </c>
    </row>
    <row r="99" spans="3:18">
      <c r="O99" s="33">
        <f>O97+O81+O69+O54+O33</f>
        <v>4093241027</v>
      </c>
    </row>
  </sheetData>
  <phoneticPr fontId="25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transitionEvaluation="1" transitionEntry="1" codeName="Sheet20"/>
  <dimension ref="A1:AE1051"/>
  <sheetViews>
    <sheetView workbookViewId="0"/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customWidth="1"/>
    <col min="4" max="4" width="16.625" style="3" hidden="1" customWidth="1"/>
    <col min="5" max="5" width="14.875" style="3" customWidth="1"/>
    <col min="6" max="6" width="2.125" style="3" bestFit="1" customWidth="1"/>
    <col min="7" max="7" width="16.875" style="3" customWidth="1"/>
    <col min="8" max="8" width="16.875" style="3" hidden="1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3" width="16.375" style="3" hidden="1" customWidth="1"/>
    <col min="14" max="14" width="16.5" style="3" customWidth="1"/>
    <col min="15" max="15" width="17.75" style="33" bestFit="1" customWidth="1"/>
    <col min="16" max="16" width="12.75" style="33" customWidth="1"/>
    <col min="17" max="17" width="13" style="3" customWidth="1"/>
    <col min="18" max="20" width="14.75" style="3" customWidth="1"/>
    <col min="21" max="22" width="18" style="3" customWidth="1"/>
    <col min="23" max="23" width="10.25" style="3" customWidth="1"/>
    <col min="24" max="24" width="12.125" style="3" customWidth="1"/>
    <col min="25" max="16384" width="10.25" style="3"/>
  </cols>
  <sheetData>
    <row r="1" spans="1:31" ht="18">
      <c r="A1" s="109" t="s">
        <v>13</v>
      </c>
      <c r="B1" s="110"/>
      <c r="C1" s="110"/>
      <c r="D1" s="110"/>
      <c r="E1" s="111"/>
      <c r="F1" s="111"/>
      <c r="G1" s="110"/>
      <c r="H1" s="110"/>
      <c r="I1" s="111"/>
      <c r="J1" s="110"/>
      <c r="K1" s="110"/>
      <c r="M1" s="11"/>
      <c r="N1" s="11"/>
      <c r="O1" s="38"/>
      <c r="P1" s="38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1" ht="18">
      <c r="A2" s="870" t="s">
        <v>377</v>
      </c>
      <c r="B2" s="870"/>
      <c r="C2" s="870"/>
      <c r="D2" s="870"/>
      <c r="E2" s="870"/>
      <c r="F2" s="870"/>
      <c r="G2" s="870"/>
      <c r="H2" s="110"/>
      <c r="I2" s="111"/>
      <c r="J2" s="110"/>
      <c r="K2" s="110"/>
      <c r="M2" s="11"/>
      <c r="N2" s="11"/>
      <c r="O2" s="38"/>
      <c r="P2" s="38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1" ht="18">
      <c r="A3" s="870" t="s">
        <v>150</v>
      </c>
      <c r="B3" s="870"/>
      <c r="C3" s="870"/>
      <c r="D3" s="870"/>
      <c r="E3" s="870"/>
      <c r="F3" s="870"/>
      <c r="G3" s="870"/>
      <c r="H3" s="110"/>
      <c r="I3" s="111"/>
      <c r="J3" s="110"/>
      <c r="K3" s="110"/>
      <c r="M3" s="11"/>
      <c r="N3" s="11"/>
      <c r="O3" s="38"/>
      <c r="P3" s="3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31">
      <c r="A4" s="872" t="s">
        <v>410</v>
      </c>
      <c r="B4" s="872"/>
      <c r="C4" s="872"/>
      <c r="D4" s="872"/>
      <c r="E4" s="872"/>
      <c r="F4" s="872"/>
      <c r="G4" s="872"/>
      <c r="H4" s="113"/>
      <c r="I4" s="114"/>
      <c r="J4" s="113"/>
      <c r="K4" s="113"/>
      <c r="M4" s="11"/>
      <c r="N4" s="11"/>
      <c r="O4" s="38"/>
      <c r="P4" s="3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</row>
    <row r="5" spans="1:31">
      <c r="A5" s="873" t="s">
        <v>151</v>
      </c>
      <c r="B5" s="873"/>
      <c r="C5" s="873"/>
      <c r="D5" s="873"/>
      <c r="E5" s="873"/>
      <c r="F5" s="873"/>
      <c r="G5" s="873"/>
      <c r="H5" s="113"/>
      <c r="I5" s="114"/>
      <c r="J5" s="113"/>
      <c r="K5" s="113"/>
      <c r="M5" s="11"/>
      <c r="N5" s="11"/>
      <c r="O5" s="38"/>
      <c r="P5" s="38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31">
      <c r="A6" s="115"/>
      <c r="B6" s="113"/>
      <c r="C6" s="113"/>
      <c r="D6" s="113"/>
      <c r="E6" s="114"/>
      <c r="F6" s="114"/>
      <c r="G6" s="113"/>
      <c r="H6" s="113"/>
      <c r="I6" s="114"/>
      <c r="J6" s="113"/>
      <c r="K6" s="113"/>
      <c r="M6" s="11"/>
      <c r="N6" s="11"/>
      <c r="O6" s="38"/>
      <c r="P6" s="38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31">
      <c r="A7" s="115"/>
      <c r="B7" s="113"/>
      <c r="C7" s="113"/>
      <c r="D7" s="113"/>
      <c r="E7" s="114"/>
      <c r="F7" s="114"/>
      <c r="G7" s="113"/>
      <c r="H7" s="113"/>
      <c r="I7" s="114"/>
      <c r="J7" s="113"/>
      <c r="K7" s="113"/>
      <c r="M7" s="11"/>
      <c r="N7" s="11"/>
      <c r="O7" s="38"/>
      <c r="P7" s="38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</row>
    <row r="8" spans="1:31">
      <c r="A8" s="113"/>
      <c r="B8" s="113"/>
      <c r="C8" s="113"/>
      <c r="D8" s="113"/>
      <c r="E8" s="114"/>
      <c r="F8" s="114"/>
      <c r="G8" s="113"/>
      <c r="H8" s="113"/>
      <c r="I8" s="114"/>
      <c r="J8" s="113"/>
      <c r="K8" s="113"/>
      <c r="M8" s="11"/>
      <c r="N8" s="11"/>
      <c r="O8" s="38"/>
      <c r="P8" s="38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</row>
    <row r="9" spans="1:31">
      <c r="A9" s="116"/>
      <c r="B9" s="116"/>
      <c r="C9" s="117"/>
      <c r="D9" s="117"/>
      <c r="E9" s="118"/>
      <c r="F9" s="118"/>
      <c r="G9" s="119" t="s">
        <v>85</v>
      </c>
      <c r="H9" s="120"/>
      <c r="I9" s="118"/>
      <c r="J9" s="119"/>
      <c r="K9" s="119"/>
      <c r="M9" s="11"/>
      <c r="N9" s="11"/>
      <c r="O9" s="38"/>
      <c r="P9" s="38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</row>
    <row r="10" spans="1:31">
      <c r="A10" s="116"/>
      <c r="B10" s="116"/>
      <c r="C10" s="117" t="s">
        <v>152</v>
      </c>
      <c r="D10" s="117"/>
      <c r="E10" s="119" t="s">
        <v>175</v>
      </c>
      <c r="F10" s="118"/>
      <c r="G10" s="121" t="s">
        <v>153</v>
      </c>
      <c r="H10" s="120" t="s">
        <v>113</v>
      </c>
      <c r="I10" s="119" t="s">
        <v>120</v>
      </c>
      <c r="J10" s="117"/>
      <c r="K10" s="119" t="s">
        <v>120</v>
      </c>
      <c r="M10" s="11"/>
      <c r="N10" s="11"/>
      <c r="O10" s="38"/>
      <c r="P10" s="38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31">
      <c r="A11" s="116"/>
      <c r="B11" s="116"/>
      <c r="C11" s="122" t="s">
        <v>119</v>
      </c>
      <c r="D11" s="117" t="s">
        <v>152</v>
      </c>
      <c r="E11" s="123" t="s">
        <v>4</v>
      </c>
      <c r="F11" s="124"/>
      <c r="G11" s="123" t="s">
        <v>119</v>
      </c>
      <c r="H11" s="119" t="s">
        <v>153</v>
      </c>
      <c r="I11" s="123" t="s">
        <v>4</v>
      </c>
      <c r="J11" s="123"/>
      <c r="K11" s="123" t="s">
        <v>153</v>
      </c>
      <c r="M11" s="121"/>
      <c r="N11" s="11"/>
      <c r="O11" s="38"/>
      <c r="P11" s="38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</row>
    <row r="12" spans="1:31">
      <c r="A12" s="125" t="s">
        <v>155</v>
      </c>
      <c r="G12" s="126"/>
      <c r="H12" s="126"/>
      <c r="M12" s="11"/>
      <c r="N12" s="11"/>
      <c r="O12" s="38"/>
      <c r="P12" s="38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31">
      <c r="A13" s="3" t="s">
        <v>156</v>
      </c>
      <c r="G13" s="126"/>
      <c r="H13" s="126"/>
      <c r="M13" s="11"/>
      <c r="N13" s="11"/>
      <c r="O13" s="38"/>
      <c r="P13" s="38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</row>
    <row r="14" spans="1:31">
      <c r="G14" s="126"/>
      <c r="H14" s="126"/>
      <c r="M14" s="11"/>
      <c r="N14" s="11"/>
      <c r="O14" s="38"/>
      <c r="P14" s="38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1">
      <c r="A15" s="3" t="s">
        <v>157</v>
      </c>
      <c r="G15" s="126"/>
      <c r="H15" s="126"/>
      <c r="M15" s="11"/>
      <c r="N15" s="11"/>
      <c r="O15" s="38"/>
      <c r="P15" s="38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1">
      <c r="A16" s="3" t="s">
        <v>158</v>
      </c>
      <c r="C16" s="127">
        <f t="shared" ref="C16:D18" si="0">C33+C50+C67</f>
        <v>29903</v>
      </c>
      <c r="D16" s="127">
        <f t="shared" si="0"/>
        <v>31243</v>
      </c>
      <c r="E16" s="128">
        <v>9.6</v>
      </c>
      <c r="G16" s="2">
        <f t="shared" ref="G16:H18" si="1">G33+G50+G67</f>
        <v>287069</v>
      </c>
      <c r="H16" s="2">
        <f t="shared" si="1"/>
        <v>299933</v>
      </c>
      <c r="I16" s="128" t="e">
        <f>E16+E16*$P$27</f>
        <v>#REF!</v>
      </c>
      <c r="K16" s="2" t="e">
        <f>K33+K50+K67</f>
        <v>#REF!</v>
      </c>
      <c r="M16" s="42" t="e">
        <f>I16*D16</f>
        <v>#REF!</v>
      </c>
      <c r="O16" s="48"/>
      <c r="P16" s="129"/>
      <c r="Q16" s="129"/>
      <c r="R16" s="13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E16" s="42"/>
    </row>
    <row r="17" spans="1:31">
      <c r="A17" s="3" t="s">
        <v>159</v>
      </c>
      <c r="C17" s="127">
        <f t="shared" si="0"/>
        <v>4807</v>
      </c>
      <c r="D17" s="127">
        <f t="shared" si="0"/>
        <v>5092</v>
      </c>
      <c r="E17" s="128">
        <v>18.28</v>
      </c>
      <c r="G17" s="2">
        <f t="shared" si="1"/>
        <v>87872</v>
      </c>
      <c r="H17" s="2">
        <f t="shared" si="1"/>
        <v>93082</v>
      </c>
      <c r="I17" s="128" t="e">
        <f>E17+E17*$P$27</f>
        <v>#REF!</v>
      </c>
      <c r="K17" s="2" t="e">
        <f>K34+K51+K68</f>
        <v>#REF!</v>
      </c>
      <c r="M17" s="42" t="e">
        <f>I17*D17</f>
        <v>#REF!</v>
      </c>
      <c r="O17" s="48"/>
      <c r="P17" s="129"/>
      <c r="Q17" s="129"/>
      <c r="R17" s="13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E17" s="42"/>
    </row>
    <row r="18" spans="1:31">
      <c r="A18" s="3" t="s">
        <v>160</v>
      </c>
      <c r="C18" s="127">
        <f t="shared" si="0"/>
        <v>659</v>
      </c>
      <c r="D18" s="127">
        <f t="shared" si="0"/>
        <v>700</v>
      </c>
      <c r="E18" s="128">
        <v>37.82</v>
      </c>
      <c r="G18" s="2">
        <f t="shared" si="1"/>
        <v>24923</v>
      </c>
      <c r="H18" s="2">
        <f t="shared" si="1"/>
        <v>26474</v>
      </c>
      <c r="I18" s="128" t="e">
        <f>E18+E18*$P$27</f>
        <v>#REF!</v>
      </c>
      <c r="K18" s="2" t="e">
        <f>K35+K52+K69</f>
        <v>#REF!</v>
      </c>
      <c r="M18" s="42" t="e">
        <f>I18*D18</f>
        <v>#REF!</v>
      </c>
      <c r="O18" s="48"/>
      <c r="P18" s="129"/>
      <c r="Q18" s="129"/>
      <c r="R18" s="13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E18" s="42"/>
    </row>
    <row r="19" spans="1:31">
      <c r="A19" s="3" t="s">
        <v>161</v>
      </c>
      <c r="C19" s="127"/>
      <c r="D19" s="127"/>
      <c r="E19" s="128"/>
      <c r="G19" s="2"/>
      <c r="H19" s="2"/>
      <c r="I19" s="479"/>
      <c r="K19" s="2"/>
      <c r="M19" s="42"/>
      <c r="O19" s="3"/>
      <c r="P19" s="129"/>
      <c r="Q19" s="129"/>
      <c r="R19" s="13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42"/>
    </row>
    <row r="20" spans="1:31">
      <c r="A20" s="3" t="s">
        <v>162</v>
      </c>
      <c r="C20" s="127">
        <f t="shared" ref="C20:D25" si="2">C37+C54+C71</f>
        <v>2083</v>
      </c>
      <c r="D20" s="127">
        <f t="shared" si="2"/>
        <v>2178</v>
      </c>
      <c r="E20" s="128">
        <v>10.92</v>
      </c>
      <c r="G20" s="2">
        <f t="shared" ref="G20:H23" si="3">G37+G54+G71</f>
        <v>22746</v>
      </c>
      <c r="H20" s="2">
        <f t="shared" si="3"/>
        <v>23783</v>
      </c>
      <c r="I20" s="128" t="e">
        <f>E20+E20*$P$27</f>
        <v>#REF!</v>
      </c>
      <c r="K20" s="2" t="e">
        <f>K37+K54+K71</f>
        <v>#REF!</v>
      </c>
      <c r="M20" s="42" t="e">
        <f>I20*D20</f>
        <v>#REF!</v>
      </c>
      <c r="O20" s="48"/>
      <c r="P20" s="129"/>
      <c r="Q20" s="129"/>
      <c r="R20" s="13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E20" s="42"/>
    </row>
    <row r="21" spans="1:31">
      <c r="A21" s="3" t="s">
        <v>163</v>
      </c>
      <c r="C21" s="127">
        <f t="shared" si="2"/>
        <v>1818</v>
      </c>
      <c r="D21" s="127">
        <f t="shared" si="2"/>
        <v>1921</v>
      </c>
      <c r="E21" s="128">
        <v>16.04</v>
      </c>
      <c r="G21" s="2">
        <f t="shared" si="3"/>
        <v>29160</v>
      </c>
      <c r="H21" s="2">
        <f t="shared" si="3"/>
        <v>30813</v>
      </c>
      <c r="I21" s="128" t="e">
        <f>E21+E21*$P$27</f>
        <v>#REF!</v>
      </c>
      <c r="K21" s="2" t="e">
        <f>K38+K55+K72</f>
        <v>#REF!</v>
      </c>
      <c r="M21" s="42" t="e">
        <f>I21*D21</f>
        <v>#REF!</v>
      </c>
      <c r="O21" s="48"/>
      <c r="P21" s="129"/>
      <c r="Q21" s="129"/>
      <c r="R21" s="13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E21" s="42"/>
    </row>
    <row r="22" spans="1:31">
      <c r="A22" s="3" t="s">
        <v>164</v>
      </c>
      <c r="C22" s="127">
        <f t="shared" si="2"/>
        <v>480</v>
      </c>
      <c r="D22" s="127">
        <f t="shared" si="2"/>
        <v>509</v>
      </c>
      <c r="E22" s="128">
        <v>25.88</v>
      </c>
      <c r="G22" s="2">
        <f t="shared" si="3"/>
        <v>12423</v>
      </c>
      <c r="H22" s="2">
        <f t="shared" si="3"/>
        <v>13173</v>
      </c>
      <c r="I22" s="128" t="e">
        <f>E22+E22*$P$27</f>
        <v>#REF!</v>
      </c>
      <c r="K22" s="2" t="e">
        <f>K39+K56+K73</f>
        <v>#REF!</v>
      </c>
      <c r="M22" s="42" t="e">
        <f>I22*D22</f>
        <v>#REF!</v>
      </c>
      <c r="O22" s="48"/>
      <c r="P22" s="129"/>
      <c r="Q22" s="129"/>
      <c r="R22" s="13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E22" s="42"/>
    </row>
    <row r="23" spans="1:31">
      <c r="A23" s="3" t="s">
        <v>165</v>
      </c>
      <c r="C23" s="127">
        <f t="shared" si="2"/>
        <v>623</v>
      </c>
      <c r="D23" s="127">
        <f t="shared" si="2"/>
        <v>658</v>
      </c>
      <c r="E23" s="132">
        <v>1</v>
      </c>
      <c r="F23" s="11"/>
      <c r="G23" s="2">
        <f t="shared" si="3"/>
        <v>623</v>
      </c>
      <c r="H23" s="2">
        <f t="shared" si="3"/>
        <v>658</v>
      </c>
      <c r="I23" s="128">
        <f>'Blocking - detail'!I23</f>
        <v>1</v>
      </c>
      <c r="J23" s="11"/>
      <c r="K23" s="2">
        <f>K40+K57+K74</f>
        <v>623</v>
      </c>
      <c r="M23" s="42">
        <f>I23*D23</f>
        <v>658</v>
      </c>
      <c r="O23" s="48"/>
      <c r="P23" s="3"/>
      <c r="Q23" s="129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E23" s="42"/>
    </row>
    <row r="24" spans="1:31">
      <c r="A24" s="3" t="s">
        <v>166</v>
      </c>
      <c r="C24" s="127">
        <f t="shared" si="2"/>
        <v>33244</v>
      </c>
      <c r="D24" s="127">
        <f t="shared" si="2"/>
        <v>2797.0833333333335</v>
      </c>
      <c r="E24" s="128"/>
      <c r="G24" s="2"/>
      <c r="H24" s="2"/>
      <c r="I24" s="128"/>
      <c r="K24" s="2"/>
      <c r="M24" s="42"/>
      <c r="O24" s="42"/>
      <c r="P24" s="3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E24" s="42"/>
    </row>
    <row r="25" spans="1:31">
      <c r="A25" s="3" t="s">
        <v>15</v>
      </c>
      <c r="C25" s="127">
        <f t="shared" si="2"/>
        <v>3613896</v>
      </c>
      <c r="D25" s="127">
        <f t="shared" si="2"/>
        <v>3794904.7279999279</v>
      </c>
      <c r="E25" s="132"/>
      <c r="F25" s="11"/>
      <c r="G25" s="2">
        <f>G42+G59+G76</f>
        <v>464816</v>
      </c>
      <c r="H25" s="2">
        <f>H42+H59+H76</f>
        <v>487916</v>
      </c>
      <c r="I25" s="132"/>
      <c r="J25" s="11"/>
      <c r="K25" s="133" t="e">
        <f>K42+K59+K76</f>
        <v>#REF!</v>
      </c>
      <c r="M25" s="42" t="e">
        <f>SUM(M16:M24)</f>
        <v>#REF!</v>
      </c>
      <c r="O25" s="134"/>
      <c r="P25" s="3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E25" s="42"/>
    </row>
    <row r="26" spans="1:31">
      <c r="A26" s="3" t="s">
        <v>167</v>
      </c>
      <c r="C26" s="127" t="e">
        <f>C43+C60+C77</f>
        <v>#REF!</v>
      </c>
      <c r="D26" s="127">
        <v>0</v>
      </c>
      <c r="E26" s="132"/>
      <c r="F26" s="11"/>
      <c r="G26" s="135" t="e">
        <f>G43+G60+G77</f>
        <v>#REF!</v>
      </c>
      <c r="H26" s="135">
        <v>0</v>
      </c>
      <c r="I26" s="132"/>
      <c r="J26" s="11"/>
      <c r="K26" s="135" t="e">
        <f>G26</f>
        <v>#REF!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E26" s="42"/>
    </row>
    <row r="27" spans="1:31" ht="16.5" thickBot="1">
      <c r="A27" s="3" t="s">
        <v>1</v>
      </c>
      <c r="C27" s="136" t="e">
        <f>C25+C26</f>
        <v>#REF!</v>
      </c>
      <c r="D27" s="136">
        <f>D25+D26</f>
        <v>3794904.7279999279</v>
      </c>
      <c r="E27" s="137"/>
      <c r="F27" s="137"/>
      <c r="G27" s="137" t="e">
        <f>G25+G26</f>
        <v>#REF!</v>
      </c>
      <c r="H27" s="137">
        <f>H25+H26</f>
        <v>487916</v>
      </c>
      <c r="I27" s="137"/>
      <c r="J27" s="137"/>
      <c r="K27" s="137" t="e">
        <f>K25+K26</f>
        <v>#REF!</v>
      </c>
      <c r="N27" s="3" t="s">
        <v>168</v>
      </c>
      <c r="O27" s="33" t="e">
        <f>#REF!*1000</f>
        <v>#REF!</v>
      </c>
      <c r="P27" s="8" t="e">
        <f>(O27-G27)/G27</f>
        <v>#REF!</v>
      </c>
      <c r="Q27" s="8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E27" s="42"/>
    </row>
    <row r="28" spans="1:31" ht="16.5" thickTop="1">
      <c r="C28" s="138"/>
      <c r="D28" s="138"/>
      <c r="E28" s="138"/>
      <c r="F28" s="138"/>
      <c r="G28" s="126"/>
      <c r="H28" s="126"/>
      <c r="I28" s="1" t="s">
        <v>13</v>
      </c>
      <c r="J28" s="138"/>
      <c r="K28" s="2" t="s">
        <v>13</v>
      </c>
      <c r="N28" s="3" t="s">
        <v>114</v>
      </c>
      <c r="O28" s="33" t="e">
        <f>O27-K27</f>
        <v>#REF!</v>
      </c>
      <c r="P28" s="8" t="e">
        <f>(O27-K27)/K27</f>
        <v>#REF!</v>
      </c>
      <c r="Q28" s="8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E28" s="42"/>
    </row>
    <row r="29" spans="1:31">
      <c r="A29" s="125" t="s">
        <v>155</v>
      </c>
      <c r="G29" s="126"/>
      <c r="H29" s="126"/>
      <c r="O29" s="139" t="s">
        <v>13</v>
      </c>
      <c r="P29" s="3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E29" s="42"/>
    </row>
    <row r="30" spans="1:31">
      <c r="A30" s="3" t="s">
        <v>169</v>
      </c>
      <c r="G30" s="126"/>
      <c r="H30" s="126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1"/>
      <c r="Z30" s="11"/>
      <c r="AA30" s="11"/>
      <c r="AB30" s="11"/>
      <c r="AC30" s="11"/>
      <c r="AE30" s="42"/>
    </row>
    <row r="31" spans="1:31">
      <c r="E31" s="127"/>
      <c r="G31" s="126"/>
      <c r="H31" s="12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1"/>
      <c r="Z31" s="11"/>
      <c r="AA31" s="11"/>
      <c r="AB31" s="11"/>
      <c r="AC31" s="11"/>
      <c r="AE31" s="42"/>
    </row>
    <row r="32" spans="1:31">
      <c r="A32" s="3" t="s">
        <v>157</v>
      </c>
      <c r="G32" s="126"/>
      <c r="H32" s="126"/>
      <c r="M32" s="141"/>
      <c r="N32" s="141"/>
      <c r="O32" s="141"/>
      <c r="P32" s="38"/>
      <c r="Q32" s="142"/>
      <c r="R32" s="143"/>
      <c r="S32" s="144"/>
      <c r="T32" s="145"/>
      <c r="U32" s="141"/>
      <c r="V32" s="141"/>
      <c r="W32" s="141"/>
      <c r="X32" s="141"/>
      <c r="Y32" s="11"/>
      <c r="Z32" s="11"/>
      <c r="AA32" s="11"/>
      <c r="AB32" s="11"/>
      <c r="AC32" s="11"/>
      <c r="AE32" s="42"/>
    </row>
    <row r="33" spans="1:31">
      <c r="A33" s="3" t="s">
        <v>158</v>
      </c>
      <c r="C33" s="127">
        <f>13866+112</f>
        <v>13978</v>
      </c>
      <c r="D33" s="127">
        <f>ROUND(C33*($D$42/$C$42),0)</f>
        <v>14355</v>
      </c>
      <c r="E33" s="128">
        <f>$E$16</f>
        <v>9.6</v>
      </c>
      <c r="G33" s="2">
        <f>ROUND(E33*$C33,0)</f>
        <v>134189</v>
      </c>
      <c r="H33" s="2">
        <f>ROUND(E33*$D33,0)</f>
        <v>137808</v>
      </c>
      <c r="I33" s="128" t="e">
        <f>$I$16</f>
        <v>#REF!</v>
      </c>
      <c r="K33" s="2" t="e">
        <f>ROUND(I33*$C33,0)</f>
        <v>#REF!</v>
      </c>
      <c r="M33" s="11"/>
      <c r="N33" s="11"/>
      <c r="O33" s="144"/>
      <c r="P33" s="38"/>
      <c r="Q33" s="141"/>
      <c r="R33" s="146"/>
      <c r="S33" s="147"/>
      <c r="T33" s="141"/>
      <c r="U33" s="144"/>
      <c r="V33" s="144"/>
      <c r="W33" s="148"/>
      <c r="X33" s="144"/>
      <c r="Y33" s="11"/>
      <c r="Z33" s="11"/>
      <c r="AA33" s="11"/>
      <c r="AB33" s="11"/>
      <c r="AC33" s="11"/>
      <c r="AE33" s="42"/>
    </row>
    <row r="34" spans="1:31">
      <c r="A34" s="3" t="s">
        <v>159</v>
      </c>
      <c r="C34" s="127">
        <f>264+13</f>
        <v>277</v>
      </c>
      <c r="D34" s="127">
        <f>ROUND(C34*($D$42/$C$42),0)</f>
        <v>284</v>
      </c>
      <c r="E34" s="128">
        <f>$E$17</f>
        <v>18.28</v>
      </c>
      <c r="G34" s="2">
        <f>ROUND(E34*$C34,0)</f>
        <v>5064</v>
      </c>
      <c r="H34" s="2">
        <f>ROUND(E34*$D34,0)</f>
        <v>5192</v>
      </c>
      <c r="I34" s="128" t="e">
        <f>$I$17</f>
        <v>#REF!</v>
      </c>
      <c r="K34" s="2" t="e">
        <f>ROUND(I34*$C34,0)</f>
        <v>#REF!</v>
      </c>
      <c r="M34" s="11"/>
      <c r="N34" s="11"/>
      <c r="O34" s="144"/>
      <c r="P34" s="38"/>
      <c r="Q34" s="11"/>
      <c r="R34" s="150"/>
      <c r="S34" s="141"/>
      <c r="T34" s="141"/>
      <c r="U34" s="144"/>
      <c r="V34" s="144"/>
      <c r="W34" s="148"/>
      <c r="X34" s="144"/>
      <c r="Y34" s="11"/>
      <c r="Z34" s="11"/>
      <c r="AA34" s="11"/>
      <c r="AB34" s="11"/>
      <c r="AC34" s="11"/>
      <c r="AE34" s="42"/>
    </row>
    <row r="35" spans="1:31">
      <c r="A35" s="3" t="s">
        <v>160</v>
      </c>
      <c r="C35" s="127">
        <v>0</v>
      </c>
      <c r="D35" s="127">
        <f>ROUND(C35*($D$42/$C$42),0)</f>
        <v>0</v>
      </c>
      <c r="E35" s="128">
        <f>$E$18</f>
        <v>37.82</v>
      </c>
      <c r="G35" s="2">
        <f>ROUND(E35*$C35,0)</f>
        <v>0</v>
      </c>
      <c r="H35" s="2">
        <f>ROUND(E35*$D35,0)</f>
        <v>0</v>
      </c>
      <c r="I35" s="128" t="e">
        <f>$I$18</f>
        <v>#REF!</v>
      </c>
      <c r="K35" s="2" t="e">
        <f>ROUND(I35*$C35,0)</f>
        <v>#REF!</v>
      </c>
      <c r="M35" s="11"/>
      <c r="N35" s="11"/>
      <c r="O35" s="144"/>
      <c r="P35" s="38"/>
      <c r="Q35" s="11"/>
      <c r="R35" s="150"/>
      <c r="S35" s="141"/>
      <c r="T35" s="141"/>
      <c r="U35" s="144"/>
      <c r="V35" s="144"/>
      <c r="W35" s="148"/>
      <c r="X35" s="144"/>
      <c r="Y35" s="11"/>
      <c r="Z35" s="11"/>
      <c r="AA35" s="11"/>
      <c r="AB35" s="11"/>
      <c r="AC35" s="11"/>
      <c r="AE35" s="42"/>
    </row>
    <row r="36" spans="1:31">
      <c r="A36" s="3" t="s">
        <v>161</v>
      </c>
      <c r="C36" s="127"/>
      <c r="D36" s="127"/>
      <c r="E36" s="128"/>
      <c r="G36" s="2"/>
      <c r="H36" s="2"/>
      <c r="I36" s="128"/>
      <c r="K36" s="2"/>
      <c r="M36" s="11"/>
      <c r="N36" s="11"/>
      <c r="O36" s="144"/>
      <c r="P36" s="38"/>
      <c r="Q36" s="11"/>
      <c r="R36" s="150"/>
      <c r="S36" s="141"/>
      <c r="T36" s="141"/>
      <c r="U36" s="144"/>
      <c r="V36" s="144"/>
      <c r="W36" s="148"/>
      <c r="X36" s="144"/>
      <c r="Y36" s="11"/>
      <c r="Z36" s="11"/>
      <c r="AA36" s="11"/>
      <c r="AB36" s="11"/>
      <c r="AC36" s="11"/>
      <c r="AE36" s="42"/>
    </row>
    <row r="37" spans="1:31">
      <c r="A37" s="3" t="s">
        <v>162</v>
      </c>
      <c r="C37" s="127">
        <f>921</f>
        <v>921</v>
      </c>
      <c r="D37" s="127">
        <f>ROUND(C37*($D$42/$C$42),0)</f>
        <v>946</v>
      </c>
      <c r="E37" s="128">
        <f>$E$20</f>
        <v>10.92</v>
      </c>
      <c r="G37" s="2">
        <f>ROUND(E37*$C37,0)</f>
        <v>10057</v>
      </c>
      <c r="H37" s="2">
        <f>ROUND(E37*$D37,0)</f>
        <v>10330</v>
      </c>
      <c r="I37" s="128" t="e">
        <f>$I$20</f>
        <v>#REF!</v>
      </c>
      <c r="K37" s="2" t="e">
        <f>ROUND(I37*$C37,0)</f>
        <v>#REF!</v>
      </c>
      <c r="M37" s="11"/>
      <c r="N37" s="11"/>
      <c r="O37" s="144"/>
      <c r="P37" s="38"/>
      <c r="Q37" s="11"/>
      <c r="R37" s="150"/>
      <c r="S37" s="141"/>
      <c r="T37" s="141"/>
      <c r="U37" s="144"/>
      <c r="V37" s="144"/>
      <c r="W37" s="148"/>
      <c r="X37" s="144"/>
      <c r="Y37" s="11"/>
      <c r="Z37" s="11"/>
      <c r="AA37" s="11"/>
      <c r="AB37" s="11"/>
      <c r="AC37" s="11"/>
      <c r="AE37" s="42"/>
    </row>
    <row r="38" spans="1:31">
      <c r="A38" s="3" t="s">
        <v>163</v>
      </c>
      <c r="C38" s="127">
        <f>228</f>
        <v>228</v>
      </c>
      <c r="D38" s="127">
        <f>ROUND(C38*($D$42/$C$42),0)</f>
        <v>234</v>
      </c>
      <c r="E38" s="128">
        <f>$E$21</f>
        <v>16.04</v>
      </c>
      <c r="G38" s="2">
        <f>ROUND(E38*$C38,0)</f>
        <v>3657</v>
      </c>
      <c r="H38" s="2">
        <f>ROUND(E38*$D38,0)</f>
        <v>3753</v>
      </c>
      <c r="I38" s="128" t="e">
        <f>$I$21</f>
        <v>#REF!</v>
      </c>
      <c r="K38" s="2" t="e">
        <f>ROUND(I38*$C38,0)</f>
        <v>#REF!</v>
      </c>
      <c r="M38" s="11"/>
      <c r="N38" s="11"/>
      <c r="O38" s="144"/>
      <c r="P38" s="38"/>
      <c r="Q38" s="11"/>
      <c r="R38" s="150"/>
      <c r="S38" s="141"/>
      <c r="T38" s="141"/>
      <c r="U38" s="144"/>
      <c r="V38" s="144"/>
      <c r="W38" s="148"/>
      <c r="X38" s="144"/>
      <c r="Y38" s="11"/>
      <c r="Z38" s="11"/>
      <c r="AA38" s="11"/>
      <c r="AB38" s="11"/>
      <c r="AC38" s="11"/>
      <c r="AE38" s="42"/>
    </row>
    <row r="39" spans="1:31">
      <c r="A39" s="3" t="s">
        <v>164</v>
      </c>
      <c r="C39" s="127">
        <f>12</f>
        <v>12</v>
      </c>
      <c r="D39" s="127">
        <f>ROUND(C39*($D$42/$C$42),0)</f>
        <v>12</v>
      </c>
      <c r="E39" s="128">
        <f>$E$22</f>
        <v>25.88</v>
      </c>
      <c r="G39" s="2">
        <f>ROUND(E39*$C39,0)</f>
        <v>311</v>
      </c>
      <c r="H39" s="2">
        <f>ROUND(E39*$D39,0)</f>
        <v>311</v>
      </c>
      <c r="I39" s="128" t="e">
        <f>$I$22</f>
        <v>#REF!</v>
      </c>
      <c r="K39" s="2" t="e">
        <f>ROUND(I39*$C39,0)</f>
        <v>#REF!</v>
      </c>
      <c r="M39" s="11"/>
      <c r="N39" s="11"/>
      <c r="O39" s="144"/>
      <c r="P39" s="38"/>
      <c r="Q39" s="11"/>
      <c r="R39" s="150"/>
      <c r="S39" s="141"/>
      <c r="T39" s="141"/>
      <c r="U39" s="144"/>
      <c r="V39" s="144"/>
      <c r="W39" s="148"/>
      <c r="X39" s="144"/>
      <c r="Y39" s="11"/>
      <c r="Z39" s="11"/>
      <c r="AA39" s="11"/>
      <c r="AB39" s="11"/>
      <c r="AC39" s="11"/>
      <c r="AE39" s="42"/>
    </row>
    <row r="40" spans="1:31">
      <c r="A40" s="3" t="s">
        <v>165</v>
      </c>
      <c r="C40" s="127">
        <f>112+13</f>
        <v>125</v>
      </c>
      <c r="D40" s="127">
        <f>ROUND(C40*($D$42/$C$42),0)</f>
        <v>128</v>
      </c>
      <c r="E40" s="128">
        <f>$E$23</f>
        <v>1</v>
      </c>
      <c r="F40" s="11"/>
      <c r="G40" s="135">
        <f>ROUND(E40*$C40,0)</f>
        <v>125</v>
      </c>
      <c r="H40" s="135">
        <f>ROUND(E40*$D40,0)</f>
        <v>128</v>
      </c>
      <c r="I40" s="132">
        <f>$I$23</f>
        <v>1</v>
      </c>
      <c r="J40" s="11"/>
      <c r="K40" s="135">
        <f>ROUND(I40*$C40,0)</f>
        <v>125</v>
      </c>
      <c r="M40" s="141"/>
      <c r="N40" s="141"/>
      <c r="O40" s="144"/>
      <c r="P40" s="38"/>
      <c r="Q40" s="11"/>
      <c r="R40" s="141"/>
      <c r="S40" s="141"/>
      <c r="T40" s="141"/>
      <c r="U40" s="144"/>
      <c r="V40" s="144"/>
      <c r="W40" s="144"/>
      <c r="X40" s="144"/>
      <c r="Y40" s="11"/>
      <c r="Z40" s="11"/>
      <c r="AA40" s="11"/>
      <c r="AB40" s="11"/>
      <c r="AC40" s="11"/>
      <c r="AE40" s="42"/>
    </row>
    <row r="41" spans="1:31">
      <c r="A41" s="3" t="s">
        <v>166</v>
      </c>
      <c r="C41" s="127">
        <v>15099</v>
      </c>
      <c r="D41" s="127">
        <v>1276.1666666666667</v>
      </c>
      <c r="E41" s="128"/>
      <c r="G41" s="2"/>
      <c r="H41" s="2"/>
      <c r="I41" s="128"/>
      <c r="K41" s="2"/>
      <c r="M41" s="141"/>
      <c r="N41" s="141"/>
      <c r="O41" s="141"/>
      <c r="P41" s="141"/>
      <c r="Q41" s="141"/>
      <c r="R41" s="141"/>
      <c r="S41" s="141"/>
      <c r="T41" s="141"/>
      <c r="U41" s="151"/>
      <c r="V41" s="141"/>
      <c r="W41" s="141"/>
      <c r="X41" s="141"/>
      <c r="Y41" s="11"/>
      <c r="Z41" s="11"/>
      <c r="AA41" s="11"/>
      <c r="AB41" s="11"/>
      <c r="AC41" s="11"/>
      <c r="AE41" s="42"/>
    </row>
    <row r="42" spans="1:31">
      <c r="A42" s="3" t="s">
        <v>15</v>
      </c>
      <c r="C42" s="127">
        <v>1147205</v>
      </c>
      <c r="D42" s="127">
        <v>1178171.795773752</v>
      </c>
      <c r="E42" s="132"/>
      <c r="F42" s="11"/>
      <c r="G42" s="135">
        <f>SUM(G33:G40)</f>
        <v>153403</v>
      </c>
      <c r="H42" s="135">
        <f>SUM(H33:H40)</f>
        <v>157522</v>
      </c>
      <c r="I42" s="132"/>
      <c r="J42" s="11"/>
      <c r="K42" s="135" t="e">
        <f>SUM(K33:K40)</f>
        <v>#REF!</v>
      </c>
      <c r="M42" s="141"/>
      <c r="N42" s="141"/>
      <c r="O42" s="150"/>
      <c r="P42" s="141"/>
      <c r="Q42" s="11"/>
      <c r="R42" s="11"/>
      <c r="S42" s="11"/>
      <c r="T42" s="141"/>
      <c r="U42" s="141"/>
      <c r="V42" s="141"/>
      <c r="W42" s="141"/>
      <c r="X42" s="141"/>
      <c r="Y42" s="11"/>
      <c r="Z42" s="11"/>
      <c r="AA42" s="11"/>
      <c r="AB42" s="11"/>
      <c r="AC42" s="11"/>
      <c r="AE42" s="42"/>
    </row>
    <row r="43" spans="1:31">
      <c r="A43" s="3" t="s">
        <v>167</v>
      </c>
      <c r="C43" s="127" t="e">
        <f>#REF!</f>
        <v>#REF!</v>
      </c>
      <c r="D43" s="127">
        <v>0</v>
      </c>
      <c r="E43" s="132"/>
      <c r="F43" s="11"/>
      <c r="G43" s="135" t="e">
        <f>#REF!</f>
        <v>#REF!</v>
      </c>
      <c r="H43" s="135">
        <v>0</v>
      </c>
      <c r="I43" s="132"/>
      <c r="J43" s="11"/>
      <c r="K43" s="135" t="e">
        <f>G43</f>
        <v>#REF!</v>
      </c>
      <c r="M43" s="307"/>
      <c r="N43" s="307"/>
      <c r="O43" s="150"/>
      <c r="P43" s="141"/>
      <c r="Q43" s="141"/>
      <c r="R43" s="146"/>
      <c r="S43" s="144"/>
      <c r="T43" s="141"/>
      <c r="U43" s="141"/>
      <c r="V43" s="141"/>
      <c r="W43" s="141"/>
      <c r="X43" s="141"/>
      <c r="Y43" s="11"/>
      <c r="Z43" s="11"/>
      <c r="AA43" s="11"/>
      <c r="AB43" s="11"/>
      <c r="AC43" s="11"/>
      <c r="AE43" s="42"/>
    </row>
    <row r="44" spans="1:31" ht="16.5" thickBot="1">
      <c r="A44" s="3" t="s">
        <v>1</v>
      </c>
      <c r="C44" s="136" t="e">
        <f>C42+C43</f>
        <v>#REF!</v>
      </c>
      <c r="D44" s="136">
        <f>SUM(D42:D43)</f>
        <v>1178171.795773752</v>
      </c>
      <c r="E44" s="137"/>
      <c r="F44" s="137"/>
      <c r="G44" s="137" t="e">
        <f>G42+G43</f>
        <v>#REF!</v>
      </c>
      <c r="H44" s="137">
        <f>H42+H43</f>
        <v>157522</v>
      </c>
      <c r="I44" s="137"/>
      <c r="J44" s="137"/>
      <c r="K44" s="137" t="e">
        <f>K42+K43</f>
        <v>#REF!</v>
      </c>
      <c r="M44" s="274"/>
      <c r="N44" s="274"/>
      <c r="O44" s="333"/>
      <c r="P44" s="141"/>
      <c r="Q44" s="141"/>
      <c r="R44" s="141"/>
      <c r="S44" s="141"/>
      <c r="T44" s="141"/>
      <c r="U44" s="141"/>
      <c r="V44" s="141"/>
      <c r="W44" s="141"/>
      <c r="X44" s="141"/>
      <c r="Y44" s="11"/>
      <c r="Z44" s="11"/>
      <c r="AA44" s="11"/>
      <c r="AB44" s="11"/>
      <c r="AC44" s="11"/>
      <c r="AE44" s="42"/>
    </row>
    <row r="45" spans="1:31" ht="16.5" thickTop="1">
      <c r="C45" s="138"/>
      <c r="D45" s="138"/>
      <c r="E45" s="138"/>
      <c r="F45" s="138"/>
      <c r="G45" s="126"/>
      <c r="H45" s="126"/>
      <c r="I45" s="1" t="s">
        <v>13</v>
      </c>
      <c r="J45" s="138"/>
      <c r="K45" s="2" t="s">
        <v>13</v>
      </c>
      <c r="M45" s="11"/>
      <c r="N45" s="11"/>
      <c r="O45" s="38"/>
      <c r="P45" s="38"/>
      <c r="Q45" s="11"/>
      <c r="R45" s="11"/>
      <c r="S45" s="11"/>
      <c r="T45" s="141"/>
      <c r="U45" s="141"/>
      <c r="V45" s="141"/>
      <c r="W45" s="141"/>
      <c r="X45" s="141"/>
      <c r="Y45" s="11"/>
      <c r="Z45" s="11"/>
      <c r="AA45" s="11"/>
      <c r="AB45" s="11"/>
      <c r="AC45" s="11"/>
      <c r="AE45" s="42"/>
    </row>
    <row r="46" spans="1:31">
      <c r="A46" s="125" t="s">
        <v>155</v>
      </c>
      <c r="G46" s="126"/>
      <c r="H46" s="126"/>
      <c r="M46" s="11"/>
      <c r="N46" s="11"/>
      <c r="O46" s="38"/>
      <c r="P46" s="38"/>
      <c r="Q46" s="11"/>
      <c r="R46" s="11"/>
      <c r="S46" s="11"/>
      <c r="T46" s="141"/>
      <c r="U46" s="141"/>
      <c r="V46" s="141"/>
      <c r="W46" s="141"/>
      <c r="X46" s="141"/>
      <c r="Y46" s="11"/>
      <c r="Z46" s="11"/>
      <c r="AA46" s="11"/>
      <c r="AB46" s="11"/>
      <c r="AC46" s="11"/>
      <c r="AE46" s="42"/>
    </row>
    <row r="47" spans="1:31">
      <c r="A47" s="3" t="s">
        <v>170</v>
      </c>
      <c r="G47" s="126"/>
      <c r="H47" s="126"/>
      <c r="M47" s="141"/>
      <c r="N47" s="141"/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1"/>
      <c r="Z47" s="11"/>
      <c r="AA47" s="11"/>
      <c r="AB47" s="11"/>
      <c r="AC47" s="11"/>
      <c r="AE47" s="42"/>
    </row>
    <row r="48" spans="1:31">
      <c r="G48" s="126"/>
      <c r="H48" s="126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1"/>
      <c r="Z48" s="11"/>
      <c r="AA48" s="11"/>
      <c r="AB48" s="11"/>
      <c r="AC48" s="11"/>
      <c r="AE48" s="42"/>
    </row>
    <row r="49" spans="1:31">
      <c r="A49" s="3" t="s">
        <v>157</v>
      </c>
      <c r="G49" s="126"/>
      <c r="H49" s="126"/>
      <c r="M49" s="141"/>
      <c r="N49" s="141"/>
      <c r="O49" s="141"/>
      <c r="P49" s="38"/>
      <c r="Q49" s="142"/>
      <c r="R49" s="143"/>
      <c r="S49" s="144"/>
      <c r="T49" s="145"/>
      <c r="U49" s="141"/>
      <c r="V49" s="141"/>
      <c r="W49" s="141"/>
      <c r="X49" s="141"/>
      <c r="Y49" s="11"/>
      <c r="Z49" s="11"/>
      <c r="AA49" s="11"/>
      <c r="AB49" s="11"/>
      <c r="AC49" s="11"/>
      <c r="AE49" s="42"/>
    </row>
    <row r="50" spans="1:31">
      <c r="A50" s="3" t="s">
        <v>158</v>
      </c>
      <c r="C50" s="127">
        <f>8606+13+6615+38</f>
        <v>15272</v>
      </c>
      <c r="D50" s="127">
        <f>ROUND(C50*($D$59/$C$59),0)</f>
        <v>16186</v>
      </c>
      <c r="E50" s="128">
        <f>$E$16</f>
        <v>9.6</v>
      </c>
      <c r="G50" s="2">
        <f>ROUND(E50*$C50,0)</f>
        <v>146611</v>
      </c>
      <c r="H50" s="2">
        <f>ROUND(E50*$D50,0)</f>
        <v>155386</v>
      </c>
      <c r="I50" s="128" t="e">
        <f>$I$16</f>
        <v>#REF!</v>
      </c>
      <c r="K50" s="2" t="e">
        <f>ROUND(I50*$C50,0)</f>
        <v>#REF!</v>
      </c>
      <c r="M50" s="11"/>
      <c r="N50" s="11"/>
      <c r="O50" s="144"/>
      <c r="P50" s="38"/>
      <c r="Q50" s="141"/>
      <c r="R50" s="146"/>
      <c r="S50" s="147"/>
      <c r="T50" s="141"/>
      <c r="U50" s="144"/>
      <c r="V50" s="144"/>
      <c r="W50" s="148"/>
      <c r="X50" s="144"/>
      <c r="Y50" s="11"/>
      <c r="Z50" s="11"/>
      <c r="AA50" s="11"/>
      <c r="AB50" s="11"/>
      <c r="AC50" s="11"/>
      <c r="AE50" s="42"/>
    </row>
    <row r="51" spans="1:31">
      <c r="A51" s="3" t="s">
        <v>159</v>
      </c>
      <c r="C51" s="127">
        <f>3424+252+432</f>
        <v>4108</v>
      </c>
      <c r="D51" s="127">
        <f>ROUND(C51*($D$59/$C$59),0)</f>
        <v>4354</v>
      </c>
      <c r="E51" s="128">
        <f>$E$17</f>
        <v>18.28</v>
      </c>
      <c r="G51" s="2">
        <f>ROUND(E51*$C51,0)</f>
        <v>75094</v>
      </c>
      <c r="H51" s="2">
        <f>ROUND(E51*$D51,0)</f>
        <v>79591</v>
      </c>
      <c r="I51" s="128" t="e">
        <f>$I$17</f>
        <v>#REF!</v>
      </c>
      <c r="K51" s="2" t="e">
        <f>ROUND(I51*$C51,0)</f>
        <v>#REF!</v>
      </c>
      <c r="M51" s="11"/>
      <c r="N51" s="11"/>
      <c r="O51" s="144"/>
      <c r="P51" s="38"/>
      <c r="Q51" s="11"/>
      <c r="R51" s="150"/>
      <c r="S51" s="141"/>
      <c r="T51" s="141"/>
      <c r="U51" s="144"/>
      <c r="V51" s="144"/>
      <c r="W51" s="148"/>
      <c r="X51" s="144"/>
      <c r="Y51" s="11"/>
      <c r="Z51" s="11"/>
      <c r="AA51" s="11"/>
      <c r="AB51" s="11"/>
      <c r="AC51" s="11"/>
      <c r="AE51" s="42"/>
    </row>
    <row r="52" spans="1:31">
      <c r="A52" s="3" t="s">
        <v>160</v>
      </c>
      <c r="C52" s="127">
        <f>512+51+36+12</f>
        <v>611</v>
      </c>
      <c r="D52" s="127">
        <f>ROUND(C52*($D$59/$C$59),0)</f>
        <v>648</v>
      </c>
      <c r="E52" s="128">
        <f>$E$18</f>
        <v>37.82</v>
      </c>
      <c r="G52" s="2">
        <f>ROUND(E52*$C52,0)</f>
        <v>23108</v>
      </c>
      <c r="H52" s="2">
        <f>ROUND(E52*$D52,0)</f>
        <v>24507</v>
      </c>
      <c r="I52" s="128" t="e">
        <f>$I$18</f>
        <v>#REF!</v>
      </c>
      <c r="K52" s="2" t="e">
        <f>ROUND(I52*$C52,0)</f>
        <v>#REF!</v>
      </c>
      <c r="M52" s="11"/>
      <c r="N52" s="11"/>
      <c r="O52" s="144"/>
      <c r="P52" s="38"/>
      <c r="Q52" s="11"/>
      <c r="R52" s="150"/>
      <c r="S52" s="141"/>
      <c r="T52" s="141"/>
      <c r="U52" s="144"/>
      <c r="V52" s="144"/>
      <c r="W52" s="148"/>
      <c r="X52" s="144"/>
      <c r="Y52" s="11"/>
      <c r="Z52" s="11"/>
      <c r="AA52" s="11"/>
      <c r="AB52" s="11"/>
      <c r="AC52" s="11"/>
      <c r="AE52" s="42"/>
    </row>
    <row r="53" spans="1:31">
      <c r="A53" s="3" t="s">
        <v>161</v>
      </c>
      <c r="C53" s="127"/>
      <c r="D53" s="127"/>
      <c r="E53" s="128"/>
      <c r="G53" s="2"/>
      <c r="H53" s="2"/>
      <c r="I53" s="128"/>
      <c r="K53" s="2"/>
      <c r="M53" s="11"/>
      <c r="N53" s="11"/>
      <c r="O53" s="144"/>
      <c r="P53" s="38"/>
      <c r="Q53" s="11"/>
      <c r="R53" s="150"/>
      <c r="S53" s="141"/>
      <c r="T53" s="141"/>
      <c r="U53" s="144"/>
      <c r="V53" s="144"/>
      <c r="W53" s="148"/>
      <c r="X53" s="144"/>
      <c r="Y53" s="11"/>
      <c r="Z53" s="11"/>
      <c r="AA53" s="11"/>
      <c r="AB53" s="11"/>
      <c r="AC53" s="11"/>
      <c r="AE53" s="42"/>
    </row>
    <row r="54" spans="1:31">
      <c r="A54" s="3" t="s">
        <v>162</v>
      </c>
      <c r="C54" s="127">
        <f>649+501</f>
        <v>1150</v>
      </c>
      <c r="D54" s="127">
        <f>ROUND(C54*($D$59/$C$59),0)</f>
        <v>1219</v>
      </c>
      <c r="E54" s="128">
        <f>$E$20</f>
        <v>10.92</v>
      </c>
      <c r="G54" s="2">
        <f>ROUND(E54*$C54,0)</f>
        <v>12558</v>
      </c>
      <c r="H54" s="2">
        <f>ROUND(E54*$D54,0)</f>
        <v>13311</v>
      </c>
      <c r="I54" s="128" t="e">
        <f>$I$20</f>
        <v>#REF!</v>
      </c>
      <c r="K54" s="2" t="e">
        <f>ROUND(I54*$C54,0)</f>
        <v>#REF!</v>
      </c>
      <c r="M54" s="11"/>
      <c r="N54" s="11"/>
      <c r="O54" s="144"/>
      <c r="P54" s="38"/>
      <c r="Q54" s="11"/>
      <c r="R54" s="150"/>
      <c r="S54" s="141"/>
      <c r="T54" s="141"/>
      <c r="U54" s="144"/>
      <c r="V54" s="144"/>
      <c r="W54" s="148"/>
      <c r="X54" s="144"/>
      <c r="Y54" s="11"/>
      <c r="Z54" s="11"/>
      <c r="AA54" s="11"/>
      <c r="AB54" s="11"/>
      <c r="AC54" s="11"/>
      <c r="AE54" s="42"/>
    </row>
    <row r="55" spans="1:31">
      <c r="A55" s="3" t="s">
        <v>163</v>
      </c>
      <c r="C55" s="127">
        <f>1253+229</f>
        <v>1482</v>
      </c>
      <c r="D55" s="127">
        <f>ROUND(C55*($D$59/$C$59),0)</f>
        <v>1571</v>
      </c>
      <c r="E55" s="128">
        <f>$E$21</f>
        <v>16.04</v>
      </c>
      <c r="G55" s="2">
        <f>ROUND(E55*$C55,0)</f>
        <v>23771</v>
      </c>
      <c r="H55" s="2">
        <f>ROUND(E55*$D55,0)</f>
        <v>25199</v>
      </c>
      <c r="I55" s="128" t="e">
        <f>$I$21</f>
        <v>#REF!</v>
      </c>
      <c r="K55" s="2" t="e">
        <f>ROUND(I55*$C55,0)</f>
        <v>#REF!</v>
      </c>
      <c r="M55" s="11"/>
      <c r="N55" s="11"/>
      <c r="O55" s="144"/>
      <c r="P55" s="38"/>
      <c r="Q55" s="11"/>
      <c r="R55" s="150"/>
      <c r="S55" s="141"/>
      <c r="T55" s="141"/>
      <c r="U55" s="144"/>
      <c r="V55" s="144"/>
      <c r="W55" s="148"/>
      <c r="X55" s="144"/>
      <c r="Y55" s="11"/>
      <c r="Z55" s="11"/>
      <c r="AA55" s="11"/>
      <c r="AB55" s="11"/>
      <c r="AC55" s="11"/>
      <c r="AE55" s="42"/>
    </row>
    <row r="56" spans="1:31">
      <c r="A56" s="3" t="s">
        <v>164</v>
      </c>
      <c r="C56" s="127">
        <f>384+48</f>
        <v>432</v>
      </c>
      <c r="D56" s="127">
        <f>ROUND(C56*($D$59/$C$59),0)</f>
        <v>458</v>
      </c>
      <c r="E56" s="128">
        <f>$E$22</f>
        <v>25.88</v>
      </c>
      <c r="G56" s="2">
        <f>ROUND(E56*$C56,0)</f>
        <v>11180</v>
      </c>
      <c r="H56" s="2">
        <f>ROUND(E56*$D56,0)</f>
        <v>11853</v>
      </c>
      <c r="I56" s="128" t="e">
        <f>$I$22</f>
        <v>#REF!</v>
      </c>
      <c r="K56" s="2" t="e">
        <f>ROUND(I56*$C56,0)</f>
        <v>#REF!</v>
      </c>
      <c r="M56" s="11"/>
      <c r="N56" s="11"/>
      <c r="O56" s="144"/>
      <c r="P56" s="38"/>
      <c r="Q56" s="11"/>
      <c r="R56" s="150"/>
      <c r="S56" s="141"/>
      <c r="T56" s="141"/>
      <c r="U56" s="144"/>
      <c r="V56" s="144"/>
      <c r="W56" s="148"/>
      <c r="X56" s="144"/>
      <c r="Y56" s="11"/>
      <c r="Z56" s="11"/>
      <c r="AA56" s="11"/>
      <c r="AB56" s="11"/>
      <c r="AC56" s="11"/>
      <c r="AE56" s="42"/>
    </row>
    <row r="57" spans="1:31">
      <c r="A57" s="3" t="s">
        <v>165</v>
      </c>
      <c r="C57" s="127">
        <f>13+252+51+38+12</f>
        <v>366</v>
      </c>
      <c r="D57" s="127">
        <f>ROUND(C57*($D$59/$C$59),0)</f>
        <v>388</v>
      </c>
      <c r="E57" s="128">
        <f>$E$23</f>
        <v>1</v>
      </c>
      <c r="F57" s="11"/>
      <c r="G57" s="135">
        <f>ROUND(E57*$C57,0)</f>
        <v>366</v>
      </c>
      <c r="H57" s="135">
        <f>ROUND(E57*$D57,0)</f>
        <v>388</v>
      </c>
      <c r="I57" s="132">
        <f>$I$23</f>
        <v>1</v>
      </c>
      <c r="J57" s="11"/>
      <c r="K57" s="135">
        <f>ROUND(I57*$C57,0)</f>
        <v>366</v>
      </c>
      <c r="M57" s="141"/>
      <c r="N57" s="141"/>
      <c r="O57" s="144"/>
      <c r="P57" s="38"/>
      <c r="Q57" s="11"/>
      <c r="R57" s="141"/>
      <c r="S57" s="141"/>
      <c r="T57" s="141"/>
      <c r="U57" s="144"/>
      <c r="V57" s="144"/>
      <c r="W57" s="144"/>
      <c r="X57" s="144"/>
      <c r="Y57" s="11"/>
      <c r="Z57" s="11"/>
      <c r="AA57" s="11"/>
      <c r="AB57" s="11"/>
      <c r="AC57" s="11"/>
      <c r="AE57" s="42"/>
    </row>
    <row r="58" spans="1:31">
      <c r="A58" s="3" t="s">
        <v>166</v>
      </c>
      <c r="C58" s="127">
        <f>10688+6709</f>
        <v>17397</v>
      </c>
      <c r="D58" s="127">
        <v>1459</v>
      </c>
      <c r="E58" s="128"/>
      <c r="G58" s="2"/>
      <c r="H58" s="2"/>
      <c r="I58" s="128"/>
      <c r="K58" s="2"/>
      <c r="M58" s="141"/>
      <c r="N58" s="141"/>
      <c r="O58" s="141"/>
      <c r="P58" s="141"/>
      <c r="Q58" s="141"/>
      <c r="R58" s="141"/>
      <c r="S58" s="141"/>
      <c r="T58" s="141"/>
      <c r="U58" s="151"/>
      <c r="V58" s="141"/>
      <c r="W58" s="141"/>
      <c r="X58" s="141"/>
      <c r="Y58" s="11"/>
      <c r="Z58" s="11"/>
      <c r="AA58" s="11"/>
      <c r="AB58" s="11"/>
      <c r="AC58" s="11"/>
      <c r="AE58" s="42"/>
    </row>
    <row r="59" spans="1:31">
      <c r="A59" s="3" t="s">
        <v>15</v>
      </c>
      <c r="C59" s="127">
        <f>1679522+631102</f>
        <v>2310624</v>
      </c>
      <c r="D59" s="127">
        <v>2448984.1343942713</v>
      </c>
      <c r="E59" s="132"/>
      <c r="F59" s="11"/>
      <c r="G59" s="135">
        <f>SUM(G50:G57)</f>
        <v>292688</v>
      </c>
      <c r="H59" s="135">
        <f>SUM(H50:H57)</f>
        <v>310235</v>
      </c>
      <c r="I59" s="132"/>
      <c r="J59" s="11"/>
      <c r="K59" s="135" t="e">
        <f>SUM(K50:K57)</f>
        <v>#REF!</v>
      </c>
      <c r="M59" s="141"/>
      <c r="N59" s="141"/>
      <c r="O59" s="150"/>
      <c r="P59" s="141"/>
      <c r="Q59" s="11"/>
      <c r="R59" s="11"/>
      <c r="S59" s="11"/>
      <c r="T59" s="141"/>
      <c r="U59" s="141"/>
      <c r="V59" s="141"/>
      <c r="W59" s="141"/>
      <c r="X59" s="141"/>
      <c r="Y59" s="11"/>
      <c r="Z59" s="11"/>
      <c r="AA59" s="11"/>
      <c r="AB59" s="11"/>
      <c r="AC59" s="11"/>
      <c r="AE59" s="42"/>
    </row>
    <row r="60" spans="1:31">
      <c r="A60" s="3" t="s">
        <v>167</v>
      </c>
      <c r="C60" s="127" t="e">
        <f>#REF!</f>
        <v>#REF!</v>
      </c>
      <c r="D60" s="127">
        <v>0</v>
      </c>
      <c r="E60" s="132"/>
      <c r="F60" s="11"/>
      <c r="G60" s="135" t="e">
        <f>#REF!</f>
        <v>#REF!</v>
      </c>
      <c r="H60" s="135">
        <v>0</v>
      </c>
      <c r="I60" s="132"/>
      <c r="J60" s="11"/>
      <c r="K60" s="135" t="e">
        <f>G60</f>
        <v>#REF!</v>
      </c>
      <c r="M60" s="307"/>
      <c r="N60" s="307"/>
      <c r="O60" s="150"/>
      <c r="P60" s="141"/>
      <c r="Q60" s="141"/>
      <c r="R60" s="146"/>
      <c r="S60" s="144"/>
      <c r="T60" s="141"/>
      <c r="U60" s="141"/>
      <c r="V60" s="141"/>
      <c r="W60" s="141"/>
      <c r="X60" s="141"/>
      <c r="Y60" s="11"/>
      <c r="Z60" s="11"/>
      <c r="AA60" s="11"/>
      <c r="AB60" s="11"/>
      <c r="AC60" s="11"/>
      <c r="AE60" s="42"/>
    </row>
    <row r="61" spans="1:31" ht="16.5" thickBot="1">
      <c r="A61" s="3" t="s">
        <v>1</v>
      </c>
      <c r="C61" s="136" t="e">
        <f>C59+C60</f>
        <v>#REF!</v>
      </c>
      <c r="D61" s="136">
        <f>SUM(D59:D60)</f>
        <v>2448984.1343942713</v>
      </c>
      <c r="E61" s="137"/>
      <c r="F61" s="137"/>
      <c r="G61" s="137" t="e">
        <f>G59+G60</f>
        <v>#REF!</v>
      </c>
      <c r="H61" s="137">
        <f>H59+H60</f>
        <v>310235</v>
      </c>
      <c r="I61" s="137"/>
      <c r="J61" s="137"/>
      <c r="K61" s="137" t="e">
        <f>K59+K60</f>
        <v>#REF!</v>
      </c>
      <c r="M61" s="274"/>
      <c r="N61" s="274"/>
      <c r="O61" s="333"/>
      <c r="P61" s="141"/>
      <c r="Q61" s="141"/>
      <c r="R61" s="141"/>
      <c r="S61" s="141"/>
      <c r="T61" s="141"/>
      <c r="U61" s="141"/>
      <c r="V61" s="141"/>
      <c r="W61" s="141"/>
      <c r="X61" s="141"/>
      <c r="Y61" s="11"/>
      <c r="Z61" s="11"/>
      <c r="AA61" s="11"/>
      <c r="AB61" s="11"/>
      <c r="AC61" s="11"/>
      <c r="AE61" s="42"/>
    </row>
    <row r="62" spans="1:31" ht="16.5" thickTop="1">
      <c r="C62" s="138"/>
      <c r="D62" s="138"/>
      <c r="E62" s="138"/>
      <c r="F62" s="138"/>
      <c r="G62" s="126"/>
      <c r="H62" s="126"/>
      <c r="I62" s="1" t="s">
        <v>13</v>
      </c>
      <c r="J62" s="138"/>
      <c r="K62" s="2" t="s">
        <v>13</v>
      </c>
      <c r="M62" s="11"/>
      <c r="N62" s="11"/>
      <c r="O62" s="38"/>
      <c r="P62" s="38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E62" s="42"/>
    </row>
    <row r="63" spans="1:31">
      <c r="A63" s="125" t="s">
        <v>155</v>
      </c>
      <c r="G63" s="126"/>
      <c r="H63" s="126"/>
      <c r="M63" s="11"/>
      <c r="N63" s="11"/>
      <c r="O63" s="38"/>
      <c r="P63" s="38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E63" s="42"/>
    </row>
    <row r="64" spans="1:31">
      <c r="A64" s="3" t="s">
        <v>171</v>
      </c>
      <c r="G64" s="126"/>
      <c r="H64" s="126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1"/>
      <c r="Z64" s="11"/>
      <c r="AA64" s="11"/>
      <c r="AB64" s="11"/>
      <c r="AC64" s="11"/>
      <c r="AE64" s="42"/>
    </row>
    <row r="65" spans="1:31">
      <c r="G65" s="126"/>
      <c r="H65" s="126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1"/>
      <c r="Z65" s="11"/>
      <c r="AA65" s="11"/>
      <c r="AB65" s="11"/>
      <c r="AC65" s="11"/>
      <c r="AE65" s="42"/>
    </row>
    <row r="66" spans="1:31">
      <c r="A66" s="3" t="s">
        <v>157</v>
      </c>
      <c r="G66" s="126"/>
      <c r="H66" s="126"/>
      <c r="M66" s="141"/>
      <c r="N66" s="141"/>
      <c r="O66" s="141"/>
      <c r="P66" s="38"/>
      <c r="Q66" s="142"/>
      <c r="R66" s="143"/>
      <c r="S66" s="144"/>
      <c r="T66" s="145"/>
      <c r="U66" s="141"/>
      <c r="V66" s="141"/>
      <c r="W66" s="141"/>
      <c r="X66" s="141"/>
      <c r="Y66" s="11"/>
      <c r="Z66" s="11"/>
      <c r="AA66" s="11"/>
      <c r="AB66" s="11"/>
      <c r="AC66" s="11"/>
      <c r="AE66" s="42"/>
    </row>
    <row r="67" spans="1:31">
      <c r="A67" s="3" t="s">
        <v>158</v>
      </c>
      <c r="C67" s="127">
        <f>329+192+132</f>
        <v>653</v>
      </c>
      <c r="D67" s="127">
        <f>ROUND(C67*($D$76/$C$76),0)</f>
        <v>702</v>
      </c>
      <c r="E67" s="128">
        <f>$E$16</f>
        <v>9.6</v>
      </c>
      <c r="G67" s="2">
        <f>ROUND(E67*$C67,0)</f>
        <v>6269</v>
      </c>
      <c r="H67" s="2">
        <f>ROUND(E67*$D67,0)</f>
        <v>6739</v>
      </c>
      <c r="I67" s="128" t="e">
        <f>$I$16</f>
        <v>#REF!</v>
      </c>
      <c r="K67" s="2" t="e">
        <f>ROUND(I67*$C67,0)</f>
        <v>#REF!</v>
      </c>
      <c r="M67" s="11"/>
      <c r="N67" s="11"/>
      <c r="O67" s="144"/>
      <c r="P67" s="38"/>
      <c r="Q67" s="141"/>
      <c r="R67" s="146"/>
      <c r="S67" s="147"/>
      <c r="T67" s="141"/>
      <c r="U67" s="144"/>
      <c r="V67" s="144"/>
      <c r="W67" s="148"/>
      <c r="X67" s="144"/>
      <c r="Y67" s="11"/>
      <c r="Z67" s="11"/>
      <c r="AA67" s="11"/>
      <c r="AB67" s="11"/>
      <c r="AC67" s="11"/>
      <c r="AE67" s="42"/>
    </row>
    <row r="68" spans="1:31">
      <c r="A68" s="3" t="s">
        <v>159</v>
      </c>
      <c r="C68" s="127">
        <f>386+36</f>
        <v>422</v>
      </c>
      <c r="D68" s="127">
        <f>ROUND(C68*($D$76/$C$76),0)</f>
        <v>454</v>
      </c>
      <c r="E68" s="128">
        <f>$E$17</f>
        <v>18.28</v>
      </c>
      <c r="G68" s="2">
        <f>ROUND(E68*$C68,0)</f>
        <v>7714</v>
      </c>
      <c r="H68" s="2">
        <f>ROUND(E68*$D68,0)</f>
        <v>8299</v>
      </c>
      <c r="I68" s="128" t="e">
        <f>$I$17</f>
        <v>#REF!</v>
      </c>
      <c r="K68" s="2" t="e">
        <f>ROUND(I68*$C68,0)</f>
        <v>#REF!</v>
      </c>
      <c r="M68" s="11"/>
      <c r="N68" s="11"/>
      <c r="O68" s="144"/>
      <c r="P68" s="38"/>
      <c r="Q68" s="11"/>
      <c r="R68" s="150"/>
      <c r="S68" s="141"/>
      <c r="T68" s="141"/>
      <c r="U68" s="144"/>
      <c r="V68" s="144"/>
      <c r="W68" s="148"/>
      <c r="X68" s="144"/>
      <c r="Y68" s="11"/>
      <c r="Z68" s="11"/>
      <c r="AA68" s="11"/>
      <c r="AB68" s="11"/>
      <c r="AC68" s="11"/>
      <c r="AE68" s="42"/>
    </row>
    <row r="69" spans="1:31">
      <c r="A69" s="3" t="s">
        <v>160</v>
      </c>
      <c r="C69" s="127">
        <f>48</f>
        <v>48</v>
      </c>
      <c r="D69" s="127">
        <f>ROUND(C69*($D$76/$C$76),0)</f>
        <v>52</v>
      </c>
      <c r="E69" s="128">
        <f>$E$18</f>
        <v>37.82</v>
      </c>
      <c r="G69" s="2">
        <f>ROUND(E69*$C69,0)</f>
        <v>1815</v>
      </c>
      <c r="H69" s="2">
        <f>ROUND(E69*$D69,0)</f>
        <v>1967</v>
      </c>
      <c r="I69" s="128" t="e">
        <f>$I$18</f>
        <v>#REF!</v>
      </c>
      <c r="K69" s="2" t="e">
        <f>ROUND(I69*$C69,0)</f>
        <v>#REF!</v>
      </c>
      <c r="M69" s="11"/>
      <c r="N69" s="11"/>
      <c r="O69" s="144"/>
      <c r="P69" s="38"/>
      <c r="Q69" s="11"/>
      <c r="R69" s="150"/>
      <c r="S69" s="141"/>
      <c r="T69" s="141"/>
      <c r="U69" s="144"/>
      <c r="V69" s="144"/>
      <c r="W69" s="148"/>
      <c r="X69" s="144"/>
      <c r="Y69" s="11"/>
      <c r="Z69" s="11"/>
      <c r="AA69" s="11"/>
      <c r="AB69" s="11"/>
      <c r="AC69" s="11"/>
      <c r="AE69" s="42"/>
    </row>
    <row r="70" spans="1:31">
      <c r="A70" s="3" t="s">
        <v>161</v>
      </c>
      <c r="C70" s="127"/>
      <c r="D70" s="127"/>
      <c r="E70" s="128"/>
      <c r="G70" s="2"/>
      <c r="H70" s="2"/>
      <c r="I70" s="128"/>
      <c r="K70" s="2"/>
      <c r="M70" s="11"/>
      <c r="N70" s="11"/>
      <c r="O70" s="144"/>
      <c r="P70" s="38"/>
      <c r="Q70" s="11"/>
      <c r="R70" s="150"/>
      <c r="S70" s="141"/>
      <c r="T70" s="141"/>
      <c r="U70" s="144"/>
      <c r="V70" s="144"/>
      <c r="W70" s="148"/>
      <c r="X70" s="144"/>
      <c r="Y70" s="11"/>
      <c r="Z70" s="11"/>
      <c r="AA70" s="11"/>
      <c r="AB70" s="11"/>
      <c r="AC70" s="11"/>
      <c r="AE70" s="42"/>
    </row>
    <row r="71" spans="1:31">
      <c r="A71" s="3" t="s">
        <v>162</v>
      </c>
      <c r="C71" s="127">
        <f>12</f>
        <v>12</v>
      </c>
      <c r="D71" s="127">
        <f>ROUND(C71*($D$76/$C$76),0)</f>
        <v>13</v>
      </c>
      <c r="E71" s="128">
        <f>$E$20</f>
        <v>10.92</v>
      </c>
      <c r="G71" s="2">
        <f>ROUND(E71*$C71,0)</f>
        <v>131</v>
      </c>
      <c r="H71" s="2">
        <f>ROUND(E71*$D71,0)</f>
        <v>142</v>
      </c>
      <c r="I71" s="128" t="e">
        <f>$I$20</f>
        <v>#REF!</v>
      </c>
      <c r="K71" s="2" t="e">
        <f>ROUND(I71*$C71,0)</f>
        <v>#REF!</v>
      </c>
      <c r="M71" s="11"/>
      <c r="N71" s="11"/>
      <c r="O71" s="144"/>
      <c r="P71" s="38"/>
      <c r="Q71" s="11"/>
      <c r="R71" s="150"/>
      <c r="S71" s="141"/>
      <c r="T71" s="141"/>
      <c r="U71" s="144"/>
      <c r="V71" s="144"/>
      <c r="W71" s="148"/>
      <c r="X71" s="144"/>
      <c r="Y71" s="11"/>
      <c r="Z71" s="11"/>
      <c r="AA71" s="11"/>
      <c r="AB71" s="11"/>
      <c r="AC71" s="11"/>
      <c r="AE71" s="42"/>
    </row>
    <row r="72" spans="1:31">
      <c r="A72" s="3" t="s">
        <v>163</v>
      </c>
      <c r="C72" s="127">
        <f>96+12</f>
        <v>108</v>
      </c>
      <c r="D72" s="127">
        <f>ROUND(C72*($D$76/$C$76),0)</f>
        <v>116</v>
      </c>
      <c r="E72" s="128">
        <f>$E$21</f>
        <v>16.04</v>
      </c>
      <c r="G72" s="2">
        <f>ROUND(E72*$C72,0)</f>
        <v>1732</v>
      </c>
      <c r="H72" s="2">
        <f>ROUND(E72*$D72,0)</f>
        <v>1861</v>
      </c>
      <c r="I72" s="128" t="e">
        <f>$I$21</f>
        <v>#REF!</v>
      </c>
      <c r="K72" s="2" t="e">
        <f>ROUND(I72*$C72,0)</f>
        <v>#REF!</v>
      </c>
      <c r="M72" s="11"/>
      <c r="N72" s="11"/>
      <c r="O72" s="144"/>
      <c r="P72" s="38"/>
      <c r="Q72" s="11"/>
      <c r="R72" s="150"/>
      <c r="S72" s="141"/>
      <c r="T72" s="141"/>
      <c r="U72" s="144"/>
      <c r="V72" s="144"/>
      <c r="W72" s="148"/>
      <c r="X72" s="144"/>
      <c r="Y72" s="11"/>
      <c r="Z72" s="11"/>
      <c r="AA72" s="11"/>
      <c r="AB72" s="11"/>
      <c r="AC72" s="11"/>
      <c r="AE72" s="42"/>
    </row>
    <row r="73" spans="1:31">
      <c r="A73" s="3" t="s">
        <v>164</v>
      </c>
      <c r="C73" s="127">
        <f>36</f>
        <v>36</v>
      </c>
      <c r="D73" s="127">
        <f>ROUND(C73*($D$76/$C$76),0)</f>
        <v>39</v>
      </c>
      <c r="E73" s="128">
        <f>$E$22</f>
        <v>25.88</v>
      </c>
      <c r="G73" s="2">
        <f>ROUND(E73*$C73,0)</f>
        <v>932</v>
      </c>
      <c r="H73" s="2">
        <f>ROUND(E73*$D73,0)</f>
        <v>1009</v>
      </c>
      <c r="I73" s="128" t="e">
        <f>$I$22</f>
        <v>#REF!</v>
      </c>
      <c r="K73" s="2" t="e">
        <f>ROUND(I73*$C73,0)</f>
        <v>#REF!</v>
      </c>
      <c r="M73" s="11"/>
      <c r="N73" s="11"/>
      <c r="O73" s="144"/>
      <c r="P73" s="38"/>
      <c r="Q73" s="11"/>
      <c r="R73" s="150"/>
      <c r="S73" s="141"/>
      <c r="T73" s="141"/>
      <c r="U73" s="144"/>
      <c r="V73" s="144"/>
      <c r="W73" s="148"/>
      <c r="X73" s="144"/>
      <c r="Y73" s="11"/>
      <c r="Z73" s="11"/>
      <c r="AA73" s="11"/>
      <c r="AB73" s="11"/>
      <c r="AC73" s="11"/>
      <c r="AE73" s="42"/>
    </row>
    <row r="74" spans="1:31">
      <c r="A74" s="3" t="s">
        <v>165</v>
      </c>
      <c r="C74" s="127">
        <f>132</f>
        <v>132</v>
      </c>
      <c r="D74" s="127">
        <f>ROUND(C74*($D$76/$C$76),0)</f>
        <v>142</v>
      </c>
      <c r="E74" s="128">
        <f>$E$23</f>
        <v>1</v>
      </c>
      <c r="F74" s="11"/>
      <c r="G74" s="135">
        <f>ROUND(E74*$C74,0)</f>
        <v>132</v>
      </c>
      <c r="H74" s="135">
        <f>ROUND(E74*$D74,0)</f>
        <v>142</v>
      </c>
      <c r="I74" s="132">
        <f>$I$23</f>
        <v>1</v>
      </c>
      <c r="J74" s="11"/>
      <c r="K74" s="135">
        <f>ROUND(I74*$C74,0)</f>
        <v>132</v>
      </c>
      <c r="M74" s="141"/>
      <c r="N74" s="141"/>
      <c r="O74" s="144"/>
      <c r="P74" s="38"/>
      <c r="Q74" s="11"/>
      <c r="R74" s="141"/>
      <c r="S74" s="141"/>
      <c r="T74" s="141"/>
      <c r="U74" s="144"/>
      <c r="V74" s="144"/>
      <c r="W74" s="144"/>
      <c r="X74" s="144"/>
      <c r="Y74" s="11"/>
      <c r="Z74" s="11"/>
      <c r="AA74" s="11"/>
      <c r="AB74" s="11"/>
      <c r="AC74" s="11"/>
      <c r="AE74" s="42"/>
    </row>
    <row r="75" spans="1:31">
      <c r="A75" s="3" t="s">
        <v>166</v>
      </c>
      <c r="C75" s="127">
        <f>520+228</f>
        <v>748</v>
      </c>
      <c r="D75" s="127">
        <v>61.916666666666664</v>
      </c>
      <c r="E75" s="128"/>
      <c r="G75" s="2"/>
      <c r="H75" s="2"/>
      <c r="I75" s="128"/>
      <c r="K75" s="2"/>
      <c r="M75" s="141"/>
      <c r="N75" s="141"/>
      <c r="O75" s="141"/>
      <c r="P75" s="141"/>
      <c r="Q75" s="141"/>
      <c r="R75" s="141"/>
      <c r="S75" s="141"/>
      <c r="T75" s="141"/>
      <c r="U75" s="151"/>
      <c r="V75" s="141"/>
      <c r="W75" s="141"/>
      <c r="X75" s="141"/>
      <c r="Y75" s="11"/>
      <c r="Z75" s="11"/>
      <c r="AA75" s="11"/>
      <c r="AB75" s="11"/>
      <c r="AC75" s="11"/>
      <c r="AE75" s="42"/>
    </row>
    <row r="76" spans="1:31">
      <c r="A76" s="3" t="s">
        <v>15</v>
      </c>
      <c r="C76" s="127">
        <f>124900+31167</f>
        <v>156067</v>
      </c>
      <c r="D76" s="127">
        <v>167748.79783190461</v>
      </c>
      <c r="E76" s="132"/>
      <c r="F76" s="11"/>
      <c r="G76" s="135">
        <f>SUM(G67:G74)</f>
        <v>18725</v>
      </c>
      <c r="H76" s="135">
        <f>SUM(H67:H74)</f>
        <v>20159</v>
      </c>
      <c r="I76" s="132"/>
      <c r="J76" s="11"/>
      <c r="K76" s="135" t="e">
        <f>SUM(K67:K74)</f>
        <v>#REF!</v>
      </c>
      <c r="M76" s="141"/>
      <c r="N76" s="141"/>
      <c r="O76" s="150"/>
      <c r="P76" s="141"/>
      <c r="Q76" s="11"/>
      <c r="R76" s="11"/>
      <c r="S76" s="11"/>
      <c r="T76" s="141"/>
      <c r="U76" s="141"/>
      <c r="V76" s="141"/>
      <c r="W76" s="141"/>
      <c r="X76" s="141"/>
      <c r="Y76" s="11"/>
      <c r="Z76" s="11"/>
      <c r="AA76" s="11"/>
      <c r="AB76" s="11"/>
      <c r="AC76" s="11"/>
      <c r="AE76" s="42"/>
    </row>
    <row r="77" spans="1:31">
      <c r="A77" s="3" t="s">
        <v>167</v>
      </c>
      <c r="C77" s="127" t="e">
        <f>#REF!</f>
        <v>#REF!</v>
      </c>
      <c r="D77" s="127">
        <v>0</v>
      </c>
      <c r="E77" s="132"/>
      <c r="F77" s="11"/>
      <c r="G77" s="135" t="e">
        <f>#REF!</f>
        <v>#REF!</v>
      </c>
      <c r="H77" s="135">
        <v>0</v>
      </c>
      <c r="I77" s="132"/>
      <c r="J77" s="11"/>
      <c r="K77" s="135" t="e">
        <f>G77</f>
        <v>#REF!</v>
      </c>
      <c r="M77" s="307"/>
      <c r="N77" s="307"/>
      <c r="O77" s="150"/>
      <c r="P77" s="141"/>
      <c r="Q77" s="141"/>
      <c r="R77" s="146"/>
      <c r="S77" s="144"/>
      <c r="T77" s="141"/>
      <c r="U77" s="141"/>
      <c r="V77" s="141"/>
      <c r="W77" s="141"/>
      <c r="X77" s="141"/>
      <c r="Y77" s="11"/>
      <c r="Z77" s="11"/>
      <c r="AA77" s="11"/>
      <c r="AB77" s="11"/>
      <c r="AC77" s="11"/>
      <c r="AE77" s="42"/>
    </row>
    <row r="78" spans="1:31" ht="16.5" thickBot="1">
      <c r="A78" s="3" t="s">
        <v>1</v>
      </c>
      <c r="C78" s="136" t="e">
        <f>C76+C77</f>
        <v>#REF!</v>
      </c>
      <c r="D78" s="136">
        <f>SUM(D76:D77)</f>
        <v>167748.79783190461</v>
      </c>
      <c r="E78" s="137"/>
      <c r="F78" s="137"/>
      <c r="G78" s="137" t="e">
        <f>G76+G77</f>
        <v>#REF!</v>
      </c>
      <c r="H78" s="137">
        <f>H76+H77</f>
        <v>20159</v>
      </c>
      <c r="I78" s="137"/>
      <c r="J78" s="137"/>
      <c r="K78" s="137" t="e">
        <f>K76+K77</f>
        <v>#REF!</v>
      </c>
      <c r="M78" s="274"/>
      <c r="N78" s="274"/>
      <c r="O78" s="333"/>
      <c r="P78" s="141"/>
      <c r="Q78" s="141"/>
      <c r="R78" s="141"/>
      <c r="S78" s="141"/>
      <c r="T78" s="141"/>
      <c r="U78" s="141"/>
      <c r="V78" s="141"/>
      <c r="W78" s="141"/>
      <c r="X78" s="141"/>
      <c r="Y78" s="11"/>
      <c r="Z78" s="11"/>
      <c r="AA78" s="11"/>
      <c r="AB78" s="11"/>
      <c r="AC78" s="11"/>
      <c r="AE78" s="42"/>
    </row>
    <row r="79" spans="1:31" ht="16.5" thickTop="1">
      <c r="C79" s="138"/>
      <c r="D79" s="138"/>
      <c r="E79" s="138"/>
      <c r="F79" s="138"/>
      <c r="G79" s="126"/>
      <c r="H79" s="126"/>
      <c r="I79" s="1" t="s">
        <v>13</v>
      </c>
      <c r="J79" s="138"/>
      <c r="K79" s="2" t="s">
        <v>13</v>
      </c>
      <c r="M79" s="11"/>
      <c r="N79" s="11"/>
      <c r="O79" s="38"/>
      <c r="P79" s="38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E79" s="42"/>
    </row>
    <row r="80" spans="1:31">
      <c r="A80" s="156" t="s">
        <v>172</v>
      </c>
      <c r="B80" s="1"/>
      <c r="C80" s="1"/>
      <c r="D80" s="1"/>
      <c r="E80" s="12"/>
      <c r="F80" s="12"/>
      <c r="G80" s="1"/>
      <c r="H80" s="1"/>
      <c r="I80" s="12"/>
      <c r="J80" s="1"/>
      <c r="K80" s="1"/>
      <c r="M80" s="11"/>
      <c r="N80" s="11"/>
      <c r="O80" s="38"/>
      <c r="P80" s="38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E80" s="42"/>
    </row>
    <row r="81" spans="1:31">
      <c r="A81" s="1" t="s">
        <v>173</v>
      </c>
      <c r="B81" s="1"/>
      <c r="C81" s="1"/>
      <c r="D81" s="1"/>
      <c r="E81" s="12"/>
      <c r="F81" s="12"/>
      <c r="G81" s="1"/>
      <c r="H81" s="1"/>
      <c r="I81" s="12"/>
      <c r="J81" s="1"/>
      <c r="K81" s="1"/>
      <c r="M81" s="334"/>
      <c r="N81" s="334"/>
      <c r="O81" s="38"/>
      <c r="P81" s="38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E81" s="42"/>
    </row>
    <row r="82" spans="1:31">
      <c r="A82" s="160"/>
      <c r="B82" s="1"/>
      <c r="C82" s="1"/>
      <c r="D82" s="1"/>
      <c r="E82" s="12"/>
      <c r="F82" s="12"/>
      <c r="G82" s="1"/>
      <c r="H82" s="1"/>
      <c r="I82" s="12"/>
      <c r="J82" s="1"/>
      <c r="K82" s="1"/>
      <c r="M82" s="11"/>
      <c r="N82" s="11"/>
      <c r="O82" s="38"/>
      <c r="P82" s="38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E82" s="42"/>
    </row>
    <row r="83" spans="1:31">
      <c r="A83" s="1" t="s">
        <v>174</v>
      </c>
      <c r="B83" s="1"/>
      <c r="C83" s="12">
        <f t="shared" ref="C83:D90" si="4">C96+C109+C122+C135</f>
        <v>1229595</v>
      </c>
      <c r="D83" s="12">
        <f t="shared" si="4"/>
        <v>1221387</v>
      </c>
      <c r="E83" s="161">
        <v>6</v>
      </c>
      <c r="F83" s="1"/>
      <c r="G83" s="2">
        <f t="shared" ref="G83:H90" si="5">G96+G109+G122+G135</f>
        <v>7377570</v>
      </c>
      <c r="H83" s="2">
        <f t="shared" si="5"/>
        <v>7328322</v>
      </c>
      <c r="I83" s="161">
        <v>6.75</v>
      </c>
      <c r="J83" s="1"/>
      <c r="K83" s="2">
        <f t="shared" ref="K83:K89" si="6">K96+K109+K122+K135</f>
        <v>8299768</v>
      </c>
      <c r="M83" s="42">
        <f>I83*D83</f>
        <v>8244362.25</v>
      </c>
      <c r="O83" s="8">
        <f t="shared" ref="O83:O88" si="7">(I83-E83)/E83</f>
        <v>0.125</v>
      </c>
      <c r="T83" s="3" t="s">
        <v>175</v>
      </c>
      <c r="U83" s="3" t="s">
        <v>120</v>
      </c>
      <c r="V83" s="3" t="s">
        <v>176</v>
      </c>
      <c r="W83" s="3" t="s">
        <v>126</v>
      </c>
      <c r="X83" s="11"/>
      <c r="Y83" s="11"/>
      <c r="Z83" s="11"/>
      <c r="AA83" s="11"/>
      <c r="AB83" s="11"/>
      <c r="AC83" s="11"/>
      <c r="AE83" s="42"/>
    </row>
    <row r="84" spans="1:31">
      <c r="A84" s="1" t="s">
        <v>177</v>
      </c>
      <c r="B84" s="1"/>
      <c r="C84" s="12" t="e">
        <f t="shared" si="4"/>
        <v>#REF!</v>
      </c>
      <c r="D84" s="12">
        <f t="shared" si="4"/>
        <v>670554218.28816807</v>
      </c>
      <c r="E84" s="162">
        <v>4.9139999999999997</v>
      </c>
      <c r="F84" s="1" t="s">
        <v>178</v>
      </c>
      <c r="G84" s="2" t="e">
        <f t="shared" si="5"/>
        <v>#REF!</v>
      </c>
      <c r="H84" s="2">
        <f t="shared" si="5"/>
        <v>32951033</v>
      </c>
      <c r="I84" s="162">
        <v>5.4039999999999999</v>
      </c>
      <c r="J84" s="1" t="s">
        <v>178</v>
      </c>
      <c r="K84" s="2" t="e">
        <f t="shared" si="6"/>
        <v>#REF!</v>
      </c>
      <c r="M84" s="42">
        <f>(I84/100)*D84</f>
        <v>36236749.956292599</v>
      </c>
      <c r="O84" s="8">
        <f t="shared" si="7"/>
        <v>9.9715099715099759E-2</v>
      </c>
      <c r="Q84" s="101">
        <f>(E85-E84)/E84</f>
        <v>0.57733007733007746</v>
      </c>
      <c r="S84" s="3" t="s">
        <v>7</v>
      </c>
      <c r="T84" s="42">
        <f>H83</f>
        <v>7328322</v>
      </c>
      <c r="U84" s="42">
        <f>K83</f>
        <v>8299768</v>
      </c>
      <c r="V84" s="49">
        <v>10560201.731189568</v>
      </c>
      <c r="W84" s="101">
        <f>U84/V84</f>
        <v>0.78594786456461585</v>
      </c>
      <c r="X84" s="11"/>
      <c r="Y84" s="11"/>
      <c r="Z84" s="11"/>
      <c r="AA84" s="11"/>
      <c r="AB84" s="11"/>
      <c r="AC84" s="11"/>
      <c r="AE84" s="42"/>
    </row>
    <row r="85" spans="1:31">
      <c r="A85" s="1" t="s">
        <v>179</v>
      </c>
      <c r="B85" s="1"/>
      <c r="C85" s="12" t="e">
        <f t="shared" si="4"/>
        <v>#REF!</v>
      </c>
      <c r="D85" s="12">
        <f t="shared" si="4"/>
        <v>958583102.59308743</v>
      </c>
      <c r="E85" s="162">
        <v>7.7510000000000003</v>
      </c>
      <c r="F85" s="1" t="s">
        <v>178</v>
      </c>
      <c r="G85" s="2" t="e">
        <f t="shared" si="5"/>
        <v>#REF!</v>
      </c>
      <c r="H85" s="2">
        <f t="shared" si="5"/>
        <v>74299776</v>
      </c>
      <c r="I85" s="162">
        <f>ROUND((E85/E84*I84),3)-0.003</f>
        <v>8.520999999999999</v>
      </c>
      <c r="J85" s="1" t="s">
        <v>178</v>
      </c>
      <c r="K85" s="2" t="e">
        <f t="shared" si="6"/>
        <v>#REF!</v>
      </c>
      <c r="M85" s="42">
        <f>(I85/100)*D85</f>
        <v>81680866.171956971</v>
      </c>
      <c r="N85" s="163"/>
      <c r="O85" s="8">
        <f t="shared" si="7"/>
        <v>9.9342020384466351E-2</v>
      </c>
      <c r="Q85" s="101">
        <f>(I85-I84)/I84</f>
        <v>0.57679496669133956</v>
      </c>
      <c r="S85" s="3" t="s">
        <v>180</v>
      </c>
      <c r="T85" s="49">
        <f>E84*(D84+D85)/100</f>
        <v>80055807.948104903</v>
      </c>
      <c r="U85" s="49">
        <f>I84*(D84+D85)/100</f>
        <v>88038580.820423052</v>
      </c>
      <c r="V85" s="49">
        <v>74901422.706720337</v>
      </c>
      <c r="W85" s="101">
        <f>U85/V85</f>
        <v>1.1753926379361552</v>
      </c>
      <c r="X85" s="11"/>
      <c r="Y85" s="11"/>
      <c r="Z85" s="11"/>
      <c r="AA85" s="11"/>
      <c r="AB85" s="11"/>
      <c r="AC85" s="11"/>
      <c r="AE85" s="42"/>
    </row>
    <row r="86" spans="1:31">
      <c r="A86" s="1" t="s">
        <v>181</v>
      </c>
      <c r="B86" s="1"/>
      <c r="C86" s="12">
        <f t="shared" si="4"/>
        <v>5923</v>
      </c>
      <c r="D86" s="12">
        <f t="shared" si="4"/>
        <v>6971.808259255954</v>
      </c>
      <c r="E86" s="164">
        <v>1.55</v>
      </c>
      <c r="F86" s="1"/>
      <c r="G86" s="2">
        <f t="shared" si="5"/>
        <v>9181</v>
      </c>
      <c r="H86" s="2">
        <f t="shared" si="5"/>
        <v>10806</v>
      </c>
      <c r="I86" s="164">
        <v>1.65</v>
      </c>
      <c r="J86" s="1"/>
      <c r="K86" s="2">
        <f t="shared" si="6"/>
        <v>9773</v>
      </c>
      <c r="M86" s="42">
        <f>I86*D86</f>
        <v>11503.483627772324</v>
      </c>
      <c r="O86" s="8">
        <f t="shared" si="7"/>
        <v>6.4516129032257979E-2</v>
      </c>
      <c r="S86" s="3" t="s">
        <v>182</v>
      </c>
      <c r="T86" s="42">
        <f>H84+H85-T85</f>
        <v>27195001.051895097</v>
      </c>
      <c r="U86" s="42" t="e">
        <f>K84+K85-U85</f>
        <v>#REF!</v>
      </c>
      <c r="V86" s="49">
        <v>33130328.65840701</v>
      </c>
      <c r="W86" s="101" t="e">
        <f>U86/V86</f>
        <v>#REF!</v>
      </c>
      <c r="X86" s="11"/>
      <c r="Y86" s="11"/>
      <c r="Z86" s="11"/>
      <c r="AA86" s="11"/>
      <c r="AB86" s="11"/>
      <c r="AC86" s="11"/>
      <c r="AE86" s="42"/>
    </row>
    <row r="87" spans="1:31">
      <c r="A87" s="166" t="s">
        <v>183</v>
      </c>
      <c r="B87" s="166"/>
      <c r="C87" s="12">
        <f t="shared" si="4"/>
        <v>979</v>
      </c>
      <c r="D87" s="12">
        <f t="shared" si="4"/>
        <v>1152.184035507054</v>
      </c>
      <c r="E87" s="164">
        <v>3</v>
      </c>
      <c r="F87" s="166"/>
      <c r="G87" s="2">
        <f t="shared" si="5"/>
        <v>2937</v>
      </c>
      <c r="H87" s="2">
        <f t="shared" si="5"/>
        <v>3457</v>
      </c>
      <c r="I87" s="164">
        <f>ROUND(I86/E86*E87,2)+0.01</f>
        <v>3.1999999999999997</v>
      </c>
      <c r="J87" s="166"/>
      <c r="K87" s="2">
        <f t="shared" si="6"/>
        <v>3132</v>
      </c>
      <c r="M87" s="42">
        <f>I87*D87</f>
        <v>3686.9889136225725</v>
      </c>
      <c r="O87" s="8">
        <f t="shared" si="7"/>
        <v>6.6666666666666582E-2</v>
      </c>
      <c r="X87" s="11"/>
      <c r="Y87" s="11"/>
      <c r="Z87" s="11"/>
      <c r="AA87" s="11"/>
      <c r="AB87" s="11"/>
      <c r="AC87" s="11"/>
      <c r="AE87" s="42"/>
    </row>
    <row r="88" spans="1:31">
      <c r="A88" s="166" t="s">
        <v>184</v>
      </c>
      <c r="B88" s="166"/>
      <c r="C88" s="12">
        <f t="shared" si="4"/>
        <v>70</v>
      </c>
      <c r="D88" s="12">
        <f t="shared" si="4"/>
        <v>82.551683985472636</v>
      </c>
      <c r="E88" s="167">
        <v>-1.55</v>
      </c>
      <c r="F88" s="166"/>
      <c r="G88" s="2">
        <f t="shared" si="5"/>
        <v>-108</v>
      </c>
      <c r="H88" s="2">
        <f t="shared" si="5"/>
        <v>-128</v>
      </c>
      <c r="I88" s="167">
        <f>-I86</f>
        <v>-1.65</v>
      </c>
      <c r="J88" s="166"/>
      <c r="K88" s="2">
        <f t="shared" si="6"/>
        <v>-115</v>
      </c>
      <c r="M88" s="42">
        <f>I88*D88</f>
        <v>-136.21027857602985</v>
      </c>
      <c r="O88" s="8">
        <f t="shared" si="7"/>
        <v>6.4516129032257979E-2</v>
      </c>
      <c r="X88" s="11"/>
      <c r="Y88" s="11"/>
      <c r="Z88" s="11"/>
      <c r="AA88" s="11"/>
      <c r="AB88" s="11"/>
      <c r="AC88" s="11"/>
      <c r="AE88" s="42"/>
    </row>
    <row r="89" spans="1:31">
      <c r="A89" s="1" t="s">
        <v>185</v>
      </c>
      <c r="B89" s="168"/>
      <c r="C89" s="12" t="e">
        <f t="shared" si="4"/>
        <v>#REF!</v>
      </c>
      <c r="D89" s="12">
        <f t="shared" si="4"/>
        <v>1629137320.8812554</v>
      </c>
      <c r="E89" s="169"/>
      <c r="F89" s="2"/>
      <c r="G89" s="2" t="e">
        <f t="shared" si="5"/>
        <v>#REF!</v>
      </c>
      <c r="H89" s="2">
        <f t="shared" si="5"/>
        <v>114593266</v>
      </c>
      <c r="I89" s="2"/>
      <c r="J89" s="2"/>
      <c r="K89" s="2" t="e">
        <f t="shared" si="6"/>
        <v>#REF!</v>
      </c>
      <c r="M89" s="42">
        <f>SUM(M83:M88)</f>
        <v>126177032.64051239</v>
      </c>
      <c r="O89" s="8"/>
      <c r="X89" s="11"/>
      <c r="Y89" s="11"/>
      <c r="Z89" s="11"/>
      <c r="AA89" s="11"/>
      <c r="AB89" s="11"/>
      <c r="AC89" s="11"/>
      <c r="AE89" s="42"/>
    </row>
    <row r="90" spans="1:31">
      <c r="A90" s="1" t="s">
        <v>167</v>
      </c>
      <c r="B90" s="170"/>
      <c r="C90" s="171" t="e">
        <f t="shared" si="4"/>
        <v>#REF!</v>
      </c>
      <c r="D90" s="171">
        <f t="shared" si="4"/>
        <v>0</v>
      </c>
      <c r="E90" s="172"/>
      <c r="F90" s="172"/>
      <c r="G90" s="173" t="e">
        <f t="shared" si="5"/>
        <v>#REF!</v>
      </c>
      <c r="H90" s="173">
        <f t="shared" si="5"/>
        <v>0</v>
      </c>
      <c r="I90" s="172"/>
      <c r="J90" s="172"/>
      <c r="K90" s="173" t="e">
        <f>G90</f>
        <v>#REF!</v>
      </c>
      <c r="X90" s="11"/>
      <c r="Y90" s="11"/>
      <c r="Z90" s="11"/>
      <c r="AA90" s="11"/>
      <c r="AB90" s="11"/>
      <c r="AC90" s="11"/>
      <c r="AE90" s="42"/>
    </row>
    <row r="91" spans="1:31" ht="16.5" thickBot="1">
      <c r="A91" s="1" t="s">
        <v>186</v>
      </c>
      <c r="B91" s="1"/>
      <c r="C91" s="174" t="e">
        <f>C89+C90</f>
        <v>#REF!</v>
      </c>
      <c r="D91" s="174">
        <f>D84+D85+D90</f>
        <v>1629137320.8812556</v>
      </c>
      <c r="E91" s="175"/>
      <c r="F91" s="175"/>
      <c r="G91" s="175" t="e">
        <f>G89+G90</f>
        <v>#REF!</v>
      </c>
      <c r="H91" s="175">
        <f>H89+H90</f>
        <v>114593266</v>
      </c>
      <c r="I91" s="175"/>
      <c r="J91" s="175"/>
      <c r="K91" s="175" t="e">
        <f>K89+K90</f>
        <v>#REF!</v>
      </c>
      <c r="N91" s="3" t="s">
        <v>168</v>
      </c>
      <c r="O91" s="33" t="e">
        <f>#REF!*1000</f>
        <v>#REF!</v>
      </c>
      <c r="X91" s="11"/>
      <c r="Y91" s="11"/>
      <c r="Z91" s="11"/>
      <c r="AA91" s="11"/>
      <c r="AB91" s="11"/>
      <c r="AC91" s="11"/>
      <c r="AE91" s="42"/>
    </row>
    <row r="92" spans="1:31" ht="16.5" thickTop="1">
      <c r="A92" s="1"/>
      <c r="B92" s="176"/>
      <c r="C92" s="12"/>
      <c r="D92" s="12"/>
      <c r="E92" s="12"/>
      <c r="F92" s="12"/>
      <c r="I92" s="1" t="s">
        <v>13</v>
      </c>
      <c r="J92" s="1"/>
      <c r="K92" s="2" t="s">
        <v>13</v>
      </c>
      <c r="N92" s="3" t="s">
        <v>114</v>
      </c>
      <c r="O92" s="33" t="e">
        <f>O91-K91</f>
        <v>#REF!</v>
      </c>
      <c r="P92" s="177" t="e">
        <f>(O91-K91)/K91</f>
        <v>#REF!</v>
      </c>
      <c r="X92" s="11"/>
      <c r="Y92" s="11"/>
      <c r="Z92" s="11"/>
      <c r="AA92" s="11"/>
      <c r="AB92" s="11"/>
      <c r="AC92" s="11"/>
      <c r="AE92" s="42"/>
    </row>
    <row r="93" spans="1:31">
      <c r="A93" s="156" t="s">
        <v>187</v>
      </c>
      <c r="B93" s="1"/>
      <c r="C93" s="1" t="s">
        <v>13</v>
      </c>
      <c r="D93" s="1"/>
      <c r="E93" s="12"/>
      <c r="F93" s="12"/>
      <c r="G93" s="1"/>
      <c r="H93" s="1"/>
      <c r="I93" s="12"/>
      <c r="J93" s="1"/>
      <c r="K93" s="1"/>
      <c r="M93" s="11"/>
      <c r="N93" s="11"/>
      <c r="O93" s="104"/>
      <c r="P93" s="38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E93" s="42"/>
    </row>
    <row r="94" spans="1:31">
      <c r="A94" s="1" t="s">
        <v>135</v>
      </c>
      <c r="B94" s="1"/>
      <c r="C94" s="1"/>
      <c r="D94" s="12"/>
      <c r="E94" s="12"/>
      <c r="F94" s="12"/>
      <c r="G94" s="1"/>
      <c r="H94" s="1"/>
      <c r="I94" s="12"/>
      <c r="J94" s="1"/>
      <c r="K94" s="1"/>
      <c r="M94" s="11"/>
      <c r="N94" s="11"/>
      <c r="O94" s="38"/>
      <c r="P94" s="38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E94" s="42"/>
    </row>
    <row r="95" spans="1:31">
      <c r="A95" s="160"/>
      <c r="B95" s="1"/>
      <c r="C95" s="1"/>
      <c r="D95" s="1"/>
      <c r="E95" s="12"/>
      <c r="F95" s="12"/>
      <c r="G95" s="1"/>
      <c r="H95" s="1"/>
      <c r="I95" s="12"/>
      <c r="J95" s="1"/>
      <c r="K95" s="1"/>
      <c r="M95" s="11"/>
      <c r="N95" s="11"/>
      <c r="O95" s="38"/>
      <c r="P95" s="38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E95" s="42"/>
    </row>
    <row r="96" spans="1:31">
      <c r="A96" s="1" t="s">
        <v>174</v>
      </c>
      <c r="B96" s="1"/>
      <c r="C96" s="12">
        <f>1191112+6</f>
        <v>1191118</v>
      </c>
      <c r="D96" s="12">
        <f>1191112+6</f>
        <v>1191118</v>
      </c>
      <c r="E96" s="161">
        <f>$E$83</f>
        <v>6</v>
      </c>
      <c r="F96" s="1"/>
      <c r="G96" s="2">
        <f>ROUND(E96*$C96,0)</f>
        <v>7146708</v>
      </c>
      <c r="H96" s="2">
        <f>ROUND(E96*$D96,0)</f>
        <v>7146708</v>
      </c>
      <c r="I96" s="161">
        <f>$I$83</f>
        <v>6.75</v>
      </c>
      <c r="J96" s="1"/>
      <c r="K96" s="2">
        <f>ROUND(I96*$C96,0)</f>
        <v>8040047</v>
      </c>
      <c r="M96" s="11"/>
      <c r="N96" s="11"/>
      <c r="O96" s="38"/>
      <c r="P96" s="38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E96" s="42"/>
    </row>
    <row r="97" spans="1:31">
      <c r="A97" s="1" t="s">
        <v>177</v>
      </c>
      <c r="B97" s="1"/>
      <c r="C97" s="12" t="e">
        <f>652855208+600+#REF!*1000</f>
        <v>#REF!</v>
      </c>
      <c r="D97" s="12">
        <f>652855208+600</f>
        <v>652855808</v>
      </c>
      <c r="E97" s="162">
        <f>$E$84</f>
        <v>4.9139999999999997</v>
      </c>
      <c r="F97" s="1" t="s">
        <v>178</v>
      </c>
      <c r="G97" s="2" t="e">
        <f>ROUND(E97*$C97/100,0)</f>
        <v>#REF!</v>
      </c>
      <c r="H97" s="2">
        <f>ROUND(E97*$D97/100,0)</f>
        <v>32081334</v>
      </c>
      <c r="I97" s="162">
        <f>$I$84</f>
        <v>5.4039999999999999</v>
      </c>
      <c r="J97" s="1" t="s">
        <v>178</v>
      </c>
      <c r="K97" s="2" t="e">
        <f>ROUND(I97*$C97/100,0)</f>
        <v>#REF!</v>
      </c>
      <c r="M97" s="11"/>
      <c r="N97" s="11"/>
      <c r="O97" s="38"/>
      <c r="P97" s="38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E97" s="42"/>
    </row>
    <row r="98" spans="1:31">
      <c r="A98" s="1" t="s">
        <v>179</v>
      </c>
      <c r="B98" s="12"/>
      <c r="C98" s="12" t="e">
        <f>1582245854+1297-C97+#REF!*1000</f>
        <v>#REF!</v>
      </c>
      <c r="D98" s="12">
        <f>1582245854+1297-D97</f>
        <v>929391343</v>
      </c>
      <c r="E98" s="162">
        <f>$E$85</f>
        <v>7.7510000000000003</v>
      </c>
      <c r="F98" s="1" t="s">
        <v>178</v>
      </c>
      <c r="G98" s="2" t="e">
        <f>ROUND(E98*$C98/100,0)</f>
        <v>#REF!</v>
      </c>
      <c r="H98" s="2">
        <f>ROUND(E98*$D98/100,0)</f>
        <v>72037123</v>
      </c>
      <c r="I98" s="162">
        <f>$I$85</f>
        <v>8.520999999999999</v>
      </c>
      <c r="J98" s="1" t="s">
        <v>178</v>
      </c>
      <c r="K98" s="2" t="e">
        <f>ROUND(I98*$C98/100,0)</f>
        <v>#REF!</v>
      </c>
      <c r="M98" s="11"/>
      <c r="N98" s="11"/>
      <c r="O98" s="38"/>
      <c r="P98" s="38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E98" s="42"/>
    </row>
    <row r="99" spans="1:31">
      <c r="A99" s="1" t="s">
        <v>181</v>
      </c>
      <c r="B99" s="1"/>
      <c r="C99" s="12">
        <v>0</v>
      </c>
      <c r="D99" s="12">
        <v>0</v>
      </c>
      <c r="E99" s="164">
        <f>$E$86</f>
        <v>1.55</v>
      </c>
      <c r="F99" s="1"/>
      <c r="G99" s="2">
        <f>ROUND(E99*$C99,0)</f>
        <v>0</v>
      </c>
      <c r="H99" s="2">
        <v>0</v>
      </c>
      <c r="I99" s="164">
        <f>$I$86</f>
        <v>1.65</v>
      </c>
      <c r="J99" s="1"/>
      <c r="K99" s="2">
        <f>ROUND(I99*$C99,0)</f>
        <v>0</v>
      </c>
      <c r="M99" s="11"/>
      <c r="N99" s="11"/>
      <c r="O99" s="38"/>
      <c r="P99" s="38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E99" s="42"/>
    </row>
    <row r="100" spans="1:31">
      <c r="A100" s="166" t="s">
        <v>183</v>
      </c>
      <c r="B100" s="166"/>
      <c r="C100" s="12">
        <v>0</v>
      </c>
      <c r="D100" s="12">
        <v>0</v>
      </c>
      <c r="E100" s="164">
        <f>$E$87</f>
        <v>3</v>
      </c>
      <c r="F100" s="166"/>
      <c r="G100" s="2">
        <f>ROUND(E100*$C100,0)</f>
        <v>0</v>
      </c>
      <c r="H100" s="2">
        <v>0</v>
      </c>
      <c r="I100" s="164">
        <f>$I$87</f>
        <v>3.1999999999999997</v>
      </c>
      <c r="J100" s="166"/>
      <c r="K100" s="2">
        <f>ROUND(I100*$C100,0)</f>
        <v>0</v>
      </c>
      <c r="M100" s="11"/>
      <c r="N100" s="11"/>
      <c r="O100" s="38"/>
      <c r="P100" s="38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E100" s="42"/>
    </row>
    <row r="101" spans="1:31">
      <c r="A101" s="166" t="s">
        <v>184</v>
      </c>
      <c r="B101" s="166"/>
      <c r="C101" s="12">
        <v>0</v>
      </c>
      <c r="D101" s="12">
        <v>0</v>
      </c>
      <c r="E101" s="167">
        <f>-E99</f>
        <v>-1.55</v>
      </c>
      <c r="F101" s="166"/>
      <c r="G101" s="2">
        <f>ROUND(E101*$C101,0)</f>
        <v>0</v>
      </c>
      <c r="H101" s="2">
        <v>0</v>
      </c>
      <c r="I101" s="167">
        <f>-I99</f>
        <v>-1.65</v>
      </c>
      <c r="J101" s="166"/>
      <c r="K101" s="2">
        <f>ROUND(I101*$C101,0)</f>
        <v>0</v>
      </c>
      <c r="M101" s="11"/>
      <c r="N101" s="11"/>
      <c r="O101" s="38"/>
      <c r="P101" s="38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E101" s="42"/>
    </row>
    <row r="102" spans="1:31">
      <c r="A102" s="1" t="s">
        <v>185</v>
      </c>
      <c r="B102" s="168"/>
      <c r="C102" s="12" t="e">
        <f>SUM(C97:C98)</f>
        <v>#REF!</v>
      </c>
      <c r="D102" s="12">
        <f>SUM(D97:D98)</f>
        <v>1582247151</v>
      </c>
      <c r="E102" s="169"/>
      <c r="F102" s="2"/>
      <c r="G102" s="2" t="e">
        <f>SUM(G96:G101)</f>
        <v>#REF!</v>
      </c>
      <c r="H102" s="2">
        <f>SUM(H96:H101)</f>
        <v>111265165</v>
      </c>
      <c r="I102" s="2"/>
      <c r="J102" s="2"/>
      <c r="K102" s="2" t="e">
        <f>SUM(K96:K101)</f>
        <v>#REF!</v>
      </c>
      <c r="M102" s="11"/>
      <c r="N102" s="11"/>
      <c r="O102" s="20"/>
      <c r="P102" s="38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E102" s="42"/>
    </row>
    <row r="103" spans="1:31">
      <c r="A103" s="1" t="s">
        <v>167</v>
      </c>
      <c r="B103" s="170"/>
      <c r="C103" s="180" t="e">
        <f>#REF!</f>
        <v>#REF!</v>
      </c>
      <c r="D103" s="171">
        <v>0</v>
      </c>
      <c r="E103" s="172"/>
      <c r="F103" s="172"/>
      <c r="G103" s="173" t="e">
        <f>#REF!</f>
        <v>#REF!</v>
      </c>
      <c r="H103" s="171">
        <v>0</v>
      </c>
      <c r="I103" s="172"/>
      <c r="J103" s="172"/>
      <c r="K103" s="173" t="e">
        <f>G103</f>
        <v>#REF!</v>
      </c>
      <c r="M103" s="307"/>
      <c r="N103" s="307"/>
      <c r="O103" s="150"/>
      <c r="P103" s="38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E103" s="42"/>
    </row>
    <row r="104" spans="1:31" ht="16.5" thickBot="1">
      <c r="A104" s="1" t="s">
        <v>186</v>
      </c>
      <c r="B104" s="1"/>
      <c r="C104" s="174" t="e">
        <f>C102+C103</f>
        <v>#REF!</v>
      </c>
      <c r="D104" s="174">
        <f>SUM(D102:D103)</f>
        <v>1582247151</v>
      </c>
      <c r="E104" s="175"/>
      <c r="F104" s="175"/>
      <c r="G104" s="175" t="e">
        <f>G102+G103</f>
        <v>#REF!</v>
      </c>
      <c r="H104" s="181">
        <f>SUM(H102:H103)</f>
        <v>111265165</v>
      </c>
      <c r="I104" s="175"/>
      <c r="J104" s="175"/>
      <c r="K104" s="175" t="e">
        <f>K102+K103</f>
        <v>#REF!</v>
      </c>
      <c r="M104" s="274"/>
      <c r="N104" s="274"/>
      <c r="O104" s="333"/>
      <c r="P104" s="38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E104" s="42"/>
    </row>
    <row r="105" spans="1:31" ht="16.5" thickTop="1">
      <c r="A105" s="1"/>
      <c r="B105" s="176"/>
      <c r="C105" s="12"/>
      <c r="D105" s="12"/>
      <c r="E105" s="12"/>
      <c r="F105" s="12"/>
      <c r="I105" s="1" t="s">
        <v>13</v>
      </c>
      <c r="J105" s="1"/>
      <c r="K105" s="2" t="s">
        <v>13</v>
      </c>
      <c r="M105" s="11"/>
      <c r="N105" s="11"/>
      <c r="O105" s="38"/>
      <c r="P105" s="38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E105" s="42"/>
    </row>
    <row r="106" spans="1:31">
      <c r="A106" s="156" t="s">
        <v>188</v>
      </c>
      <c r="B106" s="1"/>
      <c r="C106" s="1"/>
      <c r="D106" s="1"/>
      <c r="E106" s="12"/>
      <c r="F106" s="12"/>
      <c r="G106" s="1"/>
      <c r="H106" s="1"/>
      <c r="I106" s="12"/>
      <c r="J106" s="1"/>
      <c r="K106" s="1"/>
      <c r="M106" s="11"/>
      <c r="N106" s="11"/>
      <c r="O106" s="38"/>
      <c r="P106" s="38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E106" s="42"/>
    </row>
    <row r="107" spans="1:31">
      <c r="A107" s="1" t="s">
        <v>135</v>
      </c>
      <c r="B107" s="1"/>
      <c r="C107" s="1"/>
      <c r="D107" s="1"/>
      <c r="E107" s="12"/>
      <c r="F107" s="12"/>
      <c r="G107" s="1"/>
      <c r="H107" s="1"/>
      <c r="I107" s="12"/>
      <c r="J107" s="1"/>
      <c r="K107" s="1"/>
      <c r="M107" s="11"/>
      <c r="N107" s="11"/>
      <c r="O107" s="38"/>
      <c r="P107" s="38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E107" s="42"/>
    </row>
    <row r="108" spans="1:31">
      <c r="A108" s="160"/>
      <c r="B108" s="1"/>
      <c r="C108" s="1"/>
      <c r="D108" s="1"/>
      <c r="E108" s="12"/>
      <c r="F108" s="12"/>
      <c r="G108" s="1"/>
      <c r="H108" s="1"/>
      <c r="I108" s="12"/>
      <c r="J108" s="1"/>
      <c r="K108" s="1"/>
      <c r="M108" s="11"/>
      <c r="N108" s="11"/>
      <c r="O108" s="38"/>
      <c r="P108" s="38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E108" s="42"/>
    </row>
    <row r="109" spans="1:31">
      <c r="A109" s="1" t="s">
        <v>174</v>
      </c>
      <c r="B109" s="1"/>
      <c r="C109" s="12">
        <f>36986</f>
        <v>36986</v>
      </c>
      <c r="D109" s="12">
        <v>28799</v>
      </c>
      <c r="E109" s="161">
        <f>$E$83</f>
        <v>6</v>
      </c>
      <c r="F109" s="1"/>
      <c r="G109" s="2">
        <f>ROUND(E109*$C109,0)</f>
        <v>221916</v>
      </c>
      <c r="H109" s="2">
        <f>ROUND(E109*$D109,0)</f>
        <v>172794</v>
      </c>
      <c r="I109" s="161">
        <f>$I$83</f>
        <v>6.75</v>
      </c>
      <c r="J109" s="1"/>
      <c r="K109" s="2">
        <f>ROUND(I109*$C109,0)</f>
        <v>249656</v>
      </c>
      <c r="M109" s="11"/>
      <c r="N109" s="11"/>
      <c r="O109" s="38"/>
      <c r="P109" s="38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E109" s="42"/>
    </row>
    <row r="110" spans="1:31">
      <c r="A110" s="1" t="s">
        <v>177</v>
      </c>
      <c r="B110" s="1"/>
      <c r="C110" s="12">
        <f>21464809</f>
        <v>21464809</v>
      </c>
      <c r="D110" s="12">
        <v>16847282.170853201</v>
      </c>
      <c r="E110" s="162">
        <f>$E$84</f>
        <v>4.9139999999999997</v>
      </c>
      <c r="F110" s="1" t="s">
        <v>178</v>
      </c>
      <c r="G110" s="2">
        <f>ROUND(E110*$C110/100,0)</f>
        <v>1054781</v>
      </c>
      <c r="H110" s="2">
        <f>ROUND(E110*$D110/100,0)</f>
        <v>827875</v>
      </c>
      <c r="I110" s="162">
        <f>$I$84</f>
        <v>5.4039999999999999</v>
      </c>
      <c r="J110" s="1" t="s">
        <v>178</v>
      </c>
      <c r="K110" s="2">
        <f>ROUND(I110*$C110/100,0)</f>
        <v>1159958</v>
      </c>
      <c r="M110" s="11"/>
      <c r="N110" s="11"/>
      <c r="O110" s="38"/>
      <c r="P110" s="38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E110" s="42"/>
    </row>
    <row r="111" spans="1:31">
      <c r="A111" s="1" t="s">
        <v>179</v>
      </c>
      <c r="B111" s="1"/>
      <c r="C111" s="12">
        <f>55153831-C110</f>
        <v>33689022</v>
      </c>
      <c r="D111" s="12">
        <v>26441812.722120248</v>
      </c>
      <c r="E111" s="162">
        <f>$E$85</f>
        <v>7.7510000000000003</v>
      </c>
      <c r="F111" s="1" t="s">
        <v>178</v>
      </c>
      <c r="G111" s="2">
        <f>ROUND(E111*$C111/100,0)</f>
        <v>2611236</v>
      </c>
      <c r="H111" s="2">
        <f>ROUND(E111*$D111/100,0)</f>
        <v>2049505</v>
      </c>
      <c r="I111" s="162">
        <f>$I$85</f>
        <v>8.520999999999999</v>
      </c>
      <c r="J111" s="1" t="s">
        <v>178</v>
      </c>
      <c r="K111" s="2">
        <f>ROUND(I111*$C111/100,0)</f>
        <v>2870642</v>
      </c>
      <c r="M111" s="11"/>
      <c r="N111" s="11"/>
      <c r="O111" s="38"/>
      <c r="P111" s="38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E111" s="42"/>
    </row>
    <row r="112" spans="1:31">
      <c r="A112" s="1" t="s">
        <v>181</v>
      </c>
      <c r="B112" s="1"/>
      <c r="C112" s="12">
        <v>0</v>
      </c>
      <c r="D112" s="12">
        <v>0</v>
      </c>
      <c r="E112" s="164">
        <f>$E$86</f>
        <v>1.55</v>
      </c>
      <c r="F112" s="1"/>
      <c r="G112" s="2">
        <f>ROUND(E112*$C112,0)</f>
        <v>0</v>
      </c>
      <c r="H112" s="2">
        <v>0</v>
      </c>
      <c r="I112" s="164">
        <f>$I$86</f>
        <v>1.65</v>
      </c>
      <c r="J112" s="1"/>
      <c r="K112" s="2">
        <f>ROUND(I112*$C112,0)</f>
        <v>0</v>
      </c>
      <c r="M112" s="11"/>
      <c r="N112" s="11"/>
      <c r="O112" s="38"/>
      <c r="P112" s="38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E112" s="42"/>
    </row>
    <row r="113" spans="1:31">
      <c r="A113" s="166" t="s">
        <v>183</v>
      </c>
      <c r="B113" s="166"/>
      <c r="C113" s="12">
        <v>0</v>
      </c>
      <c r="D113" s="12">
        <v>0</v>
      </c>
      <c r="E113" s="164">
        <f>$E$87</f>
        <v>3</v>
      </c>
      <c r="F113" s="166"/>
      <c r="G113" s="2">
        <f>ROUND(E113*$C113,0)</f>
        <v>0</v>
      </c>
      <c r="H113" s="2">
        <v>0</v>
      </c>
      <c r="I113" s="164">
        <f>$I$87</f>
        <v>3.1999999999999997</v>
      </c>
      <c r="J113" s="166"/>
      <c r="K113" s="2">
        <f>ROUND(I113*$C113,0)</f>
        <v>0</v>
      </c>
      <c r="M113" s="11"/>
      <c r="N113" s="11"/>
      <c r="O113" s="38"/>
      <c r="P113" s="38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E113" s="42"/>
    </row>
    <row r="114" spans="1:31">
      <c r="A114" s="166" t="s">
        <v>184</v>
      </c>
      <c r="B114" s="166"/>
      <c r="C114" s="12">
        <v>0</v>
      </c>
      <c r="D114" s="12">
        <v>0</v>
      </c>
      <c r="E114" s="167">
        <f>-E112</f>
        <v>-1.55</v>
      </c>
      <c r="F114" s="166"/>
      <c r="G114" s="2">
        <f>ROUND(E114*$C114,0)</f>
        <v>0</v>
      </c>
      <c r="H114" s="2">
        <v>0</v>
      </c>
      <c r="I114" s="167">
        <f>-I112</f>
        <v>-1.65</v>
      </c>
      <c r="J114" s="166"/>
      <c r="K114" s="2">
        <f>ROUND(I114*$C114,0)</f>
        <v>0</v>
      </c>
      <c r="M114" s="11"/>
      <c r="N114" s="11"/>
      <c r="O114" s="38"/>
      <c r="P114" s="38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E114" s="42"/>
    </row>
    <row r="115" spans="1:31">
      <c r="A115" s="1" t="s">
        <v>185</v>
      </c>
      <c r="B115" s="1"/>
      <c r="C115" s="12">
        <f>SUM(C110:C111)</f>
        <v>55153831</v>
      </c>
      <c r="D115" s="12">
        <v>43289094.892973453</v>
      </c>
      <c r="E115" s="169"/>
      <c r="F115" s="2"/>
      <c r="G115" s="2">
        <f>SUM(G109:G114)</f>
        <v>3887933</v>
      </c>
      <c r="H115" s="2">
        <f>SUM(H109:H114)</f>
        <v>3050174</v>
      </c>
      <c r="I115" s="2"/>
      <c r="J115" s="2"/>
      <c r="K115" s="2">
        <f>SUM(K109:K114)</f>
        <v>4280256</v>
      </c>
      <c r="M115" s="11"/>
      <c r="N115" s="11"/>
      <c r="O115" s="38"/>
      <c r="P115" s="38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E115" s="42"/>
    </row>
    <row r="116" spans="1:31">
      <c r="A116" s="1" t="s">
        <v>167</v>
      </c>
      <c r="B116" s="1"/>
      <c r="C116" s="180" t="e">
        <f>#REF!</f>
        <v>#REF!</v>
      </c>
      <c r="D116" s="171">
        <v>0</v>
      </c>
      <c r="E116" s="172"/>
      <c r="F116" s="172"/>
      <c r="G116" s="173" t="e">
        <f>#REF!</f>
        <v>#REF!</v>
      </c>
      <c r="H116" s="171">
        <v>0</v>
      </c>
      <c r="I116" s="172"/>
      <c r="J116" s="172"/>
      <c r="K116" s="173" t="e">
        <f>G116</f>
        <v>#REF!</v>
      </c>
      <c r="M116" s="307"/>
      <c r="N116" s="307"/>
      <c r="O116" s="150"/>
      <c r="P116" s="38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E116" s="42"/>
    </row>
    <row r="117" spans="1:31" ht="16.5" thickBot="1">
      <c r="A117" s="1" t="s">
        <v>186</v>
      </c>
      <c r="B117" s="1"/>
      <c r="C117" s="174" t="e">
        <f>C115+C116</f>
        <v>#REF!</v>
      </c>
      <c r="D117" s="174">
        <f>SUM(D115:D116)</f>
        <v>43289094.892973453</v>
      </c>
      <c r="E117" s="175"/>
      <c r="F117" s="175"/>
      <c r="G117" s="175" t="e">
        <f>G115+G116</f>
        <v>#REF!</v>
      </c>
      <c r="H117" s="181">
        <f>SUM(H115:H116)</f>
        <v>3050174</v>
      </c>
      <c r="I117" s="175"/>
      <c r="J117" s="175"/>
      <c r="K117" s="175" t="e">
        <f>K115+K116</f>
        <v>#REF!</v>
      </c>
      <c r="M117" s="274"/>
      <c r="N117" s="274"/>
      <c r="O117" s="333"/>
      <c r="P117" s="38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E117" s="42"/>
    </row>
    <row r="118" spans="1:31" ht="16.5" thickTop="1">
      <c r="A118" s="1"/>
      <c r="B118" s="176"/>
      <c r="C118" s="12"/>
      <c r="D118" s="12"/>
      <c r="E118" s="12"/>
      <c r="F118" s="12"/>
      <c r="I118" s="1" t="s">
        <v>13</v>
      </c>
      <c r="J118" s="1"/>
      <c r="K118" s="2" t="s">
        <v>13</v>
      </c>
      <c r="M118" s="11"/>
      <c r="N118" s="11"/>
      <c r="O118" s="38"/>
      <c r="P118" s="38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E118" s="42"/>
    </row>
    <row r="119" spans="1:31">
      <c r="A119" s="156" t="s">
        <v>189</v>
      </c>
      <c r="B119" s="1"/>
      <c r="C119" s="1"/>
      <c r="D119" s="1"/>
      <c r="E119" s="12"/>
      <c r="F119" s="12"/>
      <c r="G119" s="1"/>
      <c r="H119" s="1"/>
      <c r="I119" s="12"/>
      <c r="J119" s="1"/>
      <c r="K119" s="1"/>
      <c r="M119" s="11"/>
      <c r="N119" s="11"/>
      <c r="O119" s="38"/>
      <c r="P119" s="38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E119" s="42"/>
    </row>
    <row r="120" spans="1:31">
      <c r="A120" s="1" t="s">
        <v>135</v>
      </c>
      <c r="B120" s="1"/>
      <c r="C120" s="1"/>
      <c r="D120" s="1"/>
      <c r="E120" s="12"/>
      <c r="F120" s="12"/>
      <c r="G120" s="1"/>
      <c r="H120" s="1"/>
      <c r="I120" s="12"/>
      <c r="J120" s="1"/>
      <c r="K120" s="1"/>
      <c r="M120" s="11"/>
      <c r="N120" s="11"/>
      <c r="O120" s="38"/>
      <c r="P120" s="38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E120" s="42"/>
    </row>
    <row r="121" spans="1:31">
      <c r="A121" s="160"/>
      <c r="B121" s="1"/>
      <c r="C121" s="1"/>
      <c r="D121" s="1"/>
      <c r="E121" s="12"/>
      <c r="F121" s="12"/>
      <c r="G121" s="1"/>
      <c r="H121" s="1"/>
      <c r="I121" s="12"/>
      <c r="J121" s="1"/>
      <c r="K121" s="1"/>
      <c r="M121" s="11"/>
      <c r="N121" s="11"/>
      <c r="O121" s="38"/>
      <c r="P121" s="38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E121" s="42"/>
    </row>
    <row r="122" spans="1:31">
      <c r="A122" s="1" t="s">
        <v>174</v>
      </c>
      <c r="B122" s="1"/>
      <c r="C122" s="12">
        <v>1189</v>
      </c>
      <c r="D122" s="12">
        <v>1155</v>
      </c>
      <c r="E122" s="161">
        <f>$E$83</f>
        <v>6</v>
      </c>
      <c r="F122" s="1"/>
      <c r="G122" s="2">
        <f>ROUND(E122*$C122,0)</f>
        <v>7134</v>
      </c>
      <c r="H122" s="2">
        <f>ROUND(E122*$D122,0)</f>
        <v>6930</v>
      </c>
      <c r="I122" s="161">
        <f>$I$83</f>
        <v>6.75</v>
      </c>
      <c r="J122" s="1"/>
      <c r="K122" s="2">
        <f>ROUND(I122*$C122,0)</f>
        <v>8026</v>
      </c>
      <c r="M122" s="11"/>
      <c r="N122" s="11"/>
      <c r="O122" s="38"/>
      <c r="P122" s="38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E122" s="42"/>
    </row>
    <row r="123" spans="1:31">
      <c r="A123" s="1" t="s">
        <v>177</v>
      </c>
      <c r="B123" s="1"/>
      <c r="C123" s="12" t="e">
        <f>651938+#REF!*1000</f>
        <v>#REF!</v>
      </c>
      <c r="D123" s="12">
        <v>640984.27568677999</v>
      </c>
      <c r="E123" s="162">
        <f>$E$84</f>
        <v>4.9139999999999997</v>
      </c>
      <c r="F123" s="1" t="s">
        <v>178</v>
      </c>
      <c r="G123" s="2" t="e">
        <f>ROUND(E123*$C123/100,0)</f>
        <v>#REF!</v>
      </c>
      <c r="H123" s="2">
        <f>ROUND(E123*$D123/100,0)</f>
        <v>31498</v>
      </c>
      <c r="I123" s="162">
        <f>$I$84</f>
        <v>5.4039999999999999</v>
      </c>
      <c r="J123" s="1" t="s">
        <v>178</v>
      </c>
      <c r="K123" s="2" t="e">
        <f>ROUND(I123*$C123/100,0)</f>
        <v>#REF!</v>
      </c>
      <c r="M123" s="11"/>
      <c r="N123" s="11"/>
      <c r="O123" s="38"/>
      <c r="P123" s="38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E123" s="42"/>
    </row>
    <row r="124" spans="1:31">
      <c r="A124" s="1" t="s">
        <v>179</v>
      </c>
      <c r="B124" s="1"/>
      <c r="C124" s="12" t="e">
        <f>2681515-C123+#REF!*1000+#REF!*1000</f>
        <v>#REF!</v>
      </c>
      <c r="D124" s="12">
        <v>2201637.146921176</v>
      </c>
      <c r="E124" s="162">
        <f>$E$85</f>
        <v>7.7510000000000003</v>
      </c>
      <c r="F124" s="1" t="s">
        <v>178</v>
      </c>
      <c r="G124" s="2" t="e">
        <f>ROUND(E124*$C124/100,0)</f>
        <v>#REF!</v>
      </c>
      <c r="H124" s="2">
        <f>ROUND(E124*$D124/100,0)</f>
        <v>170649</v>
      </c>
      <c r="I124" s="162">
        <f>$I$85</f>
        <v>8.520999999999999</v>
      </c>
      <c r="J124" s="1" t="s">
        <v>178</v>
      </c>
      <c r="K124" s="2" t="e">
        <f>ROUND(I124*$C124/100,0)</f>
        <v>#REF!</v>
      </c>
      <c r="M124" s="11"/>
      <c r="N124" s="11"/>
      <c r="O124" s="38"/>
      <c r="P124" s="38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E124" s="42"/>
    </row>
    <row r="125" spans="1:31">
      <c r="A125" s="1" t="s">
        <v>181</v>
      </c>
      <c r="B125" s="1"/>
      <c r="C125" s="12">
        <v>4907</v>
      </c>
      <c r="D125" s="12">
        <v>5762.7171576037508</v>
      </c>
      <c r="E125" s="164">
        <f>$E$86</f>
        <v>1.55</v>
      </c>
      <c r="F125" s="1"/>
      <c r="G125" s="2">
        <f>ROUND(E125*$C125,0)</f>
        <v>7606</v>
      </c>
      <c r="H125" s="2">
        <f>ROUND(E125*$D125,0)</f>
        <v>8932</v>
      </c>
      <c r="I125" s="164">
        <f>$I$86</f>
        <v>1.65</v>
      </c>
      <c r="J125" s="1"/>
      <c r="K125" s="2">
        <f>ROUND(I125*$C125,0)</f>
        <v>8097</v>
      </c>
      <c r="M125" s="11"/>
      <c r="N125" s="11"/>
      <c r="O125" s="38"/>
      <c r="P125" s="38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E125" s="42"/>
    </row>
    <row r="126" spans="1:31">
      <c r="A126" s="166" t="s">
        <v>183</v>
      </c>
      <c r="B126" s="166"/>
      <c r="C126" s="12">
        <v>822</v>
      </c>
      <c r="D126" s="12">
        <v>965.3461388934752</v>
      </c>
      <c r="E126" s="164">
        <f>$E$87</f>
        <v>3</v>
      </c>
      <c r="F126" s="166"/>
      <c r="G126" s="2">
        <f>ROUND(E126*$C126,0)</f>
        <v>2466</v>
      </c>
      <c r="H126" s="2">
        <f>ROUND(E126*$D126,0)</f>
        <v>2896</v>
      </c>
      <c r="I126" s="164">
        <f>$I$87</f>
        <v>3.1999999999999997</v>
      </c>
      <c r="J126" s="166"/>
      <c r="K126" s="2">
        <f>ROUND(I126*$C126,0)</f>
        <v>2630</v>
      </c>
      <c r="M126" s="11"/>
      <c r="N126" s="11"/>
      <c r="O126" s="38"/>
      <c r="P126" s="38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E126" s="42"/>
    </row>
    <row r="127" spans="1:31">
      <c r="A127" s="166" t="s">
        <v>184</v>
      </c>
      <c r="B127" s="166"/>
      <c r="C127" s="12">
        <v>48</v>
      </c>
      <c r="D127" s="12">
        <v>56.370577453633587</v>
      </c>
      <c r="E127" s="167">
        <f>-E125</f>
        <v>-1.55</v>
      </c>
      <c r="F127" s="166"/>
      <c r="G127" s="2">
        <f>ROUND(E127*$C127,0)</f>
        <v>-74</v>
      </c>
      <c r="H127" s="2">
        <f>ROUND(E127*$D127,0)</f>
        <v>-87</v>
      </c>
      <c r="I127" s="167">
        <f>-I125</f>
        <v>-1.65</v>
      </c>
      <c r="J127" s="166"/>
      <c r="K127" s="2">
        <f>ROUND(I127*$C127,0)</f>
        <v>-79</v>
      </c>
      <c r="M127" s="11"/>
      <c r="N127" s="11"/>
      <c r="O127" s="38"/>
      <c r="P127" s="38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E127" s="42"/>
    </row>
    <row r="128" spans="1:31">
      <c r="A128" s="1" t="s">
        <v>185</v>
      </c>
      <c r="B128" s="168"/>
      <c r="C128" s="12" t="e">
        <f>SUM(C123:C124)</f>
        <v>#REF!</v>
      </c>
      <c r="D128" s="12">
        <v>2842621.4226079565</v>
      </c>
      <c r="E128" s="169"/>
      <c r="F128" s="2"/>
      <c r="G128" s="2" t="e">
        <f>SUM(G122:G127)</f>
        <v>#REF!</v>
      </c>
      <c r="H128" s="2">
        <f>SUM(H122:H127)</f>
        <v>220818</v>
      </c>
      <c r="I128" s="2"/>
      <c r="J128" s="2"/>
      <c r="K128" s="2" t="e">
        <f>SUM(K122:K127)</f>
        <v>#REF!</v>
      </c>
      <c r="M128" s="11"/>
      <c r="N128" s="11"/>
      <c r="O128" s="38"/>
      <c r="P128" s="38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E128" s="42"/>
    </row>
    <row r="129" spans="1:31">
      <c r="A129" s="1" t="s">
        <v>167</v>
      </c>
      <c r="B129" s="15"/>
      <c r="C129" s="180" t="e">
        <f>#REF!</f>
        <v>#REF!</v>
      </c>
      <c r="D129" s="171">
        <v>0</v>
      </c>
      <c r="E129" s="172"/>
      <c r="F129" s="172"/>
      <c r="G129" s="173" t="e">
        <f>#REF!</f>
        <v>#REF!</v>
      </c>
      <c r="H129" s="173">
        <v>0</v>
      </c>
      <c r="I129" s="172"/>
      <c r="J129" s="172"/>
      <c r="K129" s="173" t="e">
        <f>G129</f>
        <v>#REF!</v>
      </c>
      <c r="M129" s="307"/>
      <c r="N129" s="307"/>
      <c r="O129" s="150"/>
      <c r="P129" s="38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E129" s="42"/>
    </row>
    <row r="130" spans="1:31" ht="16.5" thickBot="1">
      <c r="A130" s="1" t="s">
        <v>186</v>
      </c>
      <c r="B130" s="1"/>
      <c r="C130" s="174" t="e">
        <f>C128+C129</f>
        <v>#REF!</v>
      </c>
      <c r="D130" s="174">
        <f>SUM(D128:D129)</f>
        <v>2842621.4226079565</v>
      </c>
      <c r="E130" s="175"/>
      <c r="F130" s="175"/>
      <c r="G130" s="175" t="e">
        <f>G128+G129</f>
        <v>#REF!</v>
      </c>
      <c r="H130" s="175">
        <f>H128+H129</f>
        <v>220818</v>
      </c>
      <c r="I130" s="175"/>
      <c r="J130" s="175"/>
      <c r="K130" s="175" t="e">
        <f>K128+K129</f>
        <v>#REF!</v>
      </c>
      <c r="M130" s="274"/>
      <c r="N130" s="274"/>
      <c r="O130" s="333"/>
      <c r="P130" s="38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E130" s="42"/>
    </row>
    <row r="131" spans="1:31" ht="16.5" thickTop="1">
      <c r="A131" s="1"/>
      <c r="B131" s="176"/>
      <c r="C131" s="12"/>
      <c r="D131" s="12"/>
      <c r="E131" s="12"/>
      <c r="F131" s="12"/>
      <c r="I131" s="1" t="s">
        <v>13</v>
      </c>
      <c r="J131" s="1"/>
      <c r="K131" s="2" t="s">
        <v>13</v>
      </c>
      <c r="M131" s="11"/>
      <c r="N131" s="11"/>
      <c r="O131" s="38"/>
      <c r="P131" s="38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E131" s="42"/>
    </row>
    <row r="132" spans="1:31">
      <c r="A132" s="156" t="s">
        <v>190</v>
      </c>
      <c r="B132" s="1"/>
      <c r="C132" s="1"/>
      <c r="D132" s="1"/>
      <c r="E132" s="12"/>
      <c r="F132" s="12"/>
      <c r="G132" s="1"/>
      <c r="H132" s="1"/>
      <c r="I132" s="12"/>
      <c r="J132" s="1"/>
      <c r="K132" s="1"/>
      <c r="M132" s="11"/>
      <c r="N132" s="11"/>
      <c r="O132" s="38"/>
      <c r="P132" s="38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E132" s="42"/>
    </row>
    <row r="133" spans="1:31">
      <c r="A133" s="1" t="s">
        <v>135</v>
      </c>
      <c r="B133" s="1"/>
      <c r="C133" s="1"/>
      <c r="D133" s="12"/>
      <c r="E133" s="12"/>
      <c r="F133" s="12"/>
      <c r="G133" s="1"/>
      <c r="H133" s="1"/>
      <c r="I133" s="12"/>
      <c r="J133" s="1"/>
      <c r="K133" s="1"/>
      <c r="M133" s="11"/>
      <c r="N133" s="11"/>
      <c r="O133" s="38"/>
      <c r="P133" s="38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E133" s="42"/>
    </row>
    <row r="134" spans="1:31">
      <c r="A134" s="160"/>
      <c r="B134" s="1"/>
      <c r="C134" s="1"/>
      <c r="D134" s="1"/>
      <c r="E134" s="12"/>
      <c r="F134" s="12"/>
      <c r="G134" s="1"/>
      <c r="H134" s="1"/>
      <c r="I134" s="12"/>
      <c r="J134" s="1"/>
      <c r="K134" s="1"/>
      <c r="M134" s="11"/>
      <c r="N134" s="11"/>
      <c r="O134" s="38"/>
      <c r="P134" s="38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E134" s="42"/>
    </row>
    <row r="135" spans="1:31">
      <c r="A135" s="1" t="s">
        <v>174</v>
      </c>
      <c r="B135" s="1"/>
      <c r="C135" s="12">
        <v>302</v>
      </c>
      <c r="D135" s="12">
        <v>315</v>
      </c>
      <c r="E135" s="161">
        <f>$E$83</f>
        <v>6</v>
      </c>
      <c r="F135" s="1"/>
      <c r="G135" s="2">
        <f>ROUND(E135*$C135,0)</f>
        <v>1812</v>
      </c>
      <c r="H135" s="2">
        <f>ROUND(E135*$D135,0)</f>
        <v>1890</v>
      </c>
      <c r="I135" s="161">
        <f>$I$83</f>
        <v>6.75</v>
      </c>
      <c r="J135" s="1"/>
      <c r="K135" s="2">
        <f>ROUND(I135*$C135,0)</f>
        <v>2039</v>
      </c>
      <c r="M135" s="11"/>
      <c r="N135" s="11"/>
      <c r="O135" s="38"/>
      <c r="P135" s="38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E135" s="42"/>
    </row>
    <row r="136" spans="1:31">
      <c r="A136" s="1" t="s">
        <v>177</v>
      </c>
      <c r="B136" s="1"/>
      <c r="C136" s="12">
        <v>176584</v>
      </c>
      <c r="D136" s="12">
        <v>210143.84162810302</v>
      </c>
      <c r="E136" s="162">
        <f>$E$84</f>
        <v>4.9139999999999997</v>
      </c>
      <c r="F136" s="1" t="s">
        <v>178</v>
      </c>
      <c r="G136" s="2">
        <f>ROUND(E136*$C136/100,0)</f>
        <v>8677</v>
      </c>
      <c r="H136" s="2">
        <f>ROUND(E136*$D136/100,0)</f>
        <v>10326</v>
      </c>
      <c r="I136" s="162">
        <f>$I$84</f>
        <v>5.4039999999999999</v>
      </c>
      <c r="J136" s="1" t="s">
        <v>178</v>
      </c>
      <c r="K136" s="2">
        <f>ROUND(I136*$C136/100,0)</f>
        <v>9543</v>
      </c>
      <c r="M136" s="11"/>
      <c r="N136" s="11"/>
      <c r="O136" s="38"/>
      <c r="P136" s="38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E136" s="42"/>
    </row>
    <row r="137" spans="1:31">
      <c r="A137" s="1" t="s">
        <v>179</v>
      </c>
      <c r="B137" s="1"/>
      <c r="C137" s="12">
        <f>637329-C136</f>
        <v>460745</v>
      </c>
      <c r="D137" s="12">
        <v>548309.72404600831</v>
      </c>
      <c r="E137" s="162">
        <f>$E$85</f>
        <v>7.7510000000000003</v>
      </c>
      <c r="F137" s="1" t="s">
        <v>178</v>
      </c>
      <c r="G137" s="2">
        <f>ROUND(E137*$C137/100,0)</f>
        <v>35712</v>
      </c>
      <c r="H137" s="2">
        <f>ROUND(E137*$D137/100,0)</f>
        <v>42499</v>
      </c>
      <c r="I137" s="162">
        <f>$I$85</f>
        <v>8.520999999999999</v>
      </c>
      <c r="J137" s="1" t="s">
        <v>178</v>
      </c>
      <c r="K137" s="2">
        <f>ROUND(I137*$C137/100,0)</f>
        <v>39260</v>
      </c>
      <c r="M137" s="11"/>
      <c r="N137" s="11"/>
      <c r="O137" s="38"/>
      <c r="P137" s="38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E137" s="42"/>
    </row>
    <row r="138" spans="1:31">
      <c r="A138" s="1" t="s">
        <v>181</v>
      </c>
      <c r="B138" s="1"/>
      <c r="C138" s="12">
        <v>1016</v>
      </c>
      <c r="D138" s="12">
        <v>1209.0911016522034</v>
      </c>
      <c r="E138" s="164">
        <f>$E$86</f>
        <v>1.55</v>
      </c>
      <c r="F138" s="1"/>
      <c r="G138" s="2">
        <f>ROUND(E138*$C138,0)</f>
        <v>1575</v>
      </c>
      <c r="H138" s="2">
        <f>ROUND(E138*$D138,0)</f>
        <v>1874</v>
      </c>
      <c r="I138" s="164">
        <f>$I$86</f>
        <v>1.65</v>
      </c>
      <c r="J138" s="1"/>
      <c r="K138" s="2">
        <f>ROUND(I138*$C138,0)</f>
        <v>1676</v>
      </c>
      <c r="M138" s="11"/>
      <c r="N138" s="11"/>
      <c r="O138" s="38"/>
      <c r="P138" s="38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E138" s="42"/>
    </row>
    <row r="139" spans="1:31">
      <c r="A139" s="166" t="s">
        <v>183</v>
      </c>
      <c r="B139" s="166"/>
      <c r="C139" s="12">
        <v>157</v>
      </c>
      <c r="D139" s="12">
        <v>186.83789661357866</v>
      </c>
      <c r="E139" s="164">
        <f>$E$87</f>
        <v>3</v>
      </c>
      <c r="F139" s="166"/>
      <c r="G139" s="2">
        <f>ROUND(E139*$C139,0)</f>
        <v>471</v>
      </c>
      <c r="H139" s="2">
        <f>ROUND(E139*$D139,0)</f>
        <v>561</v>
      </c>
      <c r="I139" s="164">
        <f>$I$87</f>
        <v>3.1999999999999997</v>
      </c>
      <c r="J139" s="166"/>
      <c r="K139" s="2">
        <f>ROUND(I139*$C139,0)</f>
        <v>502</v>
      </c>
      <c r="M139" s="11"/>
      <c r="N139" s="11"/>
      <c r="O139" s="38"/>
      <c r="P139" s="38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E139" s="42"/>
    </row>
    <row r="140" spans="1:31">
      <c r="A140" s="166" t="s">
        <v>184</v>
      </c>
      <c r="B140" s="166"/>
      <c r="C140" s="12">
        <v>22</v>
      </c>
      <c r="D140" s="12">
        <v>26.181106531839049</v>
      </c>
      <c r="E140" s="167">
        <f>-E138</f>
        <v>-1.55</v>
      </c>
      <c r="F140" s="166"/>
      <c r="G140" s="2">
        <f>ROUND(E140*$C140,0)</f>
        <v>-34</v>
      </c>
      <c r="H140" s="2">
        <f>ROUND(E140*$D140,0)</f>
        <v>-41</v>
      </c>
      <c r="I140" s="167">
        <f>-I138</f>
        <v>-1.65</v>
      </c>
      <c r="J140" s="166"/>
      <c r="K140" s="2">
        <f>ROUND(I140*$C140,0)</f>
        <v>-36</v>
      </c>
      <c r="M140" s="11"/>
      <c r="N140" s="11"/>
      <c r="O140" s="38"/>
      <c r="P140" s="38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E140" s="42"/>
    </row>
    <row r="141" spans="1:31">
      <c r="A141" s="1" t="s">
        <v>185</v>
      </c>
      <c r="B141" s="1"/>
      <c r="C141" s="12">
        <f>SUM(C136:C137)</f>
        <v>637329</v>
      </c>
      <c r="D141" s="12">
        <v>758453.56567411136</v>
      </c>
      <c r="E141" s="169"/>
      <c r="F141" s="2"/>
      <c r="G141" s="2">
        <f>SUM(G135:G140)</f>
        <v>48213</v>
      </c>
      <c r="H141" s="2">
        <f>SUM(H135:H140)</f>
        <v>57109</v>
      </c>
      <c r="I141" s="2"/>
      <c r="J141" s="2"/>
      <c r="K141" s="2">
        <f>SUM(K135:K140)</f>
        <v>52984</v>
      </c>
      <c r="M141" s="11"/>
      <c r="N141" s="11"/>
      <c r="O141" s="38"/>
      <c r="P141" s="38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E141" s="42"/>
    </row>
    <row r="142" spans="1:31">
      <c r="A142" s="1" t="s">
        <v>167</v>
      </c>
      <c r="B142" s="1"/>
      <c r="C142" s="180" t="e">
        <f>#REF!</f>
        <v>#REF!</v>
      </c>
      <c r="D142" s="171">
        <v>0</v>
      </c>
      <c r="E142" s="172"/>
      <c r="F142" s="172"/>
      <c r="G142" s="173" t="e">
        <f>#REF!</f>
        <v>#REF!</v>
      </c>
      <c r="H142" s="173">
        <v>0</v>
      </c>
      <c r="I142" s="172"/>
      <c r="J142" s="172"/>
      <c r="K142" s="173" t="e">
        <f>G142</f>
        <v>#REF!</v>
      </c>
      <c r="M142" s="307"/>
      <c r="N142" s="307"/>
      <c r="O142" s="150"/>
      <c r="P142" s="38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E142" s="42"/>
    </row>
    <row r="143" spans="1:31" ht="16.5" thickBot="1">
      <c r="A143" s="1" t="s">
        <v>186</v>
      </c>
      <c r="B143" s="1"/>
      <c r="C143" s="174" t="e">
        <f>C141+C142</f>
        <v>#REF!</v>
      </c>
      <c r="D143" s="174">
        <f>SUM(D141:D142)</f>
        <v>758453.56567411136</v>
      </c>
      <c r="E143" s="175"/>
      <c r="F143" s="175"/>
      <c r="G143" s="175" t="e">
        <f>G141+G142</f>
        <v>#REF!</v>
      </c>
      <c r="H143" s="175">
        <f>H141+H142</f>
        <v>57109</v>
      </c>
      <c r="I143" s="175"/>
      <c r="J143" s="175"/>
      <c r="K143" s="175" t="e">
        <f>K141+K142</f>
        <v>#REF!</v>
      </c>
      <c r="M143" s="274"/>
      <c r="N143" s="274"/>
      <c r="O143" s="333"/>
      <c r="P143" s="38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E143" s="42"/>
    </row>
    <row r="144" spans="1:31" ht="16.5" thickTop="1">
      <c r="A144" s="1"/>
      <c r="B144" s="176"/>
      <c r="C144" s="12"/>
      <c r="D144" s="12"/>
      <c r="E144" s="12"/>
      <c r="F144" s="12"/>
      <c r="I144" s="1" t="s">
        <v>13</v>
      </c>
      <c r="J144" s="1"/>
      <c r="K144" s="2" t="s">
        <v>13</v>
      </c>
      <c r="M144" s="11"/>
      <c r="N144" s="11"/>
      <c r="O144" s="38"/>
      <c r="P144" s="38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E144" s="42"/>
    </row>
    <row r="145" spans="1:31">
      <c r="A145" s="156" t="s">
        <v>191</v>
      </c>
      <c r="B145" s="1"/>
      <c r="C145" s="1"/>
      <c r="D145" s="1"/>
      <c r="E145" s="2"/>
      <c r="F145" s="2"/>
      <c r="G145" s="1" t="s">
        <v>13</v>
      </c>
      <c r="H145" s="1"/>
      <c r="I145" s="2"/>
      <c r="J145" s="1"/>
      <c r="K145" s="1"/>
      <c r="M145" s="11"/>
      <c r="N145" s="11"/>
      <c r="O145" s="38"/>
      <c r="P145" s="38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E145" s="42"/>
    </row>
    <row r="146" spans="1:31">
      <c r="A146" s="1" t="s">
        <v>192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M146" s="11"/>
      <c r="N146" s="11"/>
      <c r="O146" s="38"/>
      <c r="P146" s="38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E146" s="42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M147" s="11"/>
      <c r="N147" s="11"/>
      <c r="P147" s="38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E147" s="42"/>
    </row>
    <row r="148" spans="1:31">
      <c r="A148" s="1" t="s">
        <v>193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M148" s="11"/>
      <c r="N148" s="11"/>
      <c r="O148" s="38"/>
      <c r="P148" s="38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E148" s="42"/>
    </row>
    <row r="149" spans="1:31">
      <c r="A149" s="1" t="s">
        <v>194</v>
      </c>
      <c r="B149" s="1"/>
      <c r="C149" s="12">
        <f>C384</f>
        <v>1</v>
      </c>
      <c r="D149" s="12">
        <f>D384</f>
        <v>1</v>
      </c>
      <c r="E149" s="161">
        <v>90.36</v>
      </c>
      <c r="F149" s="2"/>
      <c r="G149" s="2">
        <f t="shared" ref="G149:H151" si="8">G355</f>
        <v>90</v>
      </c>
      <c r="H149" s="2">
        <f t="shared" si="8"/>
        <v>90</v>
      </c>
      <c r="I149" s="161">
        <f>I153*12</f>
        <v>96</v>
      </c>
      <c r="J149" s="1"/>
      <c r="K149" s="2">
        <f>K355</f>
        <v>96</v>
      </c>
      <c r="M149" s="42">
        <f>I149*D149</f>
        <v>96</v>
      </c>
      <c r="O149" s="8">
        <f>(I149-E149)/E149</f>
        <v>6.2416998671978759E-2</v>
      </c>
      <c r="T149" s="3" t="s">
        <v>175</v>
      </c>
      <c r="U149" s="3" t="s">
        <v>120</v>
      </c>
      <c r="V149" s="3" t="s">
        <v>176</v>
      </c>
      <c r="W149" s="3" t="s">
        <v>126</v>
      </c>
      <c r="X149" s="11"/>
      <c r="Y149" s="11"/>
      <c r="Z149" s="11"/>
      <c r="AA149" s="11"/>
      <c r="AB149" s="11"/>
      <c r="AC149" s="11"/>
      <c r="AE149" s="42"/>
    </row>
    <row r="150" spans="1:31">
      <c r="A150" s="1" t="s">
        <v>195</v>
      </c>
      <c r="B150" s="1"/>
      <c r="C150" s="12">
        <f>C356</f>
        <v>107</v>
      </c>
      <c r="D150" s="12">
        <f>D356</f>
        <v>109.09090909090909</v>
      </c>
      <c r="E150" s="161">
        <v>134.16</v>
      </c>
      <c r="F150" s="2"/>
      <c r="G150" s="2">
        <f t="shared" si="8"/>
        <v>14355</v>
      </c>
      <c r="H150" s="2">
        <f t="shared" si="8"/>
        <v>14635</v>
      </c>
      <c r="I150" s="161">
        <f>I154*12</f>
        <v>142.53386454183266</v>
      </c>
      <c r="J150" s="1"/>
      <c r="K150" s="2">
        <f>K356</f>
        <v>15252</v>
      </c>
      <c r="M150" s="42">
        <f>I150*D150</f>
        <v>15549.148859109018</v>
      </c>
      <c r="N150" s="42"/>
      <c r="O150" s="8">
        <f>(I150-E150)/E150</f>
        <v>6.2416998671978682E-2</v>
      </c>
      <c r="S150" s="3" t="s">
        <v>7</v>
      </c>
      <c r="T150" s="42">
        <f>H149+H150+H153+H154</f>
        <v>1828725</v>
      </c>
      <c r="U150" s="42">
        <f>K149+K150+K153+K154</f>
        <v>1959163</v>
      </c>
      <c r="V150" s="49">
        <v>1916638.7857408486</v>
      </c>
      <c r="W150" s="101">
        <f>U150/V150</f>
        <v>1.0221868693128393</v>
      </c>
      <c r="X150" s="11"/>
      <c r="Y150" s="11"/>
      <c r="Z150" s="11"/>
      <c r="AA150" s="11"/>
      <c r="AB150" s="11"/>
      <c r="AC150" s="11"/>
      <c r="AE150" s="42"/>
    </row>
    <row r="151" spans="1:31">
      <c r="A151" s="1" t="s">
        <v>196</v>
      </c>
      <c r="B151" s="1"/>
      <c r="C151" s="12">
        <f>C357</f>
        <v>4321</v>
      </c>
      <c r="D151" s="12">
        <f>D357</f>
        <v>1974</v>
      </c>
      <c r="E151" s="161">
        <v>9.36</v>
      </c>
      <c r="F151" s="2"/>
      <c r="G151" s="2">
        <f t="shared" si="8"/>
        <v>40445</v>
      </c>
      <c r="H151" s="2">
        <f t="shared" si="8"/>
        <v>18476</v>
      </c>
      <c r="I151" s="161">
        <v>9.94</v>
      </c>
      <c r="J151" s="1"/>
      <c r="K151" s="2">
        <f>K357</f>
        <v>42951</v>
      </c>
      <c r="M151" s="42">
        <f>I151*D151</f>
        <v>19621.559999999998</v>
      </c>
      <c r="O151" s="8">
        <f>(I151-E151)/E151</f>
        <v>6.1965811965811975E-2</v>
      </c>
      <c r="R151" s="3" t="s">
        <v>13</v>
      </c>
      <c r="S151" s="3" t="s">
        <v>208</v>
      </c>
      <c r="T151" s="42" t="e">
        <f>H155</f>
        <v>#REF!</v>
      </c>
      <c r="U151" s="42">
        <f>K155</f>
        <v>1061210</v>
      </c>
      <c r="V151" s="49">
        <v>5367292.197431691</v>
      </c>
      <c r="W151" s="101">
        <f>U151/V151</f>
        <v>0.19771794807590329</v>
      </c>
      <c r="X151" s="11"/>
      <c r="Y151" s="11"/>
      <c r="Z151" s="11"/>
      <c r="AA151" s="11"/>
      <c r="AB151" s="11"/>
      <c r="AC151" s="11"/>
      <c r="AE151" s="42"/>
    </row>
    <row r="152" spans="1:31">
      <c r="A152" s="1" t="s">
        <v>197</v>
      </c>
      <c r="B152" s="1"/>
      <c r="C152" s="182"/>
      <c r="D152" s="182"/>
      <c r="E152" s="2"/>
      <c r="F152" s="2"/>
      <c r="G152" s="1"/>
      <c r="H152" s="1"/>
      <c r="I152" s="2"/>
      <c r="J152" s="1"/>
      <c r="K152" s="1"/>
      <c r="O152" s="183"/>
      <c r="S152" s="3" t="s">
        <v>180</v>
      </c>
      <c r="T152" s="42" t="e">
        <f>SUM(H159:H161)-Q159</f>
        <v>#REF!</v>
      </c>
      <c r="U152" s="42" t="e">
        <f>SUM(K159:K161)-R159</f>
        <v>#REF!</v>
      </c>
      <c r="V152" s="49">
        <v>26743743.576655678</v>
      </c>
      <c r="W152" s="101" t="e">
        <f>U152/V152</f>
        <v>#REF!</v>
      </c>
      <c r="X152" s="11"/>
      <c r="Y152" s="11"/>
      <c r="Z152" s="11"/>
      <c r="AA152" s="11"/>
      <c r="AB152" s="11"/>
      <c r="AC152" s="11"/>
      <c r="AE152" s="42"/>
    </row>
    <row r="153" spans="1:31">
      <c r="A153" s="1" t="s">
        <v>194</v>
      </c>
      <c r="B153" s="1"/>
      <c r="C153" s="182">
        <f t="shared" ref="C153:D155" si="9">C183+C267</f>
        <v>153375</v>
      </c>
      <c r="D153" s="182">
        <f t="shared" si="9"/>
        <v>152066</v>
      </c>
      <c r="E153" s="161">
        <v>7.53</v>
      </c>
      <c r="F153" s="184"/>
      <c r="G153" s="185">
        <f t="shared" ref="G153:H155" si="10">G183+G267</f>
        <v>1154913</v>
      </c>
      <c r="H153" s="185">
        <f t="shared" si="10"/>
        <v>1145056</v>
      </c>
      <c r="I153" s="161">
        <v>8</v>
      </c>
      <c r="J153" s="186"/>
      <c r="K153" s="185">
        <f>K183+K267</f>
        <v>1227000</v>
      </c>
      <c r="M153" s="42">
        <f>I153*D153</f>
        <v>1216528</v>
      </c>
      <c r="O153" s="8">
        <f>(I153-E153)/E153</f>
        <v>6.2416998671978717E-2</v>
      </c>
      <c r="S153" s="3" t="s">
        <v>210</v>
      </c>
      <c r="T153" s="42" t="e">
        <f>H158+Q159</f>
        <v>#REF!</v>
      </c>
      <c r="U153" s="42" t="e">
        <f>K158+R159</f>
        <v>#REF!</v>
      </c>
      <c r="V153" s="49">
        <v>4454867.4522770187</v>
      </c>
      <c r="W153" s="101" t="e">
        <f>U153/V153</f>
        <v>#REF!</v>
      </c>
      <c r="X153" s="11"/>
      <c r="Y153" s="11"/>
      <c r="Z153" s="11"/>
      <c r="AA153" s="11"/>
      <c r="AB153" s="11"/>
      <c r="AC153" s="11"/>
      <c r="AE153" s="42"/>
    </row>
    <row r="154" spans="1:31">
      <c r="A154" s="1" t="s">
        <v>195</v>
      </c>
      <c r="B154" s="1"/>
      <c r="C154" s="182">
        <f t="shared" si="9"/>
        <v>60349</v>
      </c>
      <c r="D154" s="182">
        <f t="shared" si="9"/>
        <v>59834</v>
      </c>
      <c r="E154" s="161">
        <v>11.18</v>
      </c>
      <c r="F154" s="187"/>
      <c r="G154" s="185">
        <f t="shared" si="10"/>
        <v>674702</v>
      </c>
      <c r="H154" s="185">
        <f t="shared" si="10"/>
        <v>668944</v>
      </c>
      <c r="I154" s="161">
        <f>I153/E153*E154</f>
        <v>11.877822045152721</v>
      </c>
      <c r="J154" s="188"/>
      <c r="K154" s="185">
        <f>K184+K268</f>
        <v>716815</v>
      </c>
      <c r="M154" s="42">
        <f>I154*D154</f>
        <v>710697.60424966784</v>
      </c>
      <c r="O154" s="8">
        <f>(I154-E154)/E154</f>
        <v>6.2416998671978627E-2</v>
      </c>
      <c r="Q154" s="42"/>
      <c r="V154" s="11"/>
      <c r="W154" s="11"/>
      <c r="X154" s="11"/>
      <c r="Y154" s="11"/>
      <c r="Z154" s="11"/>
      <c r="AA154" s="11"/>
      <c r="AB154" s="11"/>
      <c r="AC154" s="11"/>
      <c r="AE154" s="42"/>
    </row>
    <row r="155" spans="1:31">
      <c r="A155" s="1" t="s">
        <v>196</v>
      </c>
      <c r="B155" s="1"/>
      <c r="C155" s="182">
        <f t="shared" si="9"/>
        <v>1278566</v>
      </c>
      <c r="D155" s="182" t="e">
        <f t="shared" si="9"/>
        <v>#REF!</v>
      </c>
      <c r="E155" s="161">
        <v>0.78</v>
      </c>
      <c r="F155" s="187"/>
      <c r="G155" s="185">
        <f t="shared" si="10"/>
        <v>997281</v>
      </c>
      <c r="H155" s="185" t="e">
        <f t="shared" si="10"/>
        <v>#REF!</v>
      </c>
      <c r="I155" s="161">
        <v>0.83</v>
      </c>
      <c r="J155" s="188"/>
      <c r="K155" s="185">
        <f>K185+K269</f>
        <v>1061210</v>
      </c>
      <c r="M155" s="42" t="e">
        <f>I155*D155</f>
        <v>#REF!</v>
      </c>
      <c r="O155" s="8">
        <f>(I155-E155)/E155</f>
        <v>6.4102564102564014E-2</v>
      </c>
      <c r="R155" s="9"/>
      <c r="S155" s="9"/>
      <c r="V155" s="11"/>
      <c r="W155" s="11"/>
      <c r="X155" s="11"/>
      <c r="Y155" s="11"/>
      <c r="Z155" s="11"/>
      <c r="AA155" s="11"/>
      <c r="AB155" s="11"/>
      <c r="AC155" s="11"/>
      <c r="AE155" s="42"/>
    </row>
    <row r="156" spans="1:31">
      <c r="A156" s="1" t="s">
        <v>198</v>
      </c>
      <c r="B156" s="1"/>
      <c r="C156" s="182">
        <f>SUM(C153:C154)</f>
        <v>213724</v>
      </c>
      <c r="D156" s="182">
        <f>SUM(D153:D154)</f>
        <v>211900</v>
      </c>
      <c r="E156" s="161"/>
      <c r="F156" s="184"/>
      <c r="G156" s="185"/>
      <c r="H156" s="185"/>
      <c r="I156" s="161"/>
      <c r="J156" s="186"/>
      <c r="K156" s="185"/>
      <c r="O156" s="183"/>
      <c r="V156" s="11"/>
      <c r="W156" s="11"/>
      <c r="X156" s="11"/>
      <c r="Y156" s="11"/>
      <c r="Z156" s="11"/>
      <c r="AA156" s="11"/>
      <c r="AB156" s="11"/>
      <c r="AC156" s="11"/>
      <c r="AE156" s="42"/>
    </row>
    <row r="157" spans="1:31">
      <c r="A157" s="1" t="s">
        <v>166</v>
      </c>
      <c r="B157" s="1"/>
      <c r="C157" s="182">
        <f t="shared" ref="C157:C162" si="11">C186+C271+C359</f>
        <v>211679</v>
      </c>
      <c r="D157" s="182">
        <f>D186+D271+D358</f>
        <v>208713.84090909091</v>
      </c>
      <c r="E157" s="161"/>
      <c r="F157" s="184"/>
      <c r="G157" s="185"/>
      <c r="H157" s="185"/>
      <c r="I157" s="161"/>
      <c r="J157" s="186"/>
      <c r="K157" s="185"/>
      <c r="O157" s="183"/>
      <c r="V157" s="11"/>
      <c r="W157" s="11"/>
      <c r="X157" s="11"/>
      <c r="Y157" s="11"/>
      <c r="Z157" s="11"/>
      <c r="AA157" s="11"/>
      <c r="AB157" s="11"/>
      <c r="AC157" s="11"/>
      <c r="AE157" s="42"/>
    </row>
    <row r="158" spans="1:31">
      <c r="A158" s="1" t="s">
        <v>199</v>
      </c>
      <c r="B158" s="1"/>
      <c r="C158" s="182">
        <f t="shared" si="11"/>
        <v>834211</v>
      </c>
      <c r="D158" s="182" t="e">
        <f>D187+D272+D360</f>
        <v>#REF!</v>
      </c>
      <c r="E158" s="161">
        <v>2.88</v>
      </c>
      <c r="F158" s="186"/>
      <c r="G158" s="185">
        <f t="shared" ref="G158:H162" si="12">G187+G272+G360</f>
        <v>2402528</v>
      </c>
      <c r="H158" s="185" t="e">
        <f t="shared" si="12"/>
        <v>#REF!</v>
      </c>
      <c r="I158" s="161">
        <v>2.97</v>
      </c>
      <c r="J158" s="186"/>
      <c r="K158" s="185">
        <f>K187+K272+K360</f>
        <v>2477606</v>
      </c>
      <c r="M158" s="42" t="e">
        <f>I158*D158</f>
        <v>#REF!</v>
      </c>
      <c r="O158" s="8">
        <f>(I158-E158)/E158</f>
        <v>3.1250000000000104E-2</v>
      </c>
      <c r="Q158" s="3" t="s">
        <v>200</v>
      </c>
      <c r="V158" s="11"/>
      <c r="W158" s="11"/>
      <c r="X158" s="11"/>
      <c r="Y158" s="11"/>
      <c r="Z158" s="11"/>
      <c r="AA158" s="11"/>
      <c r="AB158" s="11"/>
      <c r="AC158" s="11"/>
      <c r="AE158" s="42"/>
    </row>
    <row r="159" spans="1:31">
      <c r="A159" s="1" t="s">
        <v>201</v>
      </c>
      <c r="B159" s="1"/>
      <c r="C159" s="182" t="e">
        <f t="shared" si="11"/>
        <v>#REF!</v>
      </c>
      <c r="D159" s="182" t="e">
        <f>D188+D273+D361</f>
        <v>#REF!</v>
      </c>
      <c r="E159" s="162">
        <v>8.0890000000000004</v>
      </c>
      <c r="F159" s="186" t="s">
        <v>178</v>
      </c>
      <c r="G159" s="185" t="e">
        <f t="shared" si="12"/>
        <v>#REF!</v>
      </c>
      <c r="H159" s="185" t="e">
        <f t="shared" si="12"/>
        <v>#REF!</v>
      </c>
      <c r="I159" s="162">
        <v>8.8109999999999999</v>
      </c>
      <c r="J159" s="186" t="s">
        <v>178</v>
      </c>
      <c r="K159" s="185" t="e">
        <f>K188+K273+K361</f>
        <v>#REF!</v>
      </c>
      <c r="M159" s="42" t="e">
        <f>(I159/100)*D159</f>
        <v>#REF!</v>
      </c>
      <c r="O159" s="8">
        <f>(I159-E159)/E159</f>
        <v>8.9257015700333731E-2</v>
      </c>
      <c r="Q159" s="100" t="e">
        <f>H159+H160-(D159+D160)*E161/100</f>
        <v>#REF!</v>
      </c>
      <c r="R159" s="100" t="e">
        <f>K159+K160-(D159+D160)*I161/100</f>
        <v>#REF!</v>
      </c>
      <c r="V159" s="11"/>
      <c r="W159" s="11"/>
      <c r="X159" s="11"/>
      <c r="Y159" s="11"/>
      <c r="Z159" s="11"/>
      <c r="AA159" s="11"/>
      <c r="AB159" s="11"/>
      <c r="AC159" s="11"/>
      <c r="AE159" s="42"/>
    </row>
    <row r="160" spans="1:31">
      <c r="A160" s="1" t="s">
        <v>202</v>
      </c>
      <c r="B160" s="1"/>
      <c r="C160" s="182" t="e">
        <f t="shared" si="11"/>
        <v>#REF!</v>
      </c>
      <c r="D160" s="182" t="e">
        <f>D189+D274+D362</f>
        <v>#REF!</v>
      </c>
      <c r="E160" s="162">
        <v>5.5839999999999996</v>
      </c>
      <c r="F160" s="186" t="s">
        <v>178</v>
      </c>
      <c r="G160" s="185" t="e">
        <f t="shared" si="12"/>
        <v>#REF!</v>
      </c>
      <c r="H160" s="185" t="e">
        <f t="shared" si="12"/>
        <v>#REF!</v>
      </c>
      <c r="I160" s="162">
        <f>ROUND(I159/E159*E160,3)</f>
        <v>6.0819999999999999</v>
      </c>
      <c r="J160" s="186" t="s">
        <v>178</v>
      </c>
      <c r="K160" s="185" t="e">
        <f>K189+K274+K362</f>
        <v>#REF!</v>
      </c>
      <c r="M160" s="42" t="e">
        <f>(I160/100)*D160</f>
        <v>#REF!</v>
      </c>
      <c r="N160" s="192"/>
      <c r="O160" s="8">
        <f>(I160-E160)/E160</f>
        <v>8.9183381088825259E-2</v>
      </c>
      <c r="V160" s="11"/>
      <c r="W160" s="11"/>
      <c r="X160" s="11"/>
      <c r="Y160" s="11"/>
      <c r="Z160" s="11"/>
      <c r="AA160" s="11"/>
      <c r="AB160" s="11"/>
      <c r="AC160" s="11"/>
      <c r="AE160" s="42"/>
    </row>
    <row r="161" spans="1:31">
      <c r="A161" s="1" t="s">
        <v>203</v>
      </c>
      <c r="B161" s="1"/>
      <c r="C161" s="182" t="e">
        <f t="shared" si="11"/>
        <v>#REF!</v>
      </c>
      <c r="D161" s="182" t="e">
        <f>D190+D275+D363</f>
        <v>#REF!</v>
      </c>
      <c r="E161" s="162">
        <v>4.8099999999999996</v>
      </c>
      <c r="F161" s="186" t="s">
        <v>178</v>
      </c>
      <c r="G161" s="185" t="e">
        <f t="shared" si="12"/>
        <v>#REF!</v>
      </c>
      <c r="H161" s="185" t="e">
        <f t="shared" si="12"/>
        <v>#REF!</v>
      </c>
      <c r="I161" s="162">
        <f>ROUND(I159/E159*E161,3)+0.001</f>
        <v>5.24</v>
      </c>
      <c r="J161" s="186" t="s">
        <v>178</v>
      </c>
      <c r="K161" s="185" t="e">
        <f>K190+K275+K363</f>
        <v>#REF!</v>
      </c>
      <c r="M161" s="42" t="e">
        <f>(I161/100)*D161</f>
        <v>#REF!</v>
      </c>
      <c r="N161" s="163"/>
      <c r="O161" s="8">
        <f>(I161-E161)/E161</f>
        <v>8.9397089397089527E-2</v>
      </c>
      <c r="Q161" s="42" t="e">
        <f>K159+K160+K161-R159</f>
        <v>#REF!</v>
      </c>
      <c r="V161" s="11"/>
      <c r="W161" s="11"/>
      <c r="X161" s="11"/>
      <c r="Y161" s="11"/>
      <c r="Z161" s="11"/>
      <c r="AA161" s="11"/>
      <c r="AB161" s="11"/>
      <c r="AC161" s="11"/>
      <c r="AE161" s="42"/>
    </row>
    <row r="162" spans="1:31">
      <c r="A162" s="1" t="s">
        <v>204</v>
      </c>
      <c r="B162" s="1"/>
      <c r="C162" s="182">
        <f t="shared" si="11"/>
        <v>93898</v>
      </c>
      <c r="D162" s="182" t="e">
        <f>D191+D276+D364</f>
        <v>#REF!</v>
      </c>
      <c r="E162" s="193">
        <v>45</v>
      </c>
      <c r="F162" s="184" t="s">
        <v>178</v>
      </c>
      <c r="G162" s="185">
        <f t="shared" si="12"/>
        <v>42254</v>
      </c>
      <c r="H162" s="185" t="e">
        <f t="shared" si="12"/>
        <v>#REF!</v>
      </c>
      <c r="I162" s="193">
        <v>50</v>
      </c>
      <c r="J162" s="186" t="s">
        <v>178</v>
      </c>
      <c r="K162" s="185">
        <f>K191+K276+K364</f>
        <v>46950</v>
      </c>
      <c r="M162" s="42" t="e">
        <f>(I162/100)*D162</f>
        <v>#REF!</v>
      </c>
      <c r="O162" s="8">
        <f>(I162-E162)/E162</f>
        <v>0.1111111111111111</v>
      </c>
      <c r="V162" s="11"/>
      <c r="W162" s="11"/>
      <c r="X162" s="11"/>
      <c r="Y162" s="11"/>
      <c r="Z162" s="11"/>
      <c r="AA162" s="11"/>
      <c r="AB162" s="11"/>
      <c r="AC162" s="11"/>
      <c r="AE162" s="42"/>
    </row>
    <row r="163" spans="1:31">
      <c r="A163" s="194" t="s">
        <v>205</v>
      </c>
      <c r="B163" s="1"/>
      <c r="C163" s="182"/>
      <c r="D163" s="182"/>
      <c r="E163" s="195">
        <v>-0.01</v>
      </c>
      <c r="F163" s="184"/>
      <c r="G163" s="185"/>
      <c r="H163" s="185"/>
      <c r="I163" s="195">
        <v>-0.01</v>
      </c>
      <c r="J163" s="186"/>
      <c r="K163" s="185"/>
      <c r="O163" s="196"/>
      <c r="V163" s="11"/>
      <c r="W163" s="11"/>
      <c r="X163" s="11"/>
      <c r="Y163" s="11"/>
      <c r="Z163" s="11"/>
      <c r="AA163" s="11"/>
      <c r="AB163" s="11"/>
      <c r="AC163" s="11"/>
      <c r="AE163" s="42"/>
    </row>
    <row r="164" spans="1:31">
      <c r="A164" s="1" t="s">
        <v>194</v>
      </c>
      <c r="B164" s="1"/>
      <c r="C164" s="182">
        <f t="shared" ref="C164:D175" si="13">C193+C278+C366</f>
        <v>48</v>
      </c>
      <c r="D164" s="182">
        <f t="shared" si="13"/>
        <v>48</v>
      </c>
      <c r="E164" s="197">
        <f>E153</f>
        <v>7.53</v>
      </c>
      <c r="F164" s="184"/>
      <c r="G164" s="185">
        <f t="shared" ref="G164:H175" si="14">G193+G278+G366</f>
        <v>-4</v>
      </c>
      <c r="H164" s="185">
        <f t="shared" si="14"/>
        <v>-4</v>
      </c>
      <c r="I164" s="197">
        <f>I153</f>
        <v>8</v>
      </c>
      <c r="J164" s="184"/>
      <c r="K164" s="185">
        <f t="shared" ref="K164:K174" si="15">K193+K278+K366</f>
        <v>-4</v>
      </c>
      <c r="M164" s="42">
        <f>-(I164/100)*D164</f>
        <v>-3.84</v>
      </c>
      <c r="V164" s="11"/>
      <c r="W164" s="11"/>
      <c r="X164" s="11"/>
      <c r="Y164" s="11"/>
      <c r="Z164" s="11"/>
      <c r="AA164" s="11"/>
      <c r="AB164" s="11"/>
      <c r="AC164" s="11"/>
      <c r="AE164" s="42"/>
    </row>
    <row r="165" spans="1:31">
      <c r="A165" s="1" t="s">
        <v>195</v>
      </c>
      <c r="B165" s="1"/>
      <c r="C165" s="182">
        <f t="shared" si="13"/>
        <v>93</v>
      </c>
      <c r="D165" s="182">
        <f t="shared" si="13"/>
        <v>92</v>
      </c>
      <c r="E165" s="197">
        <f>E154</f>
        <v>11.18</v>
      </c>
      <c r="F165" s="184"/>
      <c r="G165" s="185">
        <f t="shared" si="14"/>
        <v>-10</v>
      </c>
      <c r="H165" s="185">
        <f t="shared" si="14"/>
        <v>-10</v>
      </c>
      <c r="I165" s="197">
        <f>I154</f>
        <v>11.877822045152721</v>
      </c>
      <c r="J165" s="184"/>
      <c r="K165" s="185">
        <f t="shared" si="15"/>
        <v>-11</v>
      </c>
      <c r="M165" s="42">
        <f>-(I165/100)*D165</f>
        <v>-10.927596281540502</v>
      </c>
      <c r="X165" s="11"/>
      <c r="Y165" s="11"/>
      <c r="Z165" s="11"/>
      <c r="AA165" s="11"/>
      <c r="AB165" s="11"/>
      <c r="AC165" s="11"/>
      <c r="AE165" s="42"/>
    </row>
    <row r="166" spans="1:31">
      <c r="A166" s="1" t="s">
        <v>206</v>
      </c>
      <c r="B166" s="1"/>
      <c r="C166" s="182">
        <f t="shared" si="13"/>
        <v>3543</v>
      </c>
      <c r="D166" s="182" t="e">
        <f t="shared" si="13"/>
        <v>#REF!</v>
      </c>
      <c r="E166" s="197">
        <f>E155</f>
        <v>0.78</v>
      </c>
      <c r="F166" s="184"/>
      <c r="G166" s="185">
        <f t="shared" si="14"/>
        <v>-28</v>
      </c>
      <c r="H166" s="185" t="e">
        <f t="shared" si="14"/>
        <v>#REF!</v>
      </c>
      <c r="I166" s="197">
        <f>I155</f>
        <v>0.83</v>
      </c>
      <c r="J166" s="184"/>
      <c r="K166" s="185">
        <f t="shared" si="15"/>
        <v>-29</v>
      </c>
      <c r="M166" s="42" t="e">
        <f>-(I166/100)*D166</f>
        <v>#REF!</v>
      </c>
      <c r="X166" s="11"/>
      <c r="Y166" s="11"/>
      <c r="Z166" s="11"/>
      <c r="AA166" s="11"/>
      <c r="AB166" s="11"/>
      <c r="AC166" s="11"/>
      <c r="AE166" s="42"/>
    </row>
    <row r="167" spans="1:31">
      <c r="A167" s="1" t="s">
        <v>207</v>
      </c>
      <c r="B167" s="1"/>
      <c r="C167" s="182">
        <f t="shared" si="13"/>
        <v>1576</v>
      </c>
      <c r="D167" s="182" t="e">
        <f t="shared" si="13"/>
        <v>#REF!</v>
      </c>
      <c r="E167" s="197">
        <f>E158</f>
        <v>2.88</v>
      </c>
      <c r="F167" s="186"/>
      <c r="G167" s="185">
        <f t="shared" si="14"/>
        <v>-45</v>
      </c>
      <c r="H167" s="185" t="e">
        <f t="shared" si="14"/>
        <v>#REF!</v>
      </c>
      <c r="I167" s="197">
        <f>I158</f>
        <v>2.97</v>
      </c>
      <c r="J167" s="186"/>
      <c r="K167" s="185">
        <f t="shared" si="15"/>
        <v>-47</v>
      </c>
      <c r="M167" s="42" t="e">
        <f>-(I167/100)*D167</f>
        <v>#REF!</v>
      </c>
      <c r="X167" s="11"/>
      <c r="Y167" s="11"/>
      <c r="Z167" s="11"/>
      <c r="AA167" s="11"/>
      <c r="AB167" s="11"/>
      <c r="AC167" s="11"/>
      <c r="AE167" s="42"/>
    </row>
    <row r="168" spans="1:31">
      <c r="A168" s="1" t="s">
        <v>209</v>
      </c>
      <c r="B168" s="1"/>
      <c r="C168" s="182">
        <f t="shared" si="13"/>
        <v>84935</v>
      </c>
      <c r="D168" s="182" t="e">
        <f t="shared" si="13"/>
        <v>#REF!</v>
      </c>
      <c r="E168" s="198">
        <f>E159</f>
        <v>8.0890000000000004</v>
      </c>
      <c r="F168" s="186" t="s">
        <v>178</v>
      </c>
      <c r="G168" s="185">
        <f t="shared" si="14"/>
        <v>-69</v>
      </c>
      <c r="H168" s="185" t="e">
        <f t="shared" si="14"/>
        <v>#REF!</v>
      </c>
      <c r="I168" s="198">
        <f>I159</f>
        <v>8.8109999999999999</v>
      </c>
      <c r="J168" s="186" t="s">
        <v>178</v>
      </c>
      <c r="K168" s="185">
        <f t="shared" si="15"/>
        <v>-75</v>
      </c>
      <c r="M168" s="42" t="e">
        <f>-((I168/100)*D168)/100</f>
        <v>#REF!</v>
      </c>
      <c r="X168" s="11"/>
      <c r="Y168" s="11"/>
      <c r="Z168" s="11"/>
      <c r="AA168" s="11"/>
      <c r="AB168" s="11"/>
      <c r="AC168" s="11"/>
      <c r="AE168" s="42"/>
    </row>
    <row r="169" spans="1:31">
      <c r="A169" s="1" t="s">
        <v>202</v>
      </c>
      <c r="B169" s="1"/>
      <c r="C169" s="182">
        <f t="shared" si="13"/>
        <v>270692</v>
      </c>
      <c r="D169" s="182" t="e">
        <f t="shared" si="13"/>
        <v>#REF!</v>
      </c>
      <c r="E169" s="198">
        <f>E160</f>
        <v>5.5839999999999996</v>
      </c>
      <c r="F169" s="186" t="s">
        <v>178</v>
      </c>
      <c r="G169" s="185">
        <f t="shared" si="14"/>
        <v>-151</v>
      </c>
      <c r="H169" s="185" t="e">
        <f t="shared" si="14"/>
        <v>#REF!</v>
      </c>
      <c r="I169" s="198">
        <f>I160</f>
        <v>6.0819999999999999</v>
      </c>
      <c r="J169" s="186" t="s">
        <v>178</v>
      </c>
      <c r="K169" s="185">
        <f t="shared" si="15"/>
        <v>-165</v>
      </c>
      <c r="M169" s="42" t="e">
        <f>-((I169/100)*D169)/100</f>
        <v>#REF!</v>
      </c>
      <c r="X169" s="11"/>
      <c r="Y169" s="11"/>
      <c r="Z169" s="11"/>
      <c r="AA169" s="11"/>
      <c r="AB169" s="11"/>
      <c r="AC169" s="11"/>
      <c r="AE169" s="42"/>
    </row>
    <row r="170" spans="1:31">
      <c r="A170" s="1" t="s">
        <v>203</v>
      </c>
      <c r="B170" s="1"/>
      <c r="C170" s="182">
        <f t="shared" si="13"/>
        <v>65960</v>
      </c>
      <c r="D170" s="182" t="e">
        <f t="shared" si="13"/>
        <v>#REF!</v>
      </c>
      <c r="E170" s="198">
        <f>E161</f>
        <v>4.8099999999999996</v>
      </c>
      <c r="F170" s="186" t="s">
        <v>178</v>
      </c>
      <c r="G170" s="185">
        <f t="shared" si="14"/>
        <v>-32</v>
      </c>
      <c r="H170" s="185" t="e">
        <f t="shared" si="14"/>
        <v>#REF!</v>
      </c>
      <c r="I170" s="198">
        <f>I161</f>
        <v>5.24</v>
      </c>
      <c r="J170" s="186" t="s">
        <v>178</v>
      </c>
      <c r="K170" s="185">
        <f t="shared" si="15"/>
        <v>-35</v>
      </c>
      <c r="M170" s="42" t="e">
        <f>-((I170/100)*D170)/100</f>
        <v>#REF!</v>
      </c>
      <c r="V170" s="11"/>
      <c r="W170" s="11"/>
      <c r="X170" s="11"/>
      <c r="Y170" s="11"/>
      <c r="Z170" s="11"/>
      <c r="AA170" s="11"/>
      <c r="AB170" s="11"/>
      <c r="AC170" s="11"/>
      <c r="AE170" s="42"/>
    </row>
    <row r="171" spans="1:31">
      <c r="A171" s="1" t="s">
        <v>204</v>
      </c>
      <c r="B171" s="1"/>
      <c r="C171" s="182">
        <f t="shared" si="13"/>
        <v>2996</v>
      </c>
      <c r="D171" s="182" t="e">
        <f t="shared" si="13"/>
        <v>#REF!</v>
      </c>
      <c r="E171" s="199">
        <f>E162</f>
        <v>45</v>
      </c>
      <c r="F171" s="186" t="s">
        <v>178</v>
      </c>
      <c r="G171" s="185">
        <f t="shared" si="14"/>
        <v>-13</v>
      </c>
      <c r="H171" s="185" t="e">
        <f t="shared" si="14"/>
        <v>#REF!</v>
      </c>
      <c r="I171" s="199">
        <f>I162</f>
        <v>50</v>
      </c>
      <c r="J171" s="186" t="s">
        <v>178</v>
      </c>
      <c r="K171" s="185">
        <f t="shared" si="15"/>
        <v>-15</v>
      </c>
      <c r="M171" s="42" t="e">
        <f>-((I171/100)*D171)/100</f>
        <v>#REF!</v>
      </c>
      <c r="V171" s="11"/>
      <c r="W171" s="11"/>
      <c r="X171" s="11"/>
      <c r="Y171" s="11"/>
      <c r="Z171" s="11"/>
      <c r="AA171" s="11"/>
      <c r="AB171" s="11"/>
      <c r="AC171" s="11"/>
      <c r="AE171" s="42"/>
    </row>
    <row r="172" spans="1:31">
      <c r="A172" s="1" t="s">
        <v>211</v>
      </c>
      <c r="B172" s="1"/>
      <c r="C172" s="182">
        <f t="shared" si="13"/>
        <v>108</v>
      </c>
      <c r="D172" s="182" t="e">
        <f t="shared" si="13"/>
        <v>#REF!</v>
      </c>
      <c r="E172" s="200">
        <f>'Blocking - detail'!E172</f>
        <v>60</v>
      </c>
      <c r="F172" s="184"/>
      <c r="G172" s="185">
        <f t="shared" si="14"/>
        <v>6480</v>
      </c>
      <c r="H172" s="185" t="e">
        <f t="shared" si="14"/>
        <v>#REF!</v>
      </c>
      <c r="I172" s="200">
        <f>'Blocking - detail'!$I$172</f>
        <v>60</v>
      </c>
      <c r="J172" s="186"/>
      <c r="K172" s="185">
        <f t="shared" si="15"/>
        <v>6480</v>
      </c>
      <c r="M172" s="42" t="e">
        <f>I172*D172</f>
        <v>#REF!</v>
      </c>
      <c r="V172" s="11"/>
      <c r="W172" s="11"/>
      <c r="X172" s="11"/>
      <c r="Y172" s="11"/>
      <c r="Z172" s="11"/>
      <c r="AA172" s="11"/>
      <c r="AB172" s="11"/>
      <c r="AC172" s="11"/>
      <c r="AE172" s="42"/>
    </row>
    <row r="173" spans="1:31">
      <c r="A173" s="1" t="s">
        <v>212</v>
      </c>
      <c r="B173" s="1"/>
      <c r="C173" s="182">
        <f t="shared" si="13"/>
        <v>3624</v>
      </c>
      <c r="D173" s="182" t="e">
        <f t="shared" si="13"/>
        <v>#REF!</v>
      </c>
      <c r="E173" s="202">
        <f>'Blocking - detail'!E173</f>
        <v>-30</v>
      </c>
      <c r="F173" s="184" t="s">
        <v>178</v>
      </c>
      <c r="G173" s="185">
        <f t="shared" si="14"/>
        <v>-1087</v>
      </c>
      <c r="H173" s="185" t="e">
        <f t="shared" si="14"/>
        <v>#REF!</v>
      </c>
      <c r="I173" s="202">
        <f>'Blocking - detail'!$I$173</f>
        <v>-30</v>
      </c>
      <c r="J173" s="186" t="s">
        <v>178</v>
      </c>
      <c r="K173" s="185">
        <f t="shared" si="15"/>
        <v>-1087</v>
      </c>
      <c r="M173" s="42" t="e">
        <f>(I173/100)*D173</f>
        <v>#REF!</v>
      </c>
      <c r="Q173" s="157"/>
      <c r="V173" s="11"/>
      <c r="W173" s="11"/>
      <c r="X173" s="11"/>
      <c r="Y173" s="11"/>
      <c r="Z173" s="11"/>
      <c r="AA173" s="11"/>
      <c r="AB173" s="11"/>
      <c r="AC173" s="11"/>
      <c r="AE173" s="42"/>
    </row>
    <row r="174" spans="1:31">
      <c r="A174" s="1" t="s">
        <v>185</v>
      </c>
      <c r="B174" s="127"/>
      <c r="C174" s="182" t="e">
        <f t="shared" si="13"/>
        <v>#REF!</v>
      </c>
      <c r="D174" s="182">
        <f t="shared" si="13"/>
        <v>529663208.81107259</v>
      </c>
      <c r="E174" s="193"/>
      <c r="F174" s="2"/>
      <c r="G174" s="185" t="e">
        <f t="shared" si="14"/>
        <v>#REF!</v>
      </c>
      <c r="H174" s="185" t="e">
        <f t="shared" si="14"/>
        <v>#REF!</v>
      </c>
      <c r="I174" s="193"/>
      <c r="J174" s="186"/>
      <c r="K174" s="185" t="e">
        <f t="shared" si="15"/>
        <v>#REF!</v>
      </c>
      <c r="M174" s="42" t="e">
        <f>SUM(M149:M173)</f>
        <v>#REF!</v>
      </c>
      <c r="V174" s="11"/>
      <c r="W174" s="11"/>
      <c r="X174" s="11"/>
      <c r="Y174" s="11"/>
      <c r="Z174" s="11"/>
      <c r="AA174" s="11"/>
      <c r="AB174" s="11"/>
      <c r="AC174" s="11"/>
      <c r="AE174" s="42"/>
    </row>
    <row r="175" spans="1:31">
      <c r="A175" s="1" t="s">
        <v>167</v>
      </c>
      <c r="B175" s="15"/>
      <c r="C175" s="203" t="e">
        <f t="shared" si="13"/>
        <v>#REF!</v>
      </c>
      <c r="D175" s="203">
        <f t="shared" si="13"/>
        <v>0</v>
      </c>
      <c r="E175" s="172"/>
      <c r="F175" s="172"/>
      <c r="G175" s="204" t="e">
        <f t="shared" si="14"/>
        <v>#REF!</v>
      </c>
      <c r="H175" s="204">
        <f t="shared" si="14"/>
        <v>0</v>
      </c>
      <c r="I175" s="172"/>
      <c r="J175" s="172"/>
      <c r="K175" s="204" t="e">
        <f>G175</f>
        <v>#REF!</v>
      </c>
      <c r="M175" s="152"/>
      <c r="V175" s="11"/>
      <c r="W175" s="11"/>
      <c r="X175" s="11"/>
      <c r="Y175" s="11"/>
      <c r="Z175" s="11"/>
      <c r="AA175" s="11"/>
      <c r="AB175" s="11"/>
      <c r="AC175" s="11"/>
      <c r="AE175" s="42"/>
    </row>
    <row r="176" spans="1:31" ht="16.5" thickBot="1">
      <c r="A176" s="1" t="s">
        <v>186</v>
      </c>
      <c r="B176" s="1"/>
      <c r="C176" s="174" t="e">
        <f>SUM(C174:C175)</f>
        <v>#REF!</v>
      </c>
      <c r="D176" s="174">
        <f>SUM(D174:D175)</f>
        <v>529663208.81107259</v>
      </c>
      <c r="E176" s="205"/>
      <c r="F176" s="206"/>
      <c r="G176" s="207" t="e">
        <f>G174+G175</f>
        <v>#REF!</v>
      </c>
      <c r="H176" s="207" t="e">
        <f>H174+H175</f>
        <v>#REF!</v>
      </c>
      <c r="I176" s="335"/>
      <c r="J176" s="208"/>
      <c r="K176" s="207" t="e">
        <f>K174+K175</f>
        <v>#REF!</v>
      </c>
      <c r="M176" s="154"/>
      <c r="N176" s="3" t="s">
        <v>213</v>
      </c>
      <c r="O176" s="42" t="e">
        <f>#REF!*1000</f>
        <v>#REF!</v>
      </c>
      <c r="P176" s="8"/>
      <c r="V176" s="11"/>
      <c r="W176" s="11"/>
      <c r="X176" s="11"/>
      <c r="Y176" s="11"/>
      <c r="Z176" s="11"/>
      <c r="AA176" s="11"/>
      <c r="AB176" s="11"/>
      <c r="AC176" s="11"/>
      <c r="AE176" s="42"/>
    </row>
    <row r="177" spans="1:31" ht="16.5" thickTop="1">
      <c r="A177" s="1"/>
      <c r="B177" s="1"/>
      <c r="C177" s="12"/>
      <c r="D177" s="12"/>
      <c r="E177" s="200"/>
      <c r="F177" s="2"/>
      <c r="G177" s="2"/>
      <c r="H177" s="2"/>
      <c r="I177" s="200"/>
      <c r="J177" s="1"/>
      <c r="K177" s="2" t="s">
        <v>13</v>
      </c>
      <c r="N177" s="3" t="s">
        <v>114</v>
      </c>
      <c r="O177" s="42" t="e">
        <f>O176-K176</f>
        <v>#REF!</v>
      </c>
      <c r="P177" s="139" t="e">
        <f>(O176-K176)/K176</f>
        <v>#REF!</v>
      </c>
      <c r="V177" s="11"/>
      <c r="W177" s="11"/>
      <c r="X177" s="11"/>
      <c r="Y177" s="11"/>
      <c r="Z177" s="11"/>
      <c r="AA177" s="11"/>
      <c r="AB177" s="11"/>
      <c r="AC177" s="11"/>
      <c r="AE177" s="42"/>
    </row>
    <row r="178" spans="1:31">
      <c r="A178" s="1"/>
      <c r="B178" s="1"/>
      <c r="C178" s="12"/>
      <c r="D178" s="12"/>
      <c r="E178" s="200"/>
      <c r="F178" s="2"/>
      <c r="G178" s="2"/>
      <c r="H178" s="2"/>
      <c r="I178" s="200"/>
      <c r="J178" s="1"/>
      <c r="V178" s="11"/>
      <c r="W178" s="11"/>
      <c r="X178" s="11"/>
      <c r="Y178" s="11"/>
      <c r="Z178" s="11"/>
      <c r="AA178" s="11"/>
      <c r="AB178" s="11"/>
      <c r="AC178" s="11"/>
      <c r="AE178" s="42"/>
    </row>
    <row r="179" spans="1:31">
      <c r="A179" s="156" t="s">
        <v>191</v>
      </c>
      <c r="B179" s="1"/>
      <c r="C179" s="1"/>
      <c r="D179" s="1"/>
      <c r="E179" s="2"/>
      <c r="F179" s="2"/>
      <c r="G179" s="1" t="s">
        <v>13</v>
      </c>
      <c r="H179" s="1"/>
      <c r="I179" s="2"/>
      <c r="J179" s="1"/>
      <c r="K179" s="1"/>
      <c r="O179" s="209" t="s">
        <v>13</v>
      </c>
      <c r="P179" s="8"/>
      <c r="V179" s="11"/>
      <c r="W179" s="11"/>
      <c r="X179" s="11"/>
      <c r="Y179" s="11"/>
      <c r="Z179" s="11"/>
      <c r="AA179" s="11"/>
      <c r="AB179" s="11"/>
      <c r="AC179" s="11"/>
      <c r="AE179" s="42"/>
    </row>
    <row r="180" spans="1:31">
      <c r="A180" s="1" t="s">
        <v>214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279"/>
      <c r="N180" s="279"/>
      <c r="O180" s="38"/>
      <c r="P180" s="38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E180" s="42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279"/>
      <c r="N181" s="279"/>
      <c r="O181" s="38"/>
      <c r="P181" s="38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E181" s="42"/>
    </row>
    <row r="182" spans="1:31">
      <c r="A182" s="1" t="s">
        <v>197</v>
      </c>
      <c r="B182" s="1"/>
      <c r="C182" s="182"/>
      <c r="D182" s="182"/>
      <c r="E182" s="2"/>
      <c r="F182" s="2"/>
      <c r="G182" s="1"/>
      <c r="H182" s="1"/>
      <c r="I182" s="2"/>
      <c r="J182" s="1"/>
      <c r="K182" s="1"/>
      <c r="M182" s="11"/>
      <c r="N182" s="11"/>
      <c r="O182" s="38"/>
      <c r="P182" s="38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E182" s="42"/>
    </row>
    <row r="183" spans="1:31">
      <c r="A183" s="1" t="s">
        <v>194</v>
      </c>
      <c r="B183" s="1"/>
      <c r="C183" s="182">
        <f t="shared" ref="C183:D185" si="16">C211+C239</f>
        <v>148451</v>
      </c>
      <c r="D183" s="182">
        <f t="shared" si="16"/>
        <v>147153</v>
      </c>
      <c r="E183" s="161">
        <f>$E$153</f>
        <v>7.53</v>
      </c>
      <c r="F183" s="184"/>
      <c r="G183" s="2">
        <f t="shared" ref="G183:H185" si="17">G211+G239</f>
        <v>1117836</v>
      </c>
      <c r="H183" s="2">
        <f t="shared" si="17"/>
        <v>1108062</v>
      </c>
      <c r="I183" s="161">
        <f>$I$153</f>
        <v>8</v>
      </c>
      <c r="J183" s="186"/>
      <c r="K183" s="2">
        <f>K211+K239</f>
        <v>1187608</v>
      </c>
      <c r="M183" s="11"/>
      <c r="N183" s="11"/>
      <c r="O183" s="38"/>
      <c r="P183" s="38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E183" s="42"/>
    </row>
    <row r="184" spans="1:31">
      <c r="A184" s="1" t="s">
        <v>195</v>
      </c>
      <c r="B184" s="1"/>
      <c r="C184" s="182">
        <f t="shared" si="16"/>
        <v>60349</v>
      </c>
      <c r="D184" s="182">
        <f t="shared" si="16"/>
        <v>59834</v>
      </c>
      <c r="E184" s="161">
        <f>$E$154</f>
        <v>11.18</v>
      </c>
      <c r="F184" s="187"/>
      <c r="G184" s="2">
        <f t="shared" si="17"/>
        <v>674702</v>
      </c>
      <c r="H184" s="2">
        <f t="shared" si="17"/>
        <v>668944</v>
      </c>
      <c r="I184" s="161">
        <f>$I$154</f>
        <v>11.877822045152721</v>
      </c>
      <c r="J184" s="188"/>
      <c r="K184" s="2">
        <f>K212+K240</f>
        <v>716815</v>
      </c>
      <c r="M184" s="11"/>
      <c r="N184" s="11"/>
      <c r="O184" s="38"/>
      <c r="P184" s="38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E184" s="42"/>
    </row>
    <row r="185" spans="1:31">
      <c r="A185" s="1" t="s">
        <v>196</v>
      </c>
      <c r="B185" s="1"/>
      <c r="C185" s="182">
        <f t="shared" si="16"/>
        <v>1278566</v>
      </c>
      <c r="D185" s="182" t="e">
        <f t="shared" si="16"/>
        <v>#REF!</v>
      </c>
      <c r="E185" s="161">
        <f>$E$155</f>
        <v>0.78</v>
      </c>
      <c r="F185" s="187"/>
      <c r="G185" s="2">
        <f t="shared" si="17"/>
        <v>997281</v>
      </c>
      <c r="H185" s="2" t="e">
        <f t="shared" si="17"/>
        <v>#REF!</v>
      </c>
      <c r="I185" s="161">
        <f>$I$155</f>
        <v>0.83</v>
      </c>
      <c r="J185" s="188"/>
      <c r="K185" s="2">
        <f>K213+K241</f>
        <v>1061210</v>
      </c>
      <c r="M185" s="11"/>
      <c r="N185" s="11"/>
      <c r="O185" s="38"/>
      <c r="P185" s="38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E185" s="42"/>
    </row>
    <row r="186" spans="1:31">
      <c r="A186" s="1" t="s">
        <v>198</v>
      </c>
      <c r="B186" s="1"/>
      <c r="C186" s="182">
        <f>SUM(C183:C184)</f>
        <v>208800</v>
      </c>
      <c r="D186" s="182">
        <f>SUM(D183:D184)</f>
        <v>206987</v>
      </c>
      <c r="E186" s="161"/>
      <c r="F186" s="184"/>
      <c r="G186" s="2"/>
      <c r="H186" s="2"/>
      <c r="I186" s="161"/>
      <c r="J186" s="186"/>
      <c r="K186" s="2"/>
      <c r="M186" s="11"/>
      <c r="N186" s="11"/>
      <c r="O186" s="38"/>
      <c r="P186" s="38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E186" s="42"/>
    </row>
    <row r="187" spans="1:31">
      <c r="A187" s="1" t="s">
        <v>199</v>
      </c>
      <c r="B187" s="1"/>
      <c r="C187" s="182">
        <f t="shared" ref="C187:D191" si="18">C215+C243</f>
        <v>822251</v>
      </c>
      <c r="D187" s="182" t="e">
        <f t="shared" si="18"/>
        <v>#REF!</v>
      </c>
      <c r="E187" s="189">
        <f>$E$158</f>
        <v>2.88</v>
      </c>
      <c r="F187" s="186"/>
      <c r="G187" s="2">
        <f t="shared" ref="G187:H191" si="19">G215+G243</f>
        <v>2368083</v>
      </c>
      <c r="H187" s="2" t="e">
        <f t="shared" si="19"/>
        <v>#REF!</v>
      </c>
      <c r="I187" s="189">
        <f>$I$158</f>
        <v>2.97</v>
      </c>
      <c r="J187" s="186"/>
      <c r="K187" s="2">
        <f>K215+K243</f>
        <v>2442085</v>
      </c>
      <c r="M187" s="11"/>
      <c r="N187" s="11"/>
      <c r="O187" s="38"/>
      <c r="P187" s="38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E187" s="42"/>
    </row>
    <row r="188" spans="1:31">
      <c r="A188" s="1" t="s">
        <v>201</v>
      </c>
      <c r="B188" s="1"/>
      <c r="C188" s="182" t="e">
        <f t="shared" si="18"/>
        <v>#REF!</v>
      </c>
      <c r="D188" s="182" t="e">
        <f t="shared" si="18"/>
        <v>#REF!</v>
      </c>
      <c r="E188" s="162">
        <f>$E$159</f>
        <v>8.0890000000000004</v>
      </c>
      <c r="F188" s="186" t="s">
        <v>178</v>
      </c>
      <c r="G188" s="2" t="e">
        <f t="shared" si="19"/>
        <v>#REF!</v>
      </c>
      <c r="H188" s="2" t="e">
        <f t="shared" si="19"/>
        <v>#REF!</v>
      </c>
      <c r="I188" s="162">
        <f>$I$159</f>
        <v>8.8109999999999999</v>
      </c>
      <c r="J188" s="186" t="s">
        <v>178</v>
      </c>
      <c r="K188" s="2" t="e">
        <f>K216+K244</f>
        <v>#REF!</v>
      </c>
      <c r="M188" s="11"/>
      <c r="N188" s="11"/>
      <c r="O188" s="38"/>
      <c r="P188" s="38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E188" s="42"/>
    </row>
    <row r="189" spans="1:31">
      <c r="A189" s="1" t="s">
        <v>202</v>
      </c>
      <c r="B189" s="1"/>
      <c r="C189" s="182" t="e">
        <f t="shared" si="18"/>
        <v>#REF!</v>
      </c>
      <c r="D189" s="182" t="e">
        <f t="shared" si="18"/>
        <v>#REF!</v>
      </c>
      <c r="E189" s="162">
        <f>$E$160</f>
        <v>5.5839999999999996</v>
      </c>
      <c r="F189" s="186" t="s">
        <v>178</v>
      </c>
      <c r="G189" s="2" t="e">
        <f t="shared" si="19"/>
        <v>#REF!</v>
      </c>
      <c r="H189" s="2" t="e">
        <f t="shared" si="19"/>
        <v>#REF!</v>
      </c>
      <c r="I189" s="162">
        <f>$I$160</f>
        <v>6.0819999999999999</v>
      </c>
      <c r="J189" s="186" t="s">
        <v>178</v>
      </c>
      <c r="K189" s="2" t="e">
        <f>K217+K245</f>
        <v>#REF!</v>
      </c>
      <c r="M189" s="11"/>
      <c r="N189" s="11"/>
      <c r="O189" s="38"/>
      <c r="P189" s="38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E189" s="42"/>
    </row>
    <row r="190" spans="1:31">
      <c r="A190" s="1" t="s">
        <v>203</v>
      </c>
      <c r="B190" s="1"/>
      <c r="C190" s="182" t="e">
        <f t="shared" si="18"/>
        <v>#REF!</v>
      </c>
      <c r="D190" s="182" t="e">
        <f t="shared" si="18"/>
        <v>#REF!</v>
      </c>
      <c r="E190" s="162">
        <f>$E$161</f>
        <v>4.8099999999999996</v>
      </c>
      <c r="F190" s="186" t="s">
        <v>178</v>
      </c>
      <c r="G190" s="2" t="e">
        <f t="shared" si="19"/>
        <v>#REF!</v>
      </c>
      <c r="H190" s="2" t="e">
        <f t="shared" si="19"/>
        <v>#REF!</v>
      </c>
      <c r="I190" s="162">
        <f>$I$161</f>
        <v>5.24</v>
      </c>
      <c r="J190" s="186" t="s">
        <v>178</v>
      </c>
      <c r="K190" s="2" t="e">
        <f>K218+K246</f>
        <v>#REF!</v>
      </c>
      <c r="M190" s="11"/>
      <c r="N190" s="11"/>
      <c r="O190" s="38"/>
      <c r="P190" s="38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E190" s="42"/>
    </row>
    <row r="191" spans="1:31">
      <c r="A191" s="1" t="s">
        <v>204</v>
      </c>
      <c r="B191" s="1"/>
      <c r="C191" s="182">
        <f t="shared" si="18"/>
        <v>92358</v>
      </c>
      <c r="D191" s="182" t="e">
        <f t="shared" si="18"/>
        <v>#REF!</v>
      </c>
      <c r="E191" s="193">
        <f>$E$162</f>
        <v>45</v>
      </c>
      <c r="F191" s="184" t="s">
        <v>178</v>
      </c>
      <c r="G191" s="2">
        <f t="shared" si="19"/>
        <v>41561</v>
      </c>
      <c r="H191" s="2" t="e">
        <f t="shared" si="19"/>
        <v>#REF!</v>
      </c>
      <c r="I191" s="193">
        <f>$I$162</f>
        <v>50</v>
      </c>
      <c r="J191" s="186" t="s">
        <v>178</v>
      </c>
      <c r="K191" s="2">
        <f>K219+K247</f>
        <v>46180</v>
      </c>
      <c r="M191" s="11"/>
      <c r="N191" s="11"/>
      <c r="O191" s="38"/>
      <c r="P191" s="38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E191" s="42"/>
    </row>
    <row r="192" spans="1:31">
      <c r="A192" s="194" t="s">
        <v>205</v>
      </c>
      <c r="B192" s="1"/>
      <c r="C192" s="182"/>
      <c r="D192" s="182"/>
      <c r="E192" s="195">
        <v>-0.01</v>
      </c>
      <c r="F192" s="184"/>
      <c r="G192" s="2"/>
      <c r="H192" s="2"/>
      <c r="I192" s="195">
        <v>-0.01</v>
      </c>
      <c r="J192" s="186"/>
      <c r="K192" s="2"/>
      <c r="M192" s="11"/>
      <c r="N192" s="11"/>
      <c r="O192" s="38"/>
      <c r="P192" s="38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E192" s="42"/>
    </row>
    <row r="193" spans="1:31">
      <c r="A193" s="1" t="s">
        <v>194</v>
      </c>
      <c r="B193" s="1"/>
      <c r="C193" s="182">
        <f t="shared" ref="C193:D204" si="20">C221+C249</f>
        <v>48</v>
      </c>
      <c r="D193" s="182">
        <f t="shared" si="20"/>
        <v>48</v>
      </c>
      <c r="E193" s="197">
        <f>E183</f>
        <v>7.53</v>
      </c>
      <c r="F193" s="184"/>
      <c r="G193" s="2">
        <f t="shared" ref="G193:H204" si="21">G221+G249</f>
        <v>-4</v>
      </c>
      <c r="H193" s="2">
        <f t="shared" si="21"/>
        <v>-4</v>
      </c>
      <c r="I193" s="197">
        <f>I183</f>
        <v>8</v>
      </c>
      <c r="J193" s="184"/>
      <c r="K193" s="2">
        <f t="shared" ref="K193:K203" si="22">K221+K249</f>
        <v>-4</v>
      </c>
      <c r="M193" s="11"/>
      <c r="N193" s="11"/>
      <c r="O193" s="38"/>
      <c r="P193" s="38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E193" s="42"/>
    </row>
    <row r="194" spans="1:31">
      <c r="A194" s="1" t="s">
        <v>195</v>
      </c>
      <c r="B194" s="1"/>
      <c r="C194" s="182">
        <f t="shared" si="20"/>
        <v>93</v>
      </c>
      <c r="D194" s="182">
        <f t="shared" si="20"/>
        <v>92</v>
      </c>
      <c r="E194" s="197">
        <f>E184</f>
        <v>11.18</v>
      </c>
      <c r="F194" s="184"/>
      <c r="G194" s="2">
        <f t="shared" si="21"/>
        <v>-10</v>
      </c>
      <c r="H194" s="2">
        <f t="shared" si="21"/>
        <v>-10</v>
      </c>
      <c r="I194" s="197">
        <f>I184</f>
        <v>11.877822045152721</v>
      </c>
      <c r="J194" s="184"/>
      <c r="K194" s="2">
        <f t="shared" si="22"/>
        <v>-11</v>
      </c>
      <c r="M194" s="11"/>
      <c r="N194" s="11"/>
      <c r="O194" s="38"/>
      <c r="P194" s="38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E194" s="42"/>
    </row>
    <row r="195" spans="1:31">
      <c r="A195" s="1" t="s">
        <v>206</v>
      </c>
      <c r="B195" s="1"/>
      <c r="C195" s="182">
        <f t="shared" si="20"/>
        <v>3543</v>
      </c>
      <c r="D195" s="182" t="e">
        <f t="shared" si="20"/>
        <v>#REF!</v>
      </c>
      <c r="E195" s="197">
        <f>E185</f>
        <v>0.78</v>
      </c>
      <c r="F195" s="184"/>
      <c r="G195" s="2">
        <f t="shared" si="21"/>
        <v>-28</v>
      </c>
      <c r="H195" s="2" t="e">
        <f t="shared" si="21"/>
        <v>#REF!</v>
      </c>
      <c r="I195" s="197">
        <f>I185</f>
        <v>0.83</v>
      </c>
      <c r="J195" s="184"/>
      <c r="K195" s="2">
        <f t="shared" si="22"/>
        <v>-29</v>
      </c>
      <c r="M195" s="11"/>
      <c r="N195" s="11"/>
      <c r="O195" s="38"/>
      <c r="P195" s="38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E195" s="42"/>
    </row>
    <row r="196" spans="1:31">
      <c r="A196" s="1" t="s">
        <v>207</v>
      </c>
      <c r="B196" s="1"/>
      <c r="C196" s="182">
        <f t="shared" si="20"/>
        <v>1576</v>
      </c>
      <c r="D196" s="182" t="e">
        <f t="shared" si="20"/>
        <v>#REF!</v>
      </c>
      <c r="E196" s="197">
        <f>E187</f>
        <v>2.88</v>
      </c>
      <c r="F196" s="186"/>
      <c r="G196" s="2">
        <f t="shared" si="21"/>
        <v>-45</v>
      </c>
      <c r="H196" s="2" t="e">
        <f t="shared" si="21"/>
        <v>#REF!</v>
      </c>
      <c r="I196" s="197">
        <f>I187</f>
        <v>2.97</v>
      </c>
      <c r="J196" s="186"/>
      <c r="K196" s="2">
        <f t="shared" si="22"/>
        <v>-47</v>
      </c>
      <c r="M196" s="11"/>
      <c r="N196" s="11"/>
      <c r="O196" s="38"/>
      <c r="P196" s="38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E196" s="42"/>
    </row>
    <row r="197" spans="1:31">
      <c r="A197" s="1" t="s">
        <v>209</v>
      </c>
      <c r="B197" s="1"/>
      <c r="C197" s="182">
        <f t="shared" si="20"/>
        <v>84935</v>
      </c>
      <c r="D197" s="182" t="e">
        <f t="shared" si="20"/>
        <v>#REF!</v>
      </c>
      <c r="E197" s="198">
        <f>E188</f>
        <v>8.0890000000000004</v>
      </c>
      <c r="F197" s="186" t="s">
        <v>178</v>
      </c>
      <c r="G197" s="2">
        <f t="shared" si="21"/>
        <v>-69</v>
      </c>
      <c r="H197" s="2" t="e">
        <f t="shared" si="21"/>
        <v>#REF!</v>
      </c>
      <c r="I197" s="198">
        <f>I188</f>
        <v>8.8109999999999999</v>
      </c>
      <c r="J197" s="186" t="s">
        <v>178</v>
      </c>
      <c r="K197" s="2">
        <f t="shared" si="22"/>
        <v>-75</v>
      </c>
      <c r="M197" s="11"/>
      <c r="N197" s="11"/>
      <c r="O197" s="38"/>
      <c r="P197" s="38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E197" s="42"/>
    </row>
    <row r="198" spans="1:31">
      <c r="A198" s="1" t="s">
        <v>202</v>
      </c>
      <c r="B198" s="1"/>
      <c r="C198" s="182">
        <f t="shared" si="20"/>
        <v>270692</v>
      </c>
      <c r="D198" s="182" t="e">
        <f t="shared" si="20"/>
        <v>#REF!</v>
      </c>
      <c r="E198" s="198">
        <f>E189</f>
        <v>5.5839999999999996</v>
      </c>
      <c r="F198" s="186" t="s">
        <v>178</v>
      </c>
      <c r="G198" s="2">
        <f t="shared" si="21"/>
        <v>-151</v>
      </c>
      <c r="H198" s="2" t="e">
        <f t="shared" si="21"/>
        <v>#REF!</v>
      </c>
      <c r="I198" s="198">
        <f>I189</f>
        <v>6.0819999999999999</v>
      </c>
      <c r="J198" s="186" t="s">
        <v>178</v>
      </c>
      <c r="K198" s="2">
        <f t="shared" si="22"/>
        <v>-165</v>
      </c>
      <c r="M198" s="11"/>
      <c r="N198" s="11"/>
      <c r="O198" s="38"/>
      <c r="P198" s="38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E198" s="42"/>
    </row>
    <row r="199" spans="1:31">
      <c r="A199" s="1" t="s">
        <v>203</v>
      </c>
      <c r="B199" s="1"/>
      <c r="C199" s="182">
        <f t="shared" si="20"/>
        <v>65960</v>
      </c>
      <c r="D199" s="182" t="e">
        <f t="shared" si="20"/>
        <v>#REF!</v>
      </c>
      <c r="E199" s="198">
        <f>E190</f>
        <v>4.8099999999999996</v>
      </c>
      <c r="F199" s="186" t="s">
        <v>178</v>
      </c>
      <c r="G199" s="2">
        <f t="shared" si="21"/>
        <v>-32</v>
      </c>
      <c r="H199" s="2" t="e">
        <f t="shared" si="21"/>
        <v>#REF!</v>
      </c>
      <c r="I199" s="198">
        <f>I190</f>
        <v>5.24</v>
      </c>
      <c r="J199" s="186" t="s">
        <v>178</v>
      </c>
      <c r="K199" s="2">
        <f t="shared" si="22"/>
        <v>-35</v>
      </c>
      <c r="M199" s="11"/>
      <c r="N199" s="11"/>
      <c r="O199" s="38"/>
      <c r="P199" s="38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E199" s="42"/>
    </row>
    <row r="200" spans="1:31">
      <c r="A200" s="1" t="s">
        <v>204</v>
      </c>
      <c r="B200" s="1"/>
      <c r="C200" s="182">
        <f t="shared" si="20"/>
        <v>2996</v>
      </c>
      <c r="D200" s="182" t="e">
        <f t="shared" si="20"/>
        <v>#REF!</v>
      </c>
      <c r="E200" s="199">
        <f>E191</f>
        <v>45</v>
      </c>
      <c r="F200" s="186" t="s">
        <v>178</v>
      </c>
      <c r="G200" s="2">
        <f t="shared" si="21"/>
        <v>-13</v>
      </c>
      <c r="H200" s="2" t="e">
        <f t="shared" si="21"/>
        <v>#REF!</v>
      </c>
      <c r="I200" s="199">
        <f>I191</f>
        <v>50</v>
      </c>
      <c r="J200" s="186" t="s">
        <v>178</v>
      </c>
      <c r="K200" s="2">
        <f t="shared" si="22"/>
        <v>-15</v>
      </c>
      <c r="M200" s="11"/>
      <c r="N200" s="11"/>
      <c r="O200" s="38"/>
      <c r="P200" s="38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E200" s="42"/>
    </row>
    <row r="201" spans="1:31">
      <c r="A201" s="1" t="s">
        <v>211</v>
      </c>
      <c r="B201" s="1"/>
      <c r="C201" s="182">
        <f t="shared" si="20"/>
        <v>108</v>
      </c>
      <c r="D201" s="182" t="e">
        <f t="shared" si="20"/>
        <v>#REF!</v>
      </c>
      <c r="E201" s="200">
        <f>$E$172</f>
        <v>60</v>
      </c>
      <c r="F201" s="184"/>
      <c r="G201" s="2">
        <f t="shared" si="21"/>
        <v>6480</v>
      </c>
      <c r="H201" s="2" t="e">
        <f t="shared" si="21"/>
        <v>#REF!</v>
      </c>
      <c r="I201" s="200">
        <f>$I$172</f>
        <v>60</v>
      </c>
      <c r="J201" s="186"/>
      <c r="K201" s="2">
        <f t="shared" si="22"/>
        <v>6480</v>
      </c>
      <c r="M201" s="11"/>
      <c r="N201" s="11"/>
      <c r="O201" s="38"/>
      <c r="P201" s="38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E201" s="42"/>
    </row>
    <row r="202" spans="1:31">
      <c r="A202" s="1" t="s">
        <v>212</v>
      </c>
      <c r="B202" s="1"/>
      <c r="C202" s="182">
        <f t="shared" si="20"/>
        <v>3624</v>
      </c>
      <c r="D202" s="182" t="e">
        <f t="shared" si="20"/>
        <v>#REF!</v>
      </c>
      <c r="E202" s="202">
        <f>$E$173</f>
        <v>-30</v>
      </c>
      <c r="F202" s="184" t="s">
        <v>178</v>
      </c>
      <c r="G202" s="2">
        <f t="shared" si="21"/>
        <v>-1087</v>
      </c>
      <c r="H202" s="2" t="e">
        <f t="shared" si="21"/>
        <v>#REF!</v>
      </c>
      <c r="I202" s="202">
        <f>$I$173</f>
        <v>-30</v>
      </c>
      <c r="J202" s="186" t="s">
        <v>178</v>
      </c>
      <c r="K202" s="2">
        <f t="shared" si="22"/>
        <v>-1087</v>
      </c>
      <c r="M202" s="11"/>
      <c r="N202" s="11"/>
      <c r="O202" s="38"/>
      <c r="P202" s="38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E202" s="42"/>
    </row>
    <row r="203" spans="1:31">
      <c r="A203" s="1" t="s">
        <v>185</v>
      </c>
      <c r="B203" s="127"/>
      <c r="C203" s="182" t="e">
        <f t="shared" si="20"/>
        <v>#REF!</v>
      </c>
      <c r="D203" s="182">
        <f t="shared" si="20"/>
        <v>527850595.24192303</v>
      </c>
      <c r="E203" s="193"/>
      <c r="F203" s="2"/>
      <c r="G203" s="2" t="e">
        <f t="shared" si="21"/>
        <v>#REF!</v>
      </c>
      <c r="H203" s="2" t="e">
        <f t="shared" si="21"/>
        <v>#REF!</v>
      </c>
      <c r="I203" s="193"/>
      <c r="J203" s="186"/>
      <c r="K203" s="2" t="e">
        <f t="shared" si="22"/>
        <v>#REF!</v>
      </c>
      <c r="M203" s="11"/>
      <c r="N203" s="11"/>
      <c r="O203" s="38"/>
      <c r="P203" s="38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E203" s="42"/>
    </row>
    <row r="204" spans="1:31">
      <c r="A204" s="1" t="s">
        <v>167</v>
      </c>
      <c r="B204" s="210"/>
      <c r="C204" s="203" t="e">
        <f t="shared" si="20"/>
        <v>#REF!</v>
      </c>
      <c r="D204" s="203">
        <f t="shared" si="20"/>
        <v>0</v>
      </c>
      <c r="E204" s="172"/>
      <c r="F204" s="172"/>
      <c r="G204" s="204" t="e">
        <f t="shared" si="21"/>
        <v>#REF!</v>
      </c>
      <c r="H204" s="204">
        <f t="shared" si="21"/>
        <v>0</v>
      </c>
      <c r="I204" s="172"/>
      <c r="J204" s="172"/>
      <c r="K204" s="204" t="e">
        <f>G204</f>
        <v>#REF!</v>
      </c>
      <c r="M204" s="307"/>
      <c r="N204" s="307"/>
      <c r="O204" s="150"/>
      <c r="P204" s="38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E204" s="42"/>
    </row>
    <row r="205" spans="1:31" ht="16.5" thickBot="1">
      <c r="A205" s="1" t="s">
        <v>186</v>
      </c>
      <c r="B205" s="1"/>
      <c r="C205" s="174" t="e">
        <f>SUM(C203:C204)</f>
        <v>#REF!</v>
      </c>
      <c r="D205" s="174">
        <f>SUM(D203:D204)</f>
        <v>527850595.24192303</v>
      </c>
      <c r="E205" s="205"/>
      <c r="F205" s="206"/>
      <c r="G205" s="207" t="e">
        <f>G203+G204</f>
        <v>#REF!</v>
      </c>
      <c r="H205" s="207" t="e">
        <f>H203+H204</f>
        <v>#REF!</v>
      </c>
      <c r="I205" s="205"/>
      <c r="J205" s="208"/>
      <c r="K205" s="207" t="e">
        <f>K203+K204</f>
        <v>#REF!</v>
      </c>
      <c r="M205" s="274"/>
      <c r="N205" s="274"/>
      <c r="O205" s="333"/>
      <c r="P205" s="38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E205" s="42"/>
    </row>
    <row r="206" spans="1:31" ht="16.5" thickTop="1">
      <c r="A206" s="1"/>
      <c r="B206" s="1"/>
      <c r="C206" s="12"/>
      <c r="D206" s="12"/>
      <c r="E206" s="200"/>
      <c r="F206" s="2"/>
      <c r="G206" s="2"/>
      <c r="H206" s="2"/>
      <c r="I206" s="200"/>
      <c r="J206" s="1"/>
      <c r="K206" s="2" t="s">
        <v>13</v>
      </c>
      <c r="M206" s="11"/>
      <c r="N206" s="11"/>
      <c r="O206" s="38"/>
      <c r="P206" s="38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E206" s="42"/>
    </row>
    <row r="207" spans="1:31">
      <c r="A207" s="156" t="s">
        <v>191</v>
      </c>
      <c r="B207" s="1"/>
      <c r="C207" s="1"/>
      <c r="D207" s="1"/>
      <c r="E207" s="2"/>
      <c r="F207" s="2"/>
      <c r="G207" s="1" t="s">
        <v>13</v>
      </c>
      <c r="H207" s="1"/>
      <c r="I207" s="2"/>
      <c r="J207" s="1"/>
      <c r="K207" s="1"/>
      <c r="M207" s="11"/>
      <c r="N207" s="11"/>
      <c r="O207" s="38"/>
      <c r="P207" s="38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E207" s="42"/>
    </row>
    <row r="208" spans="1:31">
      <c r="A208" s="1" t="s">
        <v>215</v>
      </c>
      <c r="B208" s="1"/>
      <c r="C208" s="1"/>
      <c r="D208" s="12"/>
      <c r="E208" s="2"/>
      <c r="F208" s="2"/>
      <c r="G208" s="1"/>
      <c r="H208" s="1"/>
      <c r="I208" s="2"/>
      <c r="J208" s="1"/>
      <c r="K208" s="1"/>
      <c r="M208" s="11"/>
      <c r="N208" s="11"/>
      <c r="O208" s="38"/>
      <c r="P208" s="38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E208" s="42"/>
    </row>
    <row r="209" spans="1:31">
      <c r="A209" s="211" t="s">
        <v>216</v>
      </c>
      <c r="B209" s="1"/>
      <c r="C209" s="12"/>
      <c r="D209" s="12"/>
      <c r="E209" s="2"/>
      <c r="F209" s="2"/>
      <c r="G209" s="1"/>
      <c r="H209" s="1"/>
      <c r="I209" s="2"/>
      <c r="J209" s="1"/>
      <c r="K209" s="1"/>
      <c r="M209" s="11"/>
      <c r="N209" s="11"/>
      <c r="O209" s="38"/>
      <c r="P209" s="38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E209" s="42"/>
    </row>
    <row r="210" spans="1:31">
      <c r="A210" s="1" t="s">
        <v>197</v>
      </c>
      <c r="B210" s="1"/>
      <c r="C210" s="182"/>
      <c r="D210" s="182"/>
      <c r="E210" s="2"/>
      <c r="F210" s="2"/>
      <c r="G210" s="1"/>
      <c r="H210" s="1"/>
      <c r="I210" s="2"/>
      <c r="J210" s="1"/>
      <c r="K210" s="1"/>
      <c r="M210" s="11"/>
      <c r="N210" s="11"/>
      <c r="O210" s="38"/>
      <c r="P210" s="38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E210" s="42"/>
    </row>
    <row r="211" spans="1:31">
      <c r="A211" s="1" t="s">
        <v>194</v>
      </c>
      <c r="B211" s="1"/>
      <c r="C211" s="182">
        <f>31559+48+114515+12+1+4</f>
        <v>146139</v>
      </c>
      <c r="D211" s="182">
        <v>144846</v>
      </c>
      <c r="E211" s="161">
        <f>$E$153</f>
        <v>7.53</v>
      </c>
      <c r="F211" s="184"/>
      <c r="G211" s="2">
        <f>ROUND(E211*$C211,0)</f>
        <v>1100427</v>
      </c>
      <c r="H211" s="2">
        <f>ROUND(E211*$D211,0)</f>
        <v>1090690</v>
      </c>
      <c r="I211" s="161">
        <f>$I$153</f>
        <v>8</v>
      </c>
      <c r="J211" s="186"/>
      <c r="K211" s="2">
        <f>ROUND(I211*$C211,0)</f>
        <v>1169112</v>
      </c>
      <c r="M211" s="11"/>
      <c r="N211" s="11"/>
      <c r="O211" s="38"/>
      <c r="P211" s="38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E211" s="42"/>
    </row>
    <row r="212" spans="1:31">
      <c r="A212" s="1" t="s">
        <v>195</v>
      </c>
      <c r="B212" s="1"/>
      <c r="C212" s="182">
        <f>11+7148+42+33+60+49632</f>
        <v>56926</v>
      </c>
      <c r="D212" s="182">
        <v>56418</v>
      </c>
      <c r="E212" s="161">
        <f>$E$154</f>
        <v>11.18</v>
      </c>
      <c r="F212" s="187"/>
      <c r="G212" s="2">
        <f>ROUND(E212*$C212,0)</f>
        <v>636433</v>
      </c>
      <c r="H212" s="2">
        <f>ROUND(E212*$D212,0)</f>
        <v>630753</v>
      </c>
      <c r="I212" s="161">
        <f>$I$154</f>
        <v>11.877822045152721</v>
      </c>
      <c r="J212" s="188"/>
      <c r="K212" s="2">
        <f>ROUND(I212*$C212,0)</f>
        <v>676157</v>
      </c>
      <c r="M212" s="11"/>
      <c r="N212" s="11"/>
      <c r="O212" s="38"/>
      <c r="P212" s="38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E212" s="42"/>
    </row>
    <row r="213" spans="1:31">
      <c r="A213" s="1" t="s">
        <v>196</v>
      </c>
      <c r="B213" s="1"/>
      <c r="C213" s="182">
        <f>19363+72181+143+261091+506+425+2975+845224</f>
        <v>1201908</v>
      </c>
      <c r="D213" s="182" t="e">
        <f>ROUND(($D$231/'Billing Determinants (2)'!$C$231)*C213,0)</f>
        <v>#REF!</v>
      </c>
      <c r="E213" s="161">
        <f>$E$155</f>
        <v>0.78</v>
      </c>
      <c r="F213" s="187"/>
      <c r="G213" s="2">
        <f>ROUND(E213*$C213,0)</f>
        <v>937488</v>
      </c>
      <c r="H213" s="2" t="e">
        <f>ROUND(E213*$D213,0)</f>
        <v>#REF!</v>
      </c>
      <c r="I213" s="161">
        <f>$I$155</f>
        <v>0.83</v>
      </c>
      <c r="J213" s="188"/>
      <c r="K213" s="2">
        <f>ROUND(I213*$C213,0)</f>
        <v>997584</v>
      </c>
      <c r="M213" s="11"/>
      <c r="N213" s="11"/>
      <c r="O213" s="38"/>
      <c r="P213" s="38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E213" s="42"/>
    </row>
    <row r="214" spans="1:31">
      <c r="A214" s="1" t="s">
        <v>198</v>
      </c>
      <c r="B214" s="1"/>
      <c r="C214" s="182">
        <f>SUM(C211:C212)</f>
        <v>203065</v>
      </c>
      <c r="D214" s="182">
        <f>SUM(D211:D212)</f>
        <v>201264</v>
      </c>
      <c r="E214" s="161"/>
      <c r="F214" s="184"/>
      <c r="G214" s="2"/>
      <c r="H214" s="2"/>
      <c r="I214" s="161"/>
      <c r="J214" s="186"/>
      <c r="K214" s="2"/>
      <c r="M214" s="11"/>
      <c r="N214" s="11"/>
      <c r="O214" s="38"/>
      <c r="P214" s="38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E214" s="42"/>
    </row>
    <row r="215" spans="1:31">
      <c r="A215" s="1" t="s">
        <v>199</v>
      </c>
      <c r="B215" s="1"/>
      <c r="C215" s="182">
        <f>12010+42566+76+150357+258+319+1181+570824</f>
        <v>777591</v>
      </c>
      <c r="D215" s="182" t="e">
        <f>ROUND(($D$231/'Billing Determinants (2)'!$C$231)*C215,0)</f>
        <v>#REF!</v>
      </c>
      <c r="E215" s="189">
        <f>$E$158</f>
        <v>2.88</v>
      </c>
      <c r="F215" s="186"/>
      <c r="G215" s="2">
        <f>ROUND(E215*$C215,0)</f>
        <v>2239462</v>
      </c>
      <c r="H215" s="2" t="e">
        <f>ROUND(E215*$D215,0)</f>
        <v>#REF!</v>
      </c>
      <c r="I215" s="189">
        <f>$I$158</f>
        <v>2.97</v>
      </c>
      <c r="J215" s="186"/>
      <c r="K215" s="2">
        <f>ROUND(I215*$C215,0)</f>
        <v>2309445</v>
      </c>
      <c r="M215" s="11"/>
      <c r="N215" s="11"/>
      <c r="O215" s="38"/>
      <c r="P215" s="38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E215" s="42"/>
    </row>
    <row r="216" spans="1:31">
      <c r="A216" s="1" t="s">
        <v>201</v>
      </c>
      <c r="B216" s="182"/>
      <c r="C216" s="182" t="e">
        <f>10637140+2511+3968456+48093+68224697+41262+14709+22133+40160890+910+1497+3016+#REF!*1000</f>
        <v>#REF!</v>
      </c>
      <c r="D216" s="182" t="e">
        <f>ROUND(($D$231/$C$231)*C216,0)</f>
        <v>#REF!</v>
      </c>
      <c r="E216" s="162">
        <f>$E$159</f>
        <v>8.0890000000000004</v>
      </c>
      <c r="F216" s="186" t="s">
        <v>178</v>
      </c>
      <c r="G216" s="2" t="e">
        <f>ROUND(E216*$C216/100,0)</f>
        <v>#REF!</v>
      </c>
      <c r="H216" s="2" t="e">
        <f>ROUND(E216*$D216/100,0)</f>
        <v>#REF!</v>
      </c>
      <c r="I216" s="162">
        <f>$I$159</f>
        <v>8.8109999999999999</v>
      </c>
      <c r="J216" s="186" t="s">
        <v>178</v>
      </c>
      <c r="K216" s="2" t="e">
        <f>ROUND(I216*$C216/100,0)</f>
        <v>#REF!</v>
      </c>
      <c r="M216" s="336"/>
      <c r="N216" s="336"/>
      <c r="O216" s="38"/>
      <c r="P216" s="38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E216" s="42"/>
    </row>
    <row r="217" spans="1:31">
      <c r="A217" s="1" t="s">
        <v>202</v>
      </c>
      <c r="B217" s="182"/>
      <c r="C217" s="182" t="e">
        <f>6716987+667+10550295+89698+100459984+191610+96267+84727+156443365+471+#REF!*1000</f>
        <v>#REF!</v>
      </c>
      <c r="D217" s="182" t="e">
        <f>ROUND(($D$231/'Billing Determinants (2)'!$C$231)*C217,0)</f>
        <v>#REF!</v>
      </c>
      <c r="E217" s="162">
        <f>$E$160</f>
        <v>5.5839999999999996</v>
      </c>
      <c r="F217" s="186" t="s">
        <v>178</v>
      </c>
      <c r="G217" s="2" t="e">
        <f>ROUND(E217*$C217/100,0)</f>
        <v>#REF!</v>
      </c>
      <c r="H217" s="2" t="e">
        <f>ROUND(E217*$D217/100,0)</f>
        <v>#REF!</v>
      </c>
      <c r="I217" s="162">
        <f>$I$160</f>
        <v>6.0819999999999999</v>
      </c>
      <c r="J217" s="186" t="s">
        <v>178</v>
      </c>
      <c r="K217" s="2" t="e">
        <f>ROUND(I217*$C217/100,0)</f>
        <v>#REF!</v>
      </c>
      <c r="M217" s="336"/>
      <c r="N217" s="336"/>
      <c r="O217" s="38"/>
      <c r="P217" s="38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E217" s="42"/>
    </row>
    <row r="218" spans="1:31">
      <c r="A218" s="1" t="s">
        <v>203</v>
      </c>
      <c r="B218" s="182"/>
      <c r="C218" s="182" t="e">
        <f>974972+8370324+11474735+34390+61460+4500+93253467+#REF!*1000</f>
        <v>#REF!</v>
      </c>
      <c r="D218" s="182" t="e">
        <f>ROUND(($D$231/'Billing Determinants (2)'!$C$231)*C218,0)</f>
        <v>#REF!</v>
      </c>
      <c r="E218" s="162">
        <f>$E$161</f>
        <v>4.8099999999999996</v>
      </c>
      <c r="F218" s="186" t="s">
        <v>178</v>
      </c>
      <c r="G218" s="2" t="e">
        <f>ROUND(E218*$C218/100,0)</f>
        <v>#REF!</v>
      </c>
      <c r="H218" s="2" t="e">
        <f>ROUND(E218*$D218/100,0)</f>
        <v>#REF!</v>
      </c>
      <c r="I218" s="162">
        <f>$I$161</f>
        <v>5.24</v>
      </c>
      <c r="J218" s="186" t="s">
        <v>178</v>
      </c>
      <c r="K218" s="2" t="e">
        <f>ROUND(I218*$C218/100,0)</f>
        <v>#REF!</v>
      </c>
      <c r="M218" s="336"/>
      <c r="N218" s="336"/>
      <c r="O218" s="38"/>
      <c r="P218" s="38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E218" s="42"/>
    </row>
    <row r="219" spans="1:31">
      <c r="A219" s="1" t="s">
        <v>204</v>
      </c>
      <c r="B219" s="12"/>
      <c r="C219" s="182">
        <f>1+8222+516+2+2994+65942</f>
        <v>77677</v>
      </c>
      <c r="D219" s="182" t="e">
        <f>ROUND(($D$231/'Billing Determinants (2)'!$C$231)*C219,0)</f>
        <v>#REF!</v>
      </c>
      <c r="E219" s="193">
        <f>$E$162</f>
        <v>45</v>
      </c>
      <c r="F219" s="184" t="s">
        <v>178</v>
      </c>
      <c r="G219" s="2">
        <f>ROUND(E219*$C219/100,0)</f>
        <v>34955</v>
      </c>
      <c r="H219" s="2" t="e">
        <f>ROUND(E219*$D219/100,0)</f>
        <v>#REF!</v>
      </c>
      <c r="I219" s="193">
        <f>$I$162</f>
        <v>50</v>
      </c>
      <c r="J219" s="186" t="s">
        <v>178</v>
      </c>
      <c r="K219" s="2">
        <f>ROUND(I219*$C219/100,0)</f>
        <v>38839</v>
      </c>
      <c r="M219" s="11"/>
      <c r="N219" s="11"/>
      <c r="O219" s="38"/>
      <c r="P219" s="38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E219" s="42"/>
    </row>
    <row r="220" spans="1:31">
      <c r="A220" s="194" t="s">
        <v>205</v>
      </c>
      <c r="B220" s="12"/>
      <c r="C220" s="182"/>
      <c r="D220" s="182"/>
      <c r="E220" s="195">
        <v>-0.01</v>
      </c>
      <c r="F220" s="184"/>
      <c r="G220" s="2"/>
      <c r="H220" s="2"/>
      <c r="I220" s="195">
        <v>-0.01</v>
      </c>
      <c r="J220" s="186"/>
      <c r="K220" s="2"/>
      <c r="M220" s="11"/>
      <c r="N220" s="11"/>
      <c r="O220" s="38"/>
      <c r="P220" s="38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E220" s="42"/>
    </row>
    <row r="221" spans="1:31">
      <c r="A221" s="1" t="s">
        <v>194</v>
      </c>
      <c r="B221" s="1"/>
      <c r="C221" s="182">
        <f>48</f>
        <v>48</v>
      </c>
      <c r="D221" s="182">
        <v>48</v>
      </c>
      <c r="E221" s="197">
        <f>E211</f>
        <v>7.53</v>
      </c>
      <c r="F221" s="184"/>
      <c r="G221" s="2">
        <f>-ROUND(E221*$C221/100,0)</f>
        <v>-4</v>
      </c>
      <c r="H221" s="2">
        <f>-ROUND(E221*$D221/100,0)</f>
        <v>-4</v>
      </c>
      <c r="I221" s="197">
        <f>I211</f>
        <v>8</v>
      </c>
      <c r="J221" s="184"/>
      <c r="K221" s="2">
        <f>-ROUND(I221*$C221/100,0)</f>
        <v>-4</v>
      </c>
      <c r="M221" s="11"/>
      <c r="N221" s="11"/>
      <c r="O221" s="38"/>
      <c r="P221" s="38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E221" s="42"/>
    </row>
    <row r="222" spans="1:31">
      <c r="A222" s="1" t="s">
        <v>195</v>
      </c>
      <c r="B222" s="1"/>
      <c r="C222" s="182">
        <f>33+60</f>
        <v>93</v>
      </c>
      <c r="D222" s="182">
        <v>92</v>
      </c>
      <c r="E222" s="197">
        <f>E212</f>
        <v>11.18</v>
      </c>
      <c r="F222" s="184"/>
      <c r="G222" s="2">
        <f>-ROUND(E222*$C222/100,0)</f>
        <v>-10</v>
      </c>
      <c r="H222" s="2">
        <f>-ROUND(E222*$D222/100,0)</f>
        <v>-10</v>
      </c>
      <c r="I222" s="197">
        <f>I212</f>
        <v>11.877822045152721</v>
      </c>
      <c r="J222" s="184"/>
      <c r="K222" s="2">
        <f>-ROUND(I222*$C222/100,0)</f>
        <v>-11</v>
      </c>
      <c r="M222" s="11"/>
      <c r="N222" s="11"/>
      <c r="O222" s="38"/>
      <c r="P222" s="38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E222" s="42"/>
    </row>
    <row r="223" spans="1:31">
      <c r="A223" s="1" t="s">
        <v>206</v>
      </c>
      <c r="B223" s="1"/>
      <c r="C223" s="182">
        <f>143+425+2975</f>
        <v>3543</v>
      </c>
      <c r="D223" s="182" t="e">
        <f>ROUND(($D$231/'Billing Determinants (2)'!$C$231)*C223,0)</f>
        <v>#REF!</v>
      </c>
      <c r="E223" s="197">
        <f>E213</f>
        <v>0.78</v>
      </c>
      <c r="F223" s="184"/>
      <c r="G223" s="2">
        <f>-ROUND(E223*$C223/100,0)</f>
        <v>-28</v>
      </c>
      <c r="H223" s="2" t="e">
        <f>-ROUND(E223*$D223/100,0)</f>
        <v>#REF!</v>
      </c>
      <c r="I223" s="197">
        <f>I213</f>
        <v>0.83</v>
      </c>
      <c r="J223" s="184"/>
      <c r="K223" s="2">
        <f>-ROUND(I223*$C223/100,0)</f>
        <v>-29</v>
      </c>
      <c r="M223" s="11"/>
      <c r="N223" s="11"/>
      <c r="O223" s="38"/>
      <c r="P223" s="38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E223" s="42"/>
    </row>
    <row r="224" spans="1:31">
      <c r="A224" s="1" t="s">
        <v>217</v>
      </c>
      <c r="B224" s="1"/>
      <c r="C224" s="182">
        <f>76+319+1181</f>
        <v>1576</v>
      </c>
      <c r="D224" s="182" t="e">
        <f>ROUND(($D$231/'Billing Determinants (2)'!$C$231)*C224,0)</f>
        <v>#REF!</v>
      </c>
      <c r="E224" s="197">
        <f>E215</f>
        <v>2.88</v>
      </c>
      <c r="F224" s="186"/>
      <c r="G224" s="2">
        <f>-ROUND(E224*$C224/100,0)</f>
        <v>-45</v>
      </c>
      <c r="H224" s="2" t="e">
        <f>-ROUND(E224*$D224/100,0)</f>
        <v>#REF!</v>
      </c>
      <c r="I224" s="197">
        <f>I215</f>
        <v>2.97</v>
      </c>
      <c r="J224" s="186"/>
      <c r="K224" s="2">
        <f>-ROUND(I224*$C224/100,0)</f>
        <v>-47</v>
      </c>
      <c r="M224" s="11"/>
      <c r="N224" s="11"/>
      <c r="O224" s="38"/>
      <c r="P224" s="38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E224" s="42"/>
    </row>
    <row r="225" spans="1:31">
      <c r="A225" s="1" t="s">
        <v>209</v>
      </c>
      <c r="B225" s="1"/>
      <c r="C225" s="182">
        <f>48093+14709+22133</f>
        <v>84935</v>
      </c>
      <c r="D225" s="182" t="e">
        <f>ROUND(($D$231/'Billing Determinants (2)'!$C$231)*C225,0)</f>
        <v>#REF!</v>
      </c>
      <c r="E225" s="198">
        <f>E216</f>
        <v>8.0890000000000004</v>
      </c>
      <c r="F225" s="186" t="s">
        <v>178</v>
      </c>
      <c r="G225" s="2">
        <f>ROUND(E225*$C225/100*E220,0)</f>
        <v>-69</v>
      </c>
      <c r="H225" s="2" t="e">
        <f>ROUND(E225*$D225/100*E220,0)</f>
        <v>#REF!</v>
      </c>
      <c r="I225" s="198">
        <f>I216</f>
        <v>8.8109999999999999</v>
      </c>
      <c r="J225" s="186" t="s">
        <v>178</v>
      </c>
      <c r="K225" s="2">
        <f>ROUND(I225*$C225/100*I220,0)</f>
        <v>-75</v>
      </c>
      <c r="M225" s="11"/>
      <c r="N225" s="11"/>
      <c r="O225" s="38"/>
      <c r="P225" s="38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E225" s="42"/>
    </row>
    <row r="226" spans="1:31">
      <c r="A226" s="1" t="s">
        <v>202</v>
      </c>
      <c r="B226" s="1"/>
      <c r="C226" s="182">
        <f>89698+96267+84727</f>
        <v>270692</v>
      </c>
      <c r="D226" s="182" t="e">
        <f>ROUND(($D$231/'Billing Determinants (2)'!$C$231)*C226,0)</f>
        <v>#REF!</v>
      </c>
      <c r="E226" s="198">
        <f>E217</f>
        <v>5.5839999999999996</v>
      </c>
      <c r="F226" s="186" t="s">
        <v>178</v>
      </c>
      <c r="G226" s="2">
        <f>ROUND(E226*$C226/100*E220,0)</f>
        <v>-151</v>
      </c>
      <c r="H226" s="2" t="e">
        <f>ROUND(E226*$D226/100*E220,0)</f>
        <v>#REF!</v>
      </c>
      <c r="I226" s="198">
        <f>I217</f>
        <v>6.0819999999999999</v>
      </c>
      <c r="J226" s="186" t="s">
        <v>178</v>
      </c>
      <c r="K226" s="2">
        <f>ROUND(I226*$C226/100*I220,0)</f>
        <v>-165</v>
      </c>
      <c r="M226" s="11"/>
      <c r="N226" s="11"/>
      <c r="O226" s="38"/>
      <c r="P226" s="38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E226" s="42"/>
    </row>
    <row r="227" spans="1:31">
      <c r="A227" s="1" t="s">
        <v>203</v>
      </c>
      <c r="B227" s="1"/>
      <c r="C227" s="182">
        <f>137791+172436+111360-C225-C226</f>
        <v>65960</v>
      </c>
      <c r="D227" s="182" t="e">
        <f>ROUND(($D$231/'Billing Determinants (2)'!$C$231)*C227,0)</f>
        <v>#REF!</v>
      </c>
      <c r="E227" s="198">
        <f>E218</f>
        <v>4.8099999999999996</v>
      </c>
      <c r="F227" s="186" t="s">
        <v>178</v>
      </c>
      <c r="G227" s="2">
        <f>ROUND(E227*$C227/100*E220,0)</f>
        <v>-32</v>
      </c>
      <c r="H227" s="2" t="e">
        <f>ROUND(E227*$D227/100*E220,0)</f>
        <v>#REF!</v>
      </c>
      <c r="I227" s="198">
        <f>I218</f>
        <v>5.24</v>
      </c>
      <c r="J227" s="186" t="s">
        <v>178</v>
      </c>
      <c r="K227" s="2">
        <f>ROUND(I227*$C227/100*I220,0)</f>
        <v>-35</v>
      </c>
      <c r="M227" s="11"/>
      <c r="N227" s="11"/>
      <c r="O227" s="38"/>
      <c r="P227" s="38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E227" s="42"/>
    </row>
    <row r="228" spans="1:31">
      <c r="A228" s="1" t="s">
        <v>204</v>
      </c>
      <c r="B228" s="1"/>
      <c r="C228" s="182">
        <f>2+2994</f>
        <v>2996</v>
      </c>
      <c r="D228" s="182" t="e">
        <f>ROUND(($D$231/'Billing Determinants (2)'!$C$231)*C228,0)</f>
        <v>#REF!</v>
      </c>
      <c r="E228" s="199">
        <f>E219</f>
        <v>45</v>
      </c>
      <c r="F228" s="186" t="s">
        <v>178</v>
      </c>
      <c r="G228" s="2">
        <f>ROUND(E228*$C228/100*E220,0)</f>
        <v>-13</v>
      </c>
      <c r="H228" s="2" t="e">
        <f>ROUND(E228*$D228/100*E220,0)</f>
        <v>#REF!</v>
      </c>
      <c r="I228" s="199">
        <f>I219</f>
        <v>50</v>
      </c>
      <c r="J228" s="186" t="s">
        <v>178</v>
      </c>
      <c r="K228" s="2">
        <f>ROUND(I228*$C228/100*I220,0)</f>
        <v>-15</v>
      </c>
      <c r="M228" s="11"/>
      <c r="N228" s="11"/>
      <c r="O228" s="38"/>
      <c r="P228" s="38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E228" s="42"/>
    </row>
    <row r="229" spans="1:31">
      <c r="A229" s="1" t="s">
        <v>211</v>
      </c>
      <c r="B229" s="1"/>
      <c r="C229" s="182">
        <f>48+60</f>
        <v>108</v>
      </c>
      <c r="D229" s="182" t="e">
        <f>ROUND(($D$231/'Billing Determinants (2)'!$C$231)*C229,0)</f>
        <v>#REF!</v>
      </c>
      <c r="E229" s="200">
        <f>$E$172</f>
        <v>60</v>
      </c>
      <c r="F229" s="184"/>
      <c r="G229" s="2">
        <f>ROUND(E229*$C229,0)</f>
        <v>6480</v>
      </c>
      <c r="H229" s="2" t="e">
        <f>ROUND(E229*$D229,0)</f>
        <v>#REF!</v>
      </c>
      <c r="I229" s="200">
        <f>$I$172</f>
        <v>60</v>
      </c>
      <c r="J229" s="186"/>
      <c r="K229" s="2">
        <f>ROUND(I229*$C229,0)</f>
        <v>6480</v>
      </c>
      <c r="M229" s="11"/>
      <c r="N229" s="11"/>
      <c r="O229" s="38"/>
      <c r="P229" s="38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E229" s="42"/>
    </row>
    <row r="230" spans="1:31">
      <c r="A230" s="1" t="s">
        <v>212</v>
      </c>
      <c r="B230" s="1"/>
      <c r="C230" s="182">
        <f>143+506+2975</f>
        <v>3624</v>
      </c>
      <c r="D230" s="182" t="e">
        <f>ROUND(($D$231/'Billing Determinants (2)'!$C$231)*C230,0)</f>
        <v>#REF!</v>
      </c>
      <c r="E230" s="202">
        <f>$E$173</f>
        <v>-30</v>
      </c>
      <c r="F230" s="184" t="s">
        <v>178</v>
      </c>
      <c r="G230" s="2">
        <f>ROUND(E230*$C230/100,0)</f>
        <v>-1087</v>
      </c>
      <c r="H230" s="2" t="e">
        <f>ROUND(E230*$D230/100,0)</f>
        <v>#REF!</v>
      </c>
      <c r="I230" s="202">
        <f>$I$173</f>
        <v>-30</v>
      </c>
      <c r="J230" s="186" t="s">
        <v>178</v>
      </c>
      <c r="K230" s="2">
        <f>ROUND(I230*$C230/100,0)</f>
        <v>-1087</v>
      </c>
      <c r="M230" s="11"/>
      <c r="N230" s="11"/>
      <c r="O230" s="38"/>
      <c r="P230" s="38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E230" s="42"/>
    </row>
    <row r="231" spans="1:31">
      <c r="A231" s="1" t="s">
        <v>185</v>
      </c>
      <c r="B231" s="170"/>
      <c r="C231" s="182" t="e">
        <f>SUM(C216:C218)</f>
        <v>#REF!</v>
      </c>
      <c r="D231" s="182">
        <v>505220047.82638693</v>
      </c>
      <c r="E231" s="193"/>
      <c r="F231" s="2"/>
      <c r="G231" s="2" t="e">
        <f>SUM(G211:G230)</f>
        <v>#REF!</v>
      </c>
      <c r="H231" s="2" t="e">
        <f>SUM(H211:H230)</f>
        <v>#REF!</v>
      </c>
      <c r="I231" s="193"/>
      <c r="J231" s="186"/>
      <c r="K231" s="2" t="e">
        <f>SUM(K211:K230)</f>
        <v>#REF!</v>
      </c>
      <c r="M231" s="279"/>
      <c r="N231" s="279"/>
      <c r="O231" s="38"/>
      <c r="P231" s="38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E231" s="42"/>
    </row>
    <row r="232" spans="1:31">
      <c r="A232" s="1" t="s">
        <v>167</v>
      </c>
      <c r="B232" s="1"/>
      <c r="C232" s="212" t="e">
        <f>#REF!</f>
        <v>#REF!</v>
      </c>
      <c r="D232" s="203">
        <v>0</v>
      </c>
      <c r="E232" s="172"/>
      <c r="F232" s="172"/>
      <c r="G232" s="204" t="e">
        <f>#REF!</f>
        <v>#REF!</v>
      </c>
      <c r="H232" s="204">
        <v>0</v>
      </c>
      <c r="I232" s="172"/>
      <c r="J232" s="172"/>
      <c r="K232" s="204" t="e">
        <f>G232</f>
        <v>#REF!</v>
      </c>
      <c r="M232" s="307"/>
      <c r="N232" s="307"/>
      <c r="O232" s="150"/>
      <c r="P232" s="38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E232" s="42"/>
    </row>
    <row r="233" spans="1:31" ht="16.5" thickBot="1">
      <c r="A233" s="1" t="s">
        <v>186</v>
      </c>
      <c r="B233" s="1"/>
      <c r="C233" s="174" t="e">
        <f>SUM(C231:C232)</f>
        <v>#REF!</v>
      </c>
      <c r="D233" s="174">
        <f>SUM(D231:D232)</f>
        <v>505220047.82638693</v>
      </c>
      <c r="E233" s="205"/>
      <c r="F233" s="206"/>
      <c r="G233" s="207" t="e">
        <f>G231+G232</f>
        <v>#REF!</v>
      </c>
      <c r="H233" s="207" t="e">
        <f>H231+H232</f>
        <v>#REF!</v>
      </c>
      <c r="I233" s="205"/>
      <c r="J233" s="208"/>
      <c r="K233" s="207" t="e">
        <f>K231+K232</f>
        <v>#REF!</v>
      </c>
      <c r="M233" s="274"/>
      <c r="N233" s="274"/>
      <c r="O233" s="333"/>
      <c r="P233" s="38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E233" s="42"/>
    </row>
    <row r="234" spans="1:31" ht="16.5" thickTop="1">
      <c r="A234" s="1"/>
      <c r="B234" s="1"/>
      <c r="C234" s="12"/>
      <c r="D234" s="12"/>
      <c r="E234" s="200"/>
      <c r="F234" s="2"/>
      <c r="G234" s="2"/>
      <c r="H234" s="2"/>
      <c r="I234" s="200"/>
      <c r="J234" s="1"/>
      <c r="K234" s="2" t="s">
        <v>13</v>
      </c>
      <c r="M234" s="11"/>
      <c r="N234" s="11"/>
      <c r="O234" s="38"/>
      <c r="P234" s="38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E234" s="42"/>
    </row>
    <row r="235" spans="1:31">
      <c r="A235" s="156" t="s">
        <v>191</v>
      </c>
      <c r="B235" s="1"/>
      <c r="C235" s="1"/>
      <c r="D235" s="1"/>
      <c r="E235" s="2"/>
      <c r="F235" s="2"/>
      <c r="G235" s="1" t="s">
        <v>13</v>
      </c>
      <c r="H235" s="1"/>
      <c r="I235" s="2"/>
      <c r="J235" s="1"/>
      <c r="K235" s="1"/>
      <c r="M235" s="11"/>
      <c r="N235" s="11"/>
      <c r="O235" s="38"/>
      <c r="P235" s="38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E235" s="42"/>
    </row>
    <row r="236" spans="1:31">
      <c r="A236" s="1" t="s">
        <v>218</v>
      </c>
      <c r="B236" s="1"/>
      <c r="C236" s="12"/>
      <c r="D236" s="1"/>
      <c r="E236" s="2"/>
      <c r="F236" s="2"/>
      <c r="G236" s="1"/>
      <c r="H236" s="1"/>
      <c r="I236" s="2"/>
      <c r="J236" s="1"/>
      <c r="K236" s="1"/>
      <c r="M236" s="11"/>
      <c r="N236" s="11"/>
      <c r="O236" s="38"/>
      <c r="P236" s="38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E236" s="42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M237" s="11"/>
      <c r="N237" s="11"/>
      <c r="O237" s="38"/>
      <c r="P237" s="38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E237" s="42"/>
    </row>
    <row r="238" spans="1:31">
      <c r="A238" s="1" t="s">
        <v>197</v>
      </c>
      <c r="B238" s="1"/>
      <c r="C238" s="182"/>
      <c r="D238" s="182"/>
      <c r="E238" s="2"/>
      <c r="F238" s="2"/>
      <c r="G238" s="1"/>
      <c r="H238" s="1"/>
      <c r="I238" s="2"/>
      <c r="J238" s="1"/>
      <c r="K238" s="1"/>
      <c r="M238" s="11"/>
      <c r="N238" s="11"/>
      <c r="O238" s="38"/>
      <c r="P238" s="38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E238" s="42"/>
    </row>
    <row r="239" spans="1:31">
      <c r="A239" s="1" t="s">
        <v>194</v>
      </c>
      <c r="B239" s="1"/>
      <c r="C239" s="182">
        <f>564+1748</f>
        <v>2312</v>
      </c>
      <c r="D239" s="182">
        <f>ROUND(($D$242/'Billing Determinants (2)'!$C$242)*C239,0)</f>
        <v>2307</v>
      </c>
      <c r="E239" s="161">
        <f>$E$153</f>
        <v>7.53</v>
      </c>
      <c r="F239" s="184"/>
      <c r="G239" s="2">
        <f>ROUND(E239*$C239,0)</f>
        <v>17409</v>
      </c>
      <c r="H239" s="2">
        <f>ROUND(E239*$D239,0)</f>
        <v>17372</v>
      </c>
      <c r="I239" s="161">
        <f>$I$153</f>
        <v>8</v>
      </c>
      <c r="J239" s="186"/>
      <c r="K239" s="2">
        <f>ROUND(I239*$C239,0)</f>
        <v>18496</v>
      </c>
      <c r="M239" s="11"/>
      <c r="N239" s="11"/>
      <c r="O239" s="38"/>
      <c r="P239" s="38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E239" s="42"/>
    </row>
    <row r="240" spans="1:31">
      <c r="A240" s="1" t="s">
        <v>195</v>
      </c>
      <c r="B240" s="1"/>
      <c r="C240" s="182">
        <f>690+2733</f>
        <v>3423</v>
      </c>
      <c r="D240" s="182">
        <f>ROUND(($D$242/'Billing Determinants (2)'!$C$242)*C240,0)</f>
        <v>3416</v>
      </c>
      <c r="E240" s="161">
        <f>$E$154</f>
        <v>11.18</v>
      </c>
      <c r="F240" s="187"/>
      <c r="G240" s="2">
        <f>ROUND(E240*$C240,0)</f>
        <v>38269</v>
      </c>
      <c r="H240" s="2">
        <f>ROUND(E240*$D240,0)</f>
        <v>38191</v>
      </c>
      <c r="I240" s="161">
        <f>$I$154</f>
        <v>11.877822045152721</v>
      </c>
      <c r="J240" s="188"/>
      <c r="K240" s="2">
        <f>ROUND(I240*$C240,0)</f>
        <v>40658</v>
      </c>
      <c r="M240" s="11"/>
      <c r="N240" s="11"/>
      <c r="O240" s="38"/>
      <c r="P240" s="38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E240" s="42"/>
    </row>
    <row r="241" spans="1:31">
      <c r="A241" s="1" t="s">
        <v>196</v>
      </c>
      <c r="B241" s="1"/>
      <c r="C241" s="182">
        <f>878+12793+3580+59407</f>
        <v>76658</v>
      </c>
      <c r="D241" s="182">
        <f>ROUND(($D$259/$C$259)*C241,0)</f>
        <v>86045</v>
      </c>
      <c r="E241" s="161">
        <f>$E$155</f>
        <v>0.78</v>
      </c>
      <c r="F241" s="187"/>
      <c r="G241" s="2">
        <f>ROUND(E241*$C241,0)</f>
        <v>59793</v>
      </c>
      <c r="H241" s="2">
        <f>ROUND(E241*$D241,0)</f>
        <v>67115</v>
      </c>
      <c r="I241" s="161">
        <f>$I$155</f>
        <v>0.83</v>
      </c>
      <c r="J241" s="188"/>
      <c r="K241" s="2">
        <f>ROUND(I241*$C241,0)</f>
        <v>63626</v>
      </c>
      <c r="M241" s="11"/>
      <c r="N241" s="11"/>
      <c r="O241" s="38"/>
      <c r="P241" s="38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E241" s="42"/>
    </row>
    <row r="242" spans="1:31">
      <c r="A242" s="1" t="s">
        <v>198</v>
      </c>
      <c r="B242" s="1"/>
      <c r="C242" s="182">
        <f>SUM(C239:C240)</f>
        <v>5735</v>
      </c>
      <c r="D242" s="182">
        <v>5723</v>
      </c>
      <c r="E242" s="161"/>
      <c r="F242" s="184"/>
      <c r="G242" s="2"/>
      <c r="H242" s="2"/>
      <c r="I242" s="161"/>
      <c r="J242" s="186"/>
      <c r="K242" s="2"/>
      <c r="M242" s="11"/>
      <c r="N242" s="11"/>
      <c r="O242" s="38"/>
      <c r="P242" s="38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E242" s="42"/>
    </row>
    <row r="243" spans="1:31">
      <c r="A243" s="1" t="s">
        <v>199</v>
      </c>
      <c r="B243" s="1"/>
      <c r="C243" s="182">
        <f>571+5841+2000+36248</f>
        <v>44660</v>
      </c>
      <c r="D243" s="182">
        <f>ROUND(($D$259/$C$259)*C243,0)</f>
        <v>50129</v>
      </c>
      <c r="E243" s="189">
        <f>$E$158</f>
        <v>2.88</v>
      </c>
      <c r="F243" s="186"/>
      <c r="G243" s="2">
        <f>ROUND(E243*$C243,0)</f>
        <v>128621</v>
      </c>
      <c r="H243" s="2">
        <f>ROUND(E243*$D243,0)</f>
        <v>144372</v>
      </c>
      <c r="I243" s="189">
        <f>$I$158</f>
        <v>2.97</v>
      </c>
      <c r="J243" s="186"/>
      <c r="K243" s="2">
        <f>ROUND(I243*$C243,0)</f>
        <v>132640</v>
      </c>
      <c r="M243" s="11"/>
      <c r="N243" s="11"/>
      <c r="O243" s="38"/>
      <c r="P243" s="38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E243" s="42"/>
    </row>
    <row r="244" spans="1:31">
      <c r="A244" s="1" t="s">
        <v>201</v>
      </c>
      <c r="B244" s="1"/>
      <c r="C244" s="182">
        <f>194181+404382+1030706+2158260</f>
        <v>3787529</v>
      </c>
      <c r="D244" s="182">
        <f>ROUND(($D$259/$C$259)*C244,0)</f>
        <v>4251317</v>
      </c>
      <c r="E244" s="162">
        <f>$E$159</f>
        <v>8.0890000000000004</v>
      </c>
      <c r="F244" s="186" t="s">
        <v>178</v>
      </c>
      <c r="G244" s="2">
        <f>ROUND(E244*$C244/100,0)</f>
        <v>306373</v>
      </c>
      <c r="H244" s="2">
        <f>ROUND(E244*$D244/100,0)</f>
        <v>343889</v>
      </c>
      <c r="I244" s="162">
        <f>$I$159</f>
        <v>8.8109999999999999</v>
      </c>
      <c r="J244" s="186" t="s">
        <v>178</v>
      </c>
      <c r="K244" s="2">
        <f>ROUND(I244*$C244/100,0)</f>
        <v>333719</v>
      </c>
      <c r="M244" s="11"/>
      <c r="N244" s="11"/>
      <c r="O244" s="38"/>
      <c r="P244" s="38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E244" s="42"/>
    </row>
    <row r="245" spans="1:31">
      <c r="A245" s="1" t="s">
        <v>202</v>
      </c>
      <c r="B245" s="1"/>
      <c r="C245" s="182">
        <f>303929+1124643+1689326+8117436</f>
        <v>11235334</v>
      </c>
      <c r="D245" s="182">
        <f>ROUND(($D$259/$C$259)*C245,0)</f>
        <v>12611116</v>
      </c>
      <c r="E245" s="162">
        <f>$E$160</f>
        <v>5.5839999999999996</v>
      </c>
      <c r="F245" s="186" t="s">
        <v>178</v>
      </c>
      <c r="G245" s="2">
        <f>ROUND(E245*$C245/100,0)</f>
        <v>627381</v>
      </c>
      <c r="H245" s="2">
        <f>ROUND(E245*$D245/100,0)</f>
        <v>704205</v>
      </c>
      <c r="I245" s="162">
        <f>$I$160</f>
        <v>6.0819999999999999</v>
      </c>
      <c r="J245" s="186" t="s">
        <v>178</v>
      </c>
      <c r="K245" s="2">
        <f>ROUND(I245*$C245/100,0)</f>
        <v>683333</v>
      </c>
      <c r="M245" s="11"/>
      <c r="N245" s="11"/>
      <c r="O245" s="38"/>
      <c r="P245" s="38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E245" s="42"/>
    </row>
    <row r="246" spans="1:31">
      <c r="A246" s="1" t="s">
        <v>203</v>
      </c>
      <c r="B246" s="1"/>
      <c r="C246" s="182">
        <f>570154+2394034+2847736+14349793-C245-C244</f>
        <v>5138854</v>
      </c>
      <c r="D246" s="182">
        <f>ROUND(($D$259/$C$259)*C246,0)</f>
        <v>5768114</v>
      </c>
      <c r="E246" s="162">
        <f>$E$161</f>
        <v>4.8099999999999996</v>
      </c>
      <c r="F246" s="186" t="s">
        <v>178</v>
      </c>
      <c r="G246" s="2">
        <f>ROUND(E246*$C246/100,0)</f>
        <v>247179</v>
      </c>
      <c r="H246" s="2">
        <f>ROUND(E246*$D246/100,0)</f>
        <v>277446</v>
      </c>
      <c r="I246" s="162">
        <f>$I$161</f>
        <v>5.24</v>
      </c>
      <c r="J246" s="186" t="s">
        <v>178</v>
      </c>
      <c r="K246" s="2">
        <f>ROUND(I246*$C246/100,0)</f>
        <v>269276</v>
      </c>
      <c r="M246" s="11"/>
      <c r="N246" s="11"/>
      <c r="O246" s="38"/>
      <c r="P246" s="38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E246" s="42"/>
    </row>
    <row r="247" spans="1:31">
      <c r="A247" s="1" t="s">
        <v>204</v>
      </c>
      <c r="B247" s="1"/>
      <c r="C247" s="182">
        <f>2748+11933</f>
        <v>14681</v>
      </c>
      <c r="D247" s="182">
        <f>ROUND(($D$259/$C$259)*C247,0)</f>
        <v>16479</v>
      </c>
      <c r="E247" s="193">
        <f>$E$162</f>
        <v>45</v>
      </c>
      <c r="F247" s="184" t="s">
        <v>178</v>
      </c>
      <c r="G247" s="2">
        <f>ROUND(E247*$C247/100,0)</f>
        <v>6606</v>
      </c>
      <c r="H247" s="2">
        <f>ROUND(E247*$D247/100,0)</f>
        <v>7416</v>
      </c>
      <c r="I247" s="193">
        <f>$I$162</f>
        <v>50</v>
      </c>
      <c r="J247" s="186" t="s">
        <v>178</v>
      </c>
      <c r="K247" s="2">
        <f>ROUND(I247*$C247/100,0)</f>
        <v>7341</v>
      </c>
      <c r="M247" s="11"/>
      <c r="N247" s="11"/>
      <c r="O247" s="38"/>
      <c r="P247" s="38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E247" s="42"/>
    </row>
    <row r="248" spans="1:31">
      <c r="A248" s="194" t="s">
        <v>205</v>
      </c>
      <c r="B248" s="1"/>
      <c r="C248" s="182"/>
      <c r="D248" s="182"/>
      <c r="E248" s="195">
        <v>-0.01</v>
      </c>
      <c r="F248" s="184"/>
      <c r="G248" s="2"/>
      <c r="H248" s="2"/>
      <c r="I248" s="195">
        <v>-0.01</v>
      </c>
      <c r="J248" s="186"/>
      <c r="K248" s="2"/>
      <c r="M248" s="11"/>
      <c r="N248" s="11"/>
      <c r="O248" s="38"/>
      <c r="P248" s="38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E248" s="42"/>
    </row>
    <row r="249" spans="1:31">
      <c r="A249" s="1" t="s">
        <v>194</v>
      </c>
      <c r="B249" s="1"/>
      <c r="C249" s="182">
        <v>0</v>
      </c>
      <c r="D249" s="182">
        <f t="shared" ref="D249:D258" si="23">ROUND(($D$259/$C$259)*C249,0)</f>
        <v>0</v>
      </c>
      <c r="E249" s="197">
        <f>E239</f>
        <v>7.53</v>
      </c>
      <c r="F249" s="184"/>
      <c r="G249" s="2">
        <f>-ROUND(E249*$C249/100,0)</f>
        <v>0</v>
      </c>
      <c r="H249" s="2">
        <f>-ROUND(E249*$D249/100,0)</f>
        <v>0</v>
      </c>
      <c r="I249" s="197">
        <f>I239</f>
        <v>8</v>
      </c>
      <c r="J249" s="184"/>
      <c r="K249" s="2">
        <f>-ROUND(I249*$C249/100,0)</f>
        <v>0</v>
      </c>
      <c r="M249" s="11"/>
      <c r="N249" s="11"/>
      <c r="O249" s="38"/>
      <c r="P249" s="38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E249" s="42"/>
    </row>
    <row r="250" spans="1:31">
      <c r="A250" s="1" t="s">
        <v>195</v>
      </c>
      <c r="B250" s="1"/>
      <c r="C250" s="182">
        <v>0</v>
      </c>
      <c r="D250" s="182">
        <f t="shared" si="23"/>
        <v>0</v>
      </c>
      <c r="E250" s="197">
        <f>E240</f>
        <v>11.18</v>
      </c>
      <c r="F250" s="184"/>
      <c r="G250" s="2">
        <f>-ROUND(E250*$C250/100,0)</f>
        <v>0</v>
      </c>
      <c r="H250" s="2">
        <f>-ROUND(E250*$D250/100,0)</f>
        <v>0</v>
      </c>
      <c r="I250" s="197">
        <f>I240</f>
        <v>11.877822045152721</v>
      </c>
      <c r="J250" s="184"/>
      <c r="K250" s="2">
        <f>-ROUND(I250*$C250/100,0)</f>
        <v>0</v>
      </c>
      <c r="M250" s="11"/>
      <c r="N250" s="11"/>
      <c r="O250" s="38"/>
      <c r="P250" s="38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E250" s="42"/>
    </row>
    <row r="251" spans="1:31">
      <c r="A251" s="1" t="s">
        <v>206</v>
      </c>
      <c r="B251" s="1"/>
      <c r="C251" s="182">
        <v>0</v>
      </c>
      <c r="D251" s="182">
        <f t="shared" si="23"/>
        <v>0</v>
      </c>
      <c r="E251" s="197">
        <f>E241</f>
        <v>0.78</v>
      </c>
      <c r="F251" s="184"/>
      <c r="G251" s="2">
        <f>-ROUND(E251*$C251/100,0)</f>
        <v>0</v>
      </c>
      <c r="H251" s="2">
        <f>-ROUND(E251*$D251/100,0)</f>
        <v>0</v>
      </c>
      <c r="I251" s="197">
        <f>I241</f>
        <v>0.83</v>
      </c>
      <c r="J251" s="184"/>
      <c r="K251" s="2">
        <f>-ROUND(I251*$C251/100,0)</f>
        <v>0</v>
      </c>
      <c r="M251" s="11"/>
      <c r="N251" s="11"/>
      <c r="O251" s="38"/>
      <c r="P251" s="38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E251" s="42"/>
    </row>
    <row r="252" spans="1:31">
      <c r="A252" s="1" t="s">
        <v>207</v>
      </c>
      <c r="B252" s="1"/>
      <c r="C252" s="182">
        <v>0</v>
      </c>
      <c r="D252" s="182">
        <f t="shared" si="23"/>
        <v>0</v>
      </c>
      <c r="E252" s="197">
        <f>E243</f>
        <v>2.88</v>
      </c>
      <c r="F252" s="186"/>
      <c r="G252" s="2">
        <f>-ROUND(E252*$C252/100,0)</f>
        <v>0</v>
      </c>
      <c r="H252" s="2">
        <f>-ROUND(E252*$D252/100,0)</f>
        <v>0</v>
      </c>
      <c r="I252" s="197">
        <f>I243</f>
        <v>2.97</v>
      </c>
      <c r="J252" s="186"/>
      <c r="K252" s="2">
        <f>-ROUND(I252*$C252/100,0)</f>
        <v>0</v>
      </c>
      <c r="M252" s="11"/>
      <c r="N252" s="11"/>
      <c r="O252" s="38"/>
      <c r="P252" s="38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E252" s="42"/>
    </row>
    <row r="253" spans="1:31">
      <c r="A253" s="1" t="s">
        <v>209</v>
      </c>
      <c r="B253" s="1"/>
      <c r="C253" s="182">
        <v>0</v>
      </c>
      <c r="D253" s="182">
        <f t="shared" si="23"/>
        <v>0</v>
      </c>
      <c r="E253" s="198">
        <f>E244</f>
        <v>8.0890000000000004</v>
      </c>
      <c r="F253" s="186" t="s">
        <v>178</v>
      </c>
      <c r="G253" s="2">
        <f>ROUND(E253*$C253/100*E248,0)</f>
        <v>0</v>
      </c>
      <c r="H253" s="2">
        <f>ROUND(E253*$D253/100*E248,0)</f>
        <v>0</v>
      </c>
      <c r="I253" s="198">
        <f>I244</f>
        <v>8.8109999999999999</v>
      </c>
      <c r="J253" s="186" t="s">
        <v>178</v>
      </c>
      <c r="K253" s="2">
        <f>ROUND(I253*$C253/100*I248,0)</f>
        <v>0</v>
      </c>
      <c r="M253" s="11"/>
      <c r="N253" s="11"/>
      <c r="O253" s="38"/>
      <c r="P253" s="38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E253" s="42"/>
    </row>
    <row r="254" spans="1:31">
      <c r="A254" s="1" t="s">
        <v>202</v>
      </c>
      <c r="B254" s="1"/>
      <c r="C254" s="182">
        <v>0</v>
      </c>
      <c r="D254" s="182">
        <f t="shared" si="23"/>
        <v>0</v>
      </c>
      <c r="E254" s="198">
        <f>E245</f>
        <v>5.5839999999999996</v>
      </c>
      <c r="F254" s="186" t="s">
        <v>178</v>
      </c>
      <c r="G254" s="2">
        <f>ROUND(E254*$C254/100*E248,0)</f>
        <v>0</v>
      </c>
      <c r="H254" s="2">
        <f>ROUND(E254*$D254/100*E248,0)</f>
        <v>0</v>
      </c>
      <c r="I254" s="198">
        <f>I245</f>
        <v>6.0819999999999999</v>
      </c>
      <c r="J254" s="186" t="s">
        <v>178</v>
      </c>
      <c r="K254" s="2">
        <f>ROUND(I254*$C254/100*I248,0)</f>
        <v>0</v>
      </c>
      <c r="M254" s="11"/>
      <c r="N254" s="11"/>
      <c r="O254" s="38"/>
      <c r="P254" s="38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E254" s="42"/>
    </row>
    <row r="255" spans="1:31">
      <c r="A255" s="1" t="s">
        <v>203</v>
      </c>
      <c r="B255" s="1"/>
      <c r="C255" s="182">
        <v>0</v>
      </c>
      <c r="D255" s="182">
        <f t="shared" si="23"/>
        <v>0</v>
      </c>
      <c r="E255" s="198">
        <f>E246</f>
        <v>4.8099999999999996</v>
      </c>
      <c r="F255" s="186" t="s">
        <v>178</v>
      </c>
      <c r="G255" s="2">
        <f>ROUND(E255*$C255/100*E248,0)</f>
        <v>0</v>
      </c>
      <c r="H255" s="2">
        <f>ROUND(E255*$D255/100*E248,0)</f>
        <v>0</v>
      </c>
      <c r="I255" s="198">
        <f>I246</f>
        <v>5.24</v>
      </c>
      <c r="J255" s="186" t="s">
        <v>178</v>
      </c>
      <c r="K255" s="2">
        <f>ROUND(I255*$C255/100*I248,0)</f>
        <v>0</v>
      </c>
      <c r="M255" s="11"/>
      <c r="N255" s="11"/>
      <c r="O255" s="38"/>
      <c r="P255" s="38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E255" s="42"/>
    </row>
    <row r="256" spans="1:31">
      <c r="A256" s="1" t="s">
        <v>204</v>
      </c>
      <c r="B256" s="1"/>
      <c r="C256" s="182">
        <v>0</v>
      </c>
      <c r="D256" s="182">
        <f t="shared" si="23"/>
        <v>0</v>
      </c>
      <c r="E256" s="199">
        <f>E247</f>
        <v>45</v>
      </c>
      <c r="F256" s="186" t="s">
        <v>178</v>
      </c>
      <c r="G256" s="2">
        <f>ROUND(E256*$C256/100*E248,0)</f>
        <v>0</v>
      </c>
      <c r="H256" s="2">
        <f>ROUND(E256*$D256/100*E248,0)</f>
        <v>0</v>
      </c>
      <c r="I256" s="199">
        <f>I247</f>
        <v>50</v>
      </c>
      <c r="J256" s="186" t="s">
        <v>178</v>
      </c>
      <c r="K256" s="2">
        <f>ROUND(I256*$C256/100*I248,0)</f>
        <v>0</v>
      </c>
      <c r="M256" s="11"/>
      <c r="N256" s="11"/>
      <c r="O256" s="38"/>
      <c r="P256" s="38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E256" s="42"/>
    </row>
    <row r="257" spans="1:31">
      <c r="A257" s="1" t="s">
        <v>211</v>
      </c>
      <c r="B257" s="1"/>
      <c r="C257" s="182">
        <v>0</v>
      </c>
      <c r="D257" s="182">
        <f t="shared" si="23"/>
        <v>0</v>
      </c>
      <c r="E257" s="200">
        <f>$E$172</f>
        <v>60</v>
      </c>
      <c r="F257" s="184"/>
      <c r="G257" s="2">
        <f>ROUND(E257*$C257,0)</f>
        <v>0</v>
      </c>
      <c r="H257" s="2">
        <f>ROUND(E257*$D257,0)</f>
        <v>0</v>
      </c>
      <c r="I257" s="200">
        <f>$I$172</f>
        <v>60</v>
      </c>
      <c r="J257" s="186"/>
      <c r="K257" s="2">
        <f>ROUND(I257*$C257,0)</f>
        <v>0</v>
      </c>
      <c r="M257" s="11"/>
      <c r="N257" s="11"/>
      <c r="O257" s="38"/>
      <c r="P257" s="38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E257" s="42"/>
    </row>
    <row r="258" spans="1:31">
      <c r="A258" s="1" t="s">
        <v>212</v>
      </c>
      <c r="B258" s="1"/>
      <c r="C258" s="182">
        <v>0</v>
      </c>
      <c r="D258" s="182">
        <f t="shared" si="23"/>
        <v>0</v>
      </c>
      <c r="E258" s="202">
        <f>$E$173</f>
        <v>-30</v>
      </c>
      <c r="F258" s="184" t="s">
        <v>178</v>
      </c>
      <c r="G258" s="2">
        <f>ROUND(E258*$C258/100,0)</f>
        <v>0</v>
      </c>
      <c r="H258" s="2">
        <f>ROUND(E258*$D258/100,0)</f>
        <v>0</v>
      </c>
      <c r="I258" s="202">
        <f>$I$173</f>
        <v>-30</v>
      </c>
      <c r="J258" s="186" t="s">
        <v>178</v>
      </c>
      <c r="K258" s="2">
        <f>ROUND(I258*$C258/100,0)</f>
        <v>0</v>
      </c>
      <c r="M258" s="11"/>
      <c r="N258" s="11"/>
      <c r="O258" s="38"/>
      <c r="P258" s="38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E258" s="42"/>
    </row>
    <row r="259" spans="1:31">
      <c r="A259" s="1" t="s">
        <v>185</v>
      </c>
      <c r="B259" s="1"/>
      <c r="C259" s="182">
        <f>SUM(C244:C246)</f>
        <v>20161717</v>
      </c>
      <c r="D259" s="182">
        <v>22630547.415536091</v>
      </c>
      <c r="E259" s="193"/>
      <c r="F259" s="2"/>
      <c r="G259" s="2">
        <f>SUM(G239:G258)</f>
        <v>1431631</v>
      </c>
      <c r="H259" s="2">
        <f>SUM(H239:H258)</f>
        <v>1600006</v>
      </c>
      <c r="I259" s="193"/>
      <c r="J259" s="186"/>
      <c r="K259" s="2">
        <f>SUM(K239:K258)</f>
        <v>1549089</v>
      </c>
      <c r="M259" s="11"/>
      <c r="N259" s="11"/>
      <c r="O259" s="38"/>
      <c r="P259" s="38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E259" s="42"/>
    </row>
    <row r="260" spans="1:31">
      <c r="A260" s="1" t="s">
        <v>167</v>
      </c>
      <c r="B260" s="1"/>
      <c r="C260" s="212" t="e">
        <f>#REF!</f>
        <v>#REF!</v>
      </c>
      <c r="D260" s="203">
        <v>0</v>
      </c>
      <c r="E260" s="172"/>
      <c r="F260" s="172"/>
      <c r="G260" s="204" t="e">
        <f>#REF!</f>
        <v>#REF!</v>
      </c>
      <c r="H260" s="204">
        <v>0</v>
      </c>
      <c r="I260" s="172"/>
      <c r="J260" s="172"/>
      <c r="K260" s="204" t="e">
        <f>G260</f>
        <v>#REF!</v>
      </c>
      <c r="M260" s="307"/>
      <c r="N260" s="307"/>
      <c r="O260" s="150"/>
      <c r="P260" s="38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E260" s="42"/>
    </row>
    <row r="261" spans="1:31" ht="16.5" thickBot="1">
      <c r="A261" s="1" t="s">
        <v>186</v>
      </c>
      <c r="B261" s="1"/>
      <c r="C261" s="174" t="e">
        <f>SUM(C259:C260)</f>
        <v>#REF!</v>
      </c>
      <c r="D261" s="174">
        <f>SUM(D259:D260)</f>
        <v>22630547.415536091</v>
      </c>
      <c r="E261" s="205"/>
      <c r="F261" s="206"/>
      <c r="G261" s="207" t="e">
        <f>G259+G260</f>
        <v>#REF!</v>
      </c>
      <c r="H261" s="207">
        <f>H259+H260</f>
        <v>1600006</v>
      </c>
      <c r="I261" s="205"/>
      <c r="J261" s="208"/>
      <c r="K261" s="207" t="e">
        <f>K259+K260</f>
        <v>#REF!</v>
      </c>
      <c r="M261" s="274"/>
      <c r="N261" s="274"/>
      <c r="O261" s="333"/>
      <c r="P261" s="38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E261" s="42"/>
    </row>
    <row r="262" spans="1:31" ht="16.5" thickTop="1">
      <c r="A262" s="1"/>
      <c r="B262" s="1"/>
      <c r="C262" s="213"/>
      <c r="D262" s="213"/>
      <c r="E262" s="214"/>
      <c r="F262" s="215"/>
      <c r="G262" s="185"/>
      <c r="H262" s="185"/>
      <c r="I262" s="214"/>
      <c r="J262" s="14"/>
      <c r="K262" s="185"/>
      <c r="M262" s="11"/>
      <c r="N262" s="11"/>
      <c r="O262" s="38"/>
      <c r="P262" s="38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E262" s="42"/>
    </row>
    <row r="263" spans="1:31">
      <c r="A263" s="156" t="s">
        <v>219</v>
      </c>
      <c r="B263" s="1"/>
      <c r="C263" s="1"/>
      <c r="D263" s="1"/>
      <c r="E263" s="2"/>
      <c r="F263" s="2"/>
      <c r="G263" s="1" t="s">
        <v>13</v>
      </c>
      <c r="H263" s="1"/>
      <c r="I263" s="2"/>
      <c r="J263" s="1"/>
      <c r="K263" s="1"/>
      <c r="M263" s="11"/>
      <c r="N263" s="11"/>
      <c r="O263" s="38"/>
      <c r="P263" s="38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E263" s="42"/>
    </row>
    <row r="264" spans="1:31">
      <c r="A264" s="1" t="s">
        <v>214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M264" s="11"/>
      <c r="N264" s="11"/>
      <c r="O264" s="38"/>
      <c r="P264" s="38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E264" s="42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M265" s="11"/>
      <c r="N265" s="11"/>
      <c r="O265" s="38"/>
      <c r="P265" s="38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E265" s="42"/>
    </row>
    <row r="266" spans="1:31">
      <c r="A266" s="1" t="s">
        <v>197</v>
      </c>
      <c r="B266" s="1"/>
      <c r="C266" s="182"/>
      <c r="D266" s="182"/>
      <c r="E266" s="2"/>
      <c r="F266" s="2"/>
      <c r="G266" s="1"/>
      <c r="H266" s="1"/>
      <c r="I266" s="2"/>
      <c r="J266" s="1"/>
      <c r="K266" s="1"/>
      <c r="M266" s="11"/>
      <c r="N266" s="11"/>
      <c r="O266" s="38"/>
      <c r="P266" s="38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E266" s="42"/>
    </row>
    <row r="267" spans="1:31">
      <c r="A267" s="1" t="s">
        <v>220</v>
      </c>
      <c r="B267" s="1"/>
      <c r="C267" s="182">
        <f t="shared" ref="C267:D269" si="24">C296+C325</f>
        <v>4924</v>
      </c>
      <c r="D267" s="182">
        <f t="shared" si="24"/>
        <v>4913</v>
      </c>
      <c r="E267" s="161">
        <f>$E$153</f>
        <v>7.53</v>
      </c>
      <c r="F267" s="184"/>
      <c r="G267" s="2">
        <f t="shared" ref="G267:H269" si="25">G296+G325</f>
        <v>37077</v>
      </c>
      <c r="H267" s="2">
        <f t="shared" si="25"/>
        <v>36994</v>
      </c>
      <c r="I267" s="161">
        <f>$I$153</f>
        <v>8</v>
      </c>
      <c r="J267" s="186"/>
      <c r="K267" s="2">
        <f>K296+K325</f>
        <v>39392</v>
      </c>
      <c r="M267" s="11"/>
      <c r="N267" s="11"/>
      <c r="O267" s="38"/>
      <c r="P267" s="38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E267" s="42"/>
    </row>
    <row r="268" spans="1:31">
      <c r="A268" s="1" t="s">
        <v>195</v>
      </c>
      <c r="B268" s="1"/>
      <c r="C268" s="182">
        <f t="shared" si="24"/>
        <v>0</v>
      </c>
      <c r="D268" s="182">
        <f t="shared" si="24"/>
        <v>0</v>
      </c>
      <c r="E268" s="161">
        <f>$E$154</f>
        <v>11.18</v>
      </c>
      <c r="F268" s="187"/>
      <c r="G268" s="2">
        <f t="shared" si="25"/>
        <v>0</v>
      </c>
      <c r="H268" s="2">
        <f t="shared" si="25"/>
        <v>0</v>
      </c>
      <c r="I268" s="161">
        <f>$I$154</f>
        <v>11.877822045152721</v>
      </c>
      <c r="J268" s="188"/>
      <c r="K268" s="2">
        <f>K297+K326</f>
        <v>0</v>
      </c>
      <c r="M268" s="11"/>
      <c r="N268" s="11"/>
      <c r="O268" s="38"/>
      <c r="P268" s="38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E268" s="42"/>
    </row>
    <row r="269" spans="1:31">
      <c r="A269" s="1" t="s">
        <v>196</v>
      </c>
      <c r="B269" s="1"/>
      <c r="C269" s="182">
        <f t="shared" si="24"/>
        <v>0</v>
      </c>
      <c r="D269" s="182">
        <f t="shared" si="24"/>
        <v>0</v>
      </c>
      <c r="E269" s="161">
        <f>$E$155</f>
        <v>0.78</v>
      </c>
      <c r="F269" s="187"/>
      <c r="G269" s="2">
        <f t="shared" si="25"/>
        <v>0</v>
      </c>
      <c r="H269" s="2">
        <f t="shared" si="25"/>
        <v>0</v>
      </c>
      <c r="I269" s="161">
        <f>$I$155</f>
        <v>0.83</v>
      </c>
      <c r="J269" s="188"/>
      <c r="K269" s="2">
        <f>K298+K327</f>
        <v>0</v>
      </c>
      <c r="M269" s="11"/>
      <c r="N269" s="11"/>
      <c r="O269" s="38"/>
      <c r="P269" s="38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E269" s="42"/>
    </row>
    <row r="270" spans="1:31">
      <c r="A270" s="1" t="s">
        <v>198</v>
      </c>
      <c r="B270" s="1"/>
      <c r="C270" s="182">
        <f>SUM(C267:C268)</f>
        <v>4924</v>
      </c>
      <c r="D270" s="182">
        <f>SUM(D267:D268)</f>
        <v>4913</v>
      </c>
      <c r="E270" s="161"/>
      <c r="F270" s="184"/>
      <c r="G270" s="2"/>
      <c r="H270" s="2"/>
      <c r="I270" s="161"/>
      <c r="J270" s="186"/>
      <c r="K270" s="2"/>
      <c r="M270" s="11"/>
      <c r="N270" s="11"/>
      <c r="O270" s="38"/>
      <c r="P270" s="38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E270" s="42"/>
    </row>
    <row r="271" spans="1:31">
      <c r="A271" s="1" t="s">
        <v>166</v>
      </c>
      <c r="B271" s="1"/>
      <c r="C271" s="182">
        <f t="shared" ref="C271:D276" si="26">C300+C329</f>
        <v>1621</v>
      </c>
      <c r="D271" s="182">
        <f t="shared" si="26"/>
        <v>1617</v>
      </c>
      <c r="E271" s="161"/>
      <c r="F271" s="184"/>
      <c r="G271" s="2"/>
      <c r="H271" s="2"/>
      <c r="I271" s="161"/>
      <c r="J271" s="186"/>
      <c r="K271" s="2"/>
      <c r="M271" s="11"/>
      <c r="N271" s="11"/>
      <c r="O271" s="38"/>
      <c r="P271" s="38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E271" s="42"/>
    </row>
    <row r="272" spans="1:31">
      <c r="A272" s="1" t="s">
        <v>199</v>
      </c>
      <c r="B272" s="1"/>
      <c r="C272" s="182">
        <f t="shared" si="26"/>
        <v>0</v>
      </c>
      <c r="D272" s="182">
        <f t="shared" si="26"/>
        <v>0</v>
      </c>
      <c r="E272" s="189">
        <f>$E$158</f>
        <v>2.88</v>
      </c>
      <c r="F272" s="186"/>
      <c r="G272" s="2">
        <f t="shared" ref="G272:H276" si="27">G301+G330</f>
        <v>0</v>
      </c>
      <c r="H272" s="2">
        <f t="shared" si="27"/>
        <v>0</v>
      </c>
      <c r="I272" s="189">
        <f>$I$158</f>
        <v>2.97</v>
      </c>
      <c r="J272" s="186"/>
      <c r="K272" s="2">
        <f>K301+K330</f>
        <v>0</v>
      </c>
      <c r="M272" s="11"/>
      <c r="N272" s="11"/>
      <c r="O272" s="38"/>
      <c r="P272" s="38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E272" s="42"/>
    </row>
    <row r="273" spans="1:31">
      <c r="A273" s="1" t="s">
        <v>201</v>
      </c>
      <c r="B273" s="1"/>
      <c r="C273" s="182">
        <f t="shared" si="26"/>
        <v>1398823</v>
      </c>
      <c r="D273" s="182">
        <f t="shared" si="26"/>
        <v>1445705</v>
      </c>
      <c r="E273" s="162">
        <f>$E$159</f>
        <v>8.0890000000000004</v>
      </c>
      <c r="F273" s="186" t="s">
        <v>178</v>
      </c>
      <c r="G273" s="2">
        <f t="shared" si="27"/>
        <v>113151</v>
      </c>
      <c r="H273" s="2">
        <f t="shared" si="27"/>
        <v>116943</v>
      </c>
      <c r="I273" s="162">
        <f>$I$159</f>
        <v>8.8109999999999999</v>
      </c>
      <c r="J273" s="186" t="s">
        <v>178</v>
      </c>
      <c r="K273" s="2">
        <f>K302+K331</f>
        <v>123250</v>
      </c>
      <c r="M273" s="11"/>
      <c r="N273" s="11"/>
      <c r="O273" s="38"/>
      <c r="P273" s="38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E273" s="42"/>
    </row>
    <row r="274" spans="1:31">
      <c r="A274" s="1" t="s">
        <v>202</v>
      </c>
      <c r="B274" s="1"/>
      <c r="C274" s="182">
        <f t="shared" si="26"/>
        <v>64813</v>
      </c>
      <c r="D274" s="182">
        <f t="shared" si="26"/>
        <v>66790</v>
      </c>
      <c r="E274" s="162">
        <f>$E$160</f>
        <v>5.5839999999999996</v>
      </c>
      <c r="F274" s="186" t="s">
        <v>178</v>
      </c>
      <c r="G274" s="2">
        <f t="shared" si="27"/>
        <v>3619</v>
      </c>
      <c r="H274" s="2">
        <f t="shared" si="27"/>
        <v>3730</v>
      </c>
      <c r="I274" s="162">
        <f>$I$160</f>
        <v>6.0819999999999999</v>
      </c>
      <c r="J274" s="186" t="s">
        <v>178</v>
      </c>
      <c r="K274" s="2">
        <f>K303+K332</f>
        <v>3942</v>
      </c>
      <c r="M274" s="11"/>
      <c r="N274" s="11"/>
      <c r="O274" s="38"/>
      <c r="P274" s="38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E274" s="42"/>
    </row>
    <row r="275" spans="1:31">
      <c r="A275" s="1" t="s">
        <v>203</v>
      </c>
      <c r="B275" s="1"/>
      <c r="C275" s="182">
        <f t="shared" si="26"/>
        <v>0</v>
      </c>
      <c r="D275" s="182">
        <f t="shared" si="26"/>
        <v>0</v>
      </c>
      <c r="E275" s="162">
        <f>$E$161</f>
        <v>4.8099999999999996</v>
      </c>
      <c r="F275" s="186" t="s">
        <v>178</v>
      </c>
      <c r="G275" s="2">
        <f t="shared" si="27"/>
        <v>0</v>
      </c>
      <c r="H275" s="2">
        <f t="shared" si="27"/>
        <v>0</v>
      </c>
      <c r="I275" s="162">
        <f>$I$161</f>
        <v>5.24</v>
      </c>
      <c r="J275" s="186" t="s">
        <v>178</v>
      </c>
      <c r="K275" s="2">
        <f>K304+K333</f>
        <v>0</v>
      </c>
      <c r="M275" s="11"/>
      <c r="N275" s="11"/>
      <c r="O275" s="38"/>
      <c r="P275" s="38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E275" s="42"/>
    </row>
    <row r="276" spans="1:31">
      <c r="A276" s="1" t="s">
        <v>204</v>
      </c>
      <c r="B276" s="1"/>
      <c r="C276" s="182">
        <f t="shared" si="26"/>
        <v>0</v>
      </c>
      <c r="D276" s="182">
        <f t="shared" si="26"/>
        <v>0</v>
      </c>
      <c r="E276" s="193">
        <f>$E$162</f>
        <v>45</v>
      </c>
      <c r="F276" s="184" t="s">
        <v>178</v>
      </c>
      <c r="G276" s="2">
        <f t="shared" si="27"/>
        <v>0</v>
      </c>
      <c r="H276" s="2">
        <f t="shared" si="27"/>
        <v>0</v>
      </c>
      <c r="I276" s="193">
        <f>$I$162</f>
        <v>50</v>
      </c>
      <c r="J276" s="186" t="s">
        <v>178</v>
      </c>
      <c r="K276" s="2">
        <f>K305+K334</f>
        <v>0</v>
      </c>
      <c r="M276" s="11"/>
      <c r="N276" s="11"/>
      <c r="O276" s="38"/>
      <c r="P276" s="38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E276" s="42"/>
    </row>
    <row r="277" spans="1:31">
      <c r="A277" s="194" t="s">
        <v>205</v>
      </c>
      <c r="B277" s="1"/>
      <c r="C277" s="182"/>
      <c r="D277" s="182"/>
      <c r="E277" s="195">
        <v>-0.01</v>
      </c>
      <c r="F277" s="184"/>
      <c r="G277" s="2"/>
      <c r="H277" s="2"/>
      <c r="I277" s="195">
        <v>-0.01</v>
      </c>
      <c r="J277" s="186"/>
      <c r="K277" s="2"/>
      <c r="M277" s="11"/>
      <c r="N277" s="11"/>
      <c r="O277" s="38"/>
      <c r="P277" s="38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E277" s="42"/>
    </row>
    <row r="278" spans="1:31">
      <c r="A278" s="1" t="s">
        <v>194</v>
      </c>
      <c r="B278" s="1"/>
      <c r="C278" s="182">
        <v>0</v>
      </c>
      <c r="D278" s="182">
        <v>0</v>
      </c>
      <c r="E278" s="197">
        <f>E267</f>
        <v>7.53</v>
      </c>
      <c r="F278" s="184"/>
      <c r="G278" s="2">
        <f t="shared" ref="G278:H289" si="28">G307+G336</f>
        <v>0</v>
      </c>
      <c r="H278" s="2">
        <f t="shared" si="28"/>
        <v>0</v>
      </c>
      <c r="I278" s="197">
        <f>I267</f>
        <v>8</v>
      </c>
      <c r="J278" s="184"/>
      <c r="K278" s="2">
        <f t="shared" ref="K278:K288" si="29">K307+K336</f>
        <v>0</v>
      </c>
      <c r="M278" s="11"/>
      <c r="N278" s="11"/>
      <c r="O278" s="38"/>
      <c r="P278" s="38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E278" s="42"/>
    </row>
    <row r="279" spans="1:31">
      <c r="A279" s="1" t="s">
        <v>195</v>
      </c>
      <c r="B279" s="1"/>
      <c r="C279" s="182">
        <v>0</v>
      </c>
      <c r="D279" s="182">
        <v>0</v>
      </c>
      <c r="E279" s="197">
        <f>E268</f>
        <v>11.18</v>
      </c>
      <c r="F279" s="184"/>
      <c r="G279" s="2">
        <f t="shared" si="28"/>
        <v>0</v>
      </c>
      <c r="H279" s="2">
        <f t="shared" si="28"/>
        <v>0</v>
      </c>
      <c r="I279" s="197">
        <f>I268</f>
        <v>11.877822045152721</v>
      </c>
      <c r="J279" s="184"/>
      <c r="K279" s="2">
        <f t="shared" si="29"/>
        <v>0</v>
      </c>
      <c r="M279" s="11"/>
      <c r="N279" s="11"/>
      <c r="O279" s="38"/>
      <c r="P279" s="38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E279" s="42"/>
    </row>
    <row r="280" spans="1:31">
      <c r="A280" s="1" t="s">
        <v>206</v>
      </c>
      <c r="B280" s="1"/>
      <c r="C280" s="182">
        <v>0</v>
      </c>
      <c r="D280" s="182">
        <v>0</v>
      </c>
      <c r="E280" s="197">
        <f>E269</f>
        <v>0.78</v>
      </c>
      <c r="F280" s="184"/>
      <c r="G280" s="2">
        <f t="shared" si="28"/>
        <v>0</v>
      </c>
      <c r="H280" s="2">
        <f t="shared" si="28"/>
        <v>0</v>
      </c>
      <c r="I280" s="197">
        <f>I269</f>
        <v>0.83</v>
      </c>
      <c r="J280" s="184"/>
      <c r="K280" s="2">
        <f t="shared" si="29"/>
        <v>0</v>
      </c>
      <c r="M280" s="11"/>
      <c r="N280" s="11"/>
      <c r="O280" s="38"/>
      <c r="P280" s="38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E280" s="42"/>
    </row>
    <row r="281" spans="1:31">
      <c r="A281" s="1" t="s">
        <v>207</v>
      </c>
      <c r="B281" s="1"/>
      <c r="C281" s="182">
        <v>0</v>
      </c>
      <c r="D281" s="182">
        <v>0</v>
      </c>
      <c r="E281" s="197">
        <f>E272</f>
        <v>2.88</v>
      </c>
      <c r="F281" s="186"/>
      <c r="G281" s="2">
        <f t="shared" si="28"/>
        <v>0</v>
      </c>
      <c r="H281" s="2">
        <f t="shared" si="28"/>
        <v>0</v>
      </c>
      <c r="I281" s="197">
        <f>I272</f>
        <v>2.97</v>
      </c>
      <c r="J281" s="186"/>
      <c r="K281" s="2">
        <f t="shared" si="29"/>
        <v>0</v>
      </c>
      <c r="M281" s="11"/>
      <c r="N281" s="11"/>
      <c r="O281" s="38"/>
      <c r="P281" s="38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E281" s="42"/>
    </row>
    <row r="282" spans="1:31">
      <c r="A282" s="1" t="s">
        <v>209</v>
      </c>
      <c r="B282" s="1"/>
      <c r="C282" s="182">
        <v>0</v>
      </c>
      <c r="D282" s="182">
        <v>0</v>
      </c>
      <c r="E282" s="198">
        <f>E273</f>
        <v>8.0890000000000004</v>
      </c>
      <c r="F282" s="186" t="s">
        <v>178</v>
      </c>
      <c r="G282" s="2">
        <f t="shared" si="28"/>
        <v>0</v>
      </c>
      <c r="H282" s="2">
        <f t="shared" si="28"/>
        <v>0</v>
      </c>
      <c r="I282" s="198">
        <f>I273</f>
        <v>8.8109999999999999</v>
      </c>
      <c r="J282" s="186" t="s">
        <v>178</v>
      </c>
      <c r="K282" s="2">
        <f t="shared" si="29"/>
        <v>0</v>
      </c>
      <c r="M282" s="11"/>
      <c r="N282" s="11"/>
      <c r="O282" s="38"/>
      <c r="P282" s="38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E282" s="42"/>
    </row>
    <row r="283" spans="1:31">
      <c r="A283" s="1" t="s">
        <v>202</v>
      </c>
      <c r="B283" s="1"/>
      <c r="C283" s="182">
        <v>0</v>
      </c>
      <c r="D283" s="182">
        <v>0</v>
      </c>
      <c r="E283" s="198">
        <f>E274</f>
        <v>5.5839999999999996</v>
      </c>
      <c r="F283" s="186" t="s">
        <v>178</v>
      </c>
      <c r="G283" s="2">
        <f t="shared" si="28"/>
        <v>0</v>
      </c>
      <c r="H283" s="2">
        <f t="shared" si="28"/>
        <v>0</v>
      </c>
      <c r="I283" s="198">
        <f>I274</f>
        <v>6.0819999999999999</v>
      </c>
      <c r="J283" s="186" t="s">
        <v>178</v>
      </c>
      <c r="K283" s="2">
        <f t="shared" si="29"/>
        <v>0</v>
      </c>
      <c r="M283" s="11"/>
      <c r="N283" s="11"/>
      <c r="O283" s="38"/>
      <c r="P283" s="38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E283" s="42"/>
    </row>
    <row r="284" spans="1:31">
      <c r="A284" s="1" t="s">
        <v>203</v>
      </c>
      <c r="B284" s="1"/>
      <c r="C284" s="182">
        <v>0</v>
      </c>
      <c r="D284" s="182">
        <v>0</v>
      </c>
      <c r="E284" s="198">
        <f>E275</f>
        <v>4.8099999999999996</v>
      </c>
      <c r="F284" s="186" t="s">
        <v>178</v>
      </c>
      <c r="G284" s="2">
        <f t="shared" si="28"/>
        <v>0</v>
      </c>
      <c r="H284" s="2">
        <f t="shared" si="28"/>
        <v>0</v>
      </c>
      <c r="I284" s="198">
        <f>I275</f>
        <v>5.24</v>
      </c>
      <c r="J284" s="186" t="s">
        <v>178</v>
      </c>
      <c r="K284" s="2">
        <f t="shared" si="29"/>
        <v>0</v>
      </c>
      <c r="M284" s="11"/>
      <c r="N284" s="11"/>
      <c r="O284" s="38"/>
      <c r="P284" s="38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E284" s="42"/>
    </row>
    <row r="285" spans="1:31">
      <c r="A285" s="1" t="s">
        <v>204</v>
      </c>
      <c r="B285" s="1"/>
      <c r="C285" s="182">
        <v>0</v>
      </c>
      <c r="D285" s="182">
        <v>0</v>
      </c>
      <c r="E285" s="199">
        <f>E276</f>
        <v>45</v>
      </c>
      <c r="F285" s="186" t="s">
        <v>178</v>
      </c>
      <c r="G285" s="2">
        <f t="shared" si="28"/>
        <v>0</v>
      </c>
      <c r="H285" s="2">
        <f t="shared" si="28"/>
        <v>0</v>
      </c>
      <c r="I285" s="199">
        <f>I276</f>
        <v>50</v>
      </c>
      <c r="J285" s="186" t="s">
        <v>178</v>
      </c>
      <c r="K285" s="2">
        <f t="shared" si="29"/>
        <v>0</v>
      </c>
      <c r="M285" s="11"/>
      <c r="N285" s="11"/>
      <c r="O285" s="38"/>
      <c r="P285" s="38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E285" s="42"/>
    </row>
    <row r="286" spans="1:31">
      <c r="A286" s="1" t="s">
        <v>211</v>
      </c>
      <c r="B286" s="1"/>
      <c r="C286" s="182">
        <v>0</v>
      </c>
      <c r="D286" s="182">
        <v>0</v>
      </c>
      <c r="E286" s="200">
        <f>$E$172</f>
        <v>60</v>
      </c>
      <c r="F286" s="184"/>
      <c r="G286" s="2">
        <f t="shared" si="28"/>
        <v>0</v>
      </c>
      <c r="H286" s="2">
        <f t="shared" si="28"/>
        <v>0</v>
      </c>
      <c r="I286" s="200">
        <f>$I$172</f>
        <v>60</v>
      </c>
      <c r="J286" s="186"/>
      <c r="K286" s="2">
        <f t="shared" si="29"/>
        <v>0</v>
      </c>
      <c r="M286" s="11"/>
      <c r="N286" s="11"/>
      <c r="O286" s="38"/>
      <c r="P286" s="38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E286" s="42"/>
    </row>
    <row r="287" spans="1:31">
      <c r="A287" s="1" t="s">
        <v>212</v>
      </c>
      <c r="B287" s="1"/>
      <c r="C287" s="182">
        <v>0</v>
      </c>
      <c r="D287" s="182">
        <v>0</v>
      </c>
      <c r="E287" s="202">
        <f>$E$173</f>
        <v>-30</v>
      </c>
      <c r="F287" s="184" t="s">
        <v>178</v>
      </c>
      <c r="G287" s="2">
        <f t="shared" si="28"/>
        <v>0</v>
      </c>
      <c r="H287" s="2">
        <f t="shared" si="28"/>
        <v>0</v>
      </c>
      <c r="I287" s="202">
        <f>$I$173</f>
        <v>-30</v>
      </c>
      <c r="J287" s="186" t="s">
        <v>178</v>
      </c>
      <c r="K287" s="2">
        <f t="shared" si="29"/>
        <v>0</v>
      </c>
      <c r="M287" s="11"/>
      <c r="N287" s="11"/>
      <c r="O287" s="38"/>
      <c r="P287" s="38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E287" s="42"/>
    </row>
    <row r="288" spans="1:31">
      <c r="A288" s="1" t="s">
        <v>185</v>
      </c>
      <c r="B288" s="1"/>
      <c r="C288" s="182">
        <f>C317+C346</f>
        <v>1463636</v>
      </c>
      <c r="D288" s="182">
        <f>D317+D346</f>
        <v>1512494.9193898283</v>
      </c>
      <c r="E288" s="193"/>
      <c r="F288" s="2"/>
      <c r="G288" s="2">
        <f t="shared" si="28"/>
        <v>153847</v>
      </c>
      <c r="H288" s="2">
        <f t="shared" si="28"/>
        <v>157667</v>
      </c>
      <c r="I288" s="193"/>
      <c r="J288" s="186"/>
      <c r="K288" s="2">
        <f t="shared" si="29"/>
        <v>166584</v>
      </c>
      <c r="M288" s="11"/>
      <c r="N288" s="11"/>
      <c r="O288" s="38"/>
      <c r="P288" s="38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E288" s="42"/>
    </row>
    <row r="289" spans="1:31">
      <c r="A289" s="1" t="s">
        <v>167</v>
      </c>
      <c r="B289" s="1"/>
      <c r="C289" s="203" t="e">
        <f>C318+C347</f>
        <v>#REF!</v>
      </c>
      <c r="D289" s="203">
        <f>D318+D347</f>
        <v>0</v>
      </c>
      <c r="E289" s="172"/>
      <c r="F289" s="172"/>
      <c r="G289" s="204" t="e">
        <f t="shared" si="28"/>
        <v>#REF!</v>
      </c>
      <c r="H289" s="204">
        <f t="shared" si="28"/>
        <v>0</v>
      </c>
      <c r="I289" s="172"/>
      <c r="J289" s="172"/>
      <c r="K289" s="204" t="e">
        <f>G289</f>
        <v>#REF!</v>
      </c>
      <c r="M289" s="307"/>
      <c r="N289" s="307"/>
      <c r="O289" s="150"/>
      <c r="P289" s="38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E289" s="42"/>
    </row>
    <row r="290" spans="1:31" ht="16.5" thickBot="1">
      <c r="A290" s="1" t="s">
        <v>186</v>
      </c>
      <c r="B290" s="1"/>
      <c r="C290" s="174" t="e">
        <f>SUM(C288:C289)</f>
        <v>#REF!</v>
      </c>
      <c r="D290" s="174">
        <f>SUM(D288:D289)</f>
        <v>1512494.9193898283</v>
      </c>
      <c r="E290" s="205"/>
      <c r="F290" s="206"/>
      <c r="G290" s="207" t="e">
        <f>G288+G289</f>
        <v>#REF!</v>
      </c>
      <c r="H290" s="207">
        <f>H288+H289</f>
        <v>157667</v>
      </c>
      <c r="I290" s="205"/>
      <c r="J290" s="208"/>
      <c r="K290" s="207" t="e">
        <f>K288+K289</f>
        <v>#REF!</v>
      </c>
      <c r="M290" s="274"/>
      <c r="N290" s="274"/>
      <c r="O290" s="333"/>
      <c r="P290" s="38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E290" s="42"/>
    </row>
    <row r="291" spans="1:31" ht="16.5" thickTop="1">
      <c r="A291" s="1"/>
      <c r="B291" s="1"/>
      <c r="C291" s="12"/>
      <c r="D291" s="12"/>
      <c r="E291" s="200"/>
      <c r="F291" s="2"/>
      <c r="G291" s="2"/>
      <c r="H291" s="2"/>
      <c r="I291" s="200"/>
      <c r="J291" s="1"/>
      <c r="K291" s="2" t="s">
        <v>13</v>
      </c>
      <c r="M291" s="11"/>
      <c r="N291" s="11"/>
      <c r="O291" s="38"/>
      <c r="P291" s="38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E291" s="42"/>
    </row>
    <row r="292" spans="1:31">
      <c r="A292" s="156" t="s">
        <v>219</v>
      </c>
      <c r="B292" s="1"/>
      <c r="C292" s="1"/>
      <c r="D292" s="1"/>
      <c r="E292" s="2"/>
      <c r="F292" s="2"/>
      <c r="G292" s="1" t="s">
        <v>13</v>
      </c>
      <c r="H292" s="1"/>
      <c r="I292" s="2"/>
      <c r="J292" s="1"/>
      <c r="K292" s="1"/>
      <c r="M292" s="11"/>
      <c r="N292" s="11"/>
      <c r="O292" s="38"/>
      <c r="P292" s="38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E292" s="42"/>
    </row>
    <row r="293" spans="1:31">
      <c r="A293" s="1" t="s">
        <v>215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M293" s="11"/>
      <c r="N293" s="11"/>
      <c r="O293" s="38"/>
      <c r="P293" s="38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E293" s="42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M294" s="11"/>
      <c r="N294" s="11"/>
      <c r="O294" s="38"/>
      <c r="P294" s="38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E294" s="42"/>
    </row>
    <row r="295" spans="1:31">
      <c r="A295" s="1" t="s">
        <v>197</v>
      </c>
      <c r="B295" s="1"/>
      <c r="C295" s="182"/>
      <c r="D295" s="182"/>
      <c r="E295" s="2"/>
      <c r="F295" s="2"/>
      <c r="G295" s="1"/>
      <c r="H295" s="1"/>
      <c r="I295" s="2"/>
      <c r="J295" s="1"/>
      <c r="K295" s="1"/>
      <c r="M295" s="11"/>
      <c r="N295" s="11"/>
      <c r="O295" s="38"/>
      <c r="P295" s="38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E295" s="42"/>
    </row>
    <row r="296" spans="1:31">
      <c r="A296" s="1" t="s">
        <v>220</v>
      </c>
      <c r="B296" s="1"/>
      <c r="C296" s="182">
        <f>3953+455</f>
        <v>4408</v>
      </c>
      <c r="D296" s="182">
        <f>ROUND((D300/C300)*C296,0)</f>
        <v>4397</v>
      </c>
      <c r="E296" s="161">
        <f>$E$153</f>
        <v>7.53</v>
      </c>
      <c r="F296" s="184"/>
      <c r="G296" s="2">
        <f>ROUND(E296*$C296,0)</f>
        <v>33192</v>
      </c>
      <c r="H296" s="2">
        <f>ROUND(E296*$D296,0)</f>
        <v>33109</v>
      </c>
      <c r="I296" s="161">
        <f>$I$153</f>
        <v>8</v>
      </c>
      <c r="J296" s="186"/>
      <c r="K296" s="2">
        <f>ROUND(I296*$C296,0)</f>
        <v>35264</v>
      </c>
      <c r="M296" s="11"/>
      <c r="N296" s="11"/>
      <c r="O296" s="38"/>
      <c r="P296" s="38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E296" s="42"/>
    </row>
    <row r="297" spans="1:31">
      <c r="A297" s="1" t="s">
        <v>195</v>
      </c>
      <c r="B297" s="1"/>
      <c r="C297" s="182">
        <v>0</v>
      </c>
      <c r="D297" s="182">
        <v>0</v>
      </c>
      <c r="E297" s="161">
        <f>$E$154</f>
        <v>11.18</v>
      </c>
      <c r="F297" s="187"/>
      <c r="G297" s="2">
        <f>ROUND(E297*$C297,0)</f>
        <v>0</v>
      </c>
      <c r="H297" s="2">
        <f>ROUND(E297*$D297,0)</f>
        <v>0</v>
      </c>
      <c r="I297" s="161">
        <f>$I$154</f>
        <v>11.877822045152721</v>
      </c>
      <c r="J297" s="188"/>
      <c r="K297" s="2">
        <f>ROUND(I297*$C297,0)</f>
        <v>0</v>
      </c>
      <c r="M297" s="11"/>
      <c r="N297" s="11"/>
      <c r="O297" s="38"/>
      <c r="P297" s="38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E297" s="42"/>
    </row>
    <row r="298" spans="1:31">
      <c r="A298" s="1" t="s">
        <v>196</v>
      </c>
      <c r="B298" s="1"/>
      <c r="C298" s="182">
        <v>0</v>
      </c>
      <c r="D298" s="182">
        <v>0</v>
      </c>
      <c r="E298" s="161">
        <f>$E$155</f>
        <v>0.78</v>
      </c>
      <c r="F298" s="187"/>
      <c r="G298" s="2">
        <f>ROUND(E298*$C298,0)</f>
        <v>0</v>
      </c>
      <c r="H298" s="2">
        <f>ROUND(E298*$D298,0)</f>
        <v>0</v>
      </c>
      <c r="I298" s="161">
        <f>$I$155</f>
        <v>0.83</v>
      </c>
      <c r="J298" s="188"/>
      <c r="K298" s="2">
        <f>ROUND(I298*$C298,0)</f>
        <v>0</v>
      </c>
      <c r="M298" s="11"/>
      <c r="N298" s="11"/>
      <c r="O298" s="38"/>
      <c r="P298" s="38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E298" s="42"/>
    </row>
    <row r="299" spans="1:31">
      <c r="A299" s="1" t="s">
        <v>198</v>
      </c>
      <c r="B299" s="1"/>
      <c r="C299" s="182">
        <f>SUM(C296:C297)</f>
        <v>4408</v>
      </c>
      <c r="D299" s="182">
        <f>ROUND((D300/C300)*C299,0)</f>
        <v>4397</v>
      </c>
      <c r="E299" s="161"/>
      <c r="F299" s="184"/>
      <c r="G299" s="2"/>
      <c r="H299" s="2"/>
      <c r="I299" s="161"/>
      <c r="J299" s="186"/>
      <c r="K299" s="2"/>
      <c r="M299" s="11"/>
      <c r="N299" s="11"/>
      <c r="O299" s="38"/>
      <c r="P299" s="38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E299" s="42"/>
    </row>
    <row r="300" spans="1:31">
      <c r="A300" s="1" t="s">
        <v>166</v>
      </c>
      <c r="B300" s="1"/>
      <c r="C300" s="182">
        <f>108+1465</f>
        <v>1573</v>
      </c>
      <c r="D300" s="182">
        <v>1569</v>
      </c>
      <c r="E300" s="161"/>
      <c r="F300" s="184"/>
      <c r="G300" s="2"/>
      <c r="H300" s="2"/>
      <c r="I300" s="161"/>
      <c r="J300" s="186"/>
      <c r="K300" s="2"/>
      <c r="M300" s="11"/>
      <c r="N300" s="11"/>
      <c r="O300" s="38"/>
      <c r="P300" s="38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E300" s="42"/>
    </row>
    <row r="301" spans="1:31">
      <c r="A301" s="1" t="s">
        <v>199</v>
      </c>
      <c r="B301" s="1"/>
      <c r="C301" s="182">
        <v>0</v>
      </c>
      <c r="D301" s="182">
        <v>0</v>
      </c>
      <c r="E301" s="189">
        <f>$E$158</f>
        <v>2.88</v>
      </c>
      <c r="F301" s="186"/>
      <c r="G301" s="2">
        <f>ROUND(E301*$C301,0)</f>
        <v>0</v>
      </c>
      <c r="H301" s="2">
        <f>ROUND(E301*$D301,0)</f>
        <v>0</v>
      </c>
      <c r="I301" s="189">
        <f>$I$158</f>
        <v>2.97</v>
      </c>
      <c r="J301" s="186"/>
      <c r="K301" s="2">
        <f>ROUND(I301*$C301,0)</f>
        <v>0</v>
      </c>
      <c r="M301" s="11"/>
      <c r="N301" s="11"/>
      <c r="O301" s="38"/>
      <c r="P301" s="38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E301" s="42"/>
    </row>
    <row r="302" spans="1:31">
      <c r="A302" s="1" t="s">
        <v>201</v>
      </c>
      <c r="B302" s="1"/>
      <c r="C302" s="182">
        <f>36361+1146150+183000</f>
        <v>1365511</v>
      </c>
      <c r="D302" s="182">
        <f>ROUND(($D$317/'Billing Determinants (2)'!$C$317)*C302,0)</f>
        <v>1407168</v>
      </c>
      <c r="E302" s="162">
        <f>$E$159</f>
        <v>8.0890000000000004</v>
      </c>
      <c r="F302" s="186" t="s">
        <v>178</v>
      </c>
      <c r="G302" s="2">
        <f>ROUND(E302*$C302/100,0)</f>
        <v>110456</v>
      </c>
      <c r="H302" s="2">
        <f>ROUND(E302*$D302/100,0)</f>
        <v>113826</v>
      </c>
      <c r="I302" s="162">
        <f>$I$159</f>
        <v>8.8109999999999999</v>
      </c>
      <c r="J302" s="186" t="s">
        <v>178</v>
      </c>
      <c r="K302" s="2">
        <f>ROUND(I302*$C302/100,0)</f>
        <v>120315</v>
      </c>
      <c r="M302" s="11"/>
      <c r="N302" s="11"/>
      <c r="O302" s="38"/>
      <c r="P302" s="38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E302" s="42"/>
    </row>
    <row r="303" spans="1:31">
      <c r="A303" s="1" t="s">
        <v>202</v>
      </c>
      <c r="B303" s="12"/>
      <c r="C303" s="182">
        <f>64813</f>
        <v>64813</v>
      </c>
      <c r="D303" s="182">
        <f>ROUND(($D$317/'Billing Determinants (2)'!$C$317)*C303,0)</f>
        <v>66790</v>
      </c>
      <c r="E303" s="162">
        <f>$E$160</f>
        <v>5.5839999999999996</v>
      </c>
      <c r="F303" s="186" t="s">
        <v>178</v>
      </c>
      <c r="G303" s="2">
        <f>ROUND(E303*$C303/100,0)</f>
        <v>3619</v>
      </c>
      <c r="H303" s="2">
        <f>ROUND(E303*$D303/100,0)</f>
        <v>3730</v>
      </c>
      <c r="I303" s="162">
        <f>$I$160</f>
        <v>6.0819999999999999</v>
      </c>
      <c r="J303" s="186" t="s">
        <v>178</v>
      </c>
      <c r="K303" s="2">
        <f>ROUND(I303*$C303/100,0)</f>
        <v>3942</v>
      </c>
      <c r="M303" s="11"/>
      <c r="N303" s="11"/>
      <c r="O303" s="38"/>
      <c r="P303" s="38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E303" s="42"/>
    </row>
    <row r="304" spans="1:31">
      <c r="A304" s="1" t="s">
        <v>203</v>
      </c>
      <c r="B304" s="1"/>
      <c r="C304" s="182">
        <f>36361+1210963+183000-C302-C303</f>
        <v>0</v>
      </c>
      <c r="D304" s="182">
        <f>ROUND(($D$317/'Billing Determinants (2)'!$C$317)*C304,0)</f>
        <v>0</v>
      </c>
      <c r="E304" s="162">
        <f>$E$161</f>
        <v>4.8099999999999996</v>
      </c>
      <c r="F304" s="186" t="s">
        <v>178</v>
      </c>
      <c r="G304" s="2">
        <f>ROUND(E304*$C304/100,0)</f>
        <v>0</v>
      </c>
      <c r="H304" s="2">
        <f>ROUND(E304*$D304/100,0)</f>
        <v>0</v>
      </c>
      <c r="I304" s="162">
        <f>$I$161</f>
        <v>5.24</v>
      </c>
      <c r="J304" s="186" t="s">
        <v>178</v>
      </c>
      <c r="K304" s="2">
        <f>ROUND(I304*$C304/100,0)</f>
        <v>0</v>
      </c>
      <c r="M304" s="11"/>
      <c r="N304" s="11"/>
      <c r="O304" s="38"/>
      <c r="P304" s="38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E304" s="42"/>
    </row>
    <row r="305" spans="1:31">
      <c r="A305" s="1" t="s">
        <v>204</v>
      </c>
      <c r="B305" s="1"/>
      <c r="C305" s="182">
        <v>0</v>
      </c>
      <c r="D305" s="182">
        <f>ROUND(($D$317/'Billing Determinants (2)'!$C$317)*C305,0)</f>
        <v>0</v>
      </c>
      <c r="E305" s="193">
        <f>$E$162</f>
        <v>45</v>
      </c>
      <c r="F305" s="184" t="s">
        <v>178</v>
      </c>
      <c r="G305" s="2">
        <f>ROUND(E305*$C305/100,0)</f>
        <v>0</v>
      </c>
      <c r="H305" s="2">
        <f>ROUND(E305*$D305/100,0)</f>
        <v>0</v>
      </c>
      <c r="I305" s="193">
        <f>$I$162</f>
        <v>50</v>
      </c>
      <c r="J305" s="186" t="s">
        <v>178</v>
      </c>
      <c r="K305" s="2">
        <f>ROUND(I305*$C305/100,0)</f>
        <v>0</v>
      </c>
      <c r="M305" s="11"/>
      <c r="N305" s="11"/>
      <c r="O305" s="38"/>
      <c r="P305" s="38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E305" s="42"/>
    </row>
    <row r="306" spans="1:31">
      <c r="A306" s="194" t="s">
        <v>205</v>
      </c>
      <c r="B306" s="1"/>
      <c r="C306" s="182"/>
      <c r="D306" s="182"/>
      <c r="E306" s="195">
        <v>-0.01</v>
      </c>
      <c r="F306" s="184"/>
      <c r="G306" s="2"/>
      <c r="H306" s="2"/>
      <c r="I306" s="195">
        <v>-0.01</v>
      </c>
      <c r="J306" s="186"/>
      <c r="K306" s="2"/>
      <c r="M306" s="11"/>
      <c r="N306" s="11"/>
      <c r="O306" s="38"/>
      <c r="P306" s="38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E306" s="42"/>
    </row>
    <row r="307" spans="1:31">
      <c r="A307" s="1" t="s">
        <v>194</v>
      </c>
      <c r="B307" s="1"/>
      <c r="C307" s="182">
        <v>0</v>
      </c>
      <c r="D307" s="182">
        <v>0</v>
      </c>
      <c r="E307" s="197">
        <f>E296</f>
        <v>7.53</v>
      </c>
      <c r="F307" s="184"/>
      <c r="G307" s="2">
        <f>-ROUND(E307*$C307/100,0)</f>
        <v>0</v>
      </c>
      <c r="H307" s="2">
        <f t="shared" ref="H307:H316" si="30">-ROUND(E307*$D307/100,0)</f>
        <v>0</v>
      </c>
      <c r="I307" s="197">
        <f>I296</f>
        <v>8</v>
      </c>
      <c r="J307" s="184"/>
      <c r="K307" s="2">
        <f>-ROUND(I307*$C307/100,0)</f>
        <v>0</v>
      </c>
      <c r="M307" s="11"/>
      <c r="N307" s="11"/>
      <c r="O307" s="38"/>
      <c r="P307" s="38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E307" s="42"/>
    </row>
    <row r="308" spans="1:31">
      <c r="A308" s="1" t="s">
        <v>195</v>
      </c>
      <c r="B308" s="1"/>
      <c r="C308" s="182">
        <v>0</v>
      </c>
      <c r="D308" s="182">
        <v>0</v>
      </c>
      <c r="E308" s="197">
        <f>E297</f>
        <v>11.18</v>
      </c>
      <c r="F308" s="184"/>
      <c r="G308" s="2">
        <f>-ROUND(E308*$C308/100,0)</f>
        <v>0</v>
      </c>
      <c r="H308" s="2">
        <f t="shared" si="30"/>
        <v>0</v>
      </c>
      <c r="I308" s="197">
        <f>I297</f>
        <v>11.877822045152721</v>
      </c>
      <c r="J308" s="184"/>
      <c r="K308" s="2">
        <f>-ROUND(I308*$C308/100,0)</f>
        <v>0</v>
      </c>
      <c r="M308" s="11"/>
      <c r="N308" s="11"/>
      <c r="O308" s="38"/>
      <c r="P308" s="38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E308" s="42"/>
    </row>
    <row r="309" spans="1:31">
      <c r="A309" s="1" t="s">
        <v>206</v>
      </c>
      <c r="B309" s="1"/>
      <c r="C309" s="182">
        <v>0</v>
      </c>
      <c r="D309" s="182">
        <f>ROUND(($D$317/'Billing Determinants (2)'!$C$317)*C309,0)</f>
        <v>0</v>
      </c>
      <c r="E309" s="197">
        <f>E298</f>
        <v>0.78</v>
      </c>
      <c r="F309" s="184"/>
      <c r="G309" s="2">
        <f>-ROUND(E309*$C309/100,0)</f>
        <v>0</v>
      </c>
      <c r="H309" s="2">
        <f t="shared" si="30"/>
        <v>0</v>
      </c>
      <c r="I309" s="197">
        <f>I298</f>
        <v>0.83</v>
      </c>
      <c r="J309" s="184"/>
      <c r="K309" s="2">
        <f>-ROUND(I309*$C309/100,0)</f>
        <v>0</v>
      </c>
      <c r="M309" s="11"/>
      <c r="N309" s="11"/>
      <c r="O309" s="38"/>
      <c r="P309" s="38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E309" s="42"/>
    </row>
    <row r="310" spans="1:31">
      <c r="A310" s="1" t="s">
        <v>207</v>
      </c>
      <c r="B310" s="1"/>
      <c r="C310" s="182">
        <v>0</v>
      </c>
      <c r="D310" s="182">
        <f>ROUND(($D$317/'Billing Determinants (2)'!$C$317)*C310,0)</f>
        <v>0</v>
      </c>
      <c r="E310" s="197">
        <f>E301</f>
        <v>2.88</v>
      </c>
      <c r="F310" s="186"/>
      <c r="G310" s="2">
        <f>-ROUND(E310*$C310/100,0)</f>
        <v>0</v>
      </c>
      <c r="H310" s="2">
        <f t="shared" si="30"/>
        <v>0</v>
      </c>
      <c r="I310" s="197">
        <f>I301</f>
        <v>2.97</v>
      </c>
      <c r="J310" s="186"/>
      <c r="K310" s="2">
        <f>-ROUND(I310*$C310/100,0)</f>
        <v>0</v>
      </c>
      <c r="M310" s="11"/>
      <c r="N310" s="11"/>
      <c r="O310" s="38"/>
      <c r="P310" s="38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E310" s="42"/>
    </row>
    <row r="311" spans="1:31">
      <c r="A311" s="1" t="s">
        <v>209</v>
      </c>
      <c r="B311" s="1"/>
      <c r="C311" s="182">
        <v>0</v>
      </c>
      <c r="D311" s="182">
        <f>ROUND(($D$317/'Billing Determinants (2)'!$C$317)*C311,0)</f>
        <v>0</v>
      </c>
      <c r="E311" s="198">
        <f>E302</f>
        <v>8.0890000000000004</v>
      </c>
      <c r="F311" s="186" t="s">
        <v>178</v>
      </c>
      <c r="G311" s="2">
        <f>ROUND(E311*$C311/100*E306,0)</f>
        <v>0</v>
      </c>
      <c r="H311" s="2">
        <f t="shared" si="30"/>
        <v>0</v>
      </c>
      <c r="I311" s="198">
        <f>I302</f>
        <v>8.8109999999999999</v>
      </c>
      <c r="J311" s="186" t="s">
        <v>178</v>
      </c>
      <c r="K311" s="2">
        <f>ROUND(I311*$C311/100*I306,0)</f>
        <v>0</v>
      </c>
      <c r="M311" s="11"/>
      <c r="N311" s="11"/>
      <c r="O311" s="38"/>
      <c r="P311" s="38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E311" s="42"/>
    </row>
    <row r="312" spans="1:31">
      <c r="A312" s="1" t="s">
        <v>202</v>
      </c>
      <c r="B312" s="1"/>
      <c r="C312" s="182">
        <v>0</v>
      </c>
      <c r="D312" s="182">
        <f>ROUND(($D$317/'Billing Determinants (2)'!$C$317)*C312,0)</f>
        <v>0</v>
      </c>
      <c r="E312" s="198">
        <f>E303</f>
        <v>5.5839999999999996</v>
      </c>
      <c r="F312" s="186" t="s">
        <v>178</v>
      </c>
      <c r="G312" s="2">
        <f>ROUND(E312*$C312/100*E306,0)</f>
        <v>0</v>
      </c>
      <c r="H312" s="2">
        <f t="shared" si="30"/>
        <v>0</v>
      </c>
      <c r="I312" s="198">
        <f>I303</f>
        <v>6.0819999999999999</v>
      </c>
      <c r="J312" s="186" t="s">
        <v>178</v>
      </c>
      <c r="K312" s="2">
        <f>ROUND(I312*$C312/100*I306,0)</f>
        <v>0</v>
      </c>
      <c r="M312" s="11"/>
      <c r="N312" s="11"/>
      <c r="O312" s="38"/>
      <c r="P312" s="38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E312" s="42"/>
    </row>
    <row r="313" spans="1:31">
      <c r="A313" s="1" t="s">
        <v>203</v>
      </c>
      <c r="B313" s="1"/>
      <c r="C313" s="182">
        <v>0</v>
      </c>
      <c r="D313" s="182">
        <f>ROUND(($D$317/'Billing Determinants (2)'!$C$317)*C313,0)</f>
        <v>0</v>
      </c>
      <c r="E313" s="198">
        <f>E304</f>
        <v>4.8099999999999996</v>
      </c>
      <c r="F313" s="186" t="s">
        <v>178</v>
      </c>
      <c r="G313" s="2">
        <f>ROUND(E313*$C313/100*E306,0)</f>
        <v>0</v>
      </c>
      <c r="H313" s="2">
        <f t="shared" si="30"/>
        <v>0</v>
      </c>
      <c r="I313" s="198">
        <f>I304</f>
        <v>5.24</v>
      </c>
      <c r="J313" s="186" t="s">
        <v>178</v>
      </c>
      <c r="K313" s="2">
        <f>ROUND(I313*$C313/100*I306,0)</f>
        <v>0</v>
      </c>
      <c r="M313" s="11"/>
      <c r="N313" s="11"/>
      <c r="O313" s="38"/>
      <c r="P313" s="38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E313" s="42"/>
    </row>
    <row r="314" spans="1:31">
      <c r="A314" s="1" t="s">
        <v>204</v>
      </c>
      <c r="B314" s="1"/>
      <c r="C314" s="182">
        <v>0</v>
      </c>
      <c r="D314" s="182">
        <f>ROUND(($D$317/'Billing Determinants (2)'!$C$317)*C314,0)</f>
        <v>0</v>
      </c>
      <c r="E314" s="199">
        <f>E305</f>
        <v>45</v>
      </c>
      <c r="F314" s="186" t="s">
        <v>178</v>
      </c>
      <c r="G314" s="2">
        <f>ROUND(E314*$C314/100*E306,0)</f>
        <v>0</v>
      </c>
      <c r="H314" s="2">
        <f t="shared" si="30"/>
        <v>0</v>
      </c>
      <c r="I314" s="199">
        <f>I305</f>
        <v>50</v>
      </c>
      <c r="J314" s="186" t="s">
        <v>178</v>
      </c>
      <c r="K314" s="2">
        <f>ROUND(I314*$C314/100*I306,0)</f>
        <v>0</v>
      </c>
      <c r="M314" s="11"/>
      <c r="N314" s="11"/>
      <c r="O314" s="38"/>
      <c r="P314" s="38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E314" s="42"/>
    </row>
    <row r="315" spans="1:31">
      <c r="A315" s="1" t="s">
        <v>211</v>
      </c>
      <c r="B315" s="1"/>
      <c r="C315" s="182">
        <v>0</v>
      </c>
      <c r="D315" s="182">
        <f>ROUND(($D$317/'Billing Determinants (2)'!$C$317)*C315,0)</f>
        <v>0</v>
      </c>
      <c r="E315" s="200">
        <f>$E$172</f>
        <v>60</v>
      </c>
      <c r="F315" s="184"/>
      <c r="G315" s="2">
        <f>ROUND(E315*$C315,0)</f>
        <v>0</v>
      </c>
      <c r="H315" s="2">
        <f t="shared" si="30"/>
        <v>0</v>
      </c>
      <c r="I315" s="200">
        <f>$I$172</f>
        <v>60</v>
      </c>
      <c r="J315" s="186"/>
      <c r="K315" s="2">
        <f>ROUND(I315*$C315,0)</f>
        <v>0</v>
      </c>
      <c r="M315" s="11"/>
      <c r="N315" s="11"/>
      <c r="O315" s="38"/>
      <c r="P315" s="38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E315" s="42"/>
    </row>
    <row r="316" spans="1:31">
      <c r="A316" s="1" t="s">
        <v>212</v>
      </c>
      <c r="B316" s="1"/>
      <c r="C316" s="182">
        <v>0</v>
      </c>
      <c r="D316" s="182">
        <f>ROUND(($D$317/'Billing Determinants (2)'!$C$317)*C316,0)</f>
        <v>0</v>
      </c>
      <c r="E316" s="202">
        <f>$E$173</f>
        <v>-30</v>
      </c>
      <c r="F316" s="184" t="s">
        <v>178</v>
      </c>
      <c r="G316" s="2">
        <f>ROUND(E316*$C316/100,0)</f>
        <v>0</v>
      </c>
      <c r="H316" s="2">
        <f t="shared" si="30"/>
        <v>0</v>
      </c>
      <c r="I316" s="202">
        <f>$I$173</f>
        <v>-30</v>
      </c>
      <c r="J316" s="186" t="s">
        <v>178</v>
      </c>
      <c r="K316" s="2">
        <f>ROUND(I316*$C316/100,0)</f>
        <v>0</v>
      </c>
      <c r="M316" s="11"/>
      <c r="N316" s="11"/>
      <c r="O316" s="38"/>
      <c r="P316" s="38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E316" s="42"/>
    </row>
    <row r="317" spans="1:31">
      <c r="A317" s="1" t="s">
        <v>185</v>
      </c>
      <c r="B317" s="1"/>
      <c r="C317" s="182">
        <f>SUM(C302:C304)</f>
        <v>1430324</v>
      </c>
      <c r="D317" s="182">
        <v>1473957.9193898283</v>
      </c>
      <c r="E317" s="193"/>
      <c r="F317" s="2"/>
      <c r="G317" s="2">
        <f>SUM(G296:G316)</f>
        <v>147267</v>
      </c>
      <c r="H317" s="2">
        <f>SUM(H296:H316)</f>
        <v>150665</v>
      </c>
      <c r="I317" s="193"/>
      <c r="J317" s="186"/>
      <c r="K317" s="2">
        <f>SUM(K296:K316)</f>
        <v>159521</v>
      </c>
      <c r="M317" s="11"/>
      <c r="N317" s="11"/>
      <c r="O317" s="38"/>
      <c r="P317" s="38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E317" s="42"/>
    </row>
    <row r="318" spans="1:31">
      <c r="A318" s="1" t="s">
        <v>167</v>
      </c>
      <c r="B318" s="1"/>
      <c r="C318" s="212" t="e">
        <f>#REF!</f>
        <v>#REF!</v>
      </c>
      <c r="D318" s="203">
        <v>0</v>
      </c>
      <c r="E318" s="172"/>
      <c r="F318" s="172"/>
      <c r="G318" s="204" t="e">
        <f>#REF!</f>
        <v>#REF!</v>
      </c>
      <c r="H318" s="204">
        <v>0</v>
      </c>
      <c r="I318" s="172"/>
      <c r="J318" s="172"/>
      <c r="K318" s="204" t="e">
        <f>G318</f>
        <v>#REF!</v>
      </c>
      <c r="M318" s="307"/>
      <c r="N318" s="307"/>
      <c r="O318" s="150"/>
      <c r="P318" s="38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E318" s="42"/>
    </row>
    <row r="319" spans="1:31" ht="16.5" thickBot="1">
      <c r="A319" s="1" t="s">
        <v>186</v>
      </c>
      <c r="B319" s="1"/>
      <c r="C319" s="174" t="e">
        <f>SUM(C317:C318)</f>
        <v>#REF!</v>
      </c>
      <c r="D319" s="174">
        <f>SUM(D317:D318)</f>
        <v>1473957.9193898283</v>
      </c>
      <c r="E319" s="205"/>
      <c r="F319" s="206"/>
      <c r="G319" s="207" t="e">
        <f>G317+G318</f>
        <v>#REF!</v>
      </c>
      <c r="H319" s="207">
        <f>H317+H318</f>
        <v>150665</v>
      </c>
      <c r="I319" s="205"/>
      <c r="J319" s="208"/>
      <c r="K319" s="207" t="e">
        <f>K317+K318</f>
        <v>#REF!</v>
      </c>
      <c r="M319" s="274"/>
      <c r="N319" s="274"/>
      <c r="O319" s="333"/>
      <c r="P319" s="38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E319" s="42"/>
    </row>
    <row r="320" spans="1:31" ht="16.5" thickTop="1">
      <c r="A320" s="1"/>
      <c r="B320" s="1"/>
      <c r="C320" s="12"/>
      <c r="D320" s="12"/>
      <c r="E320" s="200"/>
      <c r="F320" s="2"/>
      <c r="G320" s="2"/>
      <c r="H320" s="2"/>
      <c r="I320" s="200"/>
      <c r="J320" s="1"/>
      <c r="K320" s="2" t="s">
        <v>13</v>
      </c>
      <c r="M320" s="11"/>
      <c r="N320" s="11"/>
      <c r="O320" s="38"/>
      <c r="P320" s="38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E320" s="42"/>
    </row>
    <row r="321" spans="1:31">
      <c r="A321" s="156" t="s">
        <v>219</v>
      </c>
      <c r="B321" s="1"/>
      <c r="C321" s="1"/>
      <c r="D321" s="1"/>
      <c r="E321" s="2"/>
      <c r="F321" s="2"/>
      <c r="G321" s="1" t="s">
        <v>13</v>
      </c>
      <c r="H321" s="1"/>
      <c r="I321" s="2"/>
      <c r="J321" s="1"/>
      <c r="K321" s="1"/>
      <c r="M321" s="11"/>
      <c r="N321" s="11"/>
      <c r="O321" s="38"/>
      <c r="P321" s="38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E321" s="42"/>
    </row>
    <row r="322" spans="1:31">
      <c r="A322" s="1" t="s">
        <v>218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M322" s="11"/>
      <c r="N322" s="11"/>
      <c r="O322" s="38"/>
      <c r="P322" s="38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E322" s="42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M323" s="11"/>
      <c r="N323" s="11"/>
      <c r="O323" s="38"/>
      <c r="P323" s="38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E323" s="42"/>
    </row>
    <row r="324" spans="1:31">
      <c r="A324" s="1" t="s">
        <v>197</v>
      </c>
      <c r="B324" s="1"/>
      <c r="C324" s="182"/>
      <c r="D324" s="182"/>
      <c r="E324" s="2"/>
      <c r="F324" s="2"/>
      <c r="G324" s="1"/>
      <c r="H324" s="1"/>
      <c r="I324" s="2"/>
      <c r="J324" s="1"/>
      <c r="K324" s="1"/>
      <c r="M324" s="11"/>
      <c r="N324" s="11"/>
      <c r="O324" s="38"/>
      <c r="P324" s="38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E324" s="42"/>
    </row>
    <row r="325" spans="1:31">
      <c r="A325" s="1" t="s">
        <v>220</v>
      </c>
      <c r="B325" s="1"/>
      <c r="C325" s="182">
        <v>516</v>
      </c>
      <c r="D325" s="182">
        <f>ROUND((D329/C329)*C325,0)</f>
        <v>516</v>
      </c>
      <c r="E325" s="161">
        <f>$E$153</f>
        <v>7.53</v>
      </c>
      <c r="F325" s="184"/>
      <c r="G325" s="2">
        <f>ROUND(E325*$C325,0)</f>
        <v>3885</v>
      </c>
      <c r="H325" s="2">
        <f>ROUND(E325*$D325,0)</f>
        <v>3885</v>
      </c>
      <c r="I325" s="161">
        <f>$I$153</f>
        <v>8</v>
      </c>
      <c r="J325" s="186"/>
      <c r="K325" s="2">
        <f>ROUND(I325*$C325,0)</f>
        <v>4128</v>
      </c>
      <c r="M325" s="11"/>
      <c r="N325" s="11"/>
      <c r="O325" s="38"/>
      <c r="P325" s="38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E325" s="42"/>
    </row>
    <row r="326" spans="1:31">
      <c r="A326" s="1" t="s">
        <v>195</v>
      </c>
      <c r="B326" s="1"/>
      <c r="C326" s="182">
        <v>0</v>
      </c>
      <c r="D326" s="182">
        <v>0</v>
      </c>
      <c r="E326" s="161">
        <f>$E$154</f>
        <v>11.18</v>
      </c>
      <c r="F326" s="187"/>
      <c r="G326" s="2">
        <f>ROUND(E326*$C326,0)</f>
        <v>0</v>
      </c>
      <c r="H326" s="2">
        <f>ROUND(E326*$D326,0)</f>
        <v>0</v>
      </c>
      <c r="I326" s="161">
        <f>$I$154</f>
        <v>11.877822045152721</v>
      </c>
      <c r="J326" s="188"/>
      <c r="K326" s="2">
        <f>ROUND(I326*$C326,0)</f>
        <v>0</v>
      </c>
      <c r="M326" s="11"/>
      <c r="N326" s="11"/>
      <c r="O326" s="38"/>
      <c r="P326" s="38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E326" s="42"/>
    </row>
    <row r="327" spans="1:31">
      <c r="A327" s="1" t="s">
        <v>196</v>
      </c>
      <c r="B327" s="1"/>
      <c r="C327" s="182">
        <v>0</v>
      </c>
      <c r="D327" s="182">
        <v>0</v>
      </c>
      <c r="E327" s="161">
        <f>$E$155</f>
        <v>0.78</v>
      </c>
      <c r="F327" s="187"/>
      <c r="G327" s="2">
        <f>ROUND(E327*$C327,0)</f>
        <v>0</v>
      </c>
      <c r="H327" s="2">
        <f>ROUND(E327*$D327,0)</f>
        <v>0</v>
      </c>
      <c r="I327" s="161">
        <f>$I$155</f>
        <v>0.83</v>
      </c>
      <c r="J327" s="188"/>
      <c r="K327" s="2">
        <f>ROUND(I327*$C327,0)</f>
        <v>0</v>
      </c>
      <c r="M327" s="11"/>
      <c r="N327" s="11"/>
      <c r="O327" s="38"/>
      <c r="P327" s="38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E327" s="42"/>
    </row>
    <row r="328" spans="1:31">
      <c r="A328" s="1" t="s">
        <v>198</v>
      </c>
      <c r="B328" s="1"/>
      <c r="C328" s="182">
        <f>SUM(C325:C326)</f>
        <v>516</v>
      </c>
      <c r="D328" s="182">
        <f>ROUND((D329/C329)*C328,0)</f>
        <v>516</v>
      </c>
      <c r="E328" s="161"/>
      <c r="F328" s="184"/>
      <c r="G328" s="2"/>
      <c r="H328" s="2"/>
      <c r="I328" s="161"/>
      <c r="J328" s="186"/>
      <c r="K328" s="2"/>
      <c r="M328" s="11"/>
      <c r="N328" s="11"/>
      <c r="O328" s="38"/>
      <c r="P328" s="38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E328" s="42"/>
    </row>
    <row r="329" spans="1:31">
      <c r="A329" s="1" t="s">
        <v>166</v>
      </c>
      <c r="B329" s="1"/>
      <c r="C329" s="182">
        <v>48</v>
      </c>
      <c r="D329" s="182">
        <v>48</v>
      </c>
      <c r="E329" s="161"/>
      <c r="F329" s="184"/>
      <c r="G329" s="2"/>
      <c r="H329" s="2"/>
      <c r="I329" s="161"/>
      <c r="J329" s="186"/>
      <c r="K329" s="2"/>
      <c r="M329" s="11"/>
      <c r="N329" s="11"/>
      <c r="O329" s="38"/>
      <c r="P329" s="38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E329" s="42"/>
    </row>
    <row r="330" spans="1:31">
      <c r="A330" s="1" t="s">
        <v>199</v>
      </c>
      <c r="B330" s="1"/>
      <c r="C330" s="182">
        <v>0</v>
      </c>
      <c r="D330" s="182">
        <v>0</v>
      </c>
      <c r="E330" s="189">
        <f>$E$158</f>
        <v>2.88</v>
      </c>
      <c r="F330" s="186"/>
      <c r="G330" s="2">
        <f>ROUND(E330*$C330,0)</f>
        <v>0</v>
      </c>
      <c r="H330" s="2">
        <f>ROUND(E330*$D330,0)</f>
        <v>0</v>
      </c>
      <c r="I330" s="189">
        <f>$I$158</f>
        <v>2.97</v>
      </c>
      <c r="J330" s="186"/>
      <c r="K330" s="2">
        <f>ROUND(I330*$C330,0)</f>
        <v>0</v>
      </c>
      <c r="M330" s="11"/>
      <c r="N330" s="11"/>
      <c r="O330" s="38"/>
      <c r="P330" s="38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E330" s="42"/>
    </row>
    <row r="331" spans="1:31">
      <c r="A331" s="1" t="s">
        <v>201</v>
      </c>
      <c r="B331" s="1"/>
      <c r="C331" s="182">
        <f>33312</f>
        <v>33312</v>
      </c>
      <c r="D331" s="182">
        <f>ROUND(($D$346/'Billing Determinants (2)'!$C$346)*C331,0)</f>
        <v>38537</v>
      </c>
      <c r="E331" s="162">
        <f>$E$159</f>
        <v>8.0890000000000004</v>
      </c>
      <c r="F331" s="186" t="s">
        <v>178</v>
      </c>
      <c r="G331" s="2">
        <f>ROUND(E331*$C331/100,0)</f>
        <v>2695</v>
      </c>
      <c r="H331" s="2">
        <f>ROUND(E331*$D331/100,0)</f>
        <v>3117</v>
      </c>
      <c r="I331" s="162">
        <f>$I$159</f>
        <v>8.8109999999999999</v>
      </c>
      <c r="J331" s="186" t="s">
        <v>178</v>
      </c>
      <c r="K331" s="2">
        <f>ROUND(I331*$C331/100,0)</f>
        <v>2935</v>
      </c>
      <c r="M331" s="11"/>
      <c r="N331" s="11"/>
      <c r="O331" s="38"/>
      <c r="P331" s="38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E331" s="42"/>
    </row>
    <row r="332" spans="1:31">
      <c r="A332" s="1" t="s">
        <v>202</v>
      </c>
      <c r="B332" s="1"/>
      <c r="C332" s="182">
        <v>0</v>
      </c>
      <c r="D332" s="182">
        <v>0</v>
      </c>
      <c r="E332" s="162">
        <f>$E$160</f>
        <v>5.5839999999999996</v>
      </c>
      <c r="F332" s="186" t="s">
        <v>178</v>
      </c>
      <c r="G332" s="2">
        <f>ROUND(E332*$C332/100,0)</f>
        <v>0</v>
      </c>
      <c r="H332" s="2">
        <f>ROUND(E332*$D332/100,0)</f>
        <v>0</v>
      </c>
      <c r="I332" s="162">
        <f>$I$160</f>
        <v>6.0819999999999999</v>
      </c>
      <c r="J332" s="186" t="s">
        <v>178</v>
      </c>
      <c r="K332" s="2">
        <f>ROUND(I332*$C332/100,0)</f>
        <v>0</v>
      </c>
      <c r="M332" s="11"/>
      <c r="N332" s="11"/>
      <c r="O332" s="38"/>
      <c r="P332" s="38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E332" s="42"/>
    </row>
    <row r="333" spans="1:31">
      <c r="A333" s="1" t="s">
        <v>203</v>
      </c>
      <c r="B333" s="1"/>
      <c r="C333" s="182">
        <f>33312-C331</f>
        <v>0</v>
      </c>
      <c r="D333" s="182">
        <v>0</v>
      </c>
      <c r="E333" s="162">
        <f>$E$161</f>
        <v>4.8099999999999996</v>
      </c>
      <c r="F333" s="186" t="s">
        <v>178</v>
      </c>
      <c r="G333" s="2">
        <f>ROUND(E333*$C333/100,0)</f>
        <v>0</v>
      </c>
      <c r="H333" s="2">
        <f>ROUND(E333*$D333/100,0)</f>
        <v>0</v>
      </c>
      <c r="I333" s="162">
        <f>$I$161</f>
        <v>5.24</v>
      </c>
      <c r="J333" s="186" t="s">
        <v>178</v>
      </c>
      <c r="K333" s="2">
        <f>ROUND(I333*$C333/100,0)</f>
        <v>0</v>
      </c>
      <c r="M333" s="11"/>
      <c r="N333" s="11"/>
      <c r="O333" s="38"/>
      <c r="P333" s="38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E333" s="42"/>
    </row>
    <row r="334" spans="1:31">
      <c r="A334" s="1" t="s">
        <v>204</v>
      </c>
      <c r="B334" s="1"/>
      <c r="C334" s="182">
        <v>0</v>
      </c>
      <c r="D334" s="182">
        <v>0</v>
      </c>
      <c r="E334" s="193">
        <f>$E$162</f>
        <v>45</v>
      </c>
      <c r="F334" s="184" t="s">
        <v>178</v>
      </c>
      <c r="G334" s="2">
        <f>ROUND(E334*$C334/100,0)</f>
        <v>0</v>
      </c>
      <c r="H334" s="2">
        <f>ROUND(E334*$D334/100,0)</f>
        <v>0</v>
      </c>
      <c r="I334" s="193">
        <f>$I$162</f>
        <v>50</v>
      </c>
      <c r="J334" s="186" t="s">
        <v>178</v>
      </c>
      <c r="K334" s="2">
        <f>ROUND(I334*$C334/100,0)</f>
        <v>0</v>
      </c>
      <c r="M334" s="11"/>
      <c r="N334" s="11"/>
      <c r="O334" s="38"/>
      <c r="P334" s="38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E334" s="42"/>
    </row>
    <row r="335" spans="1:31">
      <c r="A335" s="194" t="s">
        <v>205</v>
      </c>
      <c r="B335" s="1"/>
      <c r="C335" s="182"/>
      <c r="D335" s="182"/>
      <c r="E335" s="195">
        <v>-0.01</v>
      </c>
      <c r="F335" s="184"/>
      <c r="G335" s="2"/>
      <c r="H335" s="2"/>
      <c r="I335" s="195">
        <v>-0.01</v>
      </c>
      <c r="J335" s="186"/>
      <c r="K335" s="2"/>
      <c r="M335" s="11"/>
      <c r="N335" s="11"/>
      <c r="O335" s="38"/>
      <c r="P335" s="38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E335" s="42"/>
    </row>
    <row r="336" spans="1:31">
      <c r="A336" s="1" t="s">
        <v>194</v>
      </c>
      <c r="B336" s="1"/>
      <c r="C336" s="182">
        <v>0</v>
      </c>
      <c r="D336" s="182">
        <v>0</v>
      </c>
      <c r="E336" s="197">
        <f>E325</f>
        <v>7.53</v>
      </c>
      <c r="F336" s="184"/>
      <c r="G336" s="2">
        <f>-ROUND(E336*$C336/100,0)</f>
        <v>0</v>
      </c>
      <c r="H336" s="2">
        <f t="shared" ref="H336:H345" si="31">-ROUND(E336*$D336/100,0)</f>
        <v>0</v>
      </c>
      <c r="I336" s="197">
        <f>I325</f>
        <v>8</v>
      </c>
      <c r="J336" s="184"/>
      <c r="K336" s="2">
        <f>-ROUND(I336*$C336/100,0)</f>
        <v>0</v>
      </c>
      <c r="M336" s="11"/>
      <c r="N336" s="11"/>
      <c r="O336" s="38"/>
      <c r="P336" s="38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E336" s="42"/>
    </row>
    <row r="337" spans="1:31">
      <c r="A337" s="1" t="s">
        <v>195</v>
      </c>
      <c r="B337" s="1"/>
      <c r="C337" s="182">
        <v>0</v>
      </c>
      <c r="D337" s="182">
        <v>0</v>
      </c>
      <c r="E337" s="197">
        <f>E326</f>
        <v>11.18</v>
      </c>
      <c r="F337" s="184"/>
      <c r="G337" s="2">
        <f>-ROUND(E337*$C337/100,0)</f>
        <v>0</v>
      </c>
      <c r="H337" s="2">
        <f t="shared" si="31"/>
        <v>0</v>
      </c>
      <c r="I337" s="197">
        <f>I326</f>
        <v>11.877822045152721</v>
      </c>
      <c r="J337" s="184"/>
      <c r="K337" s="2">
        <f>-ROUND(I337*$C337/100,0)</f>
        <v>0</v>
      </c>
      <c r="M337" s="11"/>
      <c r="N337" s="11"/>
      <c r="O337" s="38"/>
      <c r="P337" s="38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E337" s="42"/>
    </row>
    <row r="338" spans="1:31">
      <c r="A338" s="1" t="s">
        <v>206</v>
      </c>
      <c r="B338" s="1"/>
      <c r="C338" s="182">
        <v>0</v>
      </c>
      <c r="D338" s="182">
        <v>0</v>
      </c>
      <c r="E338" s="197">
        <f>E327</f>
        <v>0.78</v>
      </c>
      <c r="F338" s="184"/>
      <c r="G338" s="2">
        <f>-ROUND(E338*$C338/100,0)</f>
        <v>0</v>
      </c>
      <c r="H338" s="2">
        <f t="shared" si="31"/>
        <v>0</v>
      </c>
      <c r="I338" s="197">
        <f>I327</f>
        <v>0.83</v>
      </c>
      <c r="J338" s="184"/>
      <c r="K338" s="2">
        <f>-ROUND(I338*$C338/100,0)</f>
        <v>0</v>
      </c>
      <c r="M338" s="11"/>
      <c r="N338" s="11"/>
      <c r="O338" s="38"/>
      <c r="P338" s="38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E338" s="42"/>
    </row>
    <row r="339" spans="1:31">
      <c r="A339" s="1" t="s">
        <v>207</v>
      </c>
      <c r="B339" s="1"/>
      <c r="C339" s="182">
        <v>0</v>
      </c>
      <c r="D339" s="182">
        <v>0</v>
      </c>
      <c r="E339" s="197">
        <f>E330</f>
        <v>2.88</v>
      </c>
      <c r="F339" s="186"/>
      <c r="G339" s="2">
        <f>-ROUND(E339*$C339/100,0)</f>
        <v>0</v>
      </c>
      <c r="H339" s="2">
        <f t="shared" si="31"/>
        <v>0</v>
      </c>
      <c r="I339" s="197">
        <f>I330</f>
        <v>2.97</v>
      </c>
      <c r="J339" s="186"/>
      <c r="K339" s="2">
        <f>-ROUND(I339*$C339/100,0)</f>
        <v>0</v>
      </c>
      <c r="M339" s="11"/>
      <c r="N339" s="11"/>
      <c r="O339" s="38"/>
      <c r="P339" s="38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E339" s="42"/>
    </row>
    <row r="340" spans="1:31">
      <c r="A340" s="1" t="s">
        <v>209</v>
      </c>
      <c r="B340" s="1"/>
      <c r="C340" s="182">
        <v>0</v>
      </c>
      <c r="D340" s="182">
        <v>0</v>
      </c>
      <c r="E340" s="198">
        <f>E331</f>
        <v>8.0890000000000004</v>
      </c>
      <c r="F340" s="186" t="s">
        <v>178</v>
      </c>
      <c r="G340" s="2">
        <f>ROUND(E340*$C340/100*E335,0)</f>
        <v>0</v>
      </c>
      <c r="H340" s="2">
        <f t="shared" si="31"/>
        <v>0</v>
      </c>
      <c r="I340" s="198">
        <f>I331</f>
        <v>8.8109999999999999</v>
      </c>
      <c r="J340" s="186" t="s">
        <v>178</v>
      </c>
      <c r="K340" s="2">
        <f>ROUND(I340*$C340/100*I335,0)</f>
        <v>0</v>
      </c>
      <c r="M340" s="11"/>
      <c r="N340" s="11"/>
      <c r="O340" s="38"/>
      <c r="P340" s="38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E340" s="42"/>
    </row>
    <row r="341" spans="1:31">
      <c r="A341" s="1" t="s">
        <v>202</v>
      </c>
      <c r="B341" s="1"/>
      <c r="C341" s="182">
        <v>0</v>
      </c>
      <c r="D341" s="182">
        <v>0</v>
      </c>
      <c r="E341" s="198">
        <f>E332</f>
        <v>5.5839999999999996</v>
      </c>
      <c r="F341" s="186" t="s">
        <v>178</v>
      </c>
      <c r="G341" s="2">
        <f>ROUND(E341*$C341/100*E335,0)</f>
        <v>0</v>
      </c>
      <c r="H341" s="2">
        <f t="shared" si="31"/>
        <v>0</v>
      </c>
      <c r="I341" s="198">
        <f>I332</f>
        <v>6.0819999999999999</v>
      </c>
      <c r="J341" s="186" t="s">
        <v>178</v>
      </c>
      <c r="K341" s="2">
        <f>ROUND(I341*$C341/100*I335,0)</f>
        <v>0</v>
      </c>
      <c r="M341" s="11"/>
      <c r="N341" s="11"/>
      <c r="O341" s="38"/>
      <c r="P341" s="38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E341" s="42"/>
    </row>
    <row r="342" spans="1:31">
      <c r="A342" s="1" t="s">
        <v>203</v>
      </c>
      <c r="B342" s="1"/>
      <c r="C342" s="182">
        <v>0</v>
      </c>
      <c r="D342" s="182">
        <v>0</v>
      </c>
      <c r="E342" s="198">
        <f>E333</f>
        <v>4.8099999999999996</v>
      </c>
      <c r="F342" s="186" t="s">
        <v>178</v>
      </c>
      <c r="G342" s="2">
        <f>ROUND(E342*$C342/100*E335,0)</f>
        <v>0</v>
      </c>
      <c r="H342" s="2">
        <f t="shared" si="31"/>
        <v>0</v>
      </c>
      <c r="I342" s="198">
        <f>I333</f>
        <v>5.24</v>
      </c>
      <c r="J342" s="186" t="s">
        <v>178</v>
      </c>
      <c r="K342" s="2">
        <f>ROUND(I342*$C342/100*I335,0)</f>
        <v>0</v>
      </c>
      <c r="M342" s="11"/>
      <c r="N342" s="11"/>
      <c r="O342" s="38"/>
      <c r="P342" s="38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E342" s="42"/>
    </row>
    <row r="343" spans="1:31">
      <c r="A343" s="1" t="s">
        <v>204</v>
      </c>
      <c r="B343" s="1"/>
      <c r="C343" s="182">
        <v>0</v>
      </c>
      <c r="D343" s="182">
        <v>0</v>
      </c>
      <c r="E343" s="199">
        <f>E334</f>
        <v>45</v>
      </c>
      <c r="F343" s="186" t="s">
        <v>178</v>
      </c>
      <c r="G343" s="2">
        <f>ROUND(E343*$C343/100*E335,0)</f>
        <v>0</v>
      </c>
      <c r="H343" s="2">
        <f t="shared" si="31"/>
        <v>0</v>
      </c>
      <c r="I343" s="199">
        <f>I334</f>
        <v>50</v>
      </c>
      <c r="J343" s="186" t="s">
        <v>178</v>
      </c>
      <c r="K343" s="2">
        <f>ROUND(I343*$C343/100*I335,0)</f>
        <v>0</v>
      </c>
      <c r="M343" s="11"/>
      <c r="N343" s="11"/>
      <c r="O343" s="38"/>
      <c r="P343" s="38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E343" s="42"/>
    </row>
    <row r="344" spans="1:31">
      <c r="A344" s="1" t="s">
        <v>211</v>
      </c>
      <c r="B344" s="1"/>
      <c r="C344" s="182">
        <v>0</v>
      </c>
      <c r="D344" s="182">
        <v>0</v>
      </c>
      <c r="E344" s="200">
        <f>$E$172</f>
        <v>60</v>
      </c>
      <c r="F344" s="184"/>
      <c r="G344" s="2">
        <f>ROUND(E344*$C344,0)</f>
        <v>0</v>
      </c>
      <c r="H344" s="2">
        <f t="shared" si="31"/>
        <v>0</v>
      </c>
      <c r="I344" s="200">
        <f>$I$172</f>
        <v>60</v>
      </c>
      <c r="J344" s="186"/>
      <c r="K344" s="2">
        <f>ROUND(I344*$C344,0)</f>
        <v>0</v>
      </c>
      <c r="M344" s="11"/>
      <c r="N344" s="11"/>
      <c r="O344" s="38"/>
      <c r="P344" s="38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E344" s="42"/>
    </row>
    <row r="345" spans="1:31">
      <c r="A345" s="1" t="s">
        <v>212</v>
      </c>
      <c r="B345" s="1"/>
      <c r="C345" s="182">
        <v>0</v>
      </c>
      <c r="D345" s="182">
        <v>0</v>
      </c>
      <c r="E345" s="202">
        <f>$E$173</f>
        <v>-30</v>
      </c>
      <c r="F345" s="184" t="s">
        <v>178</v>
      </c>
      <c r="G345" s="2">
        <f>ROUND(E345*$C345/100,0)</f>
        <v>0</v>
      </c>
      <c r="H345" s="2">
        <f t="shared" si="31"/>
        <v>0</v>
      </c>
      <c r="I345" s="202">
        <f>$I$173</f>
        <v>-30</v>
      </c>
      <c r="J345" s="186" t="s">
        <v>178</v>
      </c>
      <c r="K345" s="2">
        <f>ROUND(I345*$C345/100,0)</f>
        <v>0</v>
      </c>
      <c r="M345" s="11"/>
      <c r="N345" s="11"/>
      <c r="O345" s="38"/>
      <c r="P345" s="38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E345" s="42"/>
    </row>
    <row r="346" spans="1:31">
      <c r="A346" s="1" t="s">
        <v>185</v>
      </c>
      <c r="B346" s="1"/>
      <c r="C346" s="182">
        <f>SUM(C331:C333)</f>
        <v>33312</v>
      </c>
      <c r="D346" s="182">
        <v>38537</v>
      </c>
      <c r="E346" s="193"/>
      <c r="F346" s="2"/>
      <c r="G346" s="2">
        <f>SUM(G325:G345)</f>
        <v>6580</v>
      </c>
      <c r="H346" s="2">
        <f>SUM(H325:H345)</f>
        <v>7002</v>
      </c>
      <c r="I346" s="193"/>
      <c r="J346" s="186"/>
      <c r="K346" s="2">
        <f>SUM(K325:K345)</f>
        <v>7063</v>
      </c>
      <c r="M346" s="11"/>
      <c r="N346" s="11"/>
      <c r="O346" s="38"/>
      <c r="P346" s="38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E346" s="42"/>
    </row>
    <row r="347" spans="1:31">
      <c r="A347" s="1" t="s">
        <v>167</v>
      </c>
      <c r="B347" s="1"/>
      <c r="C347" s="212" t="e">
        <f>#REF!</f>
        <v>#REF!</v>
      </c>
      <c r="D347" s="203">
        <v>0</v>
      </c>
      <c r="E347" s="172"/>
      <c r="F347" s="172"/>
      <c r="G347" s="204" t="e">
        <f>#REF!</f>
        <v>#REF!</v>
      </c>
      <c r="H347" s="204">
        <v>0</v>
      </c>
      <c r="I347" s="172"/>
      <c r="J347" s="172"/>
      <c r="K347" s="204" t="e">
        <f>G347</f>
        <v>#REF!</v>
      </c>
      <c r="M347" s="307"/>
      <c r="N347" s="307"/>
      <c r="O347" s="150"/>
      <c r="P347" s="38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E347" s="42"/>
    </row>
    <row r="348" spans="1:31" ht="16.5" thickBot="1">
      <c r="A348" s="1" t="s">
        <v>186</v>
      </c>
      <c r="B348" s="1"/>
      <c r="C348" s="174" t="e">
        <f>SUM(C346:C347)</f>
        <v>#REF!</v>
      </c>
      <c r="D348" s="174">
        <f>SUM(D346:D347)</f>
        <v>38537</v>
      </c>
      <c r="E348" s="205"/>
      <c r="F348" s="206"/>
      <c r="G348" s="207" t="e">
        <f>G346+G347</f>
        <v>#REF!</v>
      </c>
      <c r="H348" s="207">
        <f>H346+H347</f>
        <v>7002</v>
      </c>
      <c r="I348" s="205"/>
      <c r="J348" s="208"/>
      <c r="K348" s="207" t="e">
        <f>K346+K347</f>
        <v>#REF!</v>
      </c>
      <c r="M348" s="274"/>
      <c r="N348" s="274"/>
      <c r="O348" s="333"/>
      <c r="P348" s="38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E348" s="42"/>
    </row>
    <row r="349" spans="1:31" ht="16.5" thickTop="1">
      <c r="A349" s="1"/>
      <c r="B349" s="1"/>
      <c r="C349" s="12"/>
      <c r="D349" s="12"/>
      <c r="E349" s="200"/>
      <c r="F349" s="2"/>
      <c r="G349" s="2"/>
      <c r="H349" s="2"/>
      <c r="I349" s="216" t="s">
        <v>13</v>
      </c>
      <c r="J349" s="1"/>
      <c r="K349" s="2" t="s">
        <v>13</v>
      </c>
      <c r="M349" s="11"/>
      <c r="N349" s="11"/>
      <c r="O349" s="38"/>
      <c r="P349" s="38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E349" s="42"/>
    </row>
    <row r="350" spans="1:31">
      <c r="A350" s="1"/>
      <c r="B350" s="1"/>
      <c r="C350" s="12"/>
      <c r="D350" s="12"/>
      <c r="E350" s="200"/>
      <c r="F350" s="2"/>
      <c r="G350" s="2"/>
      <c r="H350" s="2"/>
      <c r="I350" s="216" t="s">
        <v>13</v>
      </c>
      <c r="J350" s="1"/>
      <c r="K350" s="2" t="s">
        <v>13</v>
      </c>
      <c r="M350" s="11"/>
      <c r="N350" s="11"/>
      <c r="O350" s="38"/>
      <c r="P350" s="38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E350" s="42"/>
    </row>
    <row r="351" spans="1:31">
      <c r="A351" s="156" t="s">
        <v>221</v>
      </c>
      <c r="B351" s="1"/>
      <c r="C351" s="1"/>
      <c r="D351" s="1"/>
      <c r="E351" s="2"/>
      <c r="F351" s="2"/>
      <c r="G351" s="1" t="s">
        <v>13</v>
      </c>
      <c r="H351" s="1"/>
      <c r="I351" s="2"/>
      <c r="J351" s="1"/>
      <c r="K351" s="1"/>
      <c r="M351" s="11"/>
      <c r="N351" s="11"/>
      <c r="O351" s="38"/>
      <c r="P351" s="38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E351" s="42"/>
    </row>
    <row r="352" spans="1:31">
      <c r="A352" s="1" t="s">
        <v>214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  <c r="M352" s="11"/>
      <c r="N352" s="11"/>
      <c r="O352" s="38"/>
      <c r="P352" s="38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</row>
    <row r="353" spans="1:29">
      <c r="A353" s="1" t="s">
        <v>222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  <c r="M353" s="11"/>
      <c r="N353" s="11"/>
      <c r="O353" s="38"/>
      <c r="P353" s="38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</row>
    <row r="354" spans="1:29">
      <c r="A354" s="1" t="s">
        <v>197</v>
      </c>
      <c r="B354" s="1"/>
      <c r="C354" s="182"/>
      <c r="D354" s="182"/>
      <c r="E354" s="2"/>
      <c r="F354" s="2"/>
      <c r="G354" s="1"/>
      <c r="H354" s="1"/>
      <c r="I354" s="2"/>
      <c r="J354" s="1"/>
      <c r="K354" s="1"/>
      <c r="M354" s="11"/>
      <c r="N354" s="11"/>
      <c r="O354" s="38"/>
      <c r="P354" s="38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</row>
    <row r="355" spans="1:29">
      <c r="A355" s="1" t="s">
        <v>194</v>
      </c>
      <c r="B355" s="1"/>
      <c r="C355" s="182">
        <f t="shared" ref="C355:D364" si="32">C384+C413</f>
        <v>1</v>
      </c>
      <c r="D355" s="182">
        <f t="shared" si="32"/>
        <v>1</v>
      </c>
      <c r="E355" s="161">
        <f>$E$149</f>
        <v>90.36</v>
      </c>
      <c r="F355" s="184"/>
      <c r="G355" s="2">
        <f t="shared" ref="G355:H357" si="33">G384+G413</f>
        <v>90</v>
      </c>
      <c r="H355" s="2">
        <f t="shared" si="33"/>
        <v>90</v>
      </c>
      <c r="I355" s="161">
        <f>$I$149</f>
        <v>96</v>
      </c>
      <c r="J355" s="186"/>
      <c r="K355" s="2">
        <f>K384+K413</f>
        <v>96</v>
      </c>
      <c r="M355" s="11"/>
      <c r="N355" s="11"/>
      <c r="O355" s="38"/>
      <c r="P355" s="38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</row>
    <row r="356" spans="1:29">
      <c r="A356" s="1" t="s">
        <v>195</v>
      </c>
      <c r="B356" s="1"/>
      <c r="C356" s="182">
        <f t="shared" si="32"/>
        <v>107</v>
      </c>
      <c r="D356" s="182">
        <f t="shared" si="32"/>
        <v>109.09090909090909</v>
      </c>
      <c r="E356" s="161">
        <f>$E$150</f>
        <v>134.16</v>
      </c>
      <c r="F356" s="187"/>
      <c r="G356" s="2">
        <f t="shared" si="33"/>
        <v>14355</v>
      </c>
      <c r="H356" s="2">
        <f t="shared" si="33"/>
        <v>14635</v>
      </c>
      <c r="I356" s="161">
        <f>$I$150</f>
        <v>142.53386454183266</v>
      </c>
      <c r="J356" s="188"/>
      <c r="K356" s="2">
        <f>K385+K414</f>
        <v>15252</v>
      </c>
      <c r="M356" s="11"/>
      <c r="N356" s="11"/>
      <c r="O356" s="38"/>
      <c r="P356" s="38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</row>
    <row r="357" spans="1:29">
      <c r="A357" s="1" t="s">
        <v>196</v>
      </c>
      <c r="B357" s="1"/>
      <c r="C357" s="182">
        <f t="shared" si="32"/>
        <v>4321</v>
      </c>
      <c r="D357" s="182">
        <f t="shared" si="32"/>
        <v>1974</v>
      </c>
      <c r="E357" s="161">
        <f>$E$151</f>
        <v>9.36</v>
      </c>
      <c r="F357" s="187"/>
      <c r="G357" s="2">
        <f t="shared" si="33"/>
        <v>40445</v>
      </c>
      <c r="H357" s="2">
        <f t="shared" si="33"/>
        <v>18476</v>
      </c>
      <c r="I357" s="161">
        <f>$I$151</f>
        <v>9.94</v>
      </c>
      <c r="J357" s="188"/>
      <c r="K357" s="2">
        <f>K386+K415</f>
        <v>42951</v>
      </c>
      <c r="M357" s="11"/>
      <c r="N357" s="11"/>
      <c r="O357" s="38"/>
      <c r="P357" s="38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</row>
    <row r="358" spans="1:29">
      <c r="A358" s="1" t="s">
        <v>198</v>
      </c>
      <c r="B358" s="1"/>
      <c r="C358" s="182">
        <f t="shared" si="32"/>
        <v>108</v>
      </c>
      <c r="D358" s="182">
        <f t="shared" si="32"/>
        <v>109.84090909090909</v>
      </c>
      <c r="E358" s="161"/>
      <c r="F358" s="184"/>
      <c r="G358" s="2"/>
      <c r="H358" s="2"/>
      <c r="I358" s="161"/>
      <c r="J358" s="186"/>
      <c r="K358" s="2"/>
      <c r="M358" s="11"/>
      <c r="N358" s="11"/>
      <c r="O358" s="38"/>
      <c r="P358" s="38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</row>
    <row r="359" spans="1:29">
      <c r="A359" s="1" t="s">
        <v>223</v>
      </c>
      <c r="B359" s="1"/>
      <c r="C359" s="182">
        <f t="shared" si="32"/>
        <v>1258</v>
      </c>
      <c r="D359" s="182">
        <f t="shared" si="32"/>
        <v>1279</v>
      </c>
      <c r="E359" s="161"/>
      <c r="F359" s="184"/>
      <c r="G359" s="2"/>
      <c r="H359" s="2"/>
      <c r="I359" s="161"/>
      <c r="J359" s="186"/>
      <c r="K359" s="2"/>
      <c r="M359" s="11"/>
      <c r="N359" s="11"/>
      <c r="O359" s="38"/>
      <c r="P359" s="38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</row>
    <row r="360" spans="1:29">
      <c r="A360" s="1" t="s">
        <v>199</v>
      </c>
      <c r="B360" s="1"/>
      <c r="C360" s="182">
        <f t="shared" si="32"/>
        <v>11960</v>
      </c>
      <c r="D360" s="182">
        <f t="shared" si="32"/>
        <v>5447</v>
      </c>
      <c r="E360" s="189">
        <f>$E$158</f>
        <v>2.88</v>
      </c>
      <c r="F360" s="186"/>
      <c r="G360" s="2">
        <f t="shared" ref="G360:H364" si="34">G389+G418</f>
        <v>34445</v>
      </c>
      <c r="H360" s="2">
        <f t="shared" si="34"/>
        <v>15687</v>
      </c>
      <c r="I360" s="189">
        <f>$I$158</f>
        <v>2.97</v>
      </c>
      <c r="J360" s="186"/>
      <c r="K360" s="2">
        <f>K389+K418</f>
        <v>35521</v>
      </c>
      <c r="M360" s="11"/>
      <c r="N360" s="11"/>
      <c r="O360" s="38"/>
      <c r="P360" s="38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</row>
    <row r="361" spans="1:29">
      <c r="A361" s="1" t="s">
        <v>201</v>
      </c>
      <c r="B361" s="1"/>
      <c r="C361" s="182">
        <f t="shared" si="32"/>
        <v>212823</v>
      </c>
      <c r="D361" s="182">
        <f t="shared" si="32"/>
        <v>96758</v>
      </c>
      <c r="E361" s="162">
        <f>$E$159</f>
        <v>8.0890000000000004</v>
      </c>
      <c r="F361" s="186" t="s">
        <v>178</v>
      </c>
      <c r="G361" s="2">
        <f t="shared" si="34"/>
        <v>17216</v>
      </c>
      <c r="H361" s="2">
        <f t="shared" si="34"/>
        <v>7826</v>
      </c>
      <c r="I361" s="162">
        <f>$I$159</f>
        <v>8.8109999999999999</v>
      </c>
      <c r="J361" s="186" t="s">
        <v>178</v>
      </c>
      <c r="K361" s="2">
        <f>K390+K419</f>
        <v>18752</v>
      </c>
      <c r="M361" s="11"/>
      <c r="N361" s="11"/>
      <c r="O361" s="38"/>
      <c r="P361" s="38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</row>
    <row r="362" spans="1:29">
      <c r="A362" s="1" t="s">
        <v>202</v>
      </c>
      <c r="B362" s="1"/>
      <c r="C362" s="182">
        <f t="shared" si="32"/>
        <v>426085</v>
      </c>
      <c r="D362" s="182">
        <f t="shared" si="32"/>
        <v>194138</v>
      </c>
      <c r="E362" s="162">
        <f>$E$189</f>
        <v>5.5839999999999996</v>
      </c>
      <c r="F362" s="186" t="s">
        <v>178</v>
      </c>
      <c r="G362" s="2">
        <f t="shared" si="34"/>
        <v>23793</v>
      </c>
      <c r="H362" s="2">
        <f t="shared" si="34"/>
        <v>10841</v>
      </c>
      <c r="I362" s="162">
        <f>$I$160</f>
        <v>6.0819999999999999</v>
      </c>
      <c r="J362" s="186" t="s">
        <v>178</v>
      </c>
      <c r="K362" s="2">
        <f>K391+K420</f>
        <v>25915</v>
      </c>
      <c r="M362" s="11"/>
      <c r="N362" s="11"/>
      <c r="O362" s="38"/>
      <c r="P362" s="38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</row>
    <row r="363" spans="1:29">
      <c r="A363" s="1" t="s">
        <v>203</v>
      </c>
      <c r="B363" s="1"/>
      <c r="C363" s="182">
        <f t="shared" si="32"/>
        <v>20189</v>
      </c>
      <c r="D363" s="182">
        <f t="shared" si="32"/>
        <v>9223</v>
      </c>
      <c r="E363" s="162">
        <f>$E$161</f>
        <v>4.8099999999999996</v>
      </c>
      <c r="F363" s="186" t="s">
        <v>178</v>
      </c>
      <c r="G363" s="2">
        <f t="shared" si="34"/>
        <v>971</v>
      </c>
      <c r="H363" s="2">
        <f t="shared" si="34"/>
        <v>444</v>
      </c>
      <c r="I363" s="162">
        <f>$I$161</f>
        <v>5.24</v>
      </c>
      <c r="J363" s="186" t="s">
        <v>178</v>
      </c>
      <c r="K363" s="2">
        <f>K392+K421</f>
        <v>1058</v>
      </c>
      <c r="M363" s="11"/>
      <c r="N363" s="11"/>
      <c r="O363" s="38"/>
      <c r="P363" s="38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</row>
    <row r="364" spans="1:29">
      <c r="A364" s="1" t="s">
        <v>204</v>
      </c>
      <c r="B364" s="1"/>
      <c r="C364" s="182">
        <f t="shared" si="32"/>
        <v>1540</v>
      </c>
      <c r="D364" s="182">
        <f t="shared" si="32"/>
        <v>704</v>
      </c>
      <c r="E364" s="193">
        <f>$E$162</f>
        <v>45</v>
      </c>
      <c r="F364" s="184" t="s">
        <v>178</v>
      </c>
      <c r="G364" s="2">
        <f t="shared" si="34"/>
        <v>693</v>
      </c>
      <c r="H364" s="2">
        <f t="shared" si="34"/>
        <v>317</v>
      </c>
      <c r="I364" s="193">
        <f>$I$162</f>
        <v>50</v>
      </c>
      <c r="J364" s="186" t="s">
        <v>178</v>
      </c>
      <c r="K364" s="2">
        <f>K393+K422</f>
        <v>770</v>
      </c>
      <c r="M364" s="11"/>
      <c r="N364" s="11"/>
      <c r="O364" s="38"/>
      <c r="P364" s="38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</row>
    <row r="365" spans="1:29">
      <c r="A365" s="194" t="s">
        <v>205</v>
      </c>
      <c r="B365" s="1"/>
      <c r="C365" s="182"/>
      <c r="D365" s="182"/>
      <c r="E365" s="195">
        <v>-0.01</v>
      </c>
      <c r="F365" s="184"/>
      <c r="G365" s="2"/>
      <c r="H365" s="2"/>
      <c r="I365" s="195">
        <v>-0.01</v>
      </c>
      <c r="J365" s="186"/>
      <c r="K365" s="2"/>
      <c r="M365" s="11"/>
      <c r="N365" s="11"/>
      <c r="O365" s="38"/>
      <c r="P365" s="38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</row>
    <row r="366" spans="1:29">
      <c r="A366" s="1" t="s">
        <v>194</v>
      </c>
      <c r="B366" s="1"/>
      <c r="C366" s="182">
        <v>0</v>
      </c>
      <c r="D366" s="182">
        <v>0</v>
      </c>
      <c r="E366" s="197">
        <f>E355</f>
        <v>90.36</v>
      </c>
      <c r="F366" s="184"/>
      <c r="G366" s="2">
        <f t="shared" ref="G366:H377" si="35">G395+G424</f>
        <v>0</v>
      </c>
      <c r="H366" s="2">
        <f t="shared" si="35"/>
        <v>0</v>
      </c>
      <c r="I366" s="197">
        <f>I355</f>
        <v>96</v>
      </c>
      <c r="J366" s="184"/>
      <c r="K366" s="2">
        <f t="shared" ref="K366:K376" si="36">K395+K424</f>
        <v>0</v>
      </c>
      <c r="M366" s="11"/>
      <c r="N366" s="11"/>
      <c r="O366" s="38"/>
      <c r="P366" s="38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</row>
    <row r="367" spans="1:29">
      <c r="A367" s="1" t="s">
        <v>195</v>
      </c>
      <c r="B367" s="1"/>
      <c r="C367" s="182">
        <v>0</v>
      </c>
      <c r="D367" s="182">
        <v>0</v>
      </c>
      <c r="E367" s="197">
        <f>E356</f>
        <v>134.16</v>
      </c>
      <c r="F367" s="184"/>
      <c r="G367" s="2">
        <f t="shared" si="35"/>
        <v>0</v>
      </c>
      <c r="H367" s="2">
        <f t="shared" si="35"/>
        <v>0</v>
      </c>
      <c r="I367" s="197">
        <f>I356</f>
        <v>142.53386454183266</v>
      </c>
      <c r="J367" s="184"/>
      <c r="K367" s="2">
        <f t="shared" si="36"/>
        <v>0</v>
      </c>
      <c r="M367" s="11"/>
      <c r="N367" s="11"/>
      <c r="O367" s="38"/>
      <c r="P367" s="38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</row>
    <row r="368" spans="1:29">
      <c r="A368" s="1" t="s">
        <v>206</v>
      </c>
      <c r="B368" s="1"/>
      <c r="C368" s="182">
        <v>0</v>
      </c>
      <c r="D368" s="182">
        <v>0</v>
      </c>
      <c r="E368" s="197">
        <f>E357</f>
        <v>9.36</v>
      </c>
      <c r="F368" s="184"/>
      <c r="G368" s="2">
        <f t="shared" si="35"/>
        <v>0</v>
      </c>
      <c r="H368" s="2">
        <f t="shared" si="35"/>
        <v>0</v>
      </c>
      <c r="I368" s="197">
        <f>I357</f>
        <v>9.94</v>
      </c>
      <c r="J368" s="184"/>
      <c r="K368" s="2">
        <f t="shared" si="36"/>
        <v>0</v>
      </c>
      <c r="M368" s="11"/>
      <c r="N368" s="11"/>
      <c r="O368" s="38"/>
      <c r="P368" s="38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</row>
    <row r="369" spans="1:29">
      <c r="A369" s="1" t="s">
        <v>207</v>
      </c>
      <c r="B369" s="1"/>
      <c r="C369" s="182">
        <v>0</v>
      </c>
      <c r="D369" s="182">
        <v>0</v>
      </c>
      <c r="E369" s="197">
        <f>E360</f>
        <v>2.88</v>
      </c>
      <c r="F369" s="186"/>
      <c r="G369" s="2">
        <f t="shared" si="35"/>
        <v>0</v>
      </c>
      <c r="H369" s="2">
        <f t="shared" si="35"/>
        <v>0</v>
      </c>
      <c r="I369" s="197">
        <f>I360</f>
        <v>2.97</v>
      </c>
      <c r="J369" s="186"/>
      <c r="K369" s="2">
        <f t="shared" si="36"/>
        <v>0</v>
      </c>
      <c r="M369" s="11"/>
      <c r="N369" s="11"/>
      <c r="O369" s="38"/>
      <c r="P369" s="38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</row>
    <row r="370" spans="1:29">
      <c r="A370" s="1" t="s">
        <v>209</v>
      </c>
      <c r="B370" s="1"/>
      <c r="C370" s="182">
        <v>0</v>
      </c>
      <c r="D370" s="182">
        <v>0</v>
      </c>
      <c r="E370" s="198">
        <f>E361</f>
        <v>8.0890000000000004</v>
      </c>
      <c r="F370" s="186" t="s">
        <v>178</v>
      </c>
      <c r="G370" s="2">
        <f t="shared" si="35"/>
        <v>0</v>
      </c>
      <c r="H370" s="2">
        <f t="shared" si="35"/>
        <v>0</v>
      </c>
      <c r="I370" s="198">
        <f>I361</f>
        <v>8.8109999999999999</v>
      </c>
      <c r="J370" s="186" t="s">
        <v>178</v>
      </c>
      <c r="K370" s="2">
        <f t="shared" si="36"/>
        <v>0</v>
      </c>
      <c r="M370" s="11"/>
      <c r="N370" s="11"/>
      <c r="O370" s="38"/>
      <c r="P370" s="38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</row>
    <row r="371" spans="1:29">
      <c r="A371" s="1" t="s">
        <v>202</v>
      </c>
      <c r="B371" s="1"/>
      <c r="C371" s="182">
        <v>0</v>
      </c>
      <c r="D371" s="182">
        <v>0</v>
      </c>
      <c r="E371" s="198">
        <f>E362</f>
        <v>5.5839999999999996</v>
      </c>
      <c r="F371" s="186" t="s">
        <v>178</v>
      </c>
      <c r="G371" s="2">
        <f t="shared" si="35"/>
        <v>0</v>
      </c>
      <c r="H371" s="2">
        <f t="shared" si="35"/>
        <v>0</v>
      </c>
      <c r="I371" s="198">
        <f>I362</f>
        <v>6.0819999999999999</v>
      </c>
      <c r="J371" s="186" t="s">
        <v>178</v>
      </c>
      <c r="K371" s="2">
        <f t="shared" si="36"/>
        <v>0</v>
      </c>
      <c r="M371" s="11"/>
      <c r="N371" s="11"/>
      <c r="O371" s="38"/>
      <c r="P371" s="38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</row>
    <row r="372" spans="1:29">
      <c r="A372" s="1" t="s">
        <v>203</v>
      </c>
      <c r="B372" s="1"/>
      <c r="C372" s="182">
        <v>0</v>
      </c>
      <c r="D372" s="182">
        <v>0</v>
      </c>
      <c r="E372" s="198">
        <f>E363</f>
        <v>4.8099999999999996</v>
      </c>
      <c r="F372" s="186" t="s">
        <v>178</v>
      </c>
      <c r="G372" s="2">
        <f t="shared" si="35"/>
        <v>0</v>
      </c>
      <c r="H372" s="2">
        <f t="shared" si="35"/>
        <v>0</v>
      </c>
      <c r="I372" s="198">
        <f>I363</f>
        <v>5.24</v>
      </c>
      <c r="J372" s="186" t="s">
        <v>178</v>
      </c>
      <c r="K372" s="2">
        <f t="shared" si="36"/>
        <v>0</v>
      </c>
      <c r="M372" s="11"/>
      <c r="N372" s="11"/>
      <c r="O372" s="38"/>
      <c r="P372" s="38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</row>
    <row r="373" spans="1:29">
      <c r="A373" s="1" t="s">
        <v>204</v>
      </c>
      <c r="B373" s="1"/>
      <c r="C373" s="182">
        <v>0</v>
      </c>
      <c r="D373" s="182">
        <v>0</v>
      </c>
      <c r="E373" s="199">
        <f>E364</f>
        <v>45</v>
      </c>
      <c r="F373" s="186" t="s">
        <v>178</v>
      </c>
      <c r="G373" s="2">
        <f t="shared" si="35"/>
        <v>0</v>
      </c>
      <c r="H373" s="2">
        <f t="shared" si="35"/>
        <v>0</v>
      </c>
      <c r="I373" s="199">
        <f>I364</f>
        <v>50</v>
      </c>
      <c r="J373" s="186" t="s">
        <v>178</v>
      </c>
      <c r="K373" s="2">
        <f t="shared" si="36"/>
        <v>0</v>
      </c>
      <c r="M373" s="11"/>
      <c r="N373" s="11"/>
      <c r="O373" s="38"/>
      <c r="P373" s="38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</row>
    <row r="374" spans="1:29">
      <c r="A374" s="1" t="s">
        <v>211</v>
      </c>
      <c r="B374" s="1"/>
      <c r="C374" s="182">
        <v>0</v>
      </c>
      <c r="D374" s="182">
        <v>0</v>
      </c>
      <c r="E374" s="200">
        <f>$E$172</f>
        <v>60</v>
      </c>
      <c r="F374" s="184"/>
      <c r="G374" s="2">
        <f t="shared" si="35"/>
        <v>0</v>
      </c>
      <c r="H374" s="2">
        <f t="shared" si="35"/>
        <v>0</v>
      </c>
      <c r="I374" s="200">
        <f>$I$172</f>
        <v>60</v>
      </c>
      <c r="J374" s="186"/>
      <c r="K374" s="2">
        <f t="shared" si="36"/>
        <v>0</v>
      </c>
      <c r="M374" s="11"/>
      <c r="N374" s="11"/>
      <c r="O374" s="38"/>
      <c r="P374" s="38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</row>
    <row r="375" spans="1:29">
      <c r="A375" s="1" t="s">
        <v>212</v>
      </c>
      <c r="B375" s="1"/>
      <c r="C375" s="182">
        <v>0</v>
      </c>
      <c r="D375" s="182">
        <v>0</v>
      </c>
      <c r="E375" s="202">
        <f>$E$173</f>
        <v>-30</v>
      </c>
      <c r="F375" s="184" t="s">
        <v>178</v>
      </c>
      <c r="G375" s="2">
        <f t="shared" si="35"/>
        <v>0</v>
      </c>
      <c r="H375" s="2">
        <f t="shared" si="35"/>
        <v>0</v>
      </c>
      <c r="I375" s="202">
        <f>$I$173</f>
        <v>-30</v>
      </c>
      <c r="J375" s="186" t="s">
        <v>178</v>
      </c>
      <c r="K375" s="2">
        <f t="shared" si="36"/>
        <v>0</v>
      </c>
      <c r="M375" s="11"/>
      <c r="N375" s="11"/>
      <c r="O375" s="38"/>
      <c r="P375" s="38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</row>
    <row r="376" spans="1:29">
      <c r="A376" s="1" t="s">
        <v>185</v>
      </c>
      <c r="B376" s="1"/>
      <c r="C376" s="182">
        <f>C405+C434</f>
        <v>659097</v>
      </c>
      <c r="D376" s="182">
        <f>D405+D434</f>
        <v>300118.64975971833</v>
      </c>
      <c r="E376" s="193"/>
      <c r="F376" s="2"/>
      <c r="G376" s="2">
        <f t="shared" si="35"/>
        <v>132008</v>
      </c>
      <c r="H376" s="2">
        <f t="shared" si="35"/>
        <v>68316</v>
      </c>
      <c r="I376" s="2"/>
      <c r="J376" s="186"/>
      <c r="K376" s="2">
        <f t="shared" si="36"/>
        <v>140315</v>
      </c>
      <c r="M376" s="11"/>
      <c r="N376" s="11"/>
      <c r="O376" s="38"/>
      <c r="P376" s="38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</row>
    <row r="377" spans="1:29">
      <c r="A377" s="1" t="s">
        <v>167</v>
      </c>
      <c r="B377" s="1"/>
      <c r="C377" s="203" t="e">
        <f>C406+C435</f>
        <v>#REF!</v>
      </c>
      <c r="D377" s="203">
        <f>D406+D435</f>
        <v>0</v>
      </c>
      <c r="E377" s="172"/>
      <c r="F377" s="172"/>
      <c r="G377" s="204" t="e">
        <f t="shared" si="35"/>
        <v>#REF!</v>
      </c>
      <c r="H377" s="204">
        <f t="shared" si="35"/>
        <v>0</v>
      </c>
      <c r="I377" s="172"/>
      <c r="J377" s="172"/>
      <c r="K377" s="204" t="e">
        <f>G377</f>
        <v>#REF!</v>
      </c>
      <c r="M377" s="307"/>
      <c r="N377" s="307"/>
      <c r="O377" s="150"/>
      <c r="P377" s="38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</row>
    <row r="378" spans="1:29" ht="16.5" thickBot="1">
      <c r="A378" s="1" t="s">
        <v>186</v>
      </c>
      <c r="B378" s="1"/>
      <c r="C378" s="174" t="e">
        <f>SUM(C376:C377)</f>
        <v>#REF!</v>
      </c>
      <c r="D378" s="174">
        <f>SUM(D376:D377)</f>
        <v>300118.64975971833</v>
      </c>
      <c r="E378" s="205"/>
      <c r="F378" s="206"/>
      <c r="G378" s="207" t="e">
        <f>G376+G377</f>
        <v>#REF!</v>
      </c>
      <c r="H378" s="207">
        <f>H376+H377</f>
        <v>68316</v>
      </c>
      <c r="I378" s="205"/>
      <c r="J378" s="208"/>
      <c r="K378" s="207" t="e">
        <f>K376+K377</f>
        <v>#REF!</v>
      </c>
      <c r="M378" s="274"/>
      <c r="N378" s="274"/>
      <c r="O378" s="333"/>
      <c r="P378" s="38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</row>
    <row r="379" spans="1:29" ht="16.5" thickTop="1">
      <c r="A379" s="1"/>
      <c r="B379" s="1"/>
      <c r="C379" s="12"/>
      <c r="D379" s="12"/>
      <c r="E379" s="200"/>
      <c r="F379" s="2"/>
      <c r="G379" s="2"/>
      <c r="H379" s="2"/>
      <c r="I379" s="216" t="s">
        <v>13</v>
      </c>
      <c r="J379" s="1"/>
      <c r="K379" s="2" t="s">
        <v>13</v>
      </c>
      <c r="M379" s="11"/>
      <c r="N379" s="11"/>
      <c r="O379" s="38"/>
      <c r="P379" s="38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</row>
    <row r="380" spans="1:29">
      <c r="A380" s="156" t="s">
        <v>221</v>
      </c>
      <c r="B380" s="1"/>
      <c r="C380" s="1"/>
      <c r="D380" s="1"/>
      <c r="E380" s="2"/>
      <c r="F380" s="2"/>
      <c r="G380" s="1" t="s">
        <v>13</v>
      </c>
      <c r="H380" s="1"/>
      <c r="I380" s="2"/>
      <c r="J380" s="1"/>
      <c r="K380" s="1"/>
      <c r="M380" s="11"/>
      <c r="N380" s="11"/>
      <c r="O380" s="38"/>
      <c r="P380" s="38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</row>
    <row r="381" spans="1:29">
      <c r="A381" s="1" t="s">
        <v>215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  <c r="M381" s="11"/>
      <c r="N381" s="11"/>
      <c r="O381" s="38"/>
      <c r="P381" s="38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</row>
    <row r="382" spans="1:29">
      <c r="A382" s="1" t="s">
        <v>222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  <c r="M382" s="11"/>
      <c r="N382" s="11"/>
      <c r="O382" s="38"/>
      <c r="P382" s="38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</row>
    <row r="383" spans="1:29">
      <c r="A383" s="1" t="s">
        <v>197</v>
      </c>
      <c r="B383" s="1"/>
      <c r="C383" s="182"/>
      <c r="D383" s="182"/>
      <c r="E383" s="2"/>
      <c r="F383" s="2"/>
      <c r="G383" s="1"/>
      <c r="H383" s="1"/>
      <c r="I383" s="2"/>
      <c r="J383" s="1"/>
      <c r="K383" s="1"/>
      <c r="M383" s="11"/>
      <c r="N383" s="11"/>
      <c r="O383" s="38"/>
      <c r="P383" s="38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</row>
    <row r="384" spans="1:29">
      <c r="A384" s="1" t="s">
        <v>194</v>
      </c>
      <c r="B384" s="1"/>
      <c r="C384" s="182">
        <v>1</v>
      </c>
      <c r="D384" s="182">
        <f>ROUND(($D$387/$C$387)*C384,0)</f>
        <v>1</v>
      </c>
      <c r="E384" s="161">
        <f>$E$149</f>
        <v>90.36</v>
      </c>
      <c r="F384" s="184"/>
      <c r="G384" s="2">
        <f>ROUND(E384*$C384,0)</f>
        <v>90</v>
      </c>
      <c r="H384" s="2">
        <f>ROUND(E384*$D384,0)</f>
        <v>90</v>
      </c>
      <c r="I384" s="161">
        <f>$I$149</f>
        <v>96</v>
      </c>
      <c r="J384" s="186"/>
      <c r="K384" s="2">
        <f>ROUND(I384*$C384,0)</f>
        <v>96</v>
      </c>
      <c r="M384" s="11"/>
      <c r="N384" s="11"/>
      <c r="O384" s="38"/>
      <c r="P384" s="38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</row>
    <row r="385" spans="1:29">
      <c r="A385" s="1" t="s">
        <v>195</v>
      </c>
      <c r="B385" s="1"/>
      <c r="C385" s="182">
        <v>106</v>
      </c>
      <c r="D385" s="182">
        <f>ROUND(($D$387/$C$387)*C385,0)</f>
        <v>108</v>
      </c>
      <c r="E385" s="161">
        <f>$E$150</f>
        <v>134.16</v>
      </c>
      <c r="F385" s="187"/>
      <c r="G385" s="2">
        <f>ROUND(E385*$C385,0)</f>
        <v>14221</v>
      </c>
      <c r="H385" s="2">
        <f>ROUND(E385*$D385,0)</f>
        <v>14489</v>
      </c>
      <c r="I385" s="161">
        <f>$I$150</f>
        <v>142.53386454183266</v>
      </c>
      <c r="J385" s="188"/>
      <c r="K385" s="2">
        <f>ROUND(I385*$C385,0)</f>
        <v>15109</v>
      </c>
      <c r="M385" s="11"/>
      <c r="N385" s="11"/>
      <c r="O385" s="38"/>
      <c r="P385" s="38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</row>
    <row r="386" spans="1:29">
      <c r="A386" s="1" t="s">
        <v>196</v>
      </c>
      <c r="B386" s="1"/>
      <c r="C386" s="182">
        <v>4246</v>
      </c>
      <c r="D386" s="182">
        <f>ROUND(($D$405/$C$405)*C386,0)</f>
        <v>1940</v>
      </c>
      <c r="E386" s="161">
        <f>$E$151</f>
        <v>9.36</v>
      </c>
      <c r="F386" s="187"/>
      <c r="G386" s="2">
        <f>ROUND(E386*$C386,0)</f>
        <v>39743</v>
      </c>
      <c r="H386" s="2">
        <f>ROUND(E386*$D386,0)</f>
        <v>18158</v>
      </c>
      <c r="I386" s="161">
        <f>$I$151</f>
        <v>9.94</v>
      </c>
      <c r="J386" s="188"/>
      <c r="K386" s="2">
        <f>ROUND(I386*$C386,0)</f>
        <v>42205</v>
      </c>
      <c r="M386" s="11"/>
      <c r="N386" s="11"/>
      <c r="O386" s="38"/>
      <c r="P386" s="38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</row>
    <row r="387" spans="1:29">
      <c r="A387" s="1" t="s">
        <v>198</v>
      </c>
      <c r="B387" s="1"/>
      <c r="C387" s="182">
        <f>SUM(C384:C385)</f>
        <v>107</v>
      </c>
      <c r="D387" s="182">
        <v>108.75</v>
      </c>
      <c r="E387" s="161"/>
      <c r="F387" s="184"/>
      <c r="G387" s="2"/>
      <c r="H387" s="2"/>
      <c r="I387" s="161"/>
      <c r="J387" s="186"/>
      <c r="K387" s="2"/>
      <c r="M387" s="11"/>
      <c r="N387" s="11"/>
      <c r="O387" s="38"/>
      <c r="P387" s="38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</row>
    <row r="388" spans="1:29">
      <c r="A388" s="1" t="s">
        <v>223</v>
      </c>
      <c r="B388" s="1"/>
      <c r="C388" s="182">
        <f>11+1236</f>
        <v>1247</v>
      </c>
      <c r="D388" s="182">
        <f>ROUND(($D$387/$C$387)*C388,0)</f>
        <v>1267</v>
      </c>
      <c r="E388" s="161"/>
      <c r="F388" s="184"/>
      <c r="G388" s="2"/>
      <c r="H388" s="2"/>
      <c r="I388" s="161"/>
      <c r="J388" s="186"/>
      <c r="K388" s="2"/>
      <c r="M388" s="11"/>
      <c r="N388" s="11"/>
      <c r="O388" s="38"/>
      <c r="P388" s="38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</row>
    <row r="389" spans="1:29">
      <c r="A389" s="1" t="s">
        <v>199</v>
      </c>
      <c r="B389" s="1"/>
      <c r="C389" s="182">
        <v>11707</v>
      </c>
      <c r="D389" s="182">
        <f>ROUND(($D$405/$C$405)*C389,0)</f>
        <v>5348</v>
      </c>
      <c r="E389" s="189">
        <f>$E$158</f>
        <v>2.88</v>
      </c>
      <c r="F389" s="186"/>
      <c r="G389" s="2">
        <f>ROUND(E389*$C389,0)</f>
        <v>33716</v>
      </c>
      <c r="H389" s="2">
        <f>ROUND(E389*$D389,0)</f>
        <v>15402</v>
      </c>
      <c r="I389" s="189">
        <f>$I$158</f>
        <v>2.97</v>
      </c>
      <c r="J389" s="186"/>
      <c r="K389" s="2">
        <f>ROUND(I389*$C389,0)</f>
        <v>34770</v>
      </c>
      <c r="M389" s="11"/>
      <c r="N389" s="11"/>
      <c r="O389" s="38"/>
      <c r="P389" s="38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</row>
    <row r="390" spans="1:29">
      <c r="A390" s="1" t="s">
        <v>201</v>
      </c>
      <c r="B390" s="1"/>
      <c r="C390" s="182">
        <f>4783+201108</f>
        <v>205891</v>
      </c>
      <c r="D390" s="182">
        <f>ROUND(($D$405/$C$405)*C390,0)</f>
        <v>94057</v>
      </c>
      <c r="E390" s="162">
        <f>$E$159</f>
        <v>8.0890000000000004</v>
      </c>
      <c r="F390" s="186" t="s">
        <v>178</v>
      </c>
      <c r="G390" s="2">
        <f>ROUND(E390*$C390/100,0)</f>
        <v>16655</v>
      </c>
      <c r="H390" s="2">
        <f>ROUND(E390*$D390/100,0)</f>
        <v>7608</v>
      </c>
      <c r="I390" s="162">
        <f>$I$159</f>
        <v>8.8109999999999999</v>
      </c>
      <c r="J390" s="186" t="s">
        <v>178</v>
      </c>
      <c r="K390" s="2">
        <f>ROUND(I390*$C390/100,0)</f>
        <v>18141</v>
      </c>
      <c r="M390" s="11"/>
      <c r="N390" s="11"/>
      <c r="O390" s="38"/>
      <c r="P390" s="38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</row>
    <row r="391" spans="1:29">
      <c r="A391" s="1" t="s">
        <v>202</v>
      </c>
      <c r="B391" s="1"/>
      <c r="C391" s="182">
        <f>417691+806</f>
        <v>418497</v>
      </c>
      <c r="D391" s="182">
        <f>ROUND(($D$405/$C$405)*C391,0)</f>
        <v>191182</v>
      </c>
      <c r="E391" s="162">
        <f>$E$189</f>
        <v>5.5839999999999996</v>
      </c>
      <c r="F391" s="186" t="s">
        <v>178</v>
      </c>
      <c r="G391" s="2">
        <f>ROUND(E391*$C391/100,0)</f>
        <v>23369</v>
      </c>
      <c r="H391" s="2">
        <f>ROUND(E391*$D391/100,0)</f>
        <v>10676</v>
      </c>
      <c r="I391" s="162">
        <f>$I$160</f>
        <v>6.0819999999999999</v>
      </c>
      <c r="J391" s="186" t="s">
        <v>178</v>
      </c>
      <c r="K391" s="2">
        <f>ROUND(I391*$C391/100,0)</f>
        <v>25453</v>
      </c>
      <c r="M391" s="11"/>
      <c r="N391" s="11"/>
      <c r="O391" s="38"/>
      <c r="P391" s="38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</row>
    <row r="392" spans="1:29">
      <c r="A392" s="1" t="s">
        <v>203</v>
      </c>
      <c r="B392" s="1"/>
      <c r="C392" s="182">
        <v>20189</v>
      </c>
      <c r="D392" s="182">
        <f>ROUND(($D$405/$C$405)*C392,0)</f>
        <v>9223</v>
      </c>
      <c r="E392" s="162">
        <f>$E$161</f>
        <v>4.8099999999999996</v>
      </c>
      <c r="F392" s="186" t="s">
        <v>178</v>
      </c>
      <c r="G392" s="2">
        <f>ROUND(E392*$C392/100,0)</f>
        <v>971</v>
      </c>
      <c r="H392" s="2">
        <f>ROUND(E392*$D392/100,0)</f>
        <v>444</v>
      </c>
      <c r="I392" s="162">
        <f>$I$161</f>
        <v>5.24</v>
      </c>
      <c r="J392" s="186" t="s">
        <v>178</v>
      </c>
      <c r="K392" s="2">
        <f>ROUND(I392*$C392/100,0)</f>
        <v>1058</v>
      </c>
      <c r="M392" s="11"/>
      <c r="N392" s="11"/>
      <c r="O392" s="38"/>
      <c r="P392" s="38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</row>
    <row r="393" spans="1:29">
      <c r="A393" s="1" t="s">
        <v>204</v>
      </c>
      <c r="B393" s="1"/>
      <c r="C393" s="182">
        <v>1540</v>
      </c>
      <c r="D393" s="182">
        <f>ROUND(($D$405/$C$405)*C393,0)</f>
        <v>704</v>
      </c>
      <c r="E393" s="193">
        <f>$E$162</f>
        <v>45</v>
      </c>
      <c r="F393" s="184" t="s">
        <v>178</v>
      </c>
      <c r="G393" s="2">
        <f>ROUND(E393*$C393/100,0)</f>
        <v>693</v>
      </c>
      <c r="H393" s="2">
        <f>ROUND(E393*$D393/100,0)</f>
        <v>317</v>
      </c>
      <c r="I393" s="193">
        <f>$I$162</f>
        <v>50</v>
      </c>
      <c r="J393" s="186" t="s">
        <v>178</v>
      </c>
      <c r="K393" s="2">
        <f>ROUND(I393*$C393/100,0)</f>
        <v>770</v>
      </c>
      <c r="M393" s="11"/>
      <c r="N393" s="11"/>
      <c r="O393" s="38"/>
      <c r="P393" s="38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</row>
    <row r="394" spans="1:29">
      <c r="A394" s="194" t="s">
        <v>205</v>
      </c>
      <c r="B394" s="1"/>
      <c r="C394" s="182"/>
      <c r="D394" s="182"/>
      <c r="E394" s="195">
        <v>-0.01</v>
      </c>
      <c r="F394" s="184"/>
      <c r="G394" s="2"/>
      <c r="H394" s="2"/>
      <c r="I394" s="195">
        <v>-0.01</v>
      </c>
      <c r="J394" s="186"/>
      <c r="K394" s="2"/>
      <c r="M394" s="11"/>
      <c r="N394" s="11"/>
      <c r="O394" s="38"/>
      <c r="P394" s="38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</row>
    <row r="395" spans="1:29">
      <c r="A395" s="1" t="s">
        <v>194</v>
      </c>
      <c r="B395" s="1"/>
      <c r="C395" s="182">
        <v>0</v>
      </c>
      <c r="D395" s="182">
        <f>ROUND(($D$387/$C$387)*C395,0)</f>
        <v>0</v>
      </c>
      <c r="E395" s="197">
        <f>E384</f>
        <v>90.36</v>
      </c>
      <c r="F395" s="184"/>
      <c r="G395" s="2">
        <f>-ROUND(E395*$C395/100,0)</f>
        <v>0</v>
      </c>
      <c r="H395" s="2">
        <f>-ROUND(E395*$D395/100,0)</f>
        <v>0</v>
      </c>
      <c r="I395" s="197">
        <f>I384</f>
        <v>96</v>
      </c>
      <c r="J395" s="184"/>
      <c r="K395" s="2">
        <f>-ROUND(I395*$C395/100,0)</f>
        <v>0</v>
      </c>
      <c r="M395" s="11"/>
      <c r="N395" s="11"/>
      <c r="O395" s="38"/>
      <c r="P395" s="38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</row>
    <row r="396" spans="1:29">
      <c r="A396" s="1" t="s">
        <v>195</v>
      </c>
      <c r="B396" s="1"/>
      <c r="C396" s="182">
        <v>0</v>
      </c>
      <c r="D396" s="182">
        <f>ROUND(($D$387/$C$387)*C396,0)</f>
        <v>0</v>
      </c>
      <c r="E396" s="197">
        <f>E385</f>
        <v>134.16</v>
      </c>
      <c r="F396" s="184"/>
      <c r="G396" s="2">
        <f>-ROUND(E396*$C396/100,0)</f>
        <v>0</v>
      </c>
      <c r="H396" s="2">
        <f>-ROUND(E396*$D396/100,0)</f>
        <v>0</v>
      </c>
      <c r="I396" s="197">
        <f>I385</f>
        <v>142.53386454183266</v>
      </c>
      <c r="J396" s="184"/>
      <c r="K396" s="2">
        <f>-ROUND(I396*$C396/100,0)</f>
        <v>0</v>
      </c>
      <c r="M396" s="11"/>
      <c r="N396" s="11"/>
      <c r="O396" s="38"/>
      <c r="P396" s="38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</row>
    <row r="397" spans="1:29">
      <c r="A397" s="1" t="s">
        <v>206</v>
      </c>
      <c r="B397" s="1"/>
      <c r="C397" s="182">
        <v>0</v>
      </c>
      <c r="D397" s="182">
        <f t="shared" ref="D397:D402" si="37">ROUND(($D$405/$C$405)*C397,0)</f>
        <v>0</v>
      </c>
      <c r="E397" s="197">
        <f>E386</f>
        <v>9.36</v>
      </c>
      <c r="F397" s="184"/>
      <c r="G397" s="2">
        <f>-ROUND(E397*$C397/100,0)</f>
        <v>0</v>
      </c>
      <c r="H397" s="2">
        <f>-ROUND(E397*$D397/100,0)</f>
        <v>0</v>
      </c>
      <c r="I397" s="197">
        <f>I386</f>
        <v>9.94</v>
      </c>
      <c r="J397" s="184"/>
      <c r="K397" s="2">
        <f>-ROUND(I397*$C397/100,0)</f>
        <v>0</v>
      </c>
      <c r="M397" s="11"/>
      <c r="N397" s="11"/>
      <c r="O397" s="38"/>
      <c r="P397" s="38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</row>
    <row r="398" spans="1:29">
      <c r="A398" s="1" t="s">
        <v>207</v>
      </c>
      <c r="B398" s="1"/>
      <c r="C398" s="182">
        <v>0</v>
      </c>
      <c r="D398" s="182">
        <f t="shared" si="37"/>
        <v>0</v>
      </c>
      <c r="E398" s="197">
        <f>E389</f>
        <v>2.88</v>
      </c>
      <c r="F398" s="186"/>
      <c r="G398" s="2">
        <f>-ROUND(E398*$C398/100,0)</f>
        <v>0</v>
      </c>
      <c r="H398" s="2">
        <f>-ROUND(E398*$D398/100,0)</f>
        <v>0</v>
      </c>
      <c r="I398" s="197">
        <f>I389</f>
        <v>2.97</v>
      </c>
      <c r="J398" s="186"/>
      <c r="K398" s="2">
        <f>-ROUND(I398*$C398/100,0)</f>
        <v>0</v>
      </c>
      <c r="M398" s="11"/>
      <c r="N398" s="11"/>
      <c r="O398" s="38"/>
      <c r="P398" s="38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</row>
    <row r="399" spans="1:29">
      <c r="A399" s="1" t="s">
        <v>209</v>
      </c>
      <c r="B399" s="1"/>
      <c r="C399" s="182">
        <v>0</v>
      </c>
      <c r="D399" s="182">
        <f t="shared" si="37"/>
        <v>0</v>
      </c>
      <c r="E399" s="198">
        <f>E390</f>
        <v>8.0890000000000004</v>
      </c>
      <c r="F399" s="186" t="s">
        <v>178</v>
      </c>
      <c r="G399" s="2">
        <f>ROUND(E399*$C399/100*E394,0)</f>
        <v>0</v>
      </c>
      <c r="H399" s="2">
        <f>ROUND(E399*$D399/100*E394,0)</f>
        <v>0</v>
      </c>
      <c r="I399" s="198">
        <f>I390</f>
        <v>8.8109999999999999</v>
      </c>
      <c r="J399" s="186" t="s">
        <v>178</v>
      </c>
      <c r="K399" s="2">
        <f>ROUND(I399*$C399/100*I394,0)</f>
        <v>0</v>
      </c>
      <c r="M399" s="11"/>
      <c r="N399" s="11"/>
      <c r="O399" s="38"/>
      <c r="P399" s="38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</row>
    <row r="400" spans="1:29">
      <c r="A400" s="1" t="s">
        <v>202</v>
      </c>
      <c r="B400" s="1"/>
      <c r="C400" s="182">
        <v>0</v>
      </c>
      <c r="D400" s="182">
        <f t="shared" si="37"/>
        <v>0</v>
      </c>
      <c r="E400" s="198">
        <f>E391</f>
        <v>5.5839999999999996</v>
      </c>
      <c r="F400" s="186" t="s">
        <v>178</v>
      </c>
      <c r="G400" s="2">
        <f>ROUND(E400*$C400/100*E394,0)</f>
        <v>0</v>
      </c>
      <c r="H400" s="2">
        <f>ROUND(E400*$D400/100*E394,0)</f>
        <v>0</v>
      </c>
      <c r="I400" s="198">
        <f>I391</f>
        <v>6.0819999999999999</v>
      </c>
      <c r="J400" s="186" t="s">
        <v>178</v>
      </c>
      <c r="K400" s="2">
        <f>ROUND(I400*$C400/100*I394,0)</f>
        <v>0</v>
      </c>
      <c r="M400" s="11"/>
      <c r="N400" s="11"/>
      <c r="O400" s="38"/>
      <c r="P400" s="38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</row>
    <row r="401" spans="1:29">
      <c r="A401" s="1" t="s">
        <v>203</v>
      </c>
      <c r="B401" s="1"/>
      <c r="C401" s="182">
        <v>0</v>
      </c>
      <c r="D401" s="182">
        <f t="shared" si="37"/>
        <v>0</v>
      </c>
      <c r="E401" s="198">
        <f>E392</f>
        <v>4.8099999999999996</v>
      </c>
      <c r="F401" s="186" t="s">
        <v>178</v>
      </c>
      <c r="G401" s="2">
        <f>ROUND(E401*$C401/100*E394,0)</f>
        <v>0</v>
      </c>
      <c r="H401" s="2">
        <f>ROUND(E401*$D401/100*E394,0)</f>
        <v>0</v>
      </c>
      <c r="I401" s="198">
        <f>I392</f>
        <v>5.24</v>
      </c>
      <c r="J401" s="186" t="s">
        <v>178</v>
      </c>
      <c r="K401" s="2">
        <f>ROUND(I401*$C401/100*I394,0)</f>
        <v>0</v>
      </c>
      <c r="M401" s="11"/>
      <c r="N401" s="11"/>
      <c r="O401" s="38"/>
      <c r="P401" s="38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</row>
    <row r="402" spans="1:29">
      <c r="A402" s="1" t="s">
        <v>204</v>
      </c>
      <c r="B402" s="1"/>
      <c r="C402" s="182">
        <v>0</v>
      </c>
      <c r="D402" s="182">
        <f t="shared" si="37"/>
        <v>0</v>
      </c>
      <c r="E402" s="199">
        <f>E393</f>
        <v>45</v>
      </c>
      <c r="F402" s="186" t="s">
        <v>178</v>
      </c>
      <c r="G402" s="2">
        <f>ROUND(E402*$C402/100*E394,0)</f>
        <v>0</v>
      </c>
      <c r="H402" s="2">
        <f>ROUND(E402*$D402/100*E394,0)</f>
        <v>0</v>
      </c>
      <c r="I402" s="199">
        <f>I393</f>
        <v>50</v>
      </c>
      <c r="J402" s="186" t="s">
        <v>178</v>
      </c>
      <c r="K402" s="2">
        <f>ROUND(I402*$C402/100*I394,0)</f>
        <v>0</v>
      </c>
      <c r="M402" s="11"/>
      <c r="N402" s="11"/>
      <c r="O402" s="38"/>
      <c r="P402" s="38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</row>
    <row r="403" spans="1:29">
      <c r="A403" s="1" t="s">
        <v>211</v>
      </c>
      <c r="B403" s="1"/>
      <c r="C403" s="182">
        <v>0</v>
      </c>
      <c r="D403" s="182">
        <f>ROUND(($D$387/$C$387)*C403,0)</f>
        <v>0</v>
      </c>
      <c r="E403" s="200">
        <f>$E$172</f>
        <v>60</v>
      </c>
      <c r="F403" s="184"/>
      <c r="G403" s="2">
        <f>ROUND(E403*$C403,0)</f>
        <v>0</v>
      </c>
      <c r="H403" s="2">
        <f>ROUND(E403*$D403,0)</f>
        <v>0</v>
      </c>
      <c r="I403" s="200">
        <f>$I$172</f>
        <v>60</v>
      </c>
      <c r="J403" s="186"/>
      <c r="K403" s="2">
        <f>ROUND(I403*$C403,0)</f>
        <v>0</v>
      </c>
      <c r="M403" s="11"/>
      <c r="N403" s="11"/>
      <c r="O403" s="38"/>
      <c r="P403" s="38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</row>
    <row r="404" spans="1:29">
      <c r="A404" s="1" t="s">
        <v>212</v>
      </c>
      <c r="B404" s="1"/>
      <c r="C404" s="182">
        <v>0</v>
      </c>
      <c r="D404" s="182">
        <f>ROUND(($D$405/$C$405)*C404,0)</f>
        <v>0</v>
      </c>
      <c r="E404" s="202">
        <f>$E$173</f>
        <v>-30</v>
      </c>
      <c r="F404" s="184" t="s">
        <v>178</v>
      </c>
      <c r="G404" s="2">
        <f>ROUND(E404*$C404/100,0)</f>
        <v>0</v>
      </c>
      <c r="H404" s="2">
        <f>ROUND(E404*$D404/100,0)</f>
        <v>0</v>
      </c>
      <c r="I404" s="202">
        <f>$I$173</f>
        <v>-30</v>
      </c>
      <c r="J404" s="186" t="s">
        <v>178</v>
      </c>
      <c r="K404" s="2">
        <f>ROUND(I404*$C404/100,0)</f>
        <v>0</v>
      </c>
      <c r="M404" s="11"/>
      <c r="N404" s="11"/>
      <c r="O404" s="38"/>
      <c r="P404" s="38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</row>
    <row r="405" spans="1:29">
      <c r="A405" s="1" t="s">
        <v>185</v>
      </c>
      <c r="B405" s="1"/>
      <c r="C405" s="182">
        <f>SUM(C390:C392)</f>
        <v>644577</v>
      </c>
      <c r="D405" s="182">
        <v>294461.5</v>
      </c>
      <c r="E405" s="193"/>
      <c r="F405" s="2"/>
      <c r="G405" s="2">
        <f>SUM(G384:G404)</f>
        <v>129458</v>
      </c>
      <c r="H405" s="2">
        <f>SUM(H384:H404)</f>
        <v>67184</v>
      </c>
      <c r="I405" s="193"/>
      <c r="J405" s="186"/>
      <c r="K405" s="2">
        <f>SUM(K384:K404)</f>
        <v>137602</v>
      </c>
      <c r="M405" s="11"/>
      <c r="N405" s="11"/>
      <c r="O405" s="38"/>
      <c r="P405" s="38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</row>
    <row r="406" spans="1:29">
      <c r="A406" s="1" t="s">
        <v>167</v>
      </c>
      <c r="B406" s="1"/>
      <c r="C406" s="212" t="e">
        <f>#REF!</f>
        <v>#REF!</v>
      </c>
      <c r="D406" s="212">
        <v>0</v>
      </c>
      <c r="E406" s="172"/>
      <c r="F406" s="172"/>
      <c r="G406" s="204" t="e">
        <f>#REF!</f>
        <v>#REF!</v>
      </c>
      <c r="H406" s="204">
        <v>0</v>
      </c>
      <c r="I406" s="172"/>
      <c r="J406" s="172"/>
      <c r="K406" s="204" t="e">
        <f>G406</f>
        <v>#REF!</v>
      </c>
      <c r="M406" s="307"/>
      <c r="N406" s="307"/>
      <c r="O406" s="150"/>
      <c r="P406" s="38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</row>
    <row r="407" spans="1:29" ht="16.5" thickBot="1">
      <c r="A407" s="1" t="s">
        <v>186</v>
      </c>
      <c r="B407" s="1"/>
      <c r="C407" s="174" t="e">
        <f>SUM(C405:C406)</f>
        <v>#REF!</v>
      </c>
      <c r="D407" s="174">
        <f>SUM(D405:D406)</f>
        <v>294461.5</v>
      </c>
      <c r="E407" s="205"/>
      <c r="F407" s="206"/>
      <c r="G407" s="207" t="e">
        <f>G405+G406</f>
        <v>#REF!</v>
      </c>
      <c r="H407" s="207">
        <f>H405+H406</f>
        <v>67184</v>
      </c>
      <c r="I407" s="205"/>
      <c r="J407" s="208"/>
      <c r="K407" s="207" t="e">
        <f>K405+K406</f>
        <v>#REF!</v>
      </c>
      <c r="M407" s="274"/>
      <c r="N407" s="274"/>
      <c r="O407" s="333"/>
      <c r="P407" s="38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</row>
    <row r="408" spans="1:29" ht="16.5" thickTop="1">
      <c r="A408" s="1"/>
      <c r="B408" s="1"/>
      <c r="C408" s="12"/>
      <c r="D408" s="12"/>
      <c r="E408" s="200"/>
      <c r="F408" s="2"/>
      <c r="G408" s="2"/>
      <c r="H408" s="2"/>
      <c r="I408" s="216" t="s">
        <v>13</v>
      </c>
      <c r="J408" s="1"/>
      <c r="K408" s="2" t="s">
        <v>13</v>
      </c>
      <c r="M408" s="11"/>
      <c r="N408" s="11"/>
      <c r="O408" s="38"/>
      <c r="P408" s="38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</row>
    <row r="409" spans="1:29">
      <c r="A409" s="156" t="s">
        <v>221</v>
      </c>
      <c r="B409" s="1"/>
      <c r="C409" s="1"/>
      <c r="D409" s="1"/>
      <c r="E409" s="2"/>
      <c r="F409" s="2"/>
      <c r="G409" s="1" t="s">
        <v>13</v>
      </c>
      <c r="H409" s="1"/>
      <c r="I409" s="2"/>
      <c r="J409" s="1"/>
      <c r="K409" s="1"/>
      <c r="M409" s="11"/>
      <c r="N409" s="11"/>
      <c r="O409" s="38"/>
      <c r="P409" s="38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</row>
    <row r="410" spans="1:29">
      <c r="A410" s="1" t="s">
        <v>218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  <c r="M410" s="11"/>
      <c r="N410" s="11"/>
      <c r="O410" s="38"/>
      <c r="P410" s="38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</row>
    <row r="411" spans="1:29">
      <c r="A411" s="1" t="s">
        <v>222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  <c r="M411" s="11"/>
      <c r="N411" s="11"/>
      <c r="O411" s="38"/>
      <c r="P411" s="38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</row>
    <row r="412" spans="1:29">
      <c r="A412" s="1" t="s">
        <v>197</v>
      </c>
      <c r="B412" s="1"/>
      <c r="C412" s="182"/>
      <c r="D412" s="182"/>
      <c r="E412" s="2"/>
      <c r="F412" s="2"/>
      <c r="G412" s="1"/>
      <c r="H412" s="1"/>
      <c r="I412" s="2"/>
      <c r="J412" s="1"/>
      <c r="K412" s="1"/>
      <c r="M412" s="11"/>
      <c r="N412" s="11"/>
      <c r="O412" s="38"/>
      <c r="P412" s="38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</row>
    <row r="413" spans="1:29">
      <c r="A413" s="1" t="s">
        <v>194</v>
      </c>
      <c r="B413" s="1"/>
      <c r="C413" s="182">
        <v>0</v>
      </c>
      <c r="D413" s="182">
        <f>$D$417/$C$417*C413</f>
        <v>0</v>
      </c>
      <c r="E413" s="161">
        <f>$E$149</f>
        <v>90.36</v>
      </c>
      <c r="F413" s="184"/>
      <c r="G413" s="2">
        <f>ROUND(E413*$C413,0)</f>
        <v>0</v>
      </c>
      <c r="H413" s="2">
        <f>ROUND(E413*$D413,0)</f>
        <v>0</v>
      </c>
      <c r="I413" s="161">
        <f>$I$149</f>
        <v>96</v>
      </c>
      <c r="J413" s="186"/>
      <c r="K413" s="2">
        <f>ROUND(I413*$C413,0)</f>
        <v>0</v>
      </c>
      <c r="M413" s="11"/>
      <c r="N413" s="11"/>
      <c r="O413" s="38"/>
      <c r="P413" s="38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</row>
    <row r="414" spans="1:29">
      <c r="A414" s="1" t="s">
        <v>195</v>
      </c>
      <c r="B414" s="1"/>
      <c r="C414" s="182">
        <v>1</v>
      </c>
      <c r="D414" s="182">
        <f>$D$417/$C$417*C414</f>
        <v>1.0909090909090908</v>
      </c>
      <c r="E414" s="161">
        <f>$E$150</f>
        <v>134.16</v>
      </c>
      <c r="F414" s="187"/>
      <c r="G414" s="2">
        <f>ROUND(E414*$C414,0)</f>
        <v>134</v>
      </c>
      <c r="H414" s="2">
        <f>ROUND(E414*$D414,0)</f>
        <v>146</v>
      </c>
      <c r="I414" s="161">
        <f>$I$150</f>
        <v>142.53386454183266</v>
      </c>
      <c r="J414" s="188"/>
      <c r="K414" s="2">
        <f>ROUND(I414*$C414,0)</f>
        <v>143</v>
      </c>
      <c r="M414" s="11"/>
      <c r="N414" s="11"/>
      <c r="O414" s="38"/>
      <c r="P414" s="38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</row>
    <row r="415" spans="1:29">
      <c r="A415" s="1" t="s">
        <v>196</v>
      </c>
      <c r="B415" s="1"/>
      <c r="C415" s="182">
        <v>75</v>
      </c>
      <c r="D415" s="182">
        <v>34</v>
      </c>
      <c r="E415" s="161">
        <f>$E$151</f>
        <v>9.36</v>
      </c>
      <c r="F415" s="187"/>
      <c r="G415" s="2">
        <f>ROUND(E415*$C415,0)</f>
        <v>702</v>
      </c>
      <c r="H415" s="2">
        <f>ROUND(E415*$D415,0)</f>
        <v>318</v>
      </c>
      <c r="I415" s="161">
        <f>$I$151</f>
        <v>9.94</v>
      </c>
      <c r="J415" s="188"/>
      <c r="K415" s="2">
        <f>ROUND(I415*$C415,0)</f>
        <v>746</v>
      </c>
      <c r="M415" s="11"/>
      <c r="N415" s="11"/>
      <c r="O415" s="38"/>
      <c r="P415" s="38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</row>
    <row r="416" spans="1:29">
      <c r="A416" s="1" t="s">
        <v>198</v>
      </c>
      <c r="B416" s="1"/>
      <c r="C416" s="182">
        <f>SUM(C413:C414)</f>
        <v>1</v>
      </c>
      <c r="D416" s="182">
        <f>SUM(D413:D414)</f>
        <v>1.0909090909090908</v>
      </c>
      <c r="E416" s="161"/>
      <c r="F416" s="184"/>
      <c r="G416" s="2"/>
      <c r="H416" s="2"/>
      <c r="I416" s="161"/>
      <c r="J416" s="186"/>
      <c r="K416" s="2"/>
      <c r="M416" s="11"/>
      <c r="N416" s="11"/>
      <c r="O416" s="38"/>
      <c r="P416" s="38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</row>
    <row r="417" spans="1:29">
      <c r="A417" s="1" t="s">
        <v>223</v>
      </c>
      <c r="B417" s="1"/>
      <c r="C417" s="182">
        <v>11</v>
      </c>
      <c r="D417" s="182">
        <v>12</v>
      </c>
      <c r="E417" s="161"/>
      <c r="F417" s="184"/>
      <c r="G417" s="2"/>
      <c r="H417" s="2"/>
      <c r="I417" s="161"/>
      <c r="J417" s="186"/>
      <c r="K417" s="2"/>
      <c r="M417" s="11"/>
      <c r="N417" s="11"/>
      <c r="O417" s="38"/>
      <c r="P417" s="38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</row>
    <row r="418" spans="1:29">
      <c r="A418" s="1" t="s">
        <v>199</v>
      </c>
      <c r="B418" s="1"/>
      <c r="C418" s="182">
        <v>253</v>
      </c>
      <c r="D418" s="182">
        <f>ROUND(($D$434/$C$434)*C418,0)</f>
        <v>99</v>
      </c>
      <c r="E418" s="189">
        <f>$E$158</f>
        <v>2.88</v>
      </c>
      <c r="F418" s="186"/>
      <c r="G418" s="2">
        <f>ROUND(E418*$C418,0)</f>
        <v>729</v>
      </c>
      <c r="H418" s="2">
        <f>ROUND(E418*$D418,0)</f>
        <v>285</v>
      </c>
      <c r="I418" s="189">
        <f>$I$158</f>
        <v>2.97</v>
      </c>
      <c r="J418" s="186"/>
      <c r="K418" s="2">
        <f>ROUND(I418*$C418,0)</f>
        <v>751</v>
      </c>
      <c r="M418" s="11"/>
      <c r="N418" s="11"/>
      <c r="O418" s="38"/>
      <c r="P418" s="38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</row>
    <row r="419" spans="1:29">
      <c r="A419" s="1" t="s">
        <v>201</v>
      </c>
      <c r="B419" s="1"/>
      <c r="C419" s="182">
        <v>6932</v>
      </c>
      <c r="D419" s="182">
        <f>ROUND(($D$434/$C$434)*C419,0)</f>
        <v>2701</v>
      </c>
      <c r="E419" s="162">
        <f>$E$159</f>
        <v>8.0890000000000004</v>
      </c>
      <c r="F419" s="186" t="s">
        <v>178</v>
      </c>
      <c r="G419" s="2">
        <f>ROUND(E419*$C419/100,0)</f>
        <v>561</v>
      </c>
      <c r="H419" s="2">
        <f>ROUND(E419*$D419/100,0)</f>
        <v>218</v>
      </c>
      <c r="I419" s="162">
        <f>$I$159</f>
        <v>8.8109999999999999</v>
      </c>
      <c r="J419" s="186" t="s">
        <v>178</v>
      </c>
      <c r="K419" s="2">
        <f>ROUND(I419*$C419/100,0)</f>
        <v>611</v>
      </c>
      <c r="M419" s="11"/>
      <c r="N419" s="11"/>
      <c r="O419" s="38"/>
      <c r="P419" s="38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</row>
    <row r="420" spans="1:29">
      <c r="A420" s="1" t="s">
        <v>202</v>
      </c>
      <c r="B420" s="1"/>
      <c r="C420" s="182">
        <v>7588</v>
      </c>
      <c r="D420" s="182">
        <f>ROUND(($D$434/$C$434)*C420,0)</f>
        <v>2956</v>
      </c>
      <c r="E420" s="162">
        <f>$E$189</f>
        <v>5.5839999999999996</v>
      </c>
      <c r="F420" s="186" t="s">
        <v>178</v>
      </c>
      <c r="G420" s="2">
        <f>ROUND(E420*$C420/100,0)</f>
        <v>424</v>
      </c>
      <c r="H420" s="2">
        <f>ROUND(E420*$D420/100,0)</f>
        <v>165</v>
      </c>
      <c r="I420" s="162">
        <f>$I$160</f>
        <v>6.0819999999999999</v>
      </c>
      <c r="J420" s="186" t="s">
        <v>178</v>
      </c>
      <c r="K420" s="2">
        <f>ROUND(I420*$C420/100,0)</f>
        <v>462</v>
      </c>
      <c r="M420" s="11"/>
      <c r="N420" s="11"/>
      <c r="O420" s="38"/>
      <c r="P420" s="38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</row>
    <row r="421" spans="1:29">
      <c r="A421" s="1" t="s">
        <v>203</v>
      </c>
      <c r="B421" s="1"/>
      <c r="C421" s="182">
        <v>0</v>
      </c>
      <c r="D421" s="182">
        <f>ROUND(($D$434/$C$434)*C421,0)</f>
        <v>0</v>
      </c>
      <c r="E421" s="162">
        <f>$E$161</f>
        <v>4.8099999999999996</v>
      </c>
      <c r="F421" s="186" t="s">
        <v>178</v>
      </c>
      <c r="G421" s="2">
        <f>ROUND(E421*$C421/100,0)</f>
        <v>0</v>
      </c>
      <c r="H421" s="2">
        <f>ROUND(E421*$D421/100,0)</f>
        <v>0</v>
      </c>
      <c r="I421" s="162">
        <f>$I$161</f>
        <v>5.24</v>
      </c>
      <c r="J421" s="186" t="s">
        <v>178</v>
      </c>
      <c r="K421" s="2">
        <f>ROUND(I421*$C421/100,0)</f>
        <v>0</v>
      </c>
      <c r="M421" s="11"/>
      <c r="N421" s="11"/>
      <c r="O421" s="38"/>
      <c r="P421" s="38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</row>
    <row r="422" spans="1:29">
      <c r="A422" s="1" t="s">
        <v>204</v>
      </c>
      <c r="B422" s="1"/>
      <c r="C422" s="182">
        <v>0</v>
      </c>
      <c r="D422" s="182">
        <f>ROUND(($D$434/$C$434)*C422,0)</f>
        <v>0</v>
      </c>
      <c r="E422" s="193">
        <f>$E$162</f>
        <v>45</v>
      </c>
      <c r="F422" s="184" t="s">
        <v>178</v>
      </c>
      <c r="G422" s="2">
        <f>ROUND(E422*$C422/100,0)</f>
        <v>0</v>
      </c>
      <c r="H422" s="2">
        <f>ROUND(E422*$D422/100,0)</f>
        <v>0</v>
      </c>
      <c r="I422" s="193">
        <f>$I$162</f>
        <v>50</v>
      </c>
      <c r="J422" s="186" t="s">
        <v>178</v>
      </c>
      <c r="K422" s="2">
        <f>ROUND(I422*$C422/100,0)</f>
        <v>0</v>
      </c>
      <c r="M422" s="11"/>
      <c r="N422" s="11"/>
      <c r="O422" s="38"/>
      <c r="P422" s="38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</row>
    <row r="423" spans="1:29">
      <c r="A423" s="194" t="s">
        <v>205</v>
      </c>
      <c r="B423" s="1"/>
      <c r="C423" s="182"/>
      <c r="D423" s="182"/>
      <c r="E423" s="195">
        <v>-0.01</v>
      </c>
      <c r="F423" s="184"/>
      <c r="G423" s="2"/>
      <c r="H423" s="2"/>
      <c r="I423" s="195">
        <v>-0.01</v>
      </c>
      <c r="J423" s="186"/>
      <c r="K423" s="2"/>
      <c r="M423" s="11"/>
      <c r="N423" s="11"/>
      <c r="O423" s="38"/>
      <c r="P423" s="38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</row>
    <row r="424" spans="1:29">
      <c r="A424" s="1" t="s">
        <v>194</v>
      </c>
      <c r="B424" s="1"/>
      <c r="C424" s="182">
        <v>0</v>
      </c>
      <c r="D424" s="182">
        <f>$D$417/$C$417*C424</f>
        <v>0</v>
      </c>
      <c r="E424" s="197">
        <f>E413</f>
        <v>90.36</v>
      </c>
      <c r="F424" s="184"/>
      <c r="G424" s="2">
        <f>-ROUND(E424*$C424/100,0)</f>
        <v>0</v>
      </c>
      <c r="H424" s="2">
        <f>-ROUND(E424*$D424/100,0)</f>
        <v>0</v>
      </c>
      <c r="I424" s="197">
        <f>I413</f>
        <v>96</v>
      </c>
      <c r="J424" s="184"/>
      <c r="K424" s="2">
        <f>-ROUND(I424*$C424/100,0)</f>
        <v>0</v>
      </c>
      <c r="M424" s="11"/>
      <c r="N424" s="11"/>
      <c r="O424" s="38"/>
      <c r="P424" s="38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</row>
    <row r="425" spans="1:29">
      <c r="A425" s="1" t="s">
        <v>195</v>
      </c>
      <c r="B425" s="1"/>
      <c r="C425" s="182">
        <v>0</v>
      </c>
      <c r="D425" s="182">
        <f>$D$417/$C$417*C425</f>
        <v>0</v>
      </c>
      <c r="E425" s="197">
        <f>E414</f>
        <v>134.16</v>
      </c>
      <c r="F425" s="184"/>
      <c r="G425" s="2">
        <f>-ROUND(E425*$C425/100,0)</f>
        <v>0</v>
      </c>
      <c r="H425" s="2">
        <f>-ROUND(E425*$D425/100,0)</f>
        <v>0</v>
      </c>
      <c r="I425" s="197">
        <f>I414</f>
        <v>142.53386454183266</v>
      </c>
      <c r="J425" s="184"/>
      <c r="K425" s="2">
        <f>-ROUND(I425*$C425/100,0)</f>
        <v>0</v>
      </c>
      <c r="M425" s="11"/>
      <c r="N425" s="11"/>
      <c r="O425" s="38"/>
      <c r="P425" s="38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</row>
    <row r="426" spans="1:29">
      <c r="A426" s="1" t="s">
        <v>206</v>
      </c>
      <c r="B426" s="1"/>
      <c r="C426" s="182">
        <v>0</v>
      </c>
      <c r="D426" s="182">
        <f t="shared" ref="D426:D431" si="38">ROUND(($D$434/$C$434)*C426,0)</f>
        <v>0</v>
      </c>
      <c r="E426" s="197">
        <f>E415</f>
        <v>9.36</v>
      </c>
      <c r="F426" s="184"/>
      <c r="G426" s="2">
        <f>-ROUND(E426*$C426/100,0)</f>
        <v>0</v>
      </c>
      <c r="H426" s="2">
        <f>-ROUND(E426*$D426/100,0)</f>
        <v>0</v>
      </c>
      <c r="I426" s="197">
        <f>I415</f>
        <v>9.94</v>
      </c>
      <c r="J426" s="184"/>
      <c r="K426" s="2">
        <f>-ROUND(I426*$C426/100,0)</f>
        <v>0</v>
      </c>
      <c r="M426" s="11"/>
      <c r="N426" s="11"/>
      <c r="O426" s="38"/>
      <c r="P426" s="38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</row>
    <row r="427" spans="1:29">
      <c r="A427" s="1" t="s">
        <v>207</v>
      </c>
      <c r="B427" s="1"/>
      <c r="C427" s="182">
        <v>0</v>
      </c>
      <c r="D427" s="182">
        <f t="shared" si="38"/>
        <v>0</v>
      </c>
      <c r="E427" s="197">
        <f>E418</f>
        <v>2.88</v>
      </c>
      <c r="F427" s="186"/>
      <c r="G427" s="2">
        <f>-ROUND(E427*$C427/100,0)</f>
        <v>0</v>
      </c>
      <c r="H427" s="2">
        <f>-ROUND(E427*$D427/100,0)</f>
        <v>0</v>
      </c>
      <c r="I427" s="197">
        <f>I418</f>
        <v>2.97</v>
      </c>
      <c r="J427" s="186"/>
      <c r="K427" s="2">
        <f>-ROUND(I427*$C427/100,0)</f>
        <v>0</v>
      </c>
      <c r="M427" s="11"/>
      <c r="N427" s="11"/>
      <c r="O427" s="38"/>
      <c r="P427" s="38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</row>
    <row r="428" spans="1:29">
      <c r="A428" s="1" t="s">
        <v>209</v>
      </c>
      <c r="B428" s="1"/>
      <c r="C428" s="182">
        <v>0</v>
      </c>
      <c r="D428" s="182">
        <f t="shared" si="38"/>
        <v>0</v>
      </c>
      <c r="E428" s="198">
        <f>E419</f>
        <v>8.0890000000000004</v>
      </c>
      <c r="F428" s="186" t="s">
        <v>178</v>
      </c>
      <c r="G428" s="2">
        <f>ROUND(E428*$C428/100*E423,0)</f>
        <v>0</v>
      </c>
      <c r="H428" s="2">
        <f>ROUND(E428*$D428/100*E423,0)</f>
        <v>0</v>
      </c>
      <c r="I428" s="198">
        <f>I419</f>
        <v>8.8109999999999999</v>
      </c>
      <c r="J428" s="186" t="s">
        <v>178</v>
      </c>
      <c r="K428" s="2">
        <f>ROUND(I428*$C428/100*I423,0)</f>
        <v>0</v>
      </c>
      <c r="M428" s="11"/>
      <c r="N428" s="11"/>
      <c r="O428" s="38"/>
      <c r="P428" s="38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</row>
    <row r="429" spans="1:29">
      <c r="A429" s="1" t="s">
        <v>202</v>
      </c>
      <c r="B429" s="1"/>
      <c r="C429" s="182">
        <v>0</v>
      </c>
      <c r="D429" s="182">
        <f t="shared" si="38"/>
        <v>0</v>
      </c>
      <c r="E429" s="198">
        <f>E420</f>
        <v>5.5839999999999996</v>
      </c>
      <c r="F429" s="186" t="s">
        <v>178</v>
      </c>
      <c r="G429" s="2">
        <f>ROUND(E429*$C429/100*E423,0)</f>
        <v>0</v>
      </c>
      <c r="H429" s="2">
        <f>ROUND(E429*$D429/100*E423,0)</f>
        <v>0</v>
      </c>
      <c r="I429" s="198">
        <f>I420</f>
        <v>6.0819999999999999</v>
      </c>
      <c r="J429" s="186" t="s">
        <v>178</v>
      </c>
      <c r="K429" s="2">
        <f>ROUND(I429*$C429/100*I423,0)</f>
        <v>0</v>
      </c>
      <c r="M429" s="11"/>
      <c r="N429" s="11"/>
      <c r="O429" s="38"/>
      <c r="P429" s="38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</row>
    <row r="430" spans="1:29">
      <c r="A430" s="1" t="s">
        <v>203</v>
      </c>
      <c r="B430" s="1"/>
      <c r="C430" s="182">
        <v>0</v>
      </c>
      <c r="D430" s="182">
        <f t="shared" si="38"/>
        <v>0</v>
      </c>
      <c r="E430" s="198">
        <f>E421</f>
        <v>4.8099999999999996</v>
      </c>
      <c r="F430" s="186" t="s">
        <v>178</v>
      </c>
      <c r="G430" s="2">
        <f>ROUND(E430*$C430/100*E423,0)</f>
        <v>0</v>
      </c>
      <c r="H430" s="2">
        <f>ROUND(E430*$D430/100*E423,0)</f>
        <v>0</v>
      </c>
      <c r="I430" s="198">
        <f>I421</f>
        <v>5.24</v>
      </c>
      <c r="J430" s="186" t="s">
        <v>178</v>
      </c>
      <c r="K430" s="2">
        <f>ROUND(I430*$C430/100*I423,0)</f>
        <v>0</v>
      </c>
      <c r="M430" s="11"/>
      <c r="N430" s="11"/>
      <c r="O430" s="38"/>
      <c r="P430" s="38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</row>
    <row r="431" spans="1:29">
      <c r="A431" s="1" t="s">
        <v>204</v>
      </c>
      <c r="B431" s="1"/>
      <c r="C431" s="182">
        <v>0</v>
      </c>
      <c r="D431" s="182">
        <f t="shared" si="38"/>
        <v>0</v>
      </c>
      <c r="E431" s="199">
        <f>E422</f>
        <v>45</v>
      </c>
      <c r="F431" s="186" t="s">
        <v>178</v>
      </c>
      <c r="G431" s="2">
        <f>ROUND(E431*$C431/100*E423,0)</f>
        <v>0</v>
      </c>
      <c r="H431" s="2">
        <f>ROUND(E431*$D431/100*E423,0)</f>
        <v>0</v>
      </c>
      <c r="I431" s="199">
        <f>I422</f>
        <v>50</v>
      </c>
      <c r="J431" s="186" t="s">
        <v>178</v>
      </c>
      <c r="K431" s="2">
        <f>ROUND(I431*$C431/100*I423,0)</f>
        <v>0</v>
      </c>
      <c r="M431" s="11"/>
      <c r="N431" s="11"/>
      <c r="O431" s="38"/>
      <c r="P431" s="38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</row>
    <row r="432" spans="1:29">
      <c r="A432" s="1" t="s">
        <v>211</v>
      </c>
      <c r="B432" s="1"/>
      <c r="C432" s="182">
        <v>0</v>
      </c>
      <c r="D432" s="182">
        <f>$D$417/$C$417*C432</f>
        <v>0</v>
      </c>
      <c r="E432" s="200">
        <f>$E$172</f>
        <v>60</v>
      </c>
      <c r="F432" s="184"/>
      <c r="G432" s="2">
        <f>ROUND(E432*$C432,0)</f>
        <v>0</v>
      </c>
      <c r="H432" s="2">
        <f>ROUND(E432*$D432,0)</f>
        <v>0</v>
      </c>
      <c r="I432" s="200">
        <f>$I$172</f>
        <v>60</v>
      </c>
      <c r="J432" s="186"/>
      <c r="K432" s="2">
        <f>ROUND(I432*$C432,0)</f>
        <v>0</v>
      </c>
      <c r="M432" s="11"/>
      <c r="N432" s="11"/>
      <c r="O432" s="38"/>
      <c r="P432" s="38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</row>
    <row r="433" spans="1:29">
      <c r="A433" s="1" t="s">
        <v>212</v>
      </c>
      <c r="B433" s="1"/>
      <c r="C433" s="182">
        <v>0</v>
      </c>
      <c r="D433" s="182">
        <f>ROUND(($D$434/$C$434)*C433,0)</f>
        <v>0</v>
      </c>
      <c r="E433" s="202">
        <f>$E$173</f>
        <v>-30</v>
      </c>
      <c r="F433" s="184" t="s">
        <v>178</v>
      </c>
      <c r="G433" s="2">
        <f>ROUND(E433*$C433/100,0)</f>
        <v>0</v>
      </c>
      <c r="H433" s="2">
        <f>ROUND(E433*$D433/100,0)</f>
        <v>0</v>
      </c>
      <c r="I433" s="202">
        <f>$I$173</f>
        <v>-30</v>
      </c>
      <c r="J433" s="186" t="s">
        <v>178</v>
      </c>
      <c r="K433" s="2">
        <f>ROUND(I433*$C433/100,0)</f>
        <v>0</v>
      </c>
      <c r="M433" s="11"/>
      <c r="N433" s="11"/>
      <c r="O433" s="38"/>
      <c r="P433" s="38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</row>
    <row r="434" spans="1:29">
      <c r="A434" s="1" t="s">
        <v>185</v>
      </c>
      <c r="B434" s="1"/>
      <c r="C434" s="182">
        <f>SUM(C419:C421)</f>
        <v>14520</v>
      </c>
      <c r="D434" s="182">
        <v>5657.1497597183234</v>
      </c>
      <c r="E434" s="193"/>
      <c r="F434" s="2"/>
      <c r="G434" s="2">
        <f>SUM(G413:G433)</f>
        <v>2550</v>
      </c>
      <c r="H434" s="2">
        <f>SUM(H413:H433)</f>
        <v>1132</v>
      </c>
      <c r="I434" s="193"/>
      <c r="J434" s="186"/>
      <c r="K434" s="2">
        <f>SUM(K413:K433)</f>
        <v>2713</v>
      </c>
      <c r="M434" s="11"/>
      <c r="N434" s="11"/>
      <c r="O434" s="38"/>
      <c r="P434" s="38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</row>
    <row r="435" spans="1:29">
      <c r="A435" s="1" t="s">
        <v>167</v>
      </c>
      <c r="B435" s="1"/>
      <c r="C435" s="212" t="e">
        <f>#REF!</f>
        <v>#REF!</v>
      </c>
      <c r="D435" s="212">
        <v>0</v>
      </c>
      <c r="E435" s="172"/>
      <c r="F435" s="172"/>
      <c r="G435" s="204" t="e">
        <f>#REF!</f>
        <v>#REF!</v>
      </c>
      <c r="H435" s="204">
        <v>0</v>
      </c>
      <c r="I435" s="172"/>
      <c r="J435" s="172"/>
      <c r="K435" s="204" t="e">
        <f>G435</f>
        <v>#REF!</v>
      </c>
      <c r="M435" s="307"/>
      <c r="N435" s="307"/>
      <c r="O435" s="150"/>
      <c r="P435" s="38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</row>
    <row r="436" spans="1:29" ht="16.5" thickBot="1">
      <c r="A436" s="1" t="s">
        <v>186</v>
      </c>
      <c r="B436" s="1"/>
      <c r="C436" s="174" t="e">
        <f>SUM(C434:C435)</f>
        <v>#REF!</v>
      </c>
      <c r="D436" s="174">
        <f>SUM(D434:D435)</f>
        <v>5657.1497597183234</v>
      </c>
      <c r="E436" s="205"/>
      <c r="F436" s="206"/>
      <c r="G436" s="207" t="e">
        <f>G434+G435</f>
        <v>#REF!</v>
      </c>
      <c r="H436" s="207">
        <f>H434+H435</f>
        <v>1132</v>
      </c>
      <c r="I436" s="205"/>
      <c r="J436" s="208"/>
      <c r="K436" s="207" t="e">
        <f>K434+K435</f>
        <v>#REF!</v>
      </c>
      <c r="M436" s="274"/>
      <c r="N436" s="274"/>
      <c r="O436" s="333"/>
      <c r="P436" s="38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</row>
    <row r="437" spans="1:29" ht="16.5" thickTop="1">
      <c r="A437" s="1"/>
      <c r="B437" s="1"/>
      <c r="C437" s="12"/>
      <c r="D437" s="12"/>
      <c r="E437" s="200"/>
      <c r="F437" s="2"/>
      <c r="G437" s="2"/>
      <c r="H437" s="2"/>
      <c r="I437" s="216" t="s">
        <v>13</v>
      </c>
      <c r="J437" s="1"/>
      <c r="K437" s="2" t="s">
        <v>13</v>
      </c>
      <c r="M437" s="11"/>
      <c r="N437" s="11"/>
      <c r="O437" s="38"/>
      <c r="P437" s="38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</row>
    <row r="438" spans="1:29">
      <c r="A438" s="1"/>
      <c r="B438" s="1"/>
      <c r="C438" s="12"/>
      <c r="D438" s="12"/>
      <c r="E438" s="200"/>
      <c r="F438" s="2"/>
      <c r="G438" s="2"/>
      <c r="H438" s="2"/>
      <c r="I438" s="216" t="s">
        <v>13</v>
      </c>
      <c r="J438" s="1"/>
      <c r="K438" s="2" t="s">
        <v>13</v>
      </c>
      <c r="M438" s="11"/>
      <c r="N438" s="11"/>
      <c r="O438" s="38"/>
      <c r="P438" s="38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</row>
    <row r="439" spans="1:29">
      <c r="A439" s="156" t="s">
        <v>224</v>
      </c>
      <c r="B439" s="1"/>
      <c r="C439" s="217"/>
      <c r="D439" s="217"/>
      <c r="E439" s="2"/>
      <c r="F439" s="2"/>
      <c r="G439" s="1"/>
      <c r="H439" s="1"/>
      <c r="I439" s="2"/>
      <c r="J439" s="1"/>
      <c r="K439" s="2" t="s">
        <v>13</v>
      </c>
      <c r="M439" s="11"/>
      <c r="N439" s="11"/>
      <c r="O439" s="38"/>
      <c r="P439" s="38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</row>
    <row r="440" spans="1:29">
      <c r="A440" s="186" t="s">
        <v>139</v>
      </c>
      <c r="B440" s="1"/>
      <c r="C440" s="1" t="s">
        <v>13</v>
      </c>
      <c r="D440" s="1"/>
      <c r="E440" s="2"/>
      <c r="F440" s="2"/>
      <c r="G440" s="1"/>
      <c r="H440" s="1"/>
      <c r="I440" s="2"/>
      <c r="J440" s="1"/>
      <c r="K440" s="1"/>
      <c r="M440" s="11"/>
      <c r="N440" s="11"/>
      <c r="O440" s="38"/>
      <c r="P440" s="38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</row>
    <row r="441" spans="1:29">
      <c r="A441" s="186"/>
      <c r="B441" s="1"/>
      <c r="C441" s="1"/>
      <c r="D441" s="1"/>
      <c r="E441" s="2"/>
      <c r="F441" s="2"/>
      <c r="G441" s="1"/>
      <c r="H441" s="1"/>
      <c r="I441" s="2"/>
      <c r="J441" s="1"/>
      <c r="K441" s="1"/>
      <c r="M441" s="11"/>
      <c r="N441" s="11"/>
      <c r="O441" s="38"/>
      <c r="P441" s="38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</row>
    <row r="442" spans="1:29">
      <c r="A442" s="186" t="s">
        <v>197</v>
      </c>
      <c r="B442" s="1"/>
      <c r="C442" s="182"/>
      <c r="D442" s="182"/>
      <c r="E442" s="2"/>
      <c r="F442" s="2"/>
      <c r="G442" s="1"/>
      <c r="H442" s="1"/>
      <c r="I442" s="2"/>
      <c r="J442" s="1"/>
      <c r="K442" s="1"/>
      <c r="M442" s="11"/>
      <c r="N442" s="11"/>
      <c r="O442" s="38"/>
      <c r="P442" s="38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</row>
    <row r="443" spans="1:29">
      <c r="A443" s="186" t="s">
        <v>225</v>
      </c>
      <c r="B443" s="1"/>
      <c r="C443" s="182">
        <v>0</v>
      </c>
      <c r="D443" s="182">
        <v>0</v>
      </c>
      <c r="E443" s="218">
        <f>E480</f>
        <v>225</v>
      </c>
      <c r="F443" s="186"/>
      <c r="G443" s="184">
        <f t="shared" ref="G443:H445" si="39">ROUND(E443*$C443,0)</f>
        <v>0</v>
      </c>
      <c r="H443" s="184">
        <f t="shared" si="39"/>
        <v>0</v>
      </c>
      <c r="I443" s="218">
        <f>'Blocking - detail'!I443</f>
        <v>225</v>
      </c>
      <c r="J443" s="186"/>
      <c r="K443" s="184">
        <f>ROUND(I443*$C443,0)</f>
        <v>0</v>
      </c>
      <c r="M443" s="11"/>
      <c r="N443" s="11"/>
      <c r="O443" s="38"/>
      <c r="P443" s="38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</row>
    <row r="444" spans="1:29">
      <c r="A444" s="186" t="s">
        <v>226</v>
      </c>
      <c r="B444" s="1"/>
      <c r="C444" s="182">
        <v>0</v>
      </c>
      <c r="D444" s="182">
        <v>0</v>
      </c>
      <c r="E444" s="218">
        <f>E481</f>
        <v>83</v>
      </c>
      <c r="F444" s="186"/>
      <c r="G444" s="184">
        <f t="shared" si="39"/>
        <v>0</v>
      </c>
      <c r="H444" s="184">
        <f t="shared" si="39"/>
        <v>0</v>
      </c>
      <c r="I444" s="218">
        <f>'Blocking - detail'!I444</f>
        <v>83</v>
      </c>
      <c r="J444" s="186"/>
      <c r="K444" s="184">
        <f>ROUND(I444*$C444,0)</f>
        <v>0</v>
      </c>
      <c r="M444" s="11"/>
      <c r="N444" s="11"/>
      <c r="O444" s="38"/>
      <c r="P444" s="38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</row>
    <row r="445" spans="1:29">
      <c r="A445" s="186" t="s">
        <v>227</v>
      </c>
      <c r="B445" s="1"/>
      <c r="C445" s="182">
        <v>0</v>
      </c>
      <c r="D445" s="182">
        <v>0</v>
      </c>
      <c r="E445" s="218">
        <f>E482</f>
        <v>166</v>
      </c>
      <c r="F445" s="188"/>
      <c r="G445" s="184">
        <f t="shared" si="39"/>
        <v>0</v>
      </c>
      <c r="H445" s="184">
        <f t="shared" si="39"/>
        <v>0</v>
      </c>
      <c r="I445" s="218">
        <f>'Blocking - detail'!I445</f>
        <v>166</v>
      </c>
      <c r="J445" s="188"/>
      <c r="K445" s="184">
        <f>ROUND(I445*$C445,0)</f>
        <v>0</v>
      </c>
      <c r="M445" s="11"/>
      <c r="N445" s="11"/>
      <c r="O445" s="38"/>
      <c r="P445" s="38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</row>
    <row r="446" spans="1:29">
      <c r="A446" s="186" t="s">
        <v>198</v>
      </c>
      <c r="B446" s="1"/>
      <c r="C446" s="182">
        <f>SUM(C443:C445)</f>
        <v>0</v>
      </c>
      <c r="D446" s="182">
        <f>SUM(D443:D445)</f>
        <v>0</v>
      </c>
      <c r="E446" s="218"/>
      <c r="F446" s="186"/>
      <c r="G446" s="184"/>
      <c r="H446" s="184"/>
      <c r="I446" s="218"/>
      <c r="J446" s="186"/>
      <c r="K446" s="184"/>
      <c r="M446" s="11"/>
      <c r="N446" s="11"/>
      <c r="O446" s="38"/>
      <c r="P446" s="38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</row>
    <row r="447" spans="1:29">
      <c r="A447" s="186" t="s">
        <v>226</v>
      </c>
      <c r="B447" s="1"/>
      <c r="C447" s="182">
        <v>0</v>
      </c>
      <c r="D447" s="182">
        <v>0</v>
      </c>
      <c r="E447" s="218">
        <f>E484</f>
        <v>1.47</v>
      </c>
      <c r="F447" s="186" t="s">
        <v>13</v>
      </c>
      <c r="G447" s="184">
        <f>ROUND(E447*$C447,0)</f>
        <v>0</v>
      </c>
      <c r="H447" s="184">
        <f>ROUND(F447*$C447,0)</f>
        <v>0</v>
      </c>
      <c r="I447" s="218">
        <f>'Blocking - detail'!I447</f>
        <v>1.47</v>
      </c>
      <c r="J447" s="186" t="s">
        <v>13</v>
      </c>
      <c r="K447" s="184">
        <f>ROUND(I447*$C447,0)</f>
        <v>0</v>
      </c>
      <c r="M447" s="11"/>
      <c r="N447" s="11"/>
      <c r="O447" s="38"/>
      <c r="P447" s="38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</row>
    <row r="448" spans="1:29">
      <c r="A448" s="186" t="s">
        <v>227</v>
      </c>
      <c r="B448" s="1"/>
      <c r="C448" s="182">
        <v>0</v>
      </c>
      <c r="D448" s="182">
        <v>0</v>
      </c>
      <c r="E448" s="218">
        <f>E485</f>
        <v>1.2</v>
      </c>
      <c r="F448" s="186" t="s">
        <v>13</v>
      </c>
      <c r="G448" s="184">
        <f>ROUND(E448*$C448,0)</f>
        <v>0</v>
      </c>
      <c r="H448" s="184">
        <f>ROUND(F448*$C448,0)</f>
        <v>0</v>
      </c>
      <c r="I448" s="218">
        <f>'Blocking - detail'!I448</f>
        <v>1.2</v>
      </c>
      <c r="J448" s="186" t="s">
        <v>13</v>
      </c>
      <c r="K448" s="184">
        <f>ROUND(I448*$C448,0)</f>
        <v>0</v>
      </c>
      <c r="M448" s="11"/>
      <c r="N448" s="11"/>
      <c r="O448" s="38"/>
      <c r="P448" s="38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</row>
    <row r="449" spans="1:29">
      <c r="A449" s="172" t="s">
        <v>228</v>
      </c>
      <c r="B449" s="1"/>
      <c r="C449" s="182"/>
      <c r="D449" s="182"/>
      <c r="E449" s="218"/>
      <c r="F449" s="186"/>
      <c r="G449" s="184"/>
      <c r="H449" s="184"/>
      <c r="I449" s="218"/>
      <c r="J449" s="186"/>
      <c r="K449" s="184"/>
      <c r="M449" s="11"/>
      <c r="N449" s="11"/>
      <c r="O449" s="38"/>
      <c r="P449" s="38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</row>
    <row r="450" spans="1:29">
      <c r="A450" s="172" t="s">
        <v>229</v>
      </c>
      <c r="B450" s="1"/>
      <c r="C450" s="182">
        <v>0</v>
      </c>
      <c r="D450" s="182">
        <v>0</v>
      </c>
      <c r="E450" s="218">
        <f>E487</f>
        <v>3.75</v>
      </c>
      <c r="F450" s="186"/>
      <c r="G450" s="184">
        <f>ROUND(E450*$C450,0)</f>
        <v>0</v>
      </c>
      <c r="H450" s="184">
        <f>ROUND(F450*$C450,0)</f>
        <v>0</v>
      </c>
      <c r="I450" s="218">
        <f>'Blocking - detail'!I450</f>
        <v>3.75</v>
      </c>
      <c r="J450" s="186"/>
      <c r="K450" s="184">
        <f>ROUND(I450*$C450,0)</f>
        <v>0</v>
      </c>
      <c r="M450" s="11"/>
      <c r="N450" s="11"/>
      <c r="O450" s="38"/>
      <c r="P450" s="38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</row>
    <row r="451" spans="1:29">
      <c r="A451" s="186" t="s">
        <v>230</v>
      </c>
      <c r="B451" s="1"/>
      <c r="C451" s="182"/>
      <c r="D451" s="182"/>
      <c r="E451" s="219"/>
      <c r="F451" s="184"/>
      <c r="G451" s="184"/>
      <c r="H451" s="184"/>
      <c r="I451" s="219"/>
      <c r="J451" s="184"/>
      <c r="K451" s="184"/>
      <c r="M451" s="11"/>
      <c r="N451" s="11"/>
      <c r="O451" s="38"/>
      <c r="P451" s="38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</row>
    <row r="452" spans="1:29">
      <c r="A452" s="186" t="s">
        <v>231</v>
      </c>
      <c r="B452" s="1"/>
      <c r="C452" s="182">
        <v>0</v>
      </c>
      <c r="D452" s="182">
        <v>0</v>
      </c>
      <c r="E452" s="198">
        <f>E490</f>
        <v>4.3570000000000002</v>
      </c>
      <c r="F452" s="184" t="s">
        <v>178</v>
      </c>
      <c r="G452" s="184">
        <f>ROUND($C452*E452/100,0)</f>
        <v>0</v>
      </c>
      <c r="H452" s="184">
        <f>ROUND($C452*F452/100,0)</f>
        <v>0</v>
      </c>
      <c r="I452" s="198">
        <f>'Blocking - detail'!I452</f>
        <v>4.3570000000000002</v>
      </c>
      <c r="J452" s="184" t="s">
        <v>178</v>
      </c>
      <c r="K452" s="184">
        <f>ROUND($C452*I452/100,0)</f>
        <v>0</v>
      </c>
      <c r="M452" s="11"/>
      <c r="N452" s="11"/>
      <c r="O452" s="38"/>
      <c r="P452" s="38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</row>
    <row r="453" spans="1:29">
      <c r="A453" s="186" t="s">
        <v>203</v>
      </c>
      <c r="B453" s="1"/>
      <c r="C453" s="182">
        <v>0</v>
      </c>
      <c r="D453" s="182">
        <v>0</v>
      </c>
      <c r="E453" s="198">
        <f>E491</f>
        <v>3.9930000000000003</v>
      </c>
      <c r="F453" s="184" t="s">
        <v>178</v>
      </c>
      <c r="G453" s="184">
        <f>ROUND($C453*E453/100,0)</f>
        <v>0</v>
      </c>
      <c r="H453" s="184">
        <f>ROUND($C453*F453/100,0)</f>
        <v>0</v>
      </c>
      <c r="I453" s="198">
        <f>'Blocking - detail'!I453</f>
        <v>3.9930000000000003</v>
      </c>
      <c r="J453" s="184" t="s">
        <v>178</v>
      </c>
      <c r="K453" s="184">
        <f>ROUND($C453*I453/100,0)</f>
        <v>0</v>
      </c>
      <c r="M453" s="11"/>
      <c r="N453" s="11"/>
      <c r="O453" s="38"/>
      <c r="P453" s="38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</row>
    <row r="454" spans="1:29">
      <c r="A454" s="186" t="s">
        <v>204</v>
      </c>
      <c r="B454" s="1"/>
      <c r="C454" s="182">
        <v>0</v>
      </c>
      <c r="D454" s="182">
        <v>0</v>
      </c>
      <c r="E454" s="225">
        <f>'Blocking - detail'!E454</f>
        <v>45</v>
      </c>
      <c r="F454" s="184" t="s">
        <v>178</v>
      </c>
      <c r="G454" s="184">
        <f>ROUND(E454*$C454/100,0)</f>
        <v>0</v>
      </c>
      <c r="H454" s="184">
        <f>ROUND(F454*$C454/100,0)</f>
        <v>0</v>
      </c>
      <c r="I454" s="225">
        <f>'Blocking - detail'!I454</f>
        <v>45</v>
      </c>
      <c r="J454" s="184" t="s">
        <v>178</v>
      </c>
      <c r="K454" s="184">
        <f>ROUND(I454*$C454,0)</f>
        <v>0</v>
      </c>
      <c r="M454" s="11"/>
      <c r="N454" s="11"/>
      <c r="O454" s="38"/>
      <c r="P454" s="38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</row>
    <row r="455" spans="1:29">
      <c r="A455" s="186" t="s">
        <v>232</v>
      </c>
      <c r="B455" s="1"/>
      <c r="C455" s="182">
        <v>0</v>
      </c>
      <c r="D455" s="182">
        <v>0</v>
      </c>
      <c r="E455" s="222">
        <f>'Blocking - detail'!E455</f>
        <v>0.06</v>
      </c>
      <c r="F455" s="184"/>
      <c r="G455" s="184">
        <f>ROUND($C455*E455/100,0)</f>
        <v>0</v>
      </c>
      <c r="H455" s="184">
        <f>ROUND($C455*F455/100,0)</f>
        <v>0</v>
      </c>
      <c r="I455" s="222">
        <f>'Blocking - detail'!I455</f>
        <v>0.06</v>
      </c>
      <c r="J455" s="184"/>
      <c r="K455" s="184">
        <f>ROUND($C455*I455/100,0)</f>
        <v>0</v>
      </c>
      <c r="M455" s="11"/>
      <c r="N455" s="11"/>
      <c r="O455" s="38"/>
      <c r="P455" s="38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</row>
    <row r="456" spans="1:29">
      <c r="A456" s="223" t="s">
        <v>205</v>
      </c>
      <c r="B456" s="1" t="s">
        <v>13</v>
      </c>
      <c r="C456" s="182"/>
      <c r="D456" s="182"/>
      <c r="E456" s="195">
        <v>-0.01</v>
      </c>
      <c r="F456" s="224"/>
      <c r="G456" s="224"/>
      <c r="H456" s="224"/>
      <c r="I456" s="195">
        <v>-0.01</v>
      </c>
      <c r="J456" s="224"/>
      <c r="K456" s="2"/>
      <c r="M456" s="11"/>
      <c r="N456" s="11"/>
      <c r="O456" s="38"/>
      <c r="P456" s="38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</row>
    <row r="457" spans="1:29">
      <c r="A457" s="186" t="s">
        <v>225</v>
      </c>
      <c r="B457" s="1"/>
      <c r="C457" s="182">
        <v>0</v>
      </c>
      <c r="D457" s="182">
        <v>0</v>
      </c>
      <c r="E457" s="218">
        <f t="shared" ref="E457:E462" si="40">E494</f>
        <v>225</v>
      </c>
      <c r="F457" s="186"/>
      <c r="G457" s="184">
        <f t="shared" ref="G457:H462" si="41">ROUND(E457*$C457*$E$456,0)</f>
        <v>0</v>
      </c>
      <c r="H457" s="184">
        <f t="shared" si="41"/>
        <v>0</v>
      </c>
      <c r="I457" s="218">
        <f>'Blocking - detail'!I457</f>
        <v>225</v>
      </c>
      <c r="J457" s="186"/>
      <c r="K457" s="184">
        <f t="shared" ref="K457:K462" si="42">ROUND(I457*$C457*$E$456,0)</f>
        <v>0</v>
      </c>
      <c r="M457" s="11"/>
      <c r="N457" s="11"/>
      <c r="O457" s="38"/>
      <c r="P457" s="38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</row>
    <row r="458" spans="1:29">
      <c r="A458" s="186" t="s">
        <v>226</v>
      </c>
      <c r="B458" s="1"/>
      <c r="C458" s="182">
        <v>0</v>
      </c>
      <c r="D458" s="182">
        <v>0</v>
      </c>
      <c r="E458" s="218">
        <f t="shared" si="40"/>
        <v>83</v>
      </c>
      <c r="F458" s="186"/>
      <c r="G458" s="184">
        <f t="shared" si="41"/>
        <v>0</v>
      </c>
      <c r="H458" s="184">
        <f t="shared" si="41"/>
        <v>0</v>
      </c>
      <c r="I458" s="218">
        <f>'Blocking - detail'!I458</f>
        <v>83</v>
      </c>
      <c r="J458" s="186"/>
      <c r="K458" s="184">
        <f t="shared" si="42"/>
        <v>0</v>
      </c>
      <c r="M458" s="11"/>
      <c r="N458" s="11"/>
      <c r="O458" s="38"/>
      <c r="P458" s="38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</row>
    <row r="459" spans="1:29">
      <c r="A459" s="186" t="s">
        <v>227</v>
      </c>
      <c r="B459" s="1"/>
      <c r="C459" s="182">
        <v>0</v>
      </c>
      <c r="D459" s="182">
        <v>0</v>
      </c>
      <c r="E459" s="218">
        <f t="shared" si="40"/>
        <v>166</v>
      </c>
      <c r="F459" s="188"/>
      <c r="G459" s="184">
        <f t="shared" si="41"/>
        <v>0</v>
      </c>
      <c r="H459" s="184">
        <f t="shared" si="41"/>
        <v>0</v>
      </c>
      <c r="I459" s="218">
        <f>'Blocking - detail'!I459</f>
        <v>166</v>
      </c>
      <c r="J459" s="188"/>
      <c r="K459" s="184">
        <f t="shared" si="42"/>
        <v>0</v>
      </c>
      <c r="M459" s="11"/>
      <c r="N459" s="11"/>
      <c r="O459" s="38"/>
      <c r="P459" s="38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</row>
    <row r="460" spans="1:29">
      <c r="A460" s="186" t="s">
        <v>226</v>
      </c>
      <c r="B460" s="1"/>
      <c r="C460" s="182">
        <v>0</v>
      </c>
      <c r="D460" s="182">
        <v>0</v>
      </c>
      <c r="E460" s="218">
        <f t="shared" si="40"/>
        <v>1.47</v>
      </c>
      <c r="F460" s="186" t="s">
        <v>13</v>
      </c>
      <c r="G460" s="184">
        <f t="shared" si="41"/>
        <v>0</v>
      </c>
      <c r="H460" s="184">
        <f t="shared" si="41"/>
        <v>0</v>
      </c>
      <c r="I460" s="218">
        <f>'Blocking - detail'!I460</f>
        <v>1.47</v>
      </c>
      <c r="J460" s="186" t="s">
        <v>13</v>
      </c>
      <c r="K460" s="184">
        <f t="shared" si="42"/>
        <v>0</v>
      </c>
      <c r="M460" s="11"/>
      <c r="N460" s="11"/>
      <c r="O460" s="38"/>
      <c r="P460" s="38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</row>
    <row r="461" spans="1:29">
      <c r="A461" s="186" t="s">
        <v>227</v>
      </c>
      <c r="B461" s="1"/>
      <c r="C461" s="182">
        <v>0</v>
      </c>
      <c r="D461" s="182">
        <v>0</v>
      </c>
      <c r="E461" s="218">
        <f t="shared" si="40"/>
        <v>1.2</v>
      </c>
      <c r="F461" s="186" t="s">
        <v>13</v>
      </c>
      <c r="G461" s="184">
        <f t="shared" si="41"/>
        <v>0</v>
      </c>
      <c r="H461" s="184">
        <f t="shared" si="41"/>
        <v>0</v>
      </c>
      <c r="I461" s="218">
        <f>'Blocking - detail'!I461</f>
        <v>1.2</v>
      </c>
      <c r="J461" s="186" t="s">
        <v>13</v>
      </c>
      <c r="K461" s="184">
        <f t="shared" si="42"/>
        <v>0</v>
      </c>
      <c r="M461" s="11"/>
      <c r="N461" s="11"/>
      <c r="O461" s="38"/>
      <c r="P461" s="38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</row>
    <row r="462" spans="1:29">
      <c r="A462" s="172" t="s">
        <v>229</v>
      </c>
      <c r="B462" s="1"/>
      <c r="C462" s="182">
        <v>0</v>
      </c>
      <c r="D462" s="182">
        <v>0</v>
      </c>
      <c r="E462" s="218">
        <f t="shared" si="40"/>
        <v>3.75</v>
      </c>
      <c r="F462" s="186"/>
      <c r="G462" s="184">
        <f t="shared" si="41"/>
        <v>0</v>
      </c>
      <c r="H462" s="184">
        <f t="shared" si="41"/>
        <v>0</v>
      </c>
      <c r="I462" s="218">
        <f>'Blocking - detail'!I462</f>
        <v>3.75</v>
      </c>
      <c r="J462" s="186"/>
      <c r="K462" s="184">
        <f t="shared" si="42"/>
        <v>0</v>
      </c>
      <c r="M462" s="11"/>
      <c r="N462" s="11"/>
      <c r="O462" s="38"/>
      <c r="P462" s="38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</row>
    <row r="463" spans="1:29">
      <c r="A463" s="186" t="s">
        <v>231</v>
      </c>
      <c r="B463" s="1"/>
      <c r="C463" s="182">
        <v>0</v>
      </c>
      <c r="D463" s="182">
        <v>0</v>
      </c>
      <c r="E463" s="198">
        <f>E501</f>
        <v>4.3570000000000002</v>
      </c>
      <c r="F463" s="184" t="s">
        <v>178</v>
      </c>
      <c r="G463" s="184">
        <f>ROUND(E463/100*$C463*E456,0)</f>
        <v>0</v>
      </c>
      <c r="H463" s="184">
        <f>ROUND(F463/100*$C463*F456,0)</f>
        <v>0</v>
      </c>
      <c r="I463" s="198">
        <f>'Blocking - detail'!I463</f>
        <v>4.3570000000000002</v>
      </c>
      <c r="J463" s="184" t="s">
        <v>178</v>
      </c>
      <c r="K463" s="184">
        <f>ROUND(I463/100*$C463*E456,0)</f>
        <v>0</v>
      </c>
      <c r="M463" s="11"/>
      <c r="N463" s="11"/>
      <c r="O463" s="38"/>
      <c r="P463" s="38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</row>
    <row r="464" spans="1:29">
      <c r="A464" s="186" t="s">
        <v>203</v>
      </c>
      <c r="B464" s="1"/>
      <c r="C464" s="182">
        <v>0</v>
      </c>
      <c r="D464" s="182">
        <v>0</v>
      </c>
      <c r="E464" s="198">
        <f>E502</f>
        <v>3.9930000000000003</v>
      </c>
      <c r="F464" s="184" t="s">
        <v>178</v>
      </c>
      <c r="G464" s="184">
        <f>ROUND(E464/100*$C464*E456,0)</f>
        <v>0</v>
      </c>
      <c r="H464" s="184">
        <f>ROUND(F464/100*$C464*F456,0)</f>
        <v>0</v>
      </c>
      <c r="I464" s="198">
        <f>'Blocking - detail'!I464</f>
        <v>3.9930000000000003</v>
      </c>
      <c r="J464" s="184" t="s">
        <v>178</v>
      </c>
      <c r="K464" s="184">
        <f>ROUND(I464/100*$C464*E456,0)</f>
        <v>0</v>
      </c>
      <c r="M464" s="11"/>
      <c r="N464" s="11"/>
      <c r="O464" s="38"/>
      <c r="P464" s="38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</row>
    <row r="465" spans="1:29">
      <c r="A465" s="172" t="s">
        <v>233</v>
      </c>
      <c r="B465" s="1"/>
      <c r="C465" s="182">
        <v>0</v>
      </c>
      <c r="D465" s="182">
        <v>0</v>
      </c>
      <c r="E465" s="225">
        <f>E503</f>
        <v>45</v>
      </c>
      <c r="F465" s="184" t="s">
        <v>178</v>
      </c>
      <c r="G465" s="184">
        <f>ROUND(E465*$C465*$E$456,0)</f>
        <v>0</v>
      </c>
      <c r="H465" s="184">
        <f>ROUND(F465*$C465*$E$456,0)</f>
        <v>0</v>
      </c>
      <c r="I465" s="225">
        <f>'Blocking - detail'!I465</f>
        <v>45</v>
      </c>
      <c r="J465" s="184" t="s">
        <v>178</v>
      </c>
      <c r="K465" s="184">
        <f>ROUND(I465*$C465*$E$456,0)</f>
        <v>0</v>
      </c>
      <c r="M465" s="11"/>
      <c r="N465" s="11"/>
      <c r="O465" s="38"/>
      <c r="P465" s="38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</row>
    <row r="466" spans="1:29">
      <c r="A466" s="172" t="s">
        <v>234</v>
      </c>
      <c r="B466" s="1"/>
      <c r="C466" s="182">
        <v>0</v>
      </c>
      <c r="D466" s="182">
        <v>0</v>
      </c>
      <c r="E466" s="337">
        <f>'Blocking - detail'!E466</f>
        <v>0.06</v>
      </c>
      <c r="F466" s="184" t="s">
        <v>178</v>
      </c>
      <c r="G466" s="184">
        <f>ROUND(E466/100*$C466*E456,0)</f>
        <v>0</v>
      </c>
      <c r="H466" s="184">
        <f>ROUND(F466/100*$C466*F456,0)</f>
        <v>0</v>
      </c>
      <c r="I466" s="337">
        <f>'Blocking - detail'!I466</f>
        <v>0.06</v>
      </c>
      <c r="J466" s="184" t="s">
        <v>178</v>
      </c>
      <c r="K466" s="184">
        <f>ROUND(I466/100*$C466*I456,0)</f>
        <v>0</v>
      </c>
      <c r="M466" s="11"/>
      <c r="N466" s="11"/>
      <c r="O466" s="38"/>
      <c r="P466" s="38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</row>
    <row r="467" spans="1:29">
      <c r="A467" s="186" t="s">
        <v>235</v>
      </c>
      <c r="B467" s="1"/>
      <c r="C467" s="182">
        <v>0</v>
      </c>
      <c r="D467" s="182">
        <v>0</v>
      </c>
      <c r="E467" s="226">
        <v>60</v>
      </c>
      <c r="F467" s="224" t="s">
        <v>13</v>
      </c>
      <c r="G467" s="184">
        <f>ROUND(E467*$C467,0)</f>
        <v>0</v>
      </c>
      <c r="H467" s="184">
        <f>ROUND(F467*$C467,0)</f>
        <v>0</v>
      </c>
      <c r="I467" s="226">
        <v>60</v>
      </c>
      <c r="J467" s="227" t="s">
        <v>13</v>
      </c>
      <c r="K467" s="184">
        <f>ROUND(I467*$C467,0)</f>
        <v>0</v>
      </c>
      <c r="M467" s="11"/>
      <c r="N467" s="11"/>
      <c r="O467" s="38"/>
      <c r="P467" s="38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</row>
    <row r="468" spans="1:29">
      <c r="A468" s="186" t="s">
        <v>236</v>
      </c>
      <c r="B468" s="1"/>
      <c r="C468" s="182">
        <v>0</v>
      </c>
      <c r="D468" s="182">
        <v>0</v>
      </c>
      <c r="E468" s="199">
        <v>-30</v>
      </c>
      <c r="F468" s="184" t="s">
        <v>178</v>
      </c>
      <c r="G468" s="184">
        <f>ROUND(E468*$C468*$E$456,0)</f>
        <v>0</v>
      </c>
      <c r="H468" s="184">
        <f>ROUND(F468*$C468*$E$456,0)</f>
        <v>0</v>
      </c>
      <c r="I468" s="199">
        <v>-30</v>
      </c>
      <c r="J468" s="184" t="s">
        <v>178</v>
      </c>
      <c r="K468" s="184">
        <f>ROUND(I468*$C468*$E$456,0)</f>
        <v>0</v>
      </c>
      <c r="M468" s="11"/>
      <c r="N468" s="11"/>
      <c r="O468" s="38"/>
      <c r="P468" s="38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</row>
    <row r="469" spans="1:29">
      <c r="A469" s="172" t="s">
        <v>237</v>
      </c>
      <c r="B469" s="1"/>
      <c r="C469" s="182">
        <v>0</v>
      </c>
      <c r="D469" s="182">
        <v>0</v>
      </c>
      <c r="E469" s="197">
        <f>E450/2</f>
        <v>1.875</v>
      </c>
      <c r="F469" s="184"/>
      <c r="G469" s="184"/>
      <c r="H469" s="184"/>
      <c r="I469" s="218">
        <f>'Blocking - detail'!I469</f>
        <v>1.875</v>
      </c>
      <c r="J469" s="184"/>
      <c r="K469" s="184">
        <f>ROUND($C469*I469,0)</f>
        <v>0</v>
      </c>
      <c r="M469" s="11"/>
      <c r="N469" s="11"/>
      <c r="O469" s="38"/>
      <c r="P469" s="38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</row>
    <row r="470" spans="1:29">
      <c r="A470" s="172" t="s">
        <v>238</v>
      </c>
      <c r="B470" s="1"/>
      <c r="C470" s="182">
        <v>0</v>
      </c>
      <c r="D470" s="182">
        <v>0</v>
      </c>
      <c r="E470" s="197">
        <f>E450*4</f>
        <v>15</v>
      </c>
      <c r="F470" s="184"/>
      <c r="G470" s="184"/>
      <c r="H470" s="184"/>
      <c r="I470" s="218">
        <f>'Blocking - detail'!I470</f>
        <v>15</v>
      </c>
      <c r="J470" s="184"/>
      <c r="K470" s="184">
        <f>ROUND($C470*I470,0)</f>
        <v>0</v>
      </c>
      <c r="M470" s="11"/>
      <c r="N470" s="11"/>
      <c r="O470" s="38"/>
      <c r="P470" s="38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</row>
    <row r="471" spans="1:29">
      <c r="A471" s="3" t="s">
        <v>239</v>
      </c>
      <c r="B471" s="166"/>
      <c r="C471" s="182">
        <v>0</v>
      </c>
      <c r="D471" s="182">
        <v>0</v>
      </c>
      <c r="E471" s="198">
        <f>E453*4</f>
        <v>15.972000000000001</v>
      </c>
      <c r="F471" s="184" t="s">
        <v>178</v>
      </c>
      <c r="G471" s="184">
        <f>ROUND($C471*E471/100,0)</f>
        <v>0</v>
      </c>
      <c r="H471" s="184">
        <f>ROUND($C471*F471/100,0)</f>
        <v>0</v>
      </c>
      <c r="I471" s="198">
        <f>'Blocking - detail'!I471</f>
        <v>15.972000000000001</v>
      </c>
      <c r="J471" s="184" t="s">
        <v>178</v>
      </c>
      <c r="K471" s="184">
        <f>ROUND($C471*I471/100,0)</f>
        <v>0</v>
      </c>
      <c r="M471" s="11"/>
      <c r="N471" s="11"/>
      <c r="O471" s="38"/>
      <c r="P471" s="38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</row>
    <row r="472" spans="1:29">
      <c r="A472" s="1" t="s">
        <v>185</v>
      </c>
      <c r="B472" s="1"/>
      <c r="C472" s="182">
        <f>SUM(C452:C453)</f>
        <v>0</v>
      </c>
      <c r="D472" s="182">
        <f>SUM(D452:D453)</f>
        <v>0</v>
      </c>
      <c r="E472" s="193"/>
      <c r="F472" s="2"/>
      <c r="G472" s="2">
        <f>SUM(G443:G471)</f>
        <v>0</v>
      </c>
      <c r="H472" s="2">
        <f>SUM(H443:H471)</f>
        <v>0</v>
      </c>
      <c r="I472" s="193"/>
      <c r="J472" s="186"/>
      <c r="K472" s="2">
        <f>SUM(K443:K471)</f>
        <v>0</v>
      </c>
      <c r="M472" s="11"/>
      <c r="N472" s="11"/>
      <c r="O472" s="38"/>
      <c r="P472" s="38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</row>
    <row r="473" spans="1:29">
      <c r="A473" s="1" t="s">
        <v>167</v>
      </c>
      <c r="B473" s="1"/>
      <c r="C473" s="212">
        <v>0</v>
      </c>
      <c r="D473" s="212">
        <v>0</v>
      </c>
      <c r="E473" s="172"/>
      <c r="F473" s="172"/>
      <c r="G473" s="173">
        <v>0</v>
      </c>
      <c r="H473" s="173">
        <v>0</v>
      </c>
      <c r="I473" s="172"/>
      <c r="J473" s="172"/>
      <c r="K473" s="173">
        <v>0</v>
      </c>
      <c r="M473" s="307"/>
      <c r="N473" s="307"/>
      <c r="O473" s="150"/>
      <c r="P473" s="38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</row>
    <row r="474" spans="1:29" ht="16.5" thickBot="1">
      <c r="A474" s="1" t="s">
        <v>186</v>
      </c>
      <c r="B474" s="1"/>
      <c r="C474" s="229">
        <f>SUM(C472:C473)</f>
        <v>0</v>
      </c>
      <c r="D474" s="229">
        <f>SUM(D472:D473)</f>
        <v>0</v>
      </c>
      <c r="E474" s="205"/>
      <c r="F474" s="206"/>
      <c r="G474" s="207">
        <f>SUM(G472:G473)</f>
        <v>0</v>
      </c>
      <c r="H474" s="207">
        <f>SUM(H472:H473)</f>
        <v>0</v>
      </c>
      <c r="I474" s="205"/>
      <c r="J474" s="208"/>
      <c r="K474" s="207">
        <f>SUM(K472:K473)</f>
        <v>0</v>
      </c>
      <c r="M474" s="274"/>
      <c r="N474" s="274"/>
      <c r="O474" s="333"/>
      <c r="P474" s="38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</row>
    <row r="475" spans="1:29" ht="16.5" thickTop="1">
      <c r="A475" s="1"/>
      <c r="B475" s="230"/>
      <c r="C475" s="12"/>
      <c r="D475" s="12"/>
      <c r="E475" s="200"/>
      <c r="F475" s="2"/>
      <c r="G475" s="2"/>
      <c r="H475" s="2"/>
      <c r="I475" s="200"/>
      <c r="J475" s="1"/>
      <c r="K475" s="2"/>
      <c r="M475" s="11"/>
      <c r="N475" s="11"/>
      <c r="O475" s="38"/>
      <c r="P475" s="38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</row>
    <row r="476" spans="1:29">
      <c r="A476" s="156" t="s">
        <v>240</v>
      </c>
      <c r="B476" s="1"/>
      <c r="C476" s="1"/>
      <c r="D476" s="1"/>
      <c r="E476" s="2"/>
      <c r="F476" s="2"/>
      <c r="G476" s="1" t="s">
        <v>13</v>
      </c>
      <c r="H476" s="1"/>
      <c r="I476" s="2"/>
      <c r="J476" s="1"/>
      <c r="K476" s="1"/>
      <c r="M476" s="11"/>
      <c r="N476" s="11"/>
      <c r="O476" s="38"/>
      <c r="P476" s="38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</row>
    <row r="477" spans="1:29">
      <c r="A477" s="172" t="s">
        <v>241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  <c r="M477" s="11"/>
      <c r="N477" s="11"/>
      <c r="O477" s="38"/>
      <c r="P477" s="38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</row>
    <row r="478" spans="1:29">
      <c r="A478" s="186"/>
      <c r="B478" s="1"/>
      <c r="C478" s="1"/>
      <c r="D478" s="1"/>
      <c r="E478" s="2"/>
      <c r="F478" s="2"/>
      <c r="G478" s="1"/>
      <c r="H478" s="1"/>
      <c r="I478" s="2"/>
      <c r="J478" s="1"/>
      <c r="K478" s="1"/>
      <c r="M478" s="11"/>
      <c r="N478" s="11"/>
      <c r="P478" s="38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</row>
    <row r="479" spans="1:29">
      <c r="A479" s="186" t="s">
        <v>197</v>
      </c>
      <c r="B479" s="1"/>
      <c r="C479" s="182"/>
      <c r="D479" s="182"/>
      <c r="E479" s="2"/>
      <c r="F479" s="2"/>
      <c r="G479" s="1"/>
      <c r="H479" s="1"/>
      <c r="I479" s="2"/>
      <c r="J479" s="1"/>
      <c r="K479" s="1"/>
      <c r="M479" s="11"/>
      <c r="N479" s="11"/>
      <c r="O479" s="38"/>
      <c r="P479" s="38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</row>
    <row r="480" spans="1:29">
      <c r="A480" s="186" t="s">
        <v>225</v>
      </c>
      <c r="B480" s="1"/>
      <c r="C480" s="182">
        <f t="shared" ref="C480:D482" si="43">C514+C548</f>
        <v>342</v>
      </c>
      <c r="D480" s="182">
        <f t="shared" si="43"/>
        <v>345</v>
      </c>
      <c r="E480" s="161">
        <v>225</v>
      </c>
      <c r="F480" s="186"/>
      <c r="G480" s="184">
        <f t="shared" ref="G480:H482" si="44">G514+G548</f>
        <v>76950</v>
      </c>
      <c r="H480" s="184">
        <f t="shared" si="44"/>
        <v>77625</v>
      </c>
      <c r="I480" s="161">
        <v>245</v>
      </c>
      <c r="J480" s="186"/>
      <c r="K480" s="184">
        <f>K514+K548</f>
        <v>83790</v>
      </c>
      <c r="M480" s="42">
        <f>I480*D480</f>
        <v>84525</v>
      </c>
      <c r="O480" s="8">
        <f>(I480-E480)/E480</f>
        <v>8.8888888888888892E-2</v>
      </c>
      <c r="P480" s="101" t="e">
        <f>SUM(K480:K485)/SUM(H480:H485)-1</f>
        <v>#REF!</v>
      </c>
      <c r="T480" s="3" t="s">
        <v>175</v>
      </c>
      <c r="U480" s="3" t="s">
        <v>120</v>
      </c>
      <c r="V480" s="3" t="s">
        <v>176</v>
      </c>
      <c r="W480" s="3" t="s">
        <v>126</v>
      </c>
      <c r="X480" s="11"/>
      <c r="Y480" s="11"/>
      <c r="Z480" s="11"/>
      <c r="AA480" s="11"/>
      <c r="AB480" s="11"/>
      <c r="AC480" s="11"/>
    </row>
    <row r="481" spans="1:29">
      <c r="A481" s="186" t="s">
        <v>226</v>
      </c>
      <c r="B481" s="1"/>
      <c r="C481" s="182">
        <f t="shared" si="43"/>
        <v>8833</v>
      </c>
      <c r="D481" s="182">
        <f t="shared" si="43"/>
        <v>8896</v>
      </c>
      <c r="E481" s="161">
        <v>83</v>
      </c>
      <c r="F481" s="186"/>
      <c r="G481" s="184">
        <f t="shared" si="44"/>
        <v>733139</v>
      </c>
      <c r="H481" s="184">
        <f t="shared" si="44"/>
        <v>738368</v>
      </c>
      <c r="I481" s="161">
        <v>90</v>
      </c>
      <c r="J481" s="186"/>
      <c r="K481" s="184">
        <f>K515+K549</f>
        <v>794970</v>
      </c>
      <c r="M481" s="42">
        <f>I481*D481</f>
        <v>800640</v>
      </c>
      <c r="O481" s="8">
        <f>(I481-E481)/E481</f>
        <v>8.4337349397590355E-2</v>
      </c>
      <c r="S481" s="3" t="s">
        <v>246</v>
      </c>
      <c r="T481" s="42" t="e">
        <f>SUM(H480:H485)</f>
        <v>#REF!</v>
      </c>
      <c r="U481" s="42">
        <f>SUM(K480:K485)</f>
        <v>6247027</v>
      </c>
      <c r="V481" s="49">
        <v>6297781.880353801</v>
      </c>
      <c r="W481" s="101">
        <f>U481/V481</f>
        <v>0.99194083229332963</v>
      </c>
      <c r="X481" s="11"/>
      <c r="Y481" s="11"/>
      <c r="Z481" s="11"/>
      <c r="AA481" s="11"/>
      <c r="AB481" s="11"/>
      <c r="AC481" s="11"/>
    </row>
    <row r="482" spans="1:29">
      <c r="A482" s="186" t="s">
        <v>227</v>
      </c>
      <c r="B482" s="1"/>
      <c r="C482" s="182">
        <f t="shared" si="43"/>
        <v>3531</v>
      </c>
      <c r="D482" s="182">
        <f t="shared" si="43"/>
        <v>3549</v>
      </c>
      <c r="E482" s="161">
        <v>166</v>
      </c>
      <c r="F482" s="188"/>
      <c r="G482" s="184">
        <f t="shared" si="44"/>
        <v>586146</v>
      </c>
      <c r="H482" s="184">
        <f t="shared" si="44"/>
        <v>589134</v>
      </c>
      <c r="I482" s="161">
        <v>180</v>
      </c>
      <c r="J482" s="188"/>
      <c r="K482" s="184">
        <f>K516+K550</f>
        <v>635580</v>
      </c>
      <c r="M482" s="42">
        <f>I482*D482</f>
        <v>638820</v>
      </c>
      <c r="O482" s="8">
        <f>(I482-E482)/E482</f>
        <v>8.4337349397590355E-2</v>
      </c>
      <c r="S482" s="3" t="s">
        <v>180</v>
      </c>
      <c r="T482" s="42" t="e">
        <f>SUM(H490:H491)</f>
        <v>#REF!</v>
      </c>
      <c r="U482" s="42" t="e">
        <f>SUM(K490:K491)</f>
        <v>#REF!</v>
      </c>
      <c r="V482" s="49">
        <v>43870359.484416999</v>
      </c>
      <c r="W482" s="101" t="e">
        <f>U482/V482</f>
        <v>#REF!</v>
      </c>
      <c r="X482" s="11"/>
      <c r="Y482" s="11"/>
      <c r="Z482" s="11"/>
      <c r="AA482" s="11"/>
      <c r="AB482" s="11"/>
      <c r="AC482" s="11"/>
    </row>
    <row r="483" spans="1:29">
      <c r="A483" s="186" t="s">
        <v>198</v>
      </c>
      <c r="B483" s="1"/>
      <c r="C483" s="182">
        <f>SUM(C480:C482)</f>
        <v>12706</v>
      </c>
      <c r="D483" s="182">
        <f>SUM(D480:D482)</f>
        <v>12790</v>
      </c>
      <c r="E483" s="161"/>
      <c r="F483" s="186"/>
      <c r="G483" s="184"/>
      <c r="H483" s="184"/>
      <c r="I483" s="161"/>
      <c r="J483" s="186"/>
      <c r="K483" s="184"/>
      <c r="S483" s="3" t="s">
        <v>210</v>
      </c>
      <c r="T483" s="42" t="e">
        <f>SUM(H487:H488)</f>
        <v>#REF!</v>
      </c>
      <c r="U483" s="42">
        <f>SUM(K487:K488)</f>
        <v>9987587</v>
      </c>
      <c r="V483" s="49">
        <v>6509411.4532006206</v>
      </c>
      <c r="W483" s="101">
        <f>U483/V483</f>
        <v>1.5343302650025588</v>
      </c>
      <c r="X483" s="11"/>
      <c r="Y483" s="11"/>
      <c r="Z483" s="11"/>
      <c r="AA483" s="11"/>
      <c r="AB483" s="11"/>
      <c r="AC483" s="11"/>
    </row>
    <row r="484" spans="1:29">
      <c r="A484" s="186" t="s">
        <v>226</v>
      </c>
      <c r="B484" s="1"/>
      <c r="C484" s="182">
        <f>C518+C552</f>
        <v>1522475</v>
      </c>
      <c r="D484" s="182" t="e">
        <f>D518+D552</f>
        <v>#REF!</v>
      </c>
      <c r="E484" s="161">
        <v>1.47</v>
      </c>
      <c r="F484" s="186" t="s">
        <v>13</v>
      </c>
      <c r="G484" s="184">
        <f>G518+G552</f>
        <v>2238038</v>
      </c>
      <c r="H484" s="184" t="e">
        <f>H518+H552</f>
        <v>#REF!</v>
      </c>
      <c r="I484" s="161">
        <v>1.6</v>
      </c>
      <c r="J484" s="186" t="s">
        <v>13</v>
      </c>
      <c r="K484" s="184">
        <f>K518+K552</f>
        <v>2435960</v>
      </c>
      <c r="M484" s="42" t="e">
        <f>I484*D484</f>
        <v>#REF!</v>
      </c>
      <c r="O484" s="8">
        <f>(I484-E484)/E484</f>
        <v>8.8435374149659948E-2</v>
      </c>
      <c r="W484" s="11"/>
      <c r="X484" s="11"/>
      <c r="Y484" s="11"/>
      <c r="Z484" s="11"/>
      <c r="AA484" s="11"/>
      <c r="AB484" s="11"/>
      <c r="AC484" s="11"/>
    </row>
    <row r="485" spans="1:29">
      <c r="A485" s="186" t="s">
        <v>227</v>
      </c>
      <c r="B485" s="1"/>
      <c r="C485" s="182">
        <f>C519+C553</f>
        <v>1766713</v>
      </c>
      <c r="D485" s="182" t="e">
        <f>D519+D553</f>
        <v>#REF!</v>
      </c>
      <c r="E485" s="161">
        <v>1.2</v>
      </c>
      <c r="F485" s="186" t="s">
        <v>13</v>
      </c>
      <c r="G485" s="184">
        <f>G519+G553</f>
        <v>2120056</v>
      </c>
      <c r="H485" s="184" t="e">
        <f>H519+H553</f>
        <v>#REF!</v>
      </c>
      <c r="I485" s="161">
        <v>1.3</v>
      </c>
      <c r="J485" s="186" t="s">
        <v>13</v>
      </c>
      <c r="K485" s="184">
        <f>K519+K553</f>
        <v>2296727</v>
      </c>
      <c r="M485" s="42" t="e">
        <f>I485*D485</f>
        <v>#REF!</v>
      </c>
      <c r="O485" s="8">
        <f>(I485-E485)/E485</f>
        <v>8.3333333333333412E-2</v>
      </c>
      <c r="W485" s="11"/>
      <c r="X485" s="11"/>
      <c r="Y485" s="11"/>
      <c r="Z485" s="11"/>
      <c r="AA485" s="11"/>
      <c r="AB485" s="11"/>
      <c r="AC485" s="11"/>
    </row>
    <row r="486" spans="1:29">
      <c r="A486" s="172" t="s">
        <v>228</v>
      </c>
      <c r="B486" s="1"/>
      <c r="C486" s="182"/>
      <c r="D486" s="182"/>
      <c r="E486" s="218"/>
      <c r="F486" s="186"/>
      <c r="G486" s="184"/>
      <c r="H486" s="184"/>
      <c r="I486" s="218"/>
      <c r="J486" s="186"/>
      <c r="K486" s="184"/>
      <c r="W486" s="11"/>
      <c r="X486" s="11"/>
      <c r="Y486" s="11"/>
      <c r="Z486" s="11"/>
      <c r="AA486" s="11"/>
      <c r="AB486" s="11"/>
      <c r="AC486" s="11"/>
    </row>
    <row r="487" spans="1:29">
      <c r="A487" s="172" t="s">
        <v>229</v>
      </c>
      <c r="B487" s="1"/>
      <c r="C487" s="182">
        <f>C521+C555</f>
        <v>2528503</v>
      </c>
      <c r="D487" s="182" t="e">
        <f>D521+D555</f>
        <v>#REF!</v>
      </c>
      <c r="E487" s="161">
        <v>3.75</v>
      </c>
      <c r="F487" s="186"/>
      <c r="G487" s="184">
        <f>G521+G555</f>
        <v>9481886</v>
      </c>
      <c r="H487" s="184" t="e">
        <f>H521+H555</f>
        <v>#REF!</v>
      </c>
      <c r="I487" s="161">
        <v>3.95</v>
      </c>
      <c r="J487" s="186"/>
      <c r="K487" s="184">
        <f>K521+K555</f>
        <v>9987587</v>
      </c>
      <c r="M487" s="42" t="e">
        <f>I487*D487</f>
        <v>#REF!</v>
      </c>
      <c r="O487" s="8">
        <f>(I487-E487)/E487</f>
        <v>5.3333333333333378E-2</v>
      </c>
      <c r="W487" s="11"/>
      <c r="X487" s="11"/>
      <c r="Y487" s="11"/>
      <c r="Z487" s="11"/>
      <c r="AA487" s="11"/>
      <c r="AB487" s="11"/>
      <c r="AC487" s="11"/>
    </row>
    <row r="488" spans="1:29">
      <c r="A488" s="172" t="s">
        <v>245</v>
      </c>
      <c r="B488" s="1"/>
      <c r="C488" s="182">
        <f>C522+C556</f>
        <v>0</v>
      </c>
      <c r="D488" s="182" t="e">
        <f>D522+D556</f>
        <v>#REF!</v>
      </c>
      <c r="E488" s="232">
        <f>E487</f>
        <v>3.75</v>
      </c>
      <c r="F488" s="186"/>
      <c r="G488" s="184">
        <f>G522+G556</f>
        <v>0</v>
      </c>
      <c r="H488" s="184" t="e">
        <f>H522+H556</f>
        <v>#REF!</v>
      </c>
      <c r="I488" s="232">
        <f>I487</f>
        <v>3.95</v>
      </c>
      <c r="J488" s="186"/>
      <c r="K488" s="184">
        <f>K522+K556</f>
        <v>0</v>
      </c>
      <c r="M488" s="42" t="e">
        <f>I488*D488</f>
        <v>#REF!</v>
      </c>
      <c r="O488" s="8">
        <f>(I488-E488)/E488</f>
        <v>5.3333333333333378E-2</v>
      </c>
      <c r="W488" s="11"/>
      <c r="X488" s="11"/>
      <c r="Y488" s="11"/>
      <c r="Z488" s="11"/>
      <c r="AA488" s="11"/>
      <c r="AB488" s="11"/>
      <c r="AC488" s="11"/>
    </row>
    <row r="489" spans="1:29">
      <c r="A489" s="186" t="s">
        <v>230</v>
      </c>
      <c r="B489" s="1"/>
      <c r="C489" s="182"/>
      <c r="D489" s="182"/>
      <c r="E489" s="161"/>
      <c r="F489" s="186"/>
      <c r="G489" s="184"/>
      <c r="H489" s="184"/>
      <c r="I489" s="161"/>
      <c r="J489" s="186"/>
      <c r="K489" s="184"/>
      <c r="W489" s="11"/>
      <c r="X489" s="11"/>
      <c r="Y489" s="11"/>
      <c r="Z489" s="11"/>
      <c r="AA489" s="11"/>
      <c r="AB489" s="11"/>
      <c r="AC489" s="11"/>
    </row>
    <row r="490" spans="1:29">
      <c r="A490" s="186" t="s">
        <v>231</v>
      </c>
      <c r="B490" s="182"/>
      <c r="C490" s="182" t="e">
        <f t="shared" ref="C490:D492" si="45">C524+C558</f>
        <v>#REF!</v>
      </c>
      <c r="D490" s="182" t="e">
        <f t="shared" si="45"/>
        <v>#REF!</v>
      </c>
      <c r="E490" s="190">
        <v>4.3570000000000002</v>
      </c>
      <c r="F490" s="186" t="s">
        <v>178</v>
      </c>
      <c r="G490" s="184" t="e">
        <f t="shared" ref="G490:H492" si="46">G524+G558</f>
        <v>#REF!</v>
      </c>
      <c r="H490" s="184" t="e">
        <f t="shared" si="46"/>
        <v>#REF!</v>
      </c>
      <c r="I490" s="190">
        <v>4.8559999999999999</v>
      </c>
      <c r="J490" s="186" t="s">
        <v>178</v>
      </c>
      <c r="K490" s="184" t="e">
        <f>K524+K558</f>
        <v>#REF!</v>
      </c>
      <c r="M490" s="42" t="e">
        <f>(I490/100)*D490</f>
        <v>#REF!</v>
      </c>
      <c r="O490" s="8">
        <f>(I490-E490)/E490</f>
        <v>0.11452834519164555</v>
      </c>
      <c r="W490" s="11"/>
      <c r="X490" s="11"/>
      <c r="Y490" s="11"/>
      <c r="Z490" s="11"/>
      <c r="AA490" s="11"/>
      <c r="AB490" s="11"/>
      <c r="AC490" s="11"/>
    </row>
    <row r="491" spans="1:29">
      <c r="A491" s="186" t="s">
        <v>203</v>
      </c>
      <c r="B491" s="182"/>
      <c r="C491" s="182" t="e">
        <f t="shared" si="45"/>
        <v>#REF!</v>
      </c>
      <c r="D491" s="182" t="e">
        <f t="shared" si="45"/>
        <v>#REF!</v>
      </c>
      <c r="E491" s="190">
        <v>3.9930000000000003</v>
      </c>
      <c r="F491" s="186" t="s">
        <v>178</v>
      </c>
      <c r="G491" s="184" t="e">
        <f t="shared" si="46"/>
        <v>#REF!</v>
      </c>
      <c r="H491" s="184" t="e">
        <f t="shared" si="46"/>
        <v>#REF!</v>
      </c>
      <c r="I491" s="190">
        <f>ROUND(I490/E490*E491,3)+0.005</f>
        <v>4.4550000000000001</v>
      </c>
      <c r="J491" s="186" t="s">
        <v>178</v>
      </c>
      <c r="K491" s="184" t="e">
        <f>K525+K559</f>
        <v>#REF!</v>
      </c>
      <c r="M491" s="42" t="e">
        <f>(I491/100)*D491</f>
        <v>#REF!</v>
      </c>
      <c r="O491" s="8">
        <f>(I491-E491)/E491</f>
        <v>0.1157024793388429</v>
      </c>
      <c r="X491" s="11"/>
      <c r="Y491" s="11"/>
      <c r="Z491" s="11"/>
      <c r="AA491" s="11"/>
      <c r="AB491" s="11"/>
      <c r="AC491" s="11"/>
    </row>
    <row r="492" spans="1:29">
      <c r="A492" s="186" t="s">
        <v>204</v>
      </c>
      <c r="B492" s="1"/>
      <c r="C492" s="182">
        <f t="shared" si="45"/>
        <v>525884</v>
      </c>
      <c r="D492" s="182" t="e">
        <f t="shared" si="45"/>
        <v>#REF!</v>
      </c>
      <c r="E492" s="472">
        <v>45</v>
      </c>
      <c r="F492" s="186" t="s">
        <v>178</v>
      </c>
      <c r="G492" s="184">
        <f t="shared" si="46"/>
        <v>236647</v>
      </c>
      <c r="H492" s="184" t="e">
        <f t="shared" si="46"/>
        <v>#REF!</v>
      </c>
      <c r="I492" s="338">
        <v>50</v>
      </c>
      <c r="J492" s="186" t="s">
        <v>178</v>
      </c>
      <c r="K492" s="184">
        <f>K526+K560</f>
        <v>262942</v>
      </c>
      <c r="M492" s="42" t="e">
        <f>(I492/100)*D492</f>
        <v>#REF!</v>
      </c>
      <c r="O492" s="8">
        <f>(I492-E492)/E492</f>
        <v>0.1111111111111111</v>
      </c>
      <c r="X492" s="11"/>
      <c r="Y492" s="11"/>
      <c r="Z492" s="11"/>
      <c r="AA492" s="11"/>
      <c r="AB492" s="11"/>
      <c r="AC492" s="11"/>
    </row>
    <row r="493" spans="1:29">
      <c r="A493" s="223" t="s">
        <v>205</v>
      </c>
      <c r="B493" s="1"/>
      <c r="C493" s="182"/>
      <c r="D493" s="182"/>
      <c r="E493" s="195">
        <v>-0.01</v>
      </c>
      <c r="F493" s="2"/>
      <c r="G493" s="184"/>
      <c r="H493" s="184"/>
      <c r="I493" s="195">
        <v>-0.01</v>
      </c>
      <c r="J493" s="1"/>
      <c r="K493" s="184"/>
      <c r="X493" s="11"/>
      <c r="Y493" s="11"/>
      <c r="Z493" s="11"/>
      <c r="AA493" s="11"/>
      <c r="AB493" s="11"/>
      <c r="AC493" s="11"/>
    </row>
    <row r="494" spans="1:29">
      <c r="A494" s="186" t="s">
        <v>225</v>
      </c>
      <c r="B494" s="1"/>
      <c r="C494" s="182">
        <f t="shared" ref="C494:D507" si="47">C528+C562</f>
        <v>7</v>
      </c>
      <c r="D494" s="182">
        <f t="shared" si="47"/>
        <v>7</v>
      </c>
      <c r="E494" s="167">
        <f>E480</f>
        <v>225</v>
      </c>
      <c r="F494" s="227"/>
      <c r="G494" s="184">
        <f t="shared" ref="G494:H507" si="48">G528+G562</f>
        <v>-16</v>
      </c>
      <c r="H494" s="184">
        <f t="shared" si="48"/>
        <v>-16</v>
      </c>
      <c r="I494" s="167">
        <f>I480</f>
        <v>245</v>
      </c>
      <c r="J494" s="156"/>
      <c r="K494" s="184">
        <f t="shared" ref="K494:K506" si="49">K528+K562</f>
        <v>-17</v>
      </c>
      <c r="M494" s="42">
        <f t="shared" ref="M494:M500" si="50">-(I494*D494)/100</f>
        <v>-17.149999999999999</v>
      </c>
      <c r="X494" s="11"/>
      <c r="Y494" s="11"/>
      <c r="Z494" s="11"/>
      <c r="AA494" s="11"/>
      <c r="AB494" s="11"/>
      <c r="AC494" s="11"/>
    </row>
    <row r="495" spans="1:29">
      <c r="A495" s="186" t="s">
        <v>226</v>
      </c>
      <c r="B495" s="1"/>
      <c r="C495" s="182">
        <f t="shared" si="47"/>
        <v>37</v>
      </c>
      <c r="D495" s="182">
        <f t="shared" si="47"/>
        <v>37</v>
      </c>
      <c r="E495" s="167">
        <f>E481</f>
        <v>83</v>
      </c>
      <c r="F495" s="227"/>
      <c r="G495" s="184">
        <f t="shared" si="48"/>
        <v>-31</v>
      </c>
      <c r="H495" s="184">
        <f t="shared" si="48"/>
        <v>-31</v>
      </c>
      <c r="I495" s="167">
        <f>I481</f>
        <v>90</v>
      </c>
      <c r="J495" s="156"/>
      <c r="K495" s="184">
        <f t="shared" si="49"/>
        <v>-34</v>
      </c>
      <c r="M495" s="42">
        <f t="shared" si="50"/>
        <v>-33.299999999999997</v>
      </c>
      <c r="O495" s="234"/>
      <c r="W495" s="11"/>
      <c r="X495" s="11"/>
      <c r="Y495" s="11"/>
      <c r="Z495" s="11"/>
      <c r="AA495" s="11"/>
      <c r="AB495" s="11"/>
      <c r="AC495" s="11"/>
    </row>
    <row r="496" spans="1:29">
      <c r="A496" s="186" t="s">
        <v>227</v>
      </c>
      <c r="B496" s="1"/>
      <c r="C496" s="182">
        <f t="shared" si="47"/>
        <v>121</v>
      </c>
      <c r="D496" s="182">
        <f t="shared" si="47"/>
        <v>122</v>
      </c>
      <c r="E496" s="167">
        <f>E482</f>
        <v>166</v>
      </c>
      <c r="F496" s="235"/>
      <c r="G496" s="184">
        <f t="shared" si="48"/>
        <v>-201</v>
      </c>
      <c r="H496" s="184">
        <f t="shared" si="48"/>
        <v>-203</v>
      </c>
      <c r="I496" s="167">
        <f>I482</f>
        <v>180</v>
      </c>
      <c r="J496" s="236"/>
      <c r="K496" s="184">
        <f t="shared" si="49"/>
        <v>-218</v>
      </c>
      <c r="M496" s="42">
        <f t="shared" si="50"/>
        <v>-219.6</v>
      </c>
      <c r="O496" s="234"/>
      <c r="W496" s="11"/>
      <c r="X496" s="11"/>
      <c r="Y496" s="11"/>
      <c r="Z496" s="11"/>
      <c r="AA496" s="11"/>
      <c r="AB496" s="11"/>
      <c r="AC496" s="11"/>
    </row>
    <row r="497" spans="1:29">
      <c r="A497" s="186" t="s">
        <v>226</v>
      </c>
      <c r="B497" s="1"/>
      <c r="C497" s="182">
        <f t="shared" si="47"/>
        <v>6452</v>
      </c>
      <c r="D497" s="182" t="e">
        <f t="shared" si="47"/>
        <v>#REF!</v>
      </c>
      <c r="E497" s="167">
        <f>E484</f>
        <v>1.47</v>
      </c>
      <c r="F497" s="227"/>
      <c r="G497" s="184">
        <f t="shared" si="48"/>
        <v>-94</v>
      </c>
      <c r="H497" s="184" t="e">
        <f t="shared" si="48"/>
        <v>#REF!</v>
      </c>
      <c r="I497" s="167">
        <f>I484</f>
        <v>1.6</v>
      </c>
      <c r="J497" s="156"/>
      <c r="K497" s="184">
        <f t="shared" si="49"/>
        <v>-103</v>
      </c>
      <c r="M497" s="42" t="e">
        <f t="shared" si="50"/>
        <v>#REF!</v>
      </c>
      <c r="W497" s="11"/>
      <c r="X497" s="11"/>
      <c r="Y497" s="11"/>
      <c r="Z497" s="11"/>
      <c r="AA497" s="11"/>
      <c r="AB497" s="11"/>
      <c r="AC497" s="11"/>
    </row>
    <row r="498" spans="1:29">
      <c r="A498" s="186" t="s">
        <v>227</v>
      </c>
      <c r="B498" s="1"/>
      <c r="C498" s="182">
        <f t="shared" si="47"/>
        <v>76044</v>
      </c>
      <c r="D498" s="182" t="e">
        <f t="shared" si="47"/>
        <v>#REF!</v>
      </c>
      <c r="E498" s="167">
        <f>E485</f>
        <v>1.2</v>
      </c>
      <c r="F498" s="227" t="s">
        <v>13</v>
      </c>
      <c r="G498" s="184">
        <f t="shared" si="48"/>
        <v>-913</v>
      </c>
      <c r="H498" s="184" t="e">
        <f t="shared" si="48"/>
        <v>#REF!</v>
      </c>
      <c r="I498" s="167">
        <f>I485</f>
        <v>1.3</v>
      </c>
      <c r="J498" s="156"/>
      <c r="K498" s="184">
        <f t="shared" si="49"/>
        <v>-989</v>
      </c>
      <c r="M498" s="42" t="e">
        <f t="shared" si="50"/>
        <v>#REF!</v>
      </c>
      <c r="W498" s="11"/>
      <c r="X498" s="11"/>
      <c r="Y498" s="11"/>
      <c r="Z498" s="11"/>
      <c r="AA498" s="11"/>
      <c r="AB498" s="11"/>
      <c r="AC498" s="11"/>
    </row>
    <row r="499" spans="1:29">
      <c r="A499" s="172" t="s">
        <v>229</v>
      </c>
      <c r="B499" s="1"/>
      <c r="C499" s="182">
        <f t="shared" si="47"/>
        <v>64762</v>
      </c>
      <c r="D499" s="182" t="e">
        <f t="shared" si="47"/>
        <v>#REF!</v>
      </c>
      <c r="E499" s="167">
        <f>E487</f>
        <v>3.75</v>
      </c>
      <c r="F499" s="227" t="s">
        <v>13</v>
      </c>
      <c r="G499" s="184">
        <f t="shared" si="48"/>
        <v>-2428</v>
      </c>
      <c r="H499" s="184" t="e">
        <f t="shared" si="48"/>
        <v>#REF!</v>
      </c>
      <c r="I499" s="167">
        <f>I487</f>
        <v>3.95</v>
      </c>
      <c r="J499" s="156"/>
      <c r="K499" s="184">
        <f t="shared" si="49"/>
        <v>-2558</v>
      </c>
      <c r="M499" s="42" t="e">
        <f t="shared" si="50"/>
        <v>#REF!</v>
      </c>
      <c r="W499" s="11"/>
      <c r="X499" s="11"/>
      <c r="Y499" s="11"/>
      <c r="Z499" s="11"/>
      <c r="AA499" s="11"/>
      <c r="AB499" s="11"/>
      <c r="AC499" s="11"/>
    </row>
    <row r="500" spans="1:29">
      <c r="A500" s="172" t="s">
        <v>245</v>
      </c>
      <c r="B500" s="1"/>
      <c r="C500" s="182">
        <f t="shared" si="47"/>
        <v>0</v>
      </c>
      <c r="D500" s="182" t="e">
        <f t="shared" si="47"/>
        <v>#REF!</v>
      </c>
      <c r="E500" s="167">
        <f>E488</f>
        <v>3.75</v>
      </c>
      <c r="F500" s="227" t="s">
        <v>13</v>
      </c>
      <c r="G500" s="184">
        <f t="shared" si="48"/>
        <v>0</v>
      </c>
      <c r="H500" s="184" t="e">
        <f t="shared" si="48"/>
        <v>#REF!</v>
      </c>
      <c r="I500" s="167">
        <f>I488</f>
        <v>3.95</v>
      </c>
      <c r="J500" s="156"/>
      <c r="K500" s="184">
        <f t="shared" si="49"/>
        <v>0</v>
      </c>
      <c r="M500" s="42" t="e">
        <f t="shared" si="50"/>
        <v>#REF!</v>
      </c>
      <c r="W500" s="11"/>
      <c r="X500" s="11"/>
      <c r="Y500" s="11"/>
      <c r="Z500" s="11"/>
      <c r="AA500" s="11"/>
      <c r="AB500" s="11"/>
      <c r="AC500" s="11"/>
    </row>
    <row r="501" spans="1:29">
      <c r="A501" s="186" t="s">
        <v>231</v>
      </c>
      <c r="B501" s="1"/>
      <c r="C501" s="182">
        <f t="shared" si="47"/>
        <v>6256747</v>
      </c>
      <c r="D501" s="182" t="e">
        <f t="shared" si="47"/>
        <v>#REF!</v>
      </c>
      <c r="E501" s="237">
        <f>E490</f>
        <v>4.3570000000000002</v>
      </c>
      <c r="F501" s="184" t="s">
        <v>178</v>
      </c>
      <c r="G501" s="184">
        <f t="shared" si="48"/>
        <v>-2726</v>
      </c>
      <c r="H501" s="184" t="e">
        <f t="shared" si="48"/>
        <v>#REF!</v>
      </c>
      <c r="I501" s="237">
        <f>I490</f>
        <v>4.8559999999999999</v>
      </c>
      <c r="J501" s="186" t="s">
        <v>178</v>
      </c>
      <c r="K501" s="184">
        <f t="shared" si="49"/>
        <v>-3038</v>
      </c>
      <c r="M501" s="42" t="e">
        <f>-((I501*D501)/100)/100</f>
        <v>#REF!</v>
      </c>
      <c r="W501" s="11"/>
      <c r="X501" s="11"/>
      <c r="Y501" s="11"/>
      <c r="Z501" s="11"/>
      <c r="AA501" s="11"/>
      <c r="AB501" s="11"/>
      <c r="AC501" s="11"/>
    </row>
    <row r="502" spans="1:29">
      <c r="A502" s="186" t="s">
        <v>203</v>
      </c>
      <c r="B502" s="1"/>
      <c r="C502" s="182">
        <f t="shared" si="47"/>
        <v>19639451</v>
      </c>
      <c r="D502" s="182" t="e">
        <f t="shared" si="47"/>
        <v>#REF!</v>
      </c>
      <c r="E502" s="237">
        <f>E491</f>
        <v>3.9930000000000003</v>
      </c>
      <c r="F502" s="184" t="s">
        <v>178</v>
      </c>
      <c r="G502" s="184">
        <f t="shared" si="48"/>
        <v>-7842</v>
      </c>
      <c r="H502" s="184" t="e">
        <f t="shared" si="48"/>
        <v>#REF!</v>
      </c>
      <c r="I502" s="237">
        <f>I491</f>
        <v>4.4550000000000001</v>
      </c>
      <c r="J502" s="186" t="s">
        <v>178</v>
      </c>
      <c r="K502" s="184">
        <f t="shared" si="49"/>
        <v>-8749</v>
      </c>
      <c r="M502" s="42" t="e">
        <f>-((I502*D502)/100)/100</f>
        <v>#REF!</v>
      </c>
      <c r="W502" s="11"/>
      <c r="X502" s="11"/>
      <c r="Y502" s="11"/>
      <c r="Z502" s="11"/>
      <c r="AA502" s="11"/>
      <c r="AB502" s="11"/>
      <c r="AC502" s="11"/>
    </row>
    <row r="503" spans="1:29">
      <c r="A503" s="186" t="s">
        <v>204</v>
      </c>
      <c r="B503" s="1"/>
      <c r="C503" s="182">
        <f t="shared" si="47"/>
        <v>14691</v>
      </c>
      <c r="D503" s="182" t="e">
        <f t="shared" si="47"/>
        <v>#REF!</v>
      </c>
      <c r="E503" s="238">
        <f>E492</f>
        <v>45</v>
      </c>
      <c r="F503" s="184" t="s">
        <v>178</v>
      </c>
      <c r="G503" s="184">
        <f t="shared" si="48"/>
        <v>-67</v>
      </c>
      <c r="H503" s="184" t="e">
        <f t="shared" si="48"/>
        <v>#REF!</v>
      </c>
      <c r="I503" s="238">
        <f>I492</f>
        <v>50</v>
      </c>
      <c r="J503" s="186" t="s">
        <v>178</v>
      </c>
      <c r="K503" s="184">
        <f t="shared" si="49"/>
        <v>-74</v>
      </c>
      <c r="M503" s="42" t="e">
        <f>-((I503*D503)/100)/100</f>
        <v>#REF!</v>
      </c>
      <c r="W503" s="11"/>
      <c r="X503" s="11"/>
      <c r="Y503" s="11"/>
      <c r="Z503" s="11"/>
      <c r="AA503" s="11"/>
      <c r="AB503" s="11"/>
      <c r="AC503" s="11"/>
    </row>
    <row r="504" spans="1:29">
      <c r="A504" s="186" t="s">
        <v>247</v>
      </c>
      <c r="B504" s="1"/>
      <c r="C504" s="182">
        <f t="shared" si="47"/>
        <v>165</v>
      </c>
      <c r="D504" s="182">
        <f t="shared" si="47"/>
        <v>166</v>
      </c>
      <c r="E504" s="161">
        <f>'Blocking - detail'!E504</f>
        <v>60</v>
      </c>
      <c r="F504" s="227" t="s">
        <v>13</v>
      </c>
      <c r="G504" s="184">
        <f t="shared" si="48"/>
        <v>9900</v>
      </c>
      <c r="H504" s="184">
        <f t="shared" si="48"/>
        <v>9960</v>
      </c>
      <c r="I504" s="161">
        <f>'Blocking - detail'!I504</f>
        <v>60</v>
      </c>
      <c r="J504" s="1"/>
      <c r="K504" s="184">
        <f t="shared" si="49"/>
        <v>9900</v>
      </c>
      <c r="M504" s="42">
        <f>I504*D504</f>
        <v>9960</v>
      </c>
      <c r="W504" s="11"/>
      <c r="X504" s="11"/>
      <c r="Y504" s="11"/>
      <c r="Z504" s="11"/>
      <c r="AA504" s="11"/>
      <c r="AB504" s="11"/>
      <c r="AC504" s="11"/>
    </row>
    <row r="505" spans="1:29">
      <c r="A505" s="186" t="s">
        <v>248</v>
      </c>
      <c r="B505" s="1"/>
      <c r="C505" s="182">
        <f t="shared" si="47"/>
        <v>78375</v>
      </c>
      <c r="D505" s="182" t="e">
        <f t="shared" si="47"/>
        <v>#REF!</v>
      </c>
      <c r="E505" s="202">
        <f>'Blocking - detail'!E505</f>
        <v>-30</v>
      </c>
      <c r="F505" s="184" t="s">
        <v>178</v>
      </c>
      <c r="G505" s="184">
        <f t="shared" si="48"/>
        <v>-23513</v>
      </c>
      <c r="H505" s="184" t="e">
        <f t="shared" si="48"/>
        <v>#REF!</v>
      </c>
      <c r="I505" s="202">
        <f>'Blocking - detail'!I505</f>
        <v>-30</v>
      </c>
      <c r="J505" s="184" t="s">
        <v>178</v>
      </c>
      <c r="K505" s="184">
        <f t="shared" si="49"/>
        <v>-23513</v>
      </c>
      <c r="M505" s="42" t="e">
        <f>(I505/100)*D505</f>
        <v>#REF!</v>
      </c>
      <c r="W505" s="11"/>
      <c r="X505" s="11"/>
      <c r="Y505" s="11"/>
      <c r="Z505" s="11"/>
      <c r="AA505" s="11"/>
      <c r="AB505" s="11"/>
      <c r="AC505" s="11"/>
    </row>
    <row r="506" spans="1:29">
      <c r="A506" s="1" t="s">
        <v>185</v>
      </c>
      <c r="B506" s="29"/>
      <c r="C506" s="182" t="e">
        <f t="shared" si="47"/>
        <v>#REF!</v>
      </c>
      <c r="D506" s="182">
        <f t="shared" si="47"/>
        <v>909584708.38655555</v>
      </c>
      <c r="E506" s="193"/>
      <c r="F506" s="2"/>
      <c r="G506" s="2" t="e">
        <f t="shared" si="48"/>
        <v>#REF!</v>
      </c>
      <c r="H506" s="2" t="e">
        <f t="shared" si="48"/>
        <v>#REF!</v>
      </c>
      <c r="I506" s="2"/>
      <c r="J506" s="1"/>
      <c r="K506" s="2" t="e">
        <f t="shared" si="49"/>
        <v>#REF!</v>
      </c>
      <c r="M506" s="42" t="e">
        <f>SUM(M480:M505)</f>
        <v>#REF!</v>
      </c>
      <c r="P506" s="240"/>
      <c r="W506" s="11"/>
      <c r="X506" s="11"/>
      <c r="Y506" s="11"/>
      <c r="Z506" s="11"/>
      <c r="AA506" s="11"/>
      <c r="AB506" s="11"/>
      <c r="AC506" s="11"/>
    </row>
    <row r="507" spans="1:29">
      <c r="A507" s="1" t="s">
        <v>167</v>
      </c>
      <c r="B507" s="15"/>
      <c r="C507" s="203" t="e">
        <f t="shared" si="47"/>
        <v>#REF!</v>
      </c>
      <c r="D507" s="203">
        <f t="shared" si="47"/>
        <v>0</v>
      </c>
      <c r="E507" s="172"/>
      <c r="F507" s="172"/>
      <c r="G507" s="173" t="e">
        <f t="shared" si="48"/>
        <v>#REF!</v>
      </c>
      <c r="H507" s="173">
        <f t="shared" si="48"/>
        <v>0</v>
      </c>
      <c r="I507" s="172"/>
      <c r="J507" s="172"/>
      <c r="K507" s="173" t="e">
        <f>G507</f>
        <v>#REF!</v>
      </c>
      <c r="M507" s="152"/>
      <c r="N507" s="152"/>
      <c r="O507" s="153"/>
      <c r="W507" s="11"/>
      <c r="X507" s="11"/>
      <c r="Y507" s="11"/>
      <c r="Z507" s="11"/>
      <c r="AA507" s="11"/>
      <c r="AB507" s="11"/>
      <c r="AC507" s="11"/>
    </row>
    <row r="508" spans="1:29" ht="16.5" thickBot="1">
      <c r="A508" s="1" t="s">
        <v>186</v>
      </c>
      <c r="B508" s="1"/>
      <c r="C508" s="229" t="e">
        <f>SUM(C506)+C507</f>
        <v>#REF!</v>
      </c>
      <c r="D508" s="229" t="e">
        <f>SUM(D490:D491)+D507</f>
        <v>#REF!</v>
      </c>
      <c r="E508" s="205"/>
      <c r="F508" s="206"/>
      <c r="G508" s="207" t="e">
        <f>G506+G507</f>
        <v>#REF!</v>
      </c>
      <c r="H508" s="207" t="e">
        <f>H506+H507</f>
        <v>#REF!</v>
      </c>
      <c r="I508" s="205"/>
      <c r="J508" s="208"/>
      <c r="K508" s="207" t="e">
        <f>K506+K507</f>
        <v>#REF!</v>
      </c>
      <c r="M508" s="154"/>
      <c r="N508" s="3" t="s">
        <v>213</v>
      </c>
      <c r="O508" s="42" t="e">
        <f>#REF!*1000</f>
        <v>#REF!</v>
      </c>
      <c r="W508" s="11"/>
      <c r="X508" s="11"/>
      <c r="Y508" s="11"/>
      <c r="Z508" s="11"/>
      <c r="AA508" s="11"/>
      <c r="AB508" s="11"/>
      <c r="AC508" s="11"/>
    </row>
    <row r="509" spans="1:29" ht="16.5" thickTop="1">
      <c r="A509" s="1"/>
      <c r="B509" s="1"/>
      <c r="C509" s="12"/>
      <c r="D509" s="12"/>
      <c r="E509" s="200"/>
      <c r="F509" s="2"/>
      <c r="G509" s="2"/>
      <c r="H509" s="2"/>
      <c r="I509" s="216" t="s">
        <v>13</v>
      </c>
      <c r="J509" s="1"/>
      <c r="K509" s="2" t="s">
        <v>13</v>
      </c>
      <c r="N509" s="3" t="s">
        <v>114</v>
      </c>
      <c r="O509" s="42" t="e">
        <f>O508-K508</f>
        <v>#REF!</v>
      </c>
      <c r="P509" s="139" t="e">
        <f>(O508-K508)/K508</f>
        <v>#REF!</v>
      </c>
      <c r="W509" s="11"/>
      <c r="X509" s="11"/>
      <c r="Y509" s="11"/>
      <c r="Z509" s="11"/>
      <c r="AA509" s="11"/>
      <c r="AB509" s="11"/>
      <c r="AC509" s="11"/>
    </row>
    <row r="510" spans="1:29">
      <c r="A510" s="156" t="s">
        <v>240</v>
      </c>
      <c r="B510" s="1"/>
      <c r="C510" s="1"/>
      <c r="D510" s="1"/>
      <c r="E510" s="2"/>
      <c r="F510" s="2"/>
      <c r="G510" s="1" t="s">
        <v>13</v>
      </c>
      <c r="H510" s="1"/>
      <c r="I510" s="2"/>
      <c r="J510" s="1"/>
      <c r="K510" s="1"/>
      <c r="W510" s="11"/>
      <c r="X510" s="11"/>
      <c r="Y510" s="11"/>
      <c r="Z510" s="11"/>
      <c r="AA510" s="11"/>
      <c r="AB510" s="11"/>
      <c r="AC510" s="11"/>
    </row>
    <row r="511" spans="1:29">
      <c r="A511" s="172" t="s">
        <v>249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O511" s="139" t="e">
        <f>O509/(K490+K491)</f>
        <v>#REF!</v>
      </c>
      <c r="W511" s="11"/>
      <c r="X511" s="11"/>
      <c r="Y511" s="11"/>
      <c r="Z511" s="11"/>
      <c r="AA511" s="11"/>
      <c r="AB511" s="11"/>
      <c r="AC511" s="11"/>
    </row>
    <row r="512" spans="1:29">
      <c r="A512" s="186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11"/>
      <c r="N512" s="11"/>
      <c r="O512" s="38"/>
      <c r="P512" s="38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</row>
    <row r="513" spans="1:29">
      <c r="A513" s="186" t="s">
        <v>197</v>
      </c>
      <c r="B513" s="1"/>
      <c r="C513" s="182"/>
      <c r="D513" s="182"/>
      <c r="E513" s="2"/>
      <c r="F513" s="2"/>
      <c r="G513" s="1"/>
      <c r="H513" s="1"/>
      <c r="I513" s="2"/>
      <c r="J513" s="1"/>
      <c r="K513" s="1"/>
      <c r="M513" s="11"/>
      <c r="N513" s="11"/>
      <c r="O513" s="38"/>
      <c r="P513" s="38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</row>
    <row r="514" spans="1:29">
      <c r="A514" s="186" t="s">
        <v>225</v>
      </c>
      <c r="B514" s="1"/>
      <c r="C514" s="182">
        <f>15+3+272</f>
        <v>290</v>
      </c>
      <c r="D514" s="182">
        <v>294</v>
      </c>
      <c r="E514" s="161">
        <f>$E$480</f>
        <v>225</v>
      </c>
      <c r="F514" s="186"/>
      <c r="G514" s="184">
        <f>ROUND(E514*$C514,0)</f>
        <v>65250</v>
      </c>
      <c r="H514" s="184">
        <f>ROUND(E514*$D514,0)</f>
        <v>66150</v>
      </c>
      <c r="I514" s="161">
        <f>$I$480</f>
        <v>245</v>
      </c>
      <c r="J514" s="186"/>
      <c r="K514" s="184">
        <f>ROUND(I514*$C514,0)</f>
        <v>71050</v>
      </c>
      <c r="M514" s="11"/>
      <c r="N514" s="11"/>
      <c r="O514" s="38"/>
      <c r="P514" s="38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>
      <c r="A515" s="186" t="s">
        <v>226</v>
      </c>
      <c r="B515" s="1"/>
      <c r="C515" s="182">
        <f>891+24+6737</f>
        <v>7652</v>
      </c>
      <c r="D515" s="182">
        <v>7746</v>
      </c>
      <c r="E515" s="161">
        <f>$E$481</f>
        <v>83</v>
      </c>
      <c r="F515" s="186"/>
      <c r="G515" s="184">
        <f>ROUND(E515*$C515,0)</f>
        <v>635116</v>
      </c>
      <c r="H515" s="184">
        <f>ROUND(E515*$D515,0)</f>
        <v>642918</v>
      </c>
      <c r="I515" s="161">
        <f>$I$481</f>
        <v>90</v>
      </c>
      <c r="J515" s="186"/>
      <c r="K515" s="184">
        <f>ROUND(I515*$C515,0)</f>
        <v>688680</v>
      </c>
      <c r="M515" s="11"/>
      <c r="N515" s="11"/>
      <c r="O515" s="38"/>
      <c r="P515" s="38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>
      <c r="A516" s="186" t="s">
        <v>227</v>
      </c>
      <c r="B516" s="1"/>
      <c r="C516" s="182">
        <f>218+106+2548</f>
        <v>2872</v>
      </c>
      <c r="D516" s="182">
        <v>2907</v>
      </c>
      <c r="E516" s="161">
        <f>$E$482</f>
        <v>166</v>
      </c>
      <c r="F516" s="188"/>
      <c r="G516" s="184">
        <f>ROUND(E516*$C516,0)</f>
        <v>476752</v>
      </c>
      <c r="H516" s="184">
        <f>ROUND(E516*$D516,0)</f>
        <v>482562</v>
      </c>
      <c r="I516" s="161">
        <f>$I$482</f>
        <v>180</v>
      </c>
      <c r="J516" s="188"/>
      <c r="K516" s="184">
        <f>ROUND(I516*$C516,0)</f>
        <v>516960</v>
      </c>
      <c r="M516" s="11"/>
      <c r="N516" s="11"/>
      <c r="O516" s="38"/>
      <c r="P516" s="38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>
      <c r="A517" s="186" t="s">
        <v>198</v>
      </c>
      <c r="B517" s="1"/>
      <c r="C517" s="182">
        <f>SUM(C514:C516)</f>
        <v>10814</v>
      </c>
      <c r="D517" s="182">
        <f>SUM(D514:D516)</f>
        <v>10947</v>
      </c>
      <c r="E517" s="161"/>
      <c r="F517" s="186"/>
      <c r="G517" s="184"/>
      <c r="H517" s="184"/>
      <c r="I517" s="161"/>
      <c r="J517" s="186"/>
      <c r="K517" s="184"/>
      <c r="M517" s="11"/>
      <c r="N517" s="11"/>
      <c r="O517" s="38"/>
      <c r="P517" s="38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>
      <c r="A518" s="186" t="s">
        <v>226</v>
      </c>
      <c r="B518" s="1"/>
      <c r="C518" s="182">
        <f>161511+4370+1155196</f>
        <v>1321077</v>
      </c>
      <c r="D518" s="182" t="e">
        <f>ROUND(($D$540/'Billing Determinants (2)'!$C$540)*C518,0)</f>
        <v>#REF!</v>
      </c>
      <c r="E518" s="161">
        <f>$E$484</f>
        <v>1.47</v>
      </c>
      <c r="F518" s="186" t="s">
        <v>13</v>
      </c>
      <c r="G518" s="184">
        <f>ROUND(E518*$C518,0)</f>
        <v>1941983</v>
      </c>
      <c r="H518" s="184" t="e">
        <f>ROUND(E518*$D518,0)</f>
        <v>#REF!</v>
      </c>
      <c r="I518" s="161">
        <f>$I$484</f>
        <v>1.6</v>
      </c>
      <c r="J518" s="186" t="s">
        <v>13</v>
      </c>
      <c r="K518" s="184">
        <f>ROUND(I518*$C518,0)</f>
        <v>2113723</v>
      </c>
      <c r="M518" s="11"/>
      <c r="N518" s="11"/>
      <c r="O518" s="38"/>
      <c r="P518" s="38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>
      <c r="A519" s="186" t="s">
        <v>227</v>
      </c>
      <c r="B519" s="1"/>
      <c r="C519" s="182">
        <f>119211+61985+1218712</f>
        <v>1399908</v>
      </c>
      <c r="D519" s="182" t="e">
        <f>ROUND(($D$540/'Billing Determinants (2)'!$C$540)*C519,0)</f>
        <v>#REF!</v>
      </c>
      <c r="E519" s="161">
        <f>$E$485</f>
        <v>1.2</v>
      </c>
      <c r="F519" s="186" t="s">
        <v>13</v>
      </c>
      <c r="G519" s="184">
        <f>ROUND(E519*$C519,0)</f>
        <v>1679890</v>
      </c>
      <c r="H519" s="184" t="e">
        <f>ROUND(E519*$D519,0)</f>
        <v>#REF!</v>
      </c>
      <c r="I519" s="161">
        <f>$I$485</f>
        <v>1.3</v>
      </c>
      <c r="J519" s="186" t="s">
        <v>13</v>
      </c>
      <c r="K519" s="184">
        <f>ROUND(I519*$C519,0)</f>
        <v>1819880</v>
      </c>
      <c r="M519" s="11"/>
      <c r="N519" s="11"/>
      <c r="O519" s="38"/>
      <c r="P519" s="38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>
      <c r="A520" s="172" t="s">
        <v>228</v>
      </c>
      <c r="B520" s="1"/>
      <c r="C520" s="182"/>
      <c r="D520" s="182"/>
      <c r="E520" s="218"/>
      <c r="F520" s="186"/>
      <c r="G520" s="184"/>
      <c r="H520" s="184"/>
      <c r="I520" s="218"/>
      <c r="J520" s="186"/>
      <c r="K520" s="184"/>
      <c r="M520" s="11"/>
      <c r="N520" s="11"/>
      <c r="O520" s="38"/>
      <c r="P520" s="38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>
      <c r="A521" s="172" t="s">
        <v>229</v>
      </c>
      <c r="B521" s="1"/>
      <c r="C521" s="182">
        <f>1068+119254+79096+150+3376+49943+17200+887264+924289</f>
        <v>2081640</v>
      </c>
      <c r="D521" s="182" t="e">
        <f>ROUND(($D$540/'Billing Determinants (2)'!$C$540)*C521,0)</f>
        <v>#REF!</v>
      </c>
      <c r="E521" s="161">
        <f>$E$487</f>
        <v>3.75</v>
      </c>
      <c r="F521" s="186"/>
      <c r="G521" s="184">
        <f>ROUND(E521*$C521,0)</f>
        <v>7806150</v>
      </c>
      <c r="H521" s="184" t="e">
        <f>ROUND(E521*$D521,0)</f>
        <v>#REF!</v>
      </c>
      <c r="I521" s="161">
        <f>$I$487</f>
        <v>3.95</v>
      </c>
      <c r="J521" s="186"/>
      <c r="K521" s="184">
        <f>ROUND(I521*$C521,0)</f>
        <v>8222478</v>
      </c>
      <c r="M521" s="11"/>
      <c r="N521" s="11"/>
      <c r="O521" s="38"/>
      <c r="P521" s="38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>
      <c r="A522" s="172" t="s">
        <v>245</v>
      </c>
      <c r="B522" s="1"/>
      <c r="C522" s="182">
        <v>0</v>
      </c>
      <c r="D522" s="182" t="e">
        <f>ROUND(($D$540/'Billing Determinants (2)'!$C$540)*C522,0)</f>
        <v>#REF!</v>
      </c>
      <c r="E522" s="232">
        <f>E521</f>
        <v>3.75</v>
      </c>
      <c r="F522" s="186"/>
      <c r="G522" s="184">
        <f>ROUND(E522*$C522,0)</f>
        <v>0</v>
      </c>
      <c r="H522" s="184" t="e">
        <f>ROUND(E522*$D522,0)</f>
        <v>#REF!</v>
      </c>
      <c r="I522" s="232">
        <f>I521</f>
        <v>3.95</v>
      </c>
      <c r="J522" s="186"/>
      <c r="K522" s="184">
        <f>ROUND(I522*$C522,0)</f>
        <v>0</v>
      </c>
      <c r="M522" s="11"/>
      <c r="N522" s="11"/>
      <c r="O522" s="38"/>
      <c r="P522" s="38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</row>
    <row r="523" spans="1:29">
      <c r="A523" s="186" t="s">
        <v>230</v>
      </c>
      <c r="B523" s="1"/>
      <c r="C523" s="182"/>
      <c r="D523" s="182"/>
      <c r="E523" s="161"/>
      <c r="F523" s="186"/>
      <c r="G523" s="184"/>
      <c r="H523" s="184"/>
      <c r="I523" s="161"/>
      <c r="J523" s="186"/>
      <c r="K523" s="184"/>
      <c r="M523" s="11"/>
      <c r="N523" s="11"/>
      <c r="O523" s="38"/>
      <c r="P523" s="38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</row>
    <row r="524" spans="1:29">
      <c r="A524" s="186" t="s">
        <v>231</v>
      </c>
      <c r="B524" s="182"/>
      <c r="C524" s="182" t="e">
        <f>251081+26399950+8327667+8480+907600+4146400+4006185+206696529+96381069+#REF!*1000</f>
        <v>#REF!</v>
      </c>
      <c r="D524" s="182" t="e">
        <f>ROUND(($D$540/'Billing Determinants (2)'!$C$540)*C524,0)</f>
        <v>#REF!</v>
      </c>
      <c r="E524" s="233">
        <f>$E$490</f>
        <v>4.3570000000000002</v>
      </c>
      <c r="F524" s="186" t="s">
        <v>178</v>
      </c>
      <c r="G524" s="184" t="e">
        <f>ROUND(E524*$C524/100,0)</f>
        <v>#REF!</v>
      </c>
      <c r="H524" s="184" t="e">
        <f>ROUND(E524*$D524/100,0)</f>
        <v>#REF!</v>
      </c>
      <c r="I524" s="190">
        <f>$I$490</f>
        <v>4.8559999999999999</v>
      </c>
      <c r="J524" s="186" t="s">
        <v>178</v>
      </c>
      <c r="K524" s="184" t="e">
        <f>ROUND(I524*$C524/100,0)</f>
        <v>#REF!</v>
      </c>
      <c r="M524" s="11"/>
      <c r="N524" s="11"/>
      <c r="O524" s="38"/>
      <c r="P524" s="38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</row>
    <row r="525" spans="1:29">
      <c r="A525" s="186" t="s">
        <v>203</v>
      </c>
      <c r="B525" s="182"/>
      <c r="C525" s="182" t="e">
        <f>251081+44206075+35863656+8480+1348200+18841920+4093885+288814372+368801759-C524+#REF!*1000+#REF!*1000</f>
        <v>#REF!</v>
      </c>
      <c r="D525" s="182" t="e">
        <f>ROUND(($D$540/'Billing Determinants (2)'!$C$540)*C525,0)</f>
        <v>#REF!</v>
      </c>
      <c r="E525" s="233">
        <f>$E$491</f>
        <v>3.9930000000000003</v>
      </c>
      <c r="F525" s="186" t="s">
        <v>178</v>
      </c>
      <c r="G525" s="184" t="e">
        <f>ROUND(E525*$C525/100,0)</f>
        <v>#REF!</v>
      </c>
      <c r="H525" s="184" t="e">
        <f>ROUND(E525*$D525/100,0)</f>
        <v>#REF!</v>
      </c>
      <c r="I525" s="190">
        <f>$I$491</f>
        <v>4.4550000000000001</v>
      </c>
      <c r="J525" s="186" t="s">
        <v>178</v>
      </c>
      <c r="K525" s="184" t="e">
        <f>ROUND(I525*$C525/100,0)</f>
        <v>#REF!</v>
      </c>
      <c r="M525" s="11"/>
      <c r="N525" s="11"/>
      <c r="O525" s="38"/>
      <c r="P525" s="38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</row>
    <row r="526" spans="1:29">
      <c r="A526" s="186" t="s">
        <v>204</v>
      </c>
      <c r="B526" s="1"/>
      <c r="C526" s="182">
        <f>25+26086+19444+27+10311+1383+154262+167734</f>
        <v>379272</v>
      </c>
      <c r="D526" s="182" t="e">
        <f>ROUND(($D$540/'Billing Determinants (2)'!$C$540)*C526,0)</f>
        <v>#REF!</v>
      </c>
      <c r="E526" s="202">
        <f>$E$492</f>
        <v>45</v>
      </c>
      <c r="F526" s="186" t="s">
        <v>178</v>
      </c>
      <c r="G526" s="184">
        <f>ROUND(E526*$C526/100,0)</f>
        <v>170672</v>
      </c>
      <c r="H526" s="184" t="e">
        <f>ROUND(E526*$D526/100,0)</f>
        <v>#REF!</v>
      </c>
      <c r="I526" s="338">
        <f>$I$492</f>
        <v>50</v>
      </c>
      <c r="J526" s="186" t="s">
        <v>178</v>
      </c>
      <c r="K526" s="184">
        <f>ROUND(I526*$C526/100,0)</f>
        <v>189636</v>
      </c>
      <c r="M526" s="11"/>
      <c r="N526" s="11"/>
      <c r="O526" s="38"/>
      <c r="P526" s="38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</row>
    <row r="527" spans="1:29">
      <c r="A527" s="223" t="s">
        <v>205</v>
      </c>
      <c r="B527" s="1"/>
      <c r="C527" s="182"/>
      <c r="D527" s="182"/>
      <c r="E527" s="195">
        <v>-0.01</v>
      </c>
      <c r="F527" s="2"/>
      <c r="G527" s="184"/>
      <c r="H527" s="184"/>
      <c r="I527" s="195">
        <v>-0.01</v>
      </c>
      <c r="J527" s="1"/>
      <c r="K527" s="184"/>
      <c r="M527" s="11"/>
      <c r="N527" s="11"/>
      <c r="O527" s="38"/>
      <c r="P527" s="38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</row>
    <row r="528" spans="1:29">
      <c r="A528" s="186" t="s">
        <v>225</v>
      </c>
      <c r="B528" s="12"/>
      <c r="C528" s="182">
        <v>3</v>
      </c>
      <c r="D528" s="182">
        <v>3</v>
      </c>
      <c r="E528" s="167">
        <f>E514</f>
        <v>225</v>
      </c>
      <c r="F528" s="227"/>
      <c r="G528" s="184">
        <f>ROUND(E528*$C528*E527,0)</f>
        <v>-7</v>
      </c>
      <c r="H528" s="184">
        <f>ROUND(E528*$D528*E527,0)</f>
        <v>-7</v>
      </c>
      <c r="I528" s="167">
        <f>I514</f>
        <v>245</v>
      </c>
      <c r="J528" s="156"/>
      <c r="K528" s="184">
        <f>ROUND(I528*$C528*I527,0)</f>
        <v>-7</v>
      </c>
      <c r="M528" s="11"/>
      <c r="N528" s="11"/>
      <c r="O528" s="38"/>
      <c r="P528" s="38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</row>
    <row r="529" spans="1:29">
      <c r="A529" s="186" t="s">
        <v>226</v>
      </c>
      <c r="B529" s="1"/>
      <c r="C529" s="182">
        <f>24</f>
        <v>24</v>
      </c>
      <c r="D529" s="182">
        <v>24</v>
      </c>
      <c r="E529" s="167">
        <f>E515</f>
        <v>83</v>
      </c>
      <c r="F529" s="227"/>
      <c r="G529" s="184">
        <f>ROUND(E529*$C529*E527,0)</f>
        <v>-20</v>
      </c>
      <c r="H529" s="184">
        <f>ROUND(E529*$D529*E527,0)</f>
        <v>-20</v>
      </c>
      <c r="I529" s="167">
        <f>I515</f>
        <v>90</v>
      </c>
      <c r="J529" s="156"/>
      <c r="K529" s="184">
        <f>ROUND(I529*$C529*I527,0)</f>
        <v>-22</v>
      </c>
      <c r="M529" s="11"/>
      <c r="N529" s="11"/>
      <c r="O529" s="38"/>
      <c r="P529" s="38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</row>
    <row r="530" spans="1:29">
      <c r="A530" s="186" t="s">
        <v>227</v>
      </c>
      <c r="B530" s="1"/>
      <c r="C530" s="182">
        <f>106</f>
        <v>106</v>
      </c>
      <c r="D530" s="182">
        <v>107</v>
      </c>
      <c r="E530" s="167">
        <f>E516</f>
        <v>166</v>
      </c>
      <c r="F530" s="235"/>
      <c r="G530" s="184">
        <f>ROUND(E530*$C530*E527,0)</f>
        <v>-176</v>
      </c>
      <c r="H530" s="184">
        <f>ROUND(E530*$D530*E527,0)</f>
        <v>-178</v>
      </c>
      <c r="I530" s="167">
        <f>I516</f>
        <v>180</v>
      </c>
      <c r="J530" s="236"/>
      <c r="K530" s="184">
        <f>ROUND(I530*$C530*I527,0)</f>
        <v>-191</v>
      </c>
      <c r="M530" s="11"/>
      <c r="N530" s="11"/>
      <c r="O530" s="38"/>
      <c r="P530" s="38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</row>
    <row r="531" spans="1:29">
      <c r="A531" s="186" t="s">
        <v>226</v>
      </c>
      <c r="B531" s="1"/>
      <c r="C531" s="182">
        <f>4585</f>
        <v>4585</v>
      </c>
      <c r="D531" s="182" t="e">
        <f>ROUND(($D$540/'Billing Determinants (2)'!$C$540)*C531,0)</f>
        <v>#REF!</v>
      </c>
      <c r="E531" s="167">
        <f>E518</f>
        <v>1.47</v>
      </c>
      <c r="F531" s="227"/>
      <c r="G531" s="184">
        <f>ROUND(E531*$C531*E527,0)</f>
        <v>-67</v>
      </c>
      <c r="H531" s="184" t="e">
        <f>ROUND(E531*$D531*E527,0)</f>
        <v>#REF!</v>
      </c>
      <c r="I531" s="167">
        <f>I518</f>
        <v>1.6</v>
      </c>
      <c r="J531" s="156"/>
      <c r="K531" s="184">
        <f>ROUND(I531*$C531*I527,0)</f>
        <v>-73</v>
      </c>
      <c r="M531" s="11"/>
      <c r="N531" s="11"/>
      <c r="O531" s="339"/>
      <c r="P531" s="38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>
      <c r="A532" s="186" t="s">
        <v>227</v>
      </c>
      <c r="B532" s="1"/>
      <c r="C532" s="182">
        <v>65891</v>
      </c>
      <c r="D532" s="182" t="e">
        <f>ROUND(($D$540/'Billing Determinants (2)'!$C$540)*C532,0)</f>
        <v>#REF!</v>
      </c>
      <c r="E532" s="167">
        <f>E519</f>
        <v>1.2</v>
      </c>
      <c r="F532" s="227" t="s">
        <v>13</v>
      </c>
      <c r="G532" s="184">
        <f>ROUND(E532*$C532*E527,0)</f>
        <v>-791</v>
      </c>
      <c r="H532" s="184" t="e">
        <f>ROUND(E532*$D532*E527,0)</f>
        <v>#REF!</v>
      </c>
      <c r="I532" s="167">
        <f>I519</f>
        <v>1.3</v>
      </c>
      <c r="J532" s="156"/>
      <c r="K532" s="184">
        <f>ROUND(I532*$C532*I527,0)</f>
        <v>-857</v>
      </c>
      <c r="M532" s="11"/>
      <c r="N532" s="11"/>
      <c r="O532" s="38"/>
      <c r="P532" s="38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>
      <c r="A533" s="172" t="s">
        <v>229</v>
      </c>
      <c r="B533" s="1"/>
      <c r="C533" s="182">
        <f>150+3376+49943</f>
        <v>53469</v>
      </c>
      <c r="D533" s="182" t="e">
        <f>ROUND(($D$540/'Billing Determinants (2)'!$C$540)*C533,0)</f>
        <v>#REF!</v>
      </c>
      <c r="E533" s="167">
        <f>E521</f>
        <v>3.75</v>
      </c>
      <c r="F533" s="227" t="s">
        <v>13</v>
      </c>
      <c r="G533" s="184">
        <f>ROUND(E533*$C533*E527,0)</f>
        <v>-2005</v>
      </c>
      <c r="H533" s="184" t="e">
        <f>ROUND(E533*$D533*E527,0)</f>
        <v>#REF!</v>
      </c>
      <c r="I533" s="167">
        <f>I521</f>
        <v>3.95</v>
      </c>
      <c r="J533" s="156"/>
      <c r="K533" s="184">
        <f>ROUND(I533*$C533*I527,0)</f>
        <v>-2112</v>
      </c>
      <c r="M533" s="11"/>
      <c r="N533" s="11"/>
      <c r="O533" s="38"/>
      <c r="P533" s="38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>
      <c r="A534" s="172" t="s">
        <v>245</v>
      </c>
      <c r="B534" s="1"/>
      <c r="C534" s="182">
        <v>0</v>
      </c>
      <c r="D534" s="182" t="e">
        <f>ROUND(($D$540/'Billing Determinants (2)'!$C$540)*C534,0)</f>
        <v>#REF!</v>
      </c>
      <c r="E534" s="167">
        <f>E522</f>
        <v>3.75</v>
      </c>
      <c r="F534" s="227" t="s">
        <v>13</v>
      </c>
      <c r="G534" s="184">
        <f>ROUND(E534*$C534*E527,0)</f>
        <v>0</v>
      </c>
      <c r="H534" s="184" t="e">
        <f>ROUND(E534*$D534*E527,0)</f>
        <v>#REF!</v>
      </c>
      <c r="I534" s="167">
        <f>I522</f>
        <v>3.95</v>
      </c>
      <c r="J534" s="156"/>
      <c r="K534" s="184">
        <f>ROUND(I534*$C534*I527,0)</f>
        <v>0</v>
      </c>
      <c r="M534" s="11"/>
      <c r="N534" s="11"/>
      <c r="O534" s="38"/>
      <c r="P534" s="38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>
      <c r="A535" s="186" t="s">
        <v>231</v>
      </c>
      <c r="B535" s="1"/>
      <c r="C535" s="182">
        <f>8480+907600+4146400</f>
        <v>5062480</v>
      </c>
      <c r="D535" s="182" t="e">
        <f>ROUND(($D$540/'Billing Determinants (2)'!$C$540)*C535,0)</f>
        <v>#REF!</v>
      </c>
      <c r="E535" s="237">
        <f>E524</f>
        <v>4.3570000000000002</v>
      </c>
      <c r="F535" s="184" t="s">
        <v>178</v>
      </c>
      <c r="G535" s="184">
        <f>ROUND(E535*$C535/100*E527,0)</f>
        <v>-2206</v>
      </c>
      <c r="H535" s="184" t="e">
        <f>ROUND(E535*$D535/100*E527,0)</f>
        <v>#REF!</v>
      </c>
      <c r="I535" s="237">
        <f>I524</f>
        <v>4.8559999999999999</v>
      </c>
      <c r="J535" s="186" t="s">
        <v>178</v>
      </c>
      <c r="K535" s="184">
        <f>ROUND(I535*$C535/100*I527,0)</f>
        <v>-2458</v>
      </c>
      <c r="M535" s="279"/>
      <c r="N535" s="279"/>
      <c r="O535" s="38"/>
      <c r="P535" s="38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>
      <c r="A536" s="186" t="s">
        <v>203</v>
      </c>
      <c r="B536" s="1"/>
      <c r="C536" s="182">
        <f>8480+1348200+18841920-C535</f>
        <v>15136120</v>
      </c>
      <c r="D536" s="182" t="e">
        <f>ROUND(($D$540/'Billing Determinants (2)'!$C$540)*C536,0)</f>
        <v>#REF!</v>
      </c>
      <c r="E536" s="237">
        <f>E525</f>
        <v>3.9930000000000003</v>
      </c>
      <c r="F536" s="184" t="s">
        <v>178</v>
      </c>
      <c r="G536" s="184">
        <f>ROUND(E536*$C536/100*E527,0)</f>
        <v>-6044</v>
      </c>
      <c r="H536" s="184" t="e">
        <f>ROUND(E536*$D536/100*E527,0)</f>
        <v>#REF!</v>
      </c>
      <c r="I536" s="237">
        <f>I525</f>
        <v>4.4550000000000001</v>
      </c>
      <c r="J536" s="186" t="s">
        <v>178</v>
      </c>
      <c r="K536" s="184">
        <f>ROUND(I536*$C536/100*I527,0)</f>
        <v>-6743</v>
      </c>
      <c r="M536" s="11"/>
      <c r="N536" s="11"/>
      <c r="O536" s="38"/>
      <c r="P536" s="38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>
      <c r="A537" s="186" t="s">
        <v>204</v>
      </c>
      <c r="B537" s="1"/>
      <c r="C537" s="182">
        <f>27+10311</f>
        <v>10338</v>
      </c>
      <c r="D537" s="182" t="e">
        <f>ROUND(($D$540/'Billing Determinants (2)'!$C$540)*C537,0)</f>
        <v>#REF!</v>
      </c>
      <c r="E537" s="238">
        <f>E526</f>
        <v>45</v>
      </c>
      <c r="F537" s="184" t="s">
        <v>178</v>
      </c>
      <c r="G537" s="184">
        <f>ROUND(E537*$C537/100*E527,0)</f>
        <v>-47</v>
      </c>
      <c r="H537" s="184" t="e">
        <f>ROUND(E537*$D537/100*E527,0)</f>
        <v>#REF!</v>
      </c>
      <c r="I537" s="238">
        <f>I526</f>
        <v>50</v>
      </c>
      <c r="J537" s="186" t="s">
        <v>178</v>
      </c>
      <c r="K537" s="184">
        <f>ROUND(I537*$C537/100*I527,0)</f>
        <v>-52</v>
      </c>
      <c r="M537" s="11"/>
      <c r="N537" s="11"/>
      <c r="O537" s="38"/>
      <c r="P537" s="38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>
      <c r="A538" s="186" t="s">
        <v>247</v>
      </c>
      <c r="B538" s="1"/>
      <c r="C538" s="182">
        <f>3+24+106</f>
        <v>133</v>
      </c>
      <c r="D538" s="182">
        <v>135</v>
      </c>
      <c r="E538" s="161">
        <f>$E$504</f>
        <v>60</v>
      </c>
      <c r="F538" s="227" t="s">
        <v>13</v>
      </c>
      <c r="G538" s="184">
        <f>ROUND(E538*$C538,0)</f>
        <v>7980</v>
      </c>
      <c r="H538" s="184">
        <f>ROUND(E538*$D538,0)</f>
        <v>8100</v>
      </c>
      <c r="I538" s="161">
        <f>$I$504</f>
        <v>60</v>
      </c>
      <c r="J538" s="1"/>
      <c r="K538" s="184">
        <f>ROUND(I538*$C538,0)</f>
        <v>7980</v>
      </c>
      <c r="M538" s="11"/>
      <c r="N538" s="11"/>
      <c r="O538" s="38"/>
      <c r="P538" s="340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>
      <c r="A539" s="186" t="s">
        <v>248</v>
      </c>
      <c r="B539" s="168"/>
      <c r="C539" s="182">
        <f>4370+61985</f>
        <v>66355</v>
      </c>
      <c r="D539" s="182" t="e">
        <f>ROUND(($D$540/'Billing Determinants (2)'!$C$540)*C539,0)</f>
        <v>#REF!</v>
      </c>
      <c r="E539" s="202">
        <f>$E$505</f>
        <v>-30</v>
      </c>
      <c r="F539" s="184" t="s">
        <v>178</v>
      </c>
      <c r="G539" s="184">
        <f>ROUND(E539*$C539/100,0)</f>
        <v>-19907</v>
      </c>
      <c r="H539" s="184" t="e">
        <f>ROUND(E539*$D539/100,0)</f>
        <v>#REF!</v>
      </c>
      <c r="I539" s="202">
        <f>$I$505</f>
        <v>-30</v>
      </c>
      <c r="J539" s="184" t="s">
        <v>178</v>
      </c>
      <c r="K539" s="184">
        <f>ROUND(I539*$C539/100,0)</f>
        <v>-19907</v>
      </c>
      <c r="M539" s="11"/>
      <c r="N539" s="11"/>
      <c r="O539" s="38"/>
      <c r="P539" s="38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>
      <c r="A540" s="1" t="s">
        <v>185</v>
      </c>
      <c r="B540" s="170"/>
      <c r="C540" s="182" t="e">
        <f>SUM(C524:C525)</f>
        <v>#REF!</v>
      </c>
      <c r="D540" s="182">
        <v>762801321.03140867</v>
      </c>
      <c r="E540" s="193"/>
      <c r="F540" s="2"/>
      <c r="G540" s="2" t="e">
        <f>SUM(G514:G539)</f>
        <v>#REF!</v>
      </c>
      <c r="H540" s="2" t="e">
        <f>SUM(H514:H539)</f>
        <v>#REF!</v>
      </c>
      <c r="I540" s="193"/>
      <c r="J540" s="1"/>
      <c r="K540" s="2" t="e">
        <f>SUM(K514:K539)</f>
        <v>#REF!</v>
      </c>
      <c r="M540" s="11"/>
      <c r="N540" s="11"/>
      <c r="O540" s="38"/>
      <c r="P540" s="38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>
      <c r="A541" s="1" t="s">
        <v>167</v>
      </c>
      <c r="B541" s="1"/>
      <c r="C541" s="212" t="e">
        <f>#REF!</f>
        <v>#REF!</v>
      </c>
      <c r="D541" s="203">
        <v>0</v>
      </c>
      <c r="E541" s="172"/>
      <c r="F541" s="172"/>
      <c r="G541" s="173" t="e">
        <f>#REF!</f>
        <v>#REF!</v>
      </c>
      <c r="H541" s="173">
        <v>0</v>
      </c>
      <c r="I541" s="172"/>
      <c r="J541" s="172"/>
      <c r="K541" s="173" t="e">
        <f>G541</f>
        <v>#REF!</v>
      </c>
      <c r="M541" s="307"/>
      <c r="N541" s="307"/>
      <c r="O541" s="150"/>
      <c r="P541" s="38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 ht="16.5" thickBot="1">
      <c r="A542" s="1" t="s">
        <v>186</v>
      </c>
      <c r="B542" s="1"/>
      <c r="C542" s="229" t="e">
        <f>SUM(C540)+C541</f>
        <v>#REF!</v>
      </c>
      <c r="D542" s="229" t="e">
        <f>SUM(D524:D525)+D541</f>
        <v>#REF!</v>
      </c>
      <c r="E542" s="205"/>
      <c r="F542" s="206"/>
      <c r="G542" s="207" t="e">
        <f>G540+G541</f>
        <v>#REF!</v>
      </c>
      <c r="H542" s="207" t="e">
        <f>H540+H541</f>
        <v>#REF!</v>
      </c>
      <c r="I542" s="205"/>
      <c r="J542" s="208"/>
      <c r="K542" s="207" t="e">
        <f>K540+K541</f>
        <v>#REF!</v>
      </c>
      <c r="M542" s="274"/>
      <c r="N542" s="274"/>
      <c r="O542" s="333"/>
      <c r="P542" s="38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 ht="16.5" thickTop="1">
      <c r="A543" s="1"/>
      <c r="B543" s="1"/>
      <c r="C543" s="12"/>
      <c r="D543" s="12"/>
      <c r="E543" s="200"/>
      <c r="F543" s="2"/>
      <c r="G543" s="2"/>
      <c r="H543" s="2"/>
      <c r="I543" s="216" t="s">
        <v>13</v>
      </c>
      <c r="J543" s="1"/>
      <c r="K543" s="2" t="s">
        <v>13</v>
      </c>
      <c r="M543" s="11"/>
      <c r="N543" s="11"/>
      <c r="O543" s="38"/>
      <c r="P543" s="38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</row>
    <row r="544" spans="1:29">
      <c r="A544" s="156" t="s">
        <v>240</v>
      </c>
      <c r="B544" s="1"/>
      <c r="C544" s="1"/>
      <c r="D544" s="1"/>
      <c r="E544" s="2"/>
      <c r="F544" s="2"/>
      <c r="G544" s="1" t="s">
        <v>13</v>
      </c>
      <c r="H544" s="1"/>
      <c r="I544" s="2"/>
      <c r="J544" s="1"/>
      <c r="K544" s="1"/>
      <c r="M544" s="11"/>
      <c r="N544" s="11"/>
      <c r="O544" s="38"/>
      <c r="P544" s="38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</row>
    <row r="545" spans="1:29">
      <c r="A545" s="172" t="s">
        <v>250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  <c r="M545" s="11"/>
      <c r="N545" s="11"/>
      <c r="O545" s="38"/>
      <c r="P545" s="38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</row>
    <row r="546" spans="1:29">
      <c r="A546" s="186"/>
      <c r="B546" s="1"/>
      <c r="C546" s="1"/>
      <c r="D546" s="1"/>
      <c r="E546" s="2"/>
      <c r="F546" s="2"/>
      <c r="G546" s="1"/>
      <c r="H546" s="1"/>
      <c r="I546" s="2"/>
      <c r="J546" s="1"/>
      <c r="K546" s="1"/>
      <c r="M546" s="11"/>
      <c r="N546" s="11"/>
      <c r="O546" s="38"/>
      <c r="P546" s="38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>
      <c r="A547" s="186" t="s">
        <v>197</v>
      </c>
      <c r="B547" s="12"/>
      <c r="C547" s="182"/>
      <c r="D547" s="182"/>
      <c r="E547" s="2"/>
      <c r="F547" s="2"/>
      <c r="G547" s="1"/>
      <c r="H547" s="1"/>
      <c r="I547" s="2"/>
      <c r="J547" s="1"/>
      <c r="K547" s="1"/>
      <c r="M547" s="11"/>
      <c r="N547" s="11"/>
      <c r="O547" s="38"/>
      <c r="P547" s="38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>
      <c r="A548" s="186" t="s">
        <v>225</v>
      </c>
      <c r="B548" s="1"/>
      <c r="C548" s="182">
        <f>6+4+42</f>
        <v>52</v>
      </c>
      <c r="D548" s="182">
        <v>51</v>
      </c>
      <c r="E548" s="161">
        <f>$E$480</f>
        <v>225</v>
      </c>
      <c r="F548" s="186"/>
      <c r="G548" s="184">
        <f>ROUND(E548*$C548,0)</f>
        <v>11700</v>
      </c>
      <c r="H548" s="184">
        <f>ROUND(E548*$D548,0)</f>
        <v>11475</v>
      </c>
      <c r="I548" s="161">
        <f>$I$480</f>
        <v>245</v>
      </c>
      <c r="J548" s="186"/>
      <c r="K548" s="184">
        <f>ROUND(I548*$C548,0)</f>
        <v>12740</v>
      </c>
      <c r="M548" s="11"/>
      <c r="N548" s="11"/>
      <c r="O548" s="38"/>
      <c r="P548" s="38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>
      <c r="A549" s="186" t="s">
        <v>226</v>
      </c>
      <c r="B549" s="1"/>
      <c r="C549" s="182">
        <f>320+13+848</f>
        <v>1181</v>
      </c>
      <c r="D549" s="182">
        <v>1150</v>
      </c>
      <c r="E549" s="161">
        <f>$E$481</f>
        <v>83</v>
      </c>
      <c r="F549" s="186"/>
      <c r="G549" s="184">
        <f>ROUND(E549*$C549,0)</f>
        <v>98023</v>
      </c>
      <c r="H549" s="184">
        <f>ROUND(E549*$D549,0)</f>
        <v>95450</v>
      </c>
      <c r="I549" s="161">
        <f>$I$481</f>
        <v>90</v>
      </c>
      <c r="J549" s="186"/>
      <c r="K549" s="184">
        <f>ROUND(I549*$C549,0)</f>
        <v>106290</v>
      </c>
      <c r="M549" s="11"/>
      <c r="N549" s="11"/>
      <c r="O549" s="38"/>
      <c r="P549" s="38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>
      <c r="A550" s="186" t="s">
        <v>227</v>
      </c>
      <c r="B550" s="1"/>
      <c r="C550" s="182">
        <f>20+15+624</f>
        <v>659</v>
      </c>
      <c r="D550" s="182">
        <v>642</v>
      </c>
      <c r="E550" s="161">
        <f>$E$482</f>
        <v>166</v>
      </c>
      <c r="F550" s="188"/>
      <c r="G550" s="184">
        <f>ROUND(E550*$C550,0)</f>
        <v>109394</v>
      </c>
      <c r="H550" s="184">
        <f>ROUND(E550*$D550,0)</f>
        <v>106572</v>
      </c>
      <c r="I550" s="161">
        <f>$I$482</f>
        <v>180</v>
      </c>
      <c r="J550" s="188"/>
      <c r="K550" s="184">
        <f>ROUND(I550*$C550,0)</f>
        <v>118620</v>
      </c>
      <c r="M550" s="11"/>
      <c r="N550" s="11"/>
      <c r="O550" s="38"/>
      <c r="P550" s="38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</row>
    <row r="551" spans="1:29">
      <c r="A551" s="186" t="s">
        <v>198</v>
      </c>
      <c r="B551" s="1"/>
      <c r="C551" s="182">
        <f>SUM(C548:C550)</f>
        <v>1892</v>
      </c>
      <c r="D551" s="182">
        <f>SUM(D548:D550)</f>
        <v>1843</v>
      </c>
      <c r="E551" s="161"/>
      <c r="F551" s="186"/>
      <c r="G551" s="184"/>
      <c r="H551" s="184"/>
      <c r="I551" s="161"/>
      <c r="J551" s="186"/>
      <c r="K551" s="184"/>
      <c r="M551" s="11"/>
      <c r="N551" s="11"/>
      <c r="O551" s="38"/>
      <c r="P551" s="38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</row>
    <row r="552" spans="1:29">
      <c r="A552" s="186" t="s">
        <v>226</v>
      </c>
      <c r="B552" s="1"/>
      <c r="C552" s="182">
        <f>54864+1867+144667</f>
        <v>201398</v>
      </c>
      <c r="D552" s="182">
        <f>ROUND(($D$574/'Billing Determinants (2)'!$C$574)*C552,0)</f>
        <v>209360</v>
      </c>
      <c r="E552" s="161">
        <f>$E$484</f>
        <v>1.47</v>
      </c>
      <c r="F552" s="186" t="s">
        <v>13</v>
      </c>
      <c r="G552" s="184">
        <f>ROUND(E552*$C552,0)</f>
        <v>296055</v>
      </c>
      <c r="H552" s="184">
        <f>ROUND(E552*$D552,0)</f>
        <v>307759</v>
      </c>
      <c r="I552" s="161">
        <f>$I$484</f>
        <v>1.6</v>
      </c>
      <c r="J552" s="186" t="s">
        <v>13</v>
      </c>
      <c r="K552" s="184">
        <f>ROUND(I552*$C552,0)</f>
        <v>322237</v>
      </c>
      <c r="M552" s="11"/>
      <c r="N552" s="11"/>
      <c r="O552" s="38"/>
      <c r="P552" s="38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</row>
    <row r="553" spans="1:29">
      <c r="A553" s="186" t="s">
        <v>227</v>
      </c>
      <c r="B553" s="1"/>
      <c r="C553" s="182">
        <f>6093+10153+350559</f>
        <v>366805</v>
      </c>
      <c r="D553" s="182">
        <f>ROUND(($D$574/'Billing Determinants (2)'!$C$574)*C553,0)</f>
        <v>381307</v>
      </c>
      <c r="E553" s="161">
        <f>$E$485</f>
        <v>1.2</v>
      </c>
      <c r="F553" s="186" t="s">
        <v>13</v>
      </c>
      <c r="G553" s="184">
        <f>ROUND(E553*$C553,0)</f>
        <v>440166</v>
      </c>
      <c r="H553" s="184">
        <f>ROUND(E553*$D553,0)</f>
        <v>457568</v>
      </c>
      <c r="I553" s="161">
        <f>$I$485</f>
        <v>1.3</v>
      </c>
      <c r="J553" s="186" t="s">
        <v>13</v>
      </c>
      <c r="K553" s="184">
        <f>ROUND(I553*$C553,0)</f>
        <v>476847</v>
      </c>
      <c r="M553" s="11"/>
      <c r="N553" s="11"/>
      <c r="O553" s="38"/>
      <c r="P553" s="38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>
      <c r="A554" s="172" t="s">
        <v>228</v>
      </c>
      <c r="B554" s="1"/>
      <c r="C554" s="182"/>
      <c r="D554" s="182"/>
      <c r="E554" s="218"/>
      <c r="F554" s="186"/>
      <c r="G554" s="184"/>
      <c r="H554" s="184"/>
      <c r="I554" s="218"/>
      <c r="J554" s="186"/>
      <c r="K554" s="184"/>
      <c r="M554" s="11"/>
      <c r="N554" s="11"/>
      <c r="O554" s="38"/>
      <c r="P554" s="38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>
      <c r="A555" s="172" t="s">
        <v>229</v>
      </c>
      <c r="B555" s="1"/>
      <c r="C555" s="182">
        <f>300+25155+1985+244+1804+9245+2788+120834+284508</f>
        <v>446863</v>
      </c>
      <c r="D555" s="182">
        <f>ROUND(($D$574/'Billing Determinants (2)'!$C$574)*C555,0)</f>
        <v>464530</v>
      </c>
      <c r="E555" s="161">
        <f>$E$487</f>
        <v>3.75</v>
      </c>
      <c r="F555" s="186"/>
      <c r="G555" s="184">
        <f>ROUND(E555*$C555,0)</f>
        <v>1675736</v>
      </c>
      <c r="H555" s="184">
        <f>ROUND(E555*$D555,0)</f>
        <v>1741988</v>
      </c>
      <c r="I555" s="161">
        <f>$I$487</f>
        <v>3.95</v>
      </c>
      <c r="J555" s="186"/>
      <c r="K555" s="184">
        <f>ROUND(I555*$C555,0)</f>
        <v>1765109</v>
      </c>
      <c r="M555" s="11"/>
      <c r="N555" s="11"/>
      <c r="O555" s="38"/>
      <c r="P555" s="38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>
      <c r="A556" s="172" t="s">
        <v>245</v>
      </c>
      <c r="B556" s="1"/>
      <c r="C556" s="182">
        <v>0</v>
      </c>
      <c r="D556" s="182">
        <f>ROUND(($D$574/'Billing Determinants (2)'!$C$574)*C556,0)</f>
        <v>0</v>
      </c>
      <c r="E556" s="232">
        <f>E555</f>
        <v>3.75</v>
      </c>
      <c r="F556" s="186"/>
      <c r="G556" s="184">
        <f>ROUND(E556*$C556,0)</f>
        <v>0</v>
      </c>
      <c r="H556" s="184">
        <f>ROUND(E556*$D556,0)</f>
        <v>0</v>
      </c>
      <c r="I556" s="232">
        <f>I555</f>
        <v>3.95</v>
      </c>
      <c r="J556" s="186"/>
      <c r="K556" s="184">
        <f>ROUND(I556*$C556,0)</f>
        <v>0</v>
      </c>
      <c r="M556" s="11"/>
      <c r="N556" s="11"/>
      <c r="O556" s="38"/>
      <c r="P556" s="38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</row>
    <row r="557" spans="1:29">
      <c r="A557" s="186" t="s">
        <v>230</v>
      </c>
      <c r="B557" s="1"/>
      <c r="C557" s="182"/>
      <c r="D557" s="182"/>
      <c r="E557" s="161"/>
      <c r="F557" s="186"/>
      <c r="G557" s="184"/>
      <c r="H557" s="184"/>
      <c r="I557" s="161"/>
      <c r="J557" s="186"/>
      <c r="K557" s="184"/>
      <c r="M557" s="11"/>
      <c r="N557" s="11"/>
      <c r="O557" s="38"/>
      <c r="P557" s="38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</row>
    <row r="558" spans="1:29">
      <c r="A558" s="186" t="s">
        <v>231</v>
      </c>
      <c r="B558" s="1"/>
      <c r="C558" s="182">
        <f>29360+2957989+147440+73200+518400+602667+369500+25799011+24094693</f>
        <v>54592260</v>
      </c>
      <c r="D558" s="182">
        <f>ROUND(($D$574/'Billing Determinants (2)'!$C$574)*C558,0)</f>
        <v>56750605</v>
      </c>
      <c r="E558" s="233">
        <f>$E$490</f>
        <v>4.3570000000000002</v>
      </c>
      <c r="F558" s="186" t="s">
        <v>178</v>
      </c>
      <c r="G558" s="184">
        <f>ROUND(E558*$C558/100,0)</f>
        <v>2378585</v>
      </c>
      <c r="H558" s="184">
        <f>ROUND(E558*$D558/100,0)</f>
        <v>2472624</v>
      </c>
      <c r="I558" s="190">
        <f>$I$490</f>
        <v>4.8559999999999999</v>
      </c>
      <c r="J558" s="186" t="s">
        <v>178</v>
      </c>
      <c r="K558" s="184">
        <f>ROUND(I558*$C558/100,0)</f>
        <v>2651000</v>
      </c>
      <c r="M558" s="11"/>
      <c r="N558" s="11"/>
      <c r="O558" s="38"/>
      <c r="P558" s="38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</row>
    <row r="559" spans="1:29">
      <c r="A559" s="186" t="s">
        <v>203</v>
      </c>
      <c r="B559" s="1"/>
      <c r="C559" s="182">
        <f>29360+3798842+224080+73200+1075199+4549199+369500+35089176+95992349-C558</f>
        <v>86608645</v>
      </c>
      <c r="D559" s="182">
        <f>ROUND(($D$574/'Billing Determinants (2)'!$C$574)*C559,0)</f>
        <v>90032782</v>
      </c>
      <c r="E559" s="233">
        <f>$E$491</f>
        <v>3.9930000000000003</v>
      </c>
      <c r="F559" s="186" t="s">
        <v>178</v>
      </c>
      <c r="G559" s="184">
        <f>ROUND(E559*$C559/100,0)</f>
        <v>3458283</v>
      </c>
      <c r="H559" s="184">
        <f>ROUND(E559*$D559/100,0)</f>
        <v>3595009</v>
      </c>
      <c r="I559" s="190">
        <f>$I$491</f>
        <v>4.4550000000000001</v>
      </c>
      <c r="J559" s="186" t="s">
        <v>178</v>
      </c>
      <c r="K559" s="184">
        <f>ROUND(I559*$C559/100,0)</f>
        <v>3858415</v>
      </c>
      <c r="M559" s="11"/>
      <c r="N559" s="11"/>
      <c r="O559" s="38"/>
      <c r="P559" s="38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>
      <c r="A560" s="186" t="s">
        <v>204</v>
      </c>
      <c r="B560" s="1"/>
      <c r="C560" s="182">
        <f>32+6144+487+15+1044+3294+435+35034+100127</f>
        <v>146612</v>
      </c>
      <c r="D560" s="182">
        <f>ROUND(($D$574/'Billing Determinants (2)'!$C$574)*C560,0)</f>
        <v>152408</v>
      </c>
      <c r="E560" s="202">
        <f>$E$492</f>
        <v>45</v>
      </c>
      <c r="F560" s="186" t="s">
        <v>178</v>
      </c>
      <c r="G560" s="184">
        <f>ROUND(E560*$C560/100,0)</f>
        <v>65975</v>
      </c>
      <c r="H560" s="184">
        <f>ROUND(E560*$D560/100,0)</f>
        <v>68584</v>
      </c>
      <c r="I560" s="338">
        <f>$I$492</f>
        <v>50</v>
      </c>
      <c r="J560" s="186" t="s">
        <v>178</v>
      </c>
      <c r="K560" s="184">
        <f>ROUND(I560*$C560/100,0)</f>
        <v>73306</v>
      </c>
      <c r="M560" s="11"/>
      <c r="N560" s="11"/>
      <c r="O560" s="38"/>
      <c r="P560" s="38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>
      <c r="A561" s="223" t="s">
        <v>205</v>
      </c>
      <c r="B561" s="1"/>
      <c r="C561" s="182"/>
      <c r="D561" s="182"/>
      <c r="E561" s="195">
        <v>-0.01</v>
      </c>
      <c r="F561" s="2"/>
      <c r="G561" s="184"/>
      <c r="H561" s="184"/>
      <c r="I561" s="195">
        <v>-0.01</v>
      </c>
      <c r="J561" s="1"/>
      <c r="K561" s="184"/>
      <c r="M561" s="11"/>
      <c r="N561" s="11"/>
      <c r="O561" s="38"/>
      <c r="P561" s="38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>
      <c r="A562" s="186" t="s">
        <v>225</v>
      </c>
      <c r="B562" s="1"/>
      <c r="C562" s="182">
        <v>4</v>
      </c>
      <c r="D562" s="182">
        <v>4</v>
      </c>
      <c r="E562" s="167">
        <f>E548</f>
        <v>225</v>
      </c>
      <c r="F562" s="227"/>
      <c r="G562" s="184">
        <f>ROUND(E562*$C562*E561,0)</f>
        <v>-9</v>
      </c>
      <c r="H562" s="184">
        <f>ROUND(E562*$D562*E561,0)</f>
        <v>-9</v>
      </c>
      <c r="I562" s="167">
        <f>I548</f>
        <v>245</v>
      </c>
      <c r="J562" s="156"/>
      <c r="K562" s="184">
        <f>ROUND(I562*$C562*I561,0)</f>
        <v>-10</v>
      </c>
      <c r="M562" s="11"/>
      <c r="N562" s="11"/>
      <c r="O562" s="38"/>
      <c r="P562" s="38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>
      <c r="A563" s="186" t="s">
        <v>226</v>
      </c>
      <c r="B563" s="1"/>
      <c r="C563" s="182">
        <v>13</v>
      </c>
      <c r="D563" s="182">
        <v>13</v>
      </c>
      <c r="E563" s="167">
        <f>E549</f>
        <v>83</v>
      </c>
      <c r="F563" s="227"/>
      <c r="G563" s="184">
        <f>ROUND(E563*$C563*E561,0)</f>
        <v>-11</v>
      </c>
      <c r="H563" s="184">
        <f>ROUND(E563*$D563*E561,0)</f>
        <v>-11</v>
      </c>
      <c r="I563" s="167">
        <f>I549</f>
        <v>90</v>
      </c>
      <c r="J563" s="156"/>
      <c r="K563" s="184">
        <f>ROUND(I563*$C563*I561,0)</f>
        <v>-12</v>
      </c>
      <c r="M563" s="11"/>
      <c r="N563" s="11"/>
      <c r="O563" s="38"/>
      <c r="P563" s="38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>
      <c r="A564" s="186" t="s">
        <v>227</v>
      </c>
      <c r="B564" s="1"/>
      <c r="C564" s="182">
        <v>15</v>
      </c>
      <c r="D564" s="182">
        <v>15</v>
      </c>
      <c r="E564" s="167">
        <f>E550</f>
        <v>166</v>
      </c>
      <c r="F564" s="235"/>
      <c r="G564" s="184">
        <f>ROUND(E564*$C564*E561,0)</f>
        <v>-25</v>
      </c>
      <c r="H564" s="184">
        <f>ROUND(E564*$D564*E561,0)</f>
        <v>-25</v>
      </c>
      <c r="I564" s="167">
        <f>I550</f>
        <v>180</v>
      </c>
      <c r="J564" s="236"/>
      <c r="K564" s="184">
        <f>ROUND(I564*$C564*I561,0)</f>
        <v>-27</v>
      </c>
      <c r="M564" s="11"/>
      <c r="N564" s="11"/>
      <c r="O564" s="38"/>
      <c r="P564" s="38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>
      <c r="A565" s="186" t="s">
        <v>226</v>
      </c>
      <c r="B565" s="1"/>
      <c r="C565" s="182">
        <v>1867</v>
      </c>
      <c r="D565" s="182">
        <f>ROUND(($D$574/'Billing Determinants (2)'!$C$574)*C565,0)</f>
        <v>1941</v>
      </c>
      <c r="E565" s="167">
        <f>E552</f>
        <v>1.47</v>
      </c>
      <c r="F565" s="227"/>
      <c r="G565" s="184">
        <f>ROUND(E565*$C565*E561,0)</f>
        <v>-27</v>
      </c>
      <c r="H565" s="184">
        <f>ROUND(E565*$D565*E561,0)</f>
        <v>-29</v>
      </c>
      <c r="I565" s="167">
        <f>I552</f>
        <v>1.6</v>
      </c>
      <c r="J565" s="156"/>
      <c r="K565" s="184">
        <f>ROUND(I565*$C565*I561,0)</f>
        <v>-30</v>
      </c>
      <c r="M565" s="11"/>
      <c r="N565" s="11"/>
      <c r="O565" s="38"/>
      <c r="P565" s="38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</row>
    <row r="566" spans="1:29">
      <c r="A566" s="186" t="s">
        <v>227</v>
      </c>
      <c r="B566" s="1"/>
      <c r="C566" s="182">
        <v>10153</v>
      </c>
      <c r="D566" s="182">
        <f>ROUND(($D$574/'Billing Determinants (2)'!$C$574)*C566,0)</f>
        <v>10554</v>
      </c>
      <c r="E566" s="167">
        <f>E553</f>
        <v>1.2</v>
      </c>
      <c r="F566" s="227" t="s">
        <v>13</v>
      </c>
      <c r="G566" s="184">
        <f>ROUND(E566*$C566*E561,0)</f>
        <v>-122</v>
      </c>
      <c r="H566" s="184">
        <f>ROUND(E566*$D566*E561,0)</f>
        <v>-127</v>
      </c>
      <c r="I566" s="167">
        <f>I553</f>
        <v>1.3</v>
      </c>
      <c r="J566" s="156"/>
      <c r="K566" s="184">
        <f>ROUND(I566*$C566*I561,0)</f>
        <v>-132</v>
      </c>
      <c r="M566" s="11"/>
      <c r="N566" s="11"/>
      <c r="O566" s="38"/>
      <c r="P566" s="38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</row>
    <row r="567" spans="1:29">
      <c r="A567" s="172" t="s">
        <v>229</v>
      </c>
      <c r="B567" s="1"/>
      <c r="C567" s="182">
        <f>244+1804+9245</f>
        <v>11293</v>
      </c>
      <c r="D567" s="182">
        <f>ROUND(($D$574/'Billing Determinants (2)'!$C$574)*C567,0)</f>
        <v>11739</v>
      </c>
      <c r="E567" s="167">
        <f>E555</f>
        <v>3.75</v>
      </c>
      <c r="F567" s="227" t="s">
        <v>13</v>
      </c>
      <c r="G567" s="184">
        <f>ROUND(E567*$C567*E561,0)</f>
        <v>-423</v>
      </c>
      <c r="H567" s="184">
        <f>ROUND(E567*$D567*E561,0)</f>
        <v>-440</v>
      </c>
      <c r="I567" s="167">
        <f>I555</f>
        <v>3.95</v>
      </c>
      <c r="J567" s="156"/>
      <c r="K567" s="184">
        <f>ROUND(I567*$C567*I561,0)</f>
        <v>-446</v>
      </c>
      <c r="M567" s="11"/>
      <c r="N567" s="11"/>
      <c r="O567" s="38"/>
      <c r="P567" s="38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</row>
    <row r="568" spans="1:29">
      <c r="A568" s="172" t="s">
        <v>245</v>
      </c>
      <c r="B568" s="1"/>
      <c r="C568" s="182">
        <v>0</v>
      </c>
      <c r="D568" s="182">
        <f>ROUND(($D$574/'Billing Determinants (2)'!$C$574)*C568,0)</f>
        <v>0</v>
      </c>
      <c r="E568" s="167">
        <f>E556</f>
        <v>3.75</v>
      </c>
      <c r="F568" s="227" t="s">
        <v>13</v>
      </c>
      <c r="G568" s="184">
        <f>ROUND(E568*$C568*E561,0)</f>
        <v>0</v>
      </c>
      <c r="H568" s="184">
        <f>ROUND(E568*$D568*E561,0)</f>
        <v>0</v>
      </c>
      <c r="I568" s="167">
        <f>I556</f>
        <v>3.95</v>
      </c>
      <c r="J568" s="156"/>
      <c r="K568" s="184">
        <f>ROUND(I568*$C568*I561,0)</f>
        <v>0</v>
      </c>
      <c r="M568" s="11"/>
      <c r="N568" s="11"/>
      <c r="O568" s="38"/>
      <c r="P568" s="38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</row>
    <row r="569" spans="1:29">
      <c r="A569" s="186" t="s">
        <v>231</v>
      </c>
      <c r="B569" s="1"/>
      <c r="C569" s="182">
        <f>73200+518400+602667</f>
        <v>1194267</v>
      </c>
      <c r="D569" s="182">
        <f>ROUND(($D$574/'Billing Determinants (2)'!$C$574)*C569,0)</f>
        <v>1241483</v>
      </c>
      <c r="E569" s="237">
        <f>E558</f>
        <v>4.3570000000000002</v>
      </c>
      <c r="F569" s="184" t="s">
        <v>178</v>
      </c>
      <c r="G569" s="184">
        <f>ROUND(E569*$C569/100*E561,0)</f>
        <v>-520</v>
      </c>
      <c r="H569" s="184">
        <f>ROUND(E569*$D569/100*E561,0)</f>
        <v>-541</v>
      </c>
      <c r="I569" s="237">
        <f>I558</f>
        <v>4.8559999999999999</v>
      </c>
      <c r="J569" s="186" t="s">
        <v>178</v>
      </c>
      <c r="K569" s="184">
        <f>ROUND(I569*$C569/100*I561,0)</f>
        <v>-580</v>
      </c>
      <c r="M569" s="11"/>
      <c r="N569" s="11"/>
      <c r="O569" s="38"/>
      <c r="P569" s="38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>
      <c r="A570" s="186" t="s">
        <v>203</v>
      </c>
      <c r="B570" s="1"/>
      <c r="C570" s="182">
        <f>73200+1075199+4549199-C569</f>
        <v>4503331</v>
      </c>
      <c r="D570" s="182">
        <f>ROUND(($D$574/'Billing Determinants (2)'!$C$574)*C570,0)</f>
        <v>4681374</v>
      </c>
      <c r="E570" s="237">
        <f>E559</f>
        <v>3.9930000000000003</v>
      </c>
      <c r="F570" s="184" t="s">
        <v>178</v>
      </c>
      <c r="G570" s="184">
        <f>ROUND(E570*$C570/100*E561,0)</f>
        <v>-1798</v>
      </c>
      <c r="H570" s="184">
        <f>ROUND(E570*$D570/100*E561,0)</f>
        <v>-1869</v>
      </c>
      <c r="I570" s="237">
        <f>I559</f>
        <v>4.4550000000000001</v>
      </c>
      <c r="J570" s="186" t="s">
        <v>178</v>
      </c>
      <c r="K570" s="184">
        <f>ROUND(I570*$C570/100*I561,0)</f>
        <v>-2006</v>
      </c>
      <c r="M570" s="11"/>
      <c r="N570" s="11"/>
      <c r="O570" s="38"/>
      <c r="P570" s="38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>
      <c r="A571" s="186" t="s">
        <v>204</v>
      </c>
      <c r="B571" s="1"/>
      <c r="C571" s="182">
        <f>15+1044+3294</f>
        <v>4353</v>
      </c>
      <c r="D571" s="182">
        <f>ROUND(($D$574/'Billing Determinants (2)'!$C$574)*C571,0)</f>
        <v>4525</v>
      </c>
      <c r="E571" s="238">
        <f>E560</f>
        <v>45</v>
      </c>
      <c r="F571" s="184" t="s">
        <v>178</v>
      </c>
      <c r="G571" s="184">
        <f>ROUND(E571*$C571/100*E561,0)</f>
        <v>-20</v>
      </c>
      <c r="H571" s="184">
        <f>ROUND(E571*$D571/100*E561,0)</f>
        <v>-20</v>
      </c>
      <c r="I571" s="238">
        <f>I560</f>
        <v>50</v>
      </c>
      <c r="J571" s="186" t="s">
        <v>178</v>
      </c>
      <c r="K571" s="184">
        <f>ROUND(I571*$C571/100*I561,0)</f>
        <v>-22</v>
      </c>
      <c r="M571" s="11"/>
      <c r="N571" s="11"/>
      <c r="O571" s="38"/>
      <c r="P571" s="38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>
      <c r="A572" s="186" t="s">
        <v>247</v>
      </c>
      <c r="B572" s="1"/>
      <c r="C572" s="182">
        <f>C562+C563+C564</f>
        <v>32</v>
      </c>
      <c r="D572" s="182">
        <v>31</v>
      </c>
      <c r="E572" s="161">
        <f>$E$504</f>
        <v>60</v>
      </c>
      <c r="F572" s="227" t="s">
        <v>13</v>
      </c>
      <c r="G572" s="184">
        <f>ROUND(E572*$C572,0)</f>
        <v>1920</v>
      </c>
      <c r="H572" s="184">
        <f>ROUND(E572*$D572,0)</f>
        <v>1860</v>
      </c>
      <c r="I572" s="161">
        <f>$I$504</f>
        <v>60</v>
      </c>
      <c r="J572" s="1"/>
      <c r="K572" s="184">
        <f>ROUND(I572*$C572,0)</f>
        <v>1920</v>
      </c>
      <c r="M572" s="11"/>
      <c r="N572" s="11"/>
      <c r="O572" s="38"/>
      <c r="P572" s="38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>
      <c r="A573" s="186" t="s">
        <v>248</v>
      </c>
      <c r="B573" s="1"/>
      <c r="C573" s="182">
        <f>C565+C566</f>
        <v>12020</v>
      </c>
      <c r="D573" s="182">
        <f>ROUND(($D$574/'Billing Determinants (2)'!$C$574)*C573,0)</f>
        <v>12495</v>
      </c>
      <c r="E573" s="202">
        <f>$E$505</f>
        <v>-30</v>
      </c>
      <c r="F573" s="184" t="s">
        <v>178</v>
      </c>
      <c r="G573" s="184">
        <f>ROUND(E573*$C573/100,0)</f>
        <v>-3606</v>
      </c>
      <c r="H573" s="184">
        <f>ROUND(E573*$D573/100,0)</f>
        <v>-3749</v>
      </c>
      <c r="I573" s="202">
        <f>$I$505</f>
        <v>-30</v>
      </c>
      <c r="J573" s="184" t="s">
        <v>178</v>
      </c>
      <c r="K573" s="184">
        <f>ROUND(I573*$C573/100,0)</f>
        <v>-3606</v>
      </c>
      <c r="M573" s="11"/>
      <c r="N573" s="11"/>
      <c r="O573" s="38"/>
      <c r="P573" s="38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</row>
    <row r="574" spans="1:29">
      <c r="A574" s="1" t="s">
        <v>185</v>
      </c>
      <c r="B574" s="1"/>
      <c r="C574" s="182">
        <f>SUM(C558:C559)</f>
        <v>141200905</v>
      </c>
      <c r="D574" s="182">
        <v>146783387.35514688</v>
      </c>
      <c r="E574" s="193"/>
      <c r="F574" s="2"/>
      <c r="G574" s="2">
        <f>SUM(G548:G573)</f>
        <v>8529276</v>
      </c>
      <c r="H574" s="2">
        <f>SUM(H548:H573)</f>
        <v>8852069</v>
      </c>
      <c r="I574" s="193"/>
      <c r="J574" s="1"/>
      <c r="K574" s="2">
        <f>SUM(K548:K573)</f>
        <v>9379613</v>
      </c>
      <c r="M574" s="11"/>
      <c r="N574" s="11"/>
      <c r="O574" s="38"/>
      <c r="P574" s="38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>
      <c r="A575" s="1" t="s">
        <v>167</v>
      </c>
      <c r="B575" s="1"/>
      <c r="C575" s="212" t="e">
        <f>#REF!</f>
        <v>#REF!</v>
      </c>
      <c r="D575" s="203">
        <v>0</v>
      </c>
      <c r="E575" s="172"/>
      <c r="F575" s="172"/>
      <c r="G575" s="173" t="e">
        <f>#REF!</f>
        <v>#REF!</v>
      </c>
      <c r="H575" s="173">
        <v>0</v>
      </c>
      <c r="I575" s="172"/>
      <c r="J575" s="172"/>
      <c r="K575" s="173" t="e">
        <f>G575</f>
        <v>#REF!</v>
      </c>
      <c r="M575" s="307"/>
      <c r="N575" s="307"/>
      <c r="O575" s="150"/>
      <c r="P575" s="38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 ht="16.5" thickBot="1">
      <c r="A576" s="1" t="s">
        <v>186</v>
      </c>
      <c r="B576" s="1"/>
      <c r="C576" s="229" t="e">
        <f>SUM(C574)+C575</f>
        <v>#REF!</v>
      </c>
      <c r="D576" s="229">
        <f>SUM(D558:D559)+D575</f>
        <v>146783387</v>
      </c>
      <c r="E576" s="205"/>
      <c r="F576" s="206"/>
      <c r="G576" s="207" t="e">
        <f>G574+G575</f>
        <v>#REF!</v>
      </c>
      <c r="H576" s="207">
        <f>H574+H575</f>
        <v>8852069</v>
      </c>
      <c r="I576" s="205"/>
      <c r="J576" s="208"/>
      <c r="K576" s="207" t="e">
        <f>K574+K575</f>
        <v>#REF!</v>
      </c>
      <c r="M576" s="274"/>
      <c r="N576" s="274"/>
      <c r="O576" s="333"/>
      <c r="P576" s="38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 ht="16.5" thickTop="1">
      <c r="A577" s="166"/>
      <c r="B577" s="241"/>
      <c r="C577" s="166"/>
      <c r="D577" s="166"/>
      <c r="E577" s="12"/>
      <c r="F577" s="12"/>
      <c r="G577" s="242"/>
      <c r="H577" s="242"/>
      <c r="I577" s="166"/>
      <c r="J577" s="166"/>
      <c r="K577" s="166"/>
      <c r="M577" s="11"/>
      <c r="N577" s="11"/>
      <c r="O577" s="38"/>
      <c r="P577" s="38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</row>
    <row r="578" spans="1:29">
      <c r="A578" s="156" t="s">
        <v>251</v>
      </c>
      <c r="B578" s="1"/>
      <c r="C578" s="12"/>
      <c r="D578" s="12"/>
      <c r="E578" s="200"/>
      <c r="F578" s="2"/>
      <c r="G578" s="2"/>
      <c r="H578" s="2"/>
      <c r="I578" s="200"/>
      <c r="J578" s="1"/>
      <c r="K578" s="2"/>
      <c r="M578" s="11"/>
      <c r="N578" s="11"/>
      <c r="O578" s="38"/>
      <c r="P578" s="38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</row>
    <row r="579" spans="1:29">
      <c r="A579" s="172" t="s">
        <v>252</v>
      </c>
      <c r="B579" s="1"/>
      <c r="C579" s="12"/>
      <c r="D579" s="12"/>
      <c r="E579" s="200"/>
      <c r="F579" s="2"/>
      <c r="G579" s="2"/>
      <c r="H579" s="2"/>
      <c r="I579" s="200"/>
      <c r="J579" s="1"/>
      <c r="K579" s="2"/>
      <c r="M579" s="11"/>
      <c r="N579" s="11"/>
      <c r="O579" s="38"/>
      <c r="P579" s="38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</row>
    <row r="580" spans="1:29">
      <c r="A580" s="186"/>
      <c r="B580" s="1"/>
      <c r="C580" s="12"/>
      <c r="D580" s="12"/>
      <c r="E580" s="200"/>
      <c r="F580" s="2"/>
      <c r="G580" s="243"/>
      <c r="H580" s="243"/>
      <c r="I580" s="200"/>
      <c r="J580" s="1"/>
      <c r="K580" s="244"/>
      <c r="M580" s="11"/>
      <c r="N580" s="11"/>
      <c r="O580" s="38"/>
      <c r="P580" s="38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</row>
    <row r="581" spans="1:29">
      <c r="A581" s="172" t="s">
        <v>253</v>
      </c>
      <c r="B581" s="1"/>
      <c r="C581" s="182"/>
      <c r="D581" s="182"/>
      <c r="E581" s="2" t="s">
        <v>13</v>
      </c>
      <c r="F581" s="2"/>
      <c r="G581" s="1"/>
      <c r="H581" s="1"/>
      <c r="I581" s="2" t="s">
        <v>13</v>
      </c>
      <c r="J581" s="1"/>
      <c r="K581" s="1"/>
      <c r="M581" s="11"/>
      <c r="N581" s="11"/>
      <c r="O581" s="38"/>
      <c r="P581" s="38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</row>
    <row r="582" spans="1:29">
      <c r="A582" s="172" t="s">
        <v>254</v>
      </c>
      <c r="B582" s="1"/>
      <c r="C582" s="182">
        <f>C633+C684</f>
        <v>1048</v>
      </c>
      <c r="D582" s="182">
        <f>D633+D684</f>
        <v>1059</v>
      </c>
      <c r="E582" s="200">
        <v>0</v>
      </c>
      <c r="F582" s="187"/>
      <c r="G582" s="184">
        <f>G633+G684</f>
        <v>0</v>
      </c>
      <c r="H582" s="184">
        <f>H633+H684</f>
        <v>0</v>
      </c>
      <c r="I582" s="200">
        <f>'Blocking - detail'!I582</f>
        <v>0</v>
      </c>
      <c r="J582" s="187"/>
      <c r="K582" s="184">
        <f>K633+K684</f>
        <v>0</v>
      </c>
      <c r="M582" s="42">
        <f>I582*D582</f>
        <v>0</v>
      </c>
      <c r="O582" s="8"/>
      <c r="P582" s="33" t="s">
        <v>13</v>
      </c>
      <c r="R582" s="192"/>
      <c r="T582" s="3" t="s">
        <v>175</v>
      </c>
      <c r="U582" s="3" t="s">
        <v>120</v>
      </c>
      <c r="V582" s="3" t="s">
        <v>176</v>
      </c>
      <c r="W582" s="3" t="s">
        <v>126</v>
      </c>
      <c r="X582" s="11"/>
      <c r="Y582" s="11"/>
      <c r="Z582" s="11"/>
      <c r="AA582" s="11"/>
      <c r="AB582" s="11"/>
      <c r="AC582" s="11"/>
    </row>
    <row r="583" spans="1:29">
      <c r="A583" s="172" t="s">
        <v>255</v>
      </c>
      <c r="B583" s="1"/>
      <c r="C583" s="182"/>
      <c r="D583" s="182"/>
      <c r="E583" s="200"/>
      <c r="F583" s="187"/>
      <c r="G583" s="184"/>
      <c r="H583" s="184"/>
      <c r="I583" s="200"/>
      <c r="J583" s="187"/>
      <c r="K583" s="184"/>
      <c r="R583" s="192"/>
      <c r="S583" s="3" t="s">
        <v>246</v>
      </c>
      <c r="T583" s="42">
        <f>SUM(H582:H597)</f>
        <v>1968384</v>
      </c>
      <c r="U583" s="42">
        <f>SUM(K582:K597)</f>
        <v>2343533.4900000002</v>
      </c>
      <c r="V583" s="49">
        <v>2708270.4985879958</v>
      </c>
      <c r="W583" s="101">
        <f>U583/V583</f>
        <v>0.86532474921609281</v>
      </c>
      <c r="X583" s="11"/>
      <c r="Y583" s="11"/>
      <c r="Z583" s="11"/>
      <c r="AA583" s="11"/>
      <c r="AB583" s="11"/>
      <c r="AC583" s="11"/>
    </row>
    <row r="584" spans="1:29">
      <c r="A584" s="172" t="s">
        <v>256</v>
      </c>
      <c r="B584" s="1"/>
      <c r="C584" s="182">
        <f t="shared" ref="C584:D589" si="51">C635+C686</f>
        <v>3799</v>
      </c>
      <c r="D584" s="182">
        <f t="shared" si="51"/>
        <v>3832</v>
      </c>
      <c r="E584" s="200">
        <v>0</v>
      </c>
      <c r="F584" s="187"/>
      <c r="G584" s="184">
        <f t="shared" ref="G584:H586" si="52">G635+G686</f>
        <v>0</v>
      </c>
      <c r="H584" s="184">
        <f t="shared" si="52"/>
        <v>0</v>
      </c>
      <c r="I584" s="200">
        <v>0</v>
      </c>
      <c r="J584" s="187"/>
      <c r="K584" s="184">
        <f>K635+K686</f>
        <v>0</v>
      </c>
      <c r="M584" s="42">
        <f>I584*D584</f>
        <v>0</v>
      </c>
      <c r="N584" s="22"/>
      <c r="S584" s="3" t="s">
        <v>263</v>
      </c>
      <c r="T584" s="42">
        <f>H602</f>
        <v>8116487</v>
      </c>
      <c r="U584" s="42">
        <f>K602</f>
        <v>9717128</v>
      </c>
      <c r="V584" s="49">
        <v>8051434.7234117109</v>
      </c>
      <c r="W584" s="101">
        <f>U584/V584</f>
        <v>1.2068815476755761</v>
      </c>
      <c r="X584" s="11"/>
      <c r="Y584" s="11"/>
      <c r="Z584" s="11"/>
      <c r="AA584" s="11"/>
      <c r="AB584" s="11"/>
      <c r="AC584" s="11"/>
    </row>
    <row r="585" spans="1:29">
      <c r="A585" s="172" t="s">
        <v>257</v>
      </c>
      <c r="B585" s="1"/>
      <c r="C585" s="182">
        <f t="shared" si="51"/>
        <v>387</v>
      </c>
      <c r="D585" s="182">
        <f t="shared" si="51"/>
        <v>390</v>
      </c>
      <c r="E585" s="200">
        <v>301</v>
      </c>
      <c r="F585" s="187"/>
      <c r="G585" s="184">
        <f t="shared" si="52"/>
        <v>116487</v>
      </c>
      <c r="H585" s="184">
        <f t="shared" si="52"/>
        <v>117390</v>
      </c>
      <c r="I585" s="200">
        <f>ROUND(E585+(E585*$P$627),0)+2</f>
        <v>333</v>
      </c>
      <c r="J585" s="187"/>
      <c r="K585" s="184">
        <f>K636+K687</f>
        <v>128871</v>
      </c>
      <c r="M585" s="42">
        <f>I585*D585</f>
        <v>129870</v>
      </c>
      <c r="N585" s="33"/>
      <c r="O585" s="8">
        <f>(I585-E585)/E585</f>
        <v>0.10631229235880399</v>
      </c>
      <c r="S585" s="192"/>
      <c r="U585" s="192"/>
      <c r="V585" s="11"/>
      <c r="W585" s="11"/>
      <c r="X585" s="11"/>
      <c r="Y585" s="11"/>
      <c r="Z585" s="11"/>
      <c r="AA585" s="11"/>
      <c r="AB585" s="11"/>
      <c r="AC585" s="11"/>
    </row>
    <row r="586" spans="1:29">
      <c r="A586" s="172" t="s">
        <v>258</v>
      </c>
      <c r="B586" s="1"/>
      <c r="C586" s="182">
        <f t="shared" si="51"/>
        <v>11</v>
      </c>
      <c r="D586" s="182">
        <f t="shared" si="51"/>
        <v>11</v>
      </c>
      <c r="E586" s="200">
        <v>1215</v>
      </c>
      <c r="F586" s="187"/>
      <c r="G586" s="184">
        <f t="shared" si="52"/>
        <v>13365</v>
      </c>
      <c r="H586" s="184">
        <f t="shared" si="52"/>
        <v>13365</v>
      </c>
      <c r="I586" s="200">
        <f>ROUND(E586+(E586*$P$627),0)</f>
        <v>1335</v>
      </c>
      <c r="J586" s="187"/>
      <c r="K586" s="184">
        <f>K637+K688</f>
        <v>14685</v>
      </c>
      <c r="M586" s="42">
        <f>I586*D586</f>
        <v>14685</v>
      </c>
      <c r="N586" s="33"/>
      <c r="O586" s="8">
        <f>(I586-E586)/E586</f>
        <v>9.8765432098765427E-2</v>
      </c>
      <c r="V586" s="11"/>
      <c r="W586" s="11"/>
      <c r="X586" s="11"/>
      <c r="Y586" s="11"/>
      <c r="Z586" s="11"/>
      <c r="AA586" s="11"/>
      <c r="AB586" s="11"/>
      <c r="AC586" s="11"/>
    </row>
    <row r="587" spans="1:29">
      <c r="A587" s="172" t="s">
        <v>166</v>
      </c>
      <c r="B587" s="1"/>
      <c r="C587" s="182">
        <f t="shared" si="51"/>
        <v>5245</v>
      </c>
      <c r="D587" s="182">
        <f t="shared" si="51"/>
        <v>5292.9166666666661</v>
      </c>
      <c r="E587" s="200"/>
      <c r="F587" s="187"/>
      <c r="G587" s="184"/>
      <c r="H587" s="184"/>
      <c r="I587" s="200"/>
      <c r="J587" s="187"/>
      <c r="K587" s="184"/>
      <c r="M587" s="33"/>
      <c r="N587" s="33"/>
      <c r="O587" s="183"/>
      <c r="S587" s="192"/>
      <c r="U587" s="192"/>
      <c r="V587" s="11"/>
      <c r="W587" s="11"/>
      <c r="X587" s="11"/>
      <c r="Y587" s="11"/>
      <c r="Z587" s="11"/>
      <c r="AA587" s="11"/>
      <c r="AB587" s="11"/>
      <c r="AC587" s="11"/>
    </row>
    <row r="588" spans="1:29">
      <c r="A588" s="172" t="s">
        <v>259</v>
      </c>
      <c r="B588" s="1"/>
      <c r="C588" s="182">
        <f t="shared" si="51"/>
        <v>34182</v>
      </c>
      <c r="D588" s="182">
        <f t="shared" si="51"/>
        <v>34504</v>
      </c>
      <c r="E588" s="200"/>
      <c r="F588" s="187"/>
      <c r="G588" s="184"/>
      <c r="H588" s="184"/>
      <c r="I588" s="200"/>
      <c r="J588" s="187"/>
      <c r="K588" s="184"/>
      <c r="M588" s="33"/>
      <c r="N588" s="33"/>
      <c r="V588" s="11"/>
      <c r="W588" s="11"/>
      <c r="X588" s="11"/>
      <c r="Y588" s="11"/>
      <c r="Z588" s="11"/>
      <c r="AA588" s="11"/>
      <c r="AB588" s="11"/>
      <c r="AC588" s="11"/>
    </row>
    <row r="589" spans="1:29">
      <c r="A589" s="172" t="s">
        <v>24</v>
      </c>
      <c r="B589" s="1"/>
      <c r="C589" s="182">
        <f t="shared" si="51"/>
        <v>5727</v>
      </c>
      <c r="D589" s="182">
        <f t="shared" si="51"/>
        <v>5781</v>
      </c>
      <c r="E589" s="200"/>
      <c r="F589" s="184"/>
      <c r="G589" s="184"/>
      <c r="H589" s="184"/>
      <c r="I589" s="200"/>
      <c r="J589" s="184"/>
      <c r="K589" s="197">
        <f>I591*3</f>
        <v>65.489999999999995</v>
      </c>
      <c r="M589" s="33"/>
      <c r="N589" s="33"/>
      <c r="O589" s="183"/>
      <c r="P589" s="157"/>
      <c r="V589" s="11"/>
      <c r="W589" s="11"/>
      <c r="X589" s="11"/>
      <c r="Y589" s="11"/>
      <c r="Z589" s="11"/>
      <c r="AA589" s="11"/>
      <c r="AB589" s="11"/>
      <c r="AC589" s="11"/>
    </row>
    <row r="590" spans="1:29">
      <c r="A590" s="172" t="s">
        <v>260</v>
      </c>
      <c r="B590" s="1"/>
      <c r="C590" s="182"/>
      <c r="D590" s="182"/>
      <c r="E590" s="200"/>
      <c r="F590" s="187"/>
      <c r="G590" s="184"/>
      <c r="H590" s="184"/>
      <c r="I590" s="200"/>
      <c r="J590" s="187"/>
      <c r="K590" s="184"/>
      <c r="M590" s="33"/>
      <c r="N590" s="33"/>
      <c r="O590" s="183"/>
      <c r="V590" s="11"/>
      <c r="W590" s="11"/>
      <c r="X590" s="11"/>
      <c r="Y590" s="11"/>
      <c r="Z590" s="11"/>
      <c r="AA590" s="11"/>
      <c r="AB590" s="11"/>
      <c r="AC590" s="11"/>
    </row>
    <row r="591" spans="1:29">
      <c r="A591" s="172" t="s">
        <v>261</v>
      </c>
      <c r="B591" s="1"/>
      <c r="C591" s="182">
        <f>C642+C693</f>
        <v>5248</v>
      </c>
      <c r="D591" s="182">
        <f>D642+D693</f>
        <v>4813</v>
      </c>
      <c r="E591" s="200">
        <v>19.87</v>
      </c>
      <c r="F591" s="187"/>
      <c r="G591" s="184">
        <f>G642+G693</f>
        <v>104277</v>
      </c>
      <c r="H591" s="184">
        <f>H642+H693</f>
        <v>95634</v>
      </c>
      <c r="I591" s="200">
        <f>ROUND(E591+(E591*$P$627),2)</f>
        <v>21.83</v>
      </c>
      <c r="J591" s="187"/>
      <c r="K591" s="184">
        <f>K642+K693</f>
        <v>114564</v>
      </c>
      <c r="M591" s="42">
        <f>I591*D591</f>
        <v>105067.79</v>
      </c>
      <c r="N591" s="239"/>
      <c r="O591" s="8">
        <f>(I591-E591)/E591</f>
        <v>9.8641167589330503E-2</v>
      </c>
      <c r="X591" s="11"/>
      <c r="Y591" s="11"/>
      <c r="Z591" s="11"/>
      <c r="AA591" s="11"/>
      <c r="AB591" s="11"/>
      <c r="AC591" s="11"/>
    </row>
    <row r="592" spans="1:29">
      <c r="A592" s="172" t="s">
        <v>262</v>
      </c>
      <c r="B592" s="1"/>
      <c r="C592" s="182"/>
      <c r="D592" s="182"/>
      <c r="E592" s="200"/>
      <c r="F592" s="187"/>
      <c r="G592" s="184"/>
      <c r="H592" s="184"/>
      <c r="I592" s="200"/>
      <c r="J592" s="187"/>
      <c r="K592" s="184"/>
      <c r="M592" s="239"/>
      <c r="N592" s="239"/>
      <c r="O592" s="183"/>
      <c r="X592" s="11"/>
      <c r="Y592" s="11"/>
      <c r="Z592" s="11"/>
      <c r="AA592" s="11"/>
      <c r="AB592" s="11"/>
      <c r="AC592" s="11"/>
    </row>
    <row r="593" spans="1:29">
      <c r="A593" s="172" t="s">
        <v>256</v>
      </c>
      <c r="B593" s="1"/>
      <c r="C593" s="182">
        <f t="shared" ref="C593:D597" si="53">C644+C695</f>
        <v>55399</v>
      </c>
      <c r="D593" s="182">
        <f t="shared" si="53"/>
        <v>50834</v>
      </c>
      <c r="E593" s="200">
        <v>19.87</v>
      </c>
      <c r="F593" s="187"/>
      <c r="G593" s="184">
        <f t="shared" ref="G593:H597" si="54">G644+G695</f>
        <v>1100778</v>
      </c>
      <c r="H593" s="184">
        <f t="shared" si="54"/>
        <v>1010072</v>
      </c>
      <c r="I593" s="200">
        <f>ROUND(E593+(E593*$P$627),2)</f>
        <v>21.83</v>
      </c>
      <c r="J593" s="187"/>
      <c r="K593" s="184">
        <f>K644+K695</f>
        <v>1209360</v>
      </c>
      <c r="M593" s="42">
        <f>I593*D593</f>
        <v>1109706.22</v>
      </c>
      <c r="N593" s="239"/>
      <c r="O593" s="8">
        <f>(I593-E593)/E593</f>
        <v>9.8641167589330503E-2</v>
      </c>
      <c r="X593" s="11"/>
      <c r="Y593" s="11"/>
      <c r="Z593" s="11"/>
      <c r="AA593" s="11"/>
      <c r="AB593" s="11"/>
      <c r="AC593" s="11"/>
    </row>
    <row r="594" spans="1:29">
      <c r="A594" s="172" t="s">
        <v>257</v>
      </c>
      <c r="B594" s="1"/>
      <c r="C594" s="182">
        <f t="shared" si="53"/>
        <v>37462</v>
      </c>
      <c r="D594" s="182">
        <f t="shared" si="53"/>
        <v>34379</v>
      </c>
      <c r="E594" s="200">
        <v>13.64</v>
      </c>
      <c r="F594" s="187"/>
      <c r="G594" s="184">
        <f t="shared" si="54"/>
        <v>510982</v>
      </c>
      <c r="H594" s="184">
        <f t="shared" si="54"/>
        <v>468929</v>
      </c>
      <c r="I594" s="200">
        <f>ROUND(E594+(E594*$P$627),2)</f>
        <v>14.98</v>
      </c>
      <c r="J594" s="187"/>
      <c r="K594" s="184">
        <f>K645+K696</f>
        <v>561181</v>
      </c>
      <c r="M594" s="42">
        <f>I594*D594</f>
        <v>514997.42000000004</v>
      </c>
      <c r="N594" s="239"/>
      <c r="O594" s="8">
        <f>(I594-E594)/E594</f>
        <v>9.8240469208211126E-2</v>
      </c>
      <c r="R594" s="42"/>
      <c r="S594" s="42"/>
      <c r="T594" s="49"/>
      <c r="U594" s="101"/>
      <c r="V594" s="11"/>
      <c r="W594" s="11"/>
      <c r="X594" s="11"/>
      <c r="Y594" s="11"/>
      <c r="Z594" s="11"/>
      <c r="AA594" s="11"/>
      <c r="AB594" s="11"/>
      <c r="AC594" s="11"/>
    </row>
    <row r="595" spans="1:29">
      <c r="A595" s="172" t="s">
        <v>258</v>
      </c>
      <c r="B595" s="1" t="s">
        <v>13</v>
      </c>
      <c r="C595" s="182">
        <f t="shared" si="53"/>
        <v>4358</v>
      </c>
      <c r="D595" s="182">
        <f t="shared" si="53"/>
        <v>3996</v>
      </c>
      <c r="E595" s="200">
        <v>10.62</v>
      </c>
      <c r="F595" s="187"/>
      <c r="G595" s="184">
        <f t="shared" si="54"/>
        <v>46282</v>
      </c>
      <c r="H595" s="184">
        <f t="shared" si="54"/>
        <v>42437</v>
      </c>
      <c r="I595" s="200">
        <f>ROUND(E595+(E595*$P$627),2)</f>
        <v>11.67</v>
      </c>
      <c r="J595" s="187"/>
      <c r="K595" s="184">
        <f>K646+K697</f>
        <v>50858</v>
      </c>
      <c r="M595" s="42">
        <f>I595*D595</f>
        <v>46633.32</v>
      </c>
      <c r="N595" s="239"/>
      <c r="O595" s="8">
        <f>(I595-E595)/E595</f>
        <v>9.8870056497175215E-2</v>
      </c>
      <c r="V595" s="11"/>
      <c r="W595" s="11"/>
      <c r="X595" s="11"/>
      <c r="Y595" s="11"/>
      <c r="Z595" s="11"/>
      <c r="AA595" s="11"/>
      <c r="AB595" s="11"/>
      <c r="AC595" s="11"/>
    </row>
    <row r="596" spans="1:29">
      <c r="A596" s="172" t="s">
        <v>264</v>
      </c>
      <c r="B596" s="1"/>
      <c r="C596" s="182">
        <f t="shared" si="53"/>
        <v>157</v>
      </c>
      <c r="D596" s="182">
        <f t="shared" si="53"/>
        <v>144</v>
      </c>
      <c r="E596" s="200">
        <v>59.61</v>
      </c>
      <c r="F596" s="187"/>
      <c r="G596" s="184">
        <f t="shared" si="54"/>
        <v>9359</v>
      </c>
      <c r="H596" s="184">
        <f t="shared" si="54"/>
        <v>8584</v>
      </c>
      <c r="I596" s="200">
        <f>ROUND(E596+(E596*$P$627),2)</f>
        <v>65.48</v>
      </c>
      <c r="J596" s="187"/>
      <c r="K596" s="184">
        <f>K647+K698</f>
        <v>10280</v>
      </c>
      <c r="M596" s="42">
        <f>I596*D596</f>
        <v>9429.1200000000008</v>
      </c>
      <c r="N596" s="33"/>
      <c r="O596" s="8">
        <f>(I596-E596)/E596</f>
        <v>9.8473410501593764E-2</v>
      </c>
      <c r="V596" s="11"/>
      <c r="W596" s="11"/>
      <c r="X596" s="11"/>
      <c r="Y596" s="11"/>
      <c r="Z596" s="11"/>
      <c r="AA596" s="11"/>
      <c r="AB596" s="11"/>
      <c r="AC596" s="11"/>
    </row>
    <row r="597" spans="1:29">
      <c r="A597" s="172" t="s">
        <v>265</v>
      </c>
      <c r="B597" s="1"/>
      <c r="C597" s="182">
        <f t="shared" si="53"/>
        <v>1937</v>
      </c>
      <c r="D597" s="182">
        <f t="shared" si="53"/>
        <v>1778</v>
      </c>
      <c r="E597" s="200">
        <v>119.22</v>
      </c>
      <c r="F597" s="187"/>
      <c r="G597" s="184">
        <f t="shared" si="54"/>
        <v>230930</v>
      </c>
      <c r="H597" s="184">
        <f t="shared" si="54"/>
        <v>211973</v>
      </c>
      <c r="I597" s="200">
        <f>ROUND(E597+(E597*$P$627),2)</f>
        <v>130.96</v>
      </c>
      <c r="J597" s="187"/>
      <c r="K597" s="184">
        <f>K648+K699</f>
        <v>253669</v>
      </c>
      <c r="M597" s="42">
        <f>I597*D597</f>
        <v>232846.88</v>
      </c>
      <c r="N597" s="33"/>
      <c r="O597" s="8">
        <f>(I597-E597)/E597</f>
        <v>9.8473410501593764E-2</v>
      </c>
      <c r="V597" s="11"/>
      <c r="W597" s="11"/>
      <c r="X597" s="11"/>
      <c r="Y597" s="11"/>
      <c r="Z597" s="11"/>
      <c r="AA597" s="11"/>
      <c r="AB597" s="11"/>
      <c r="AC597" s="11"/>
    </row>
    <row r="598" spans="1:29">
      <c r="A598" s="172" t="s">
        <v>266</v>
      </c>
      <c r="B598" s="1"/>
      <c r="C598" s="182"/>
      <c r="D598" s="182"/>
      <c r="E598" s="200"/>
      <c r="F598" s="187"/>
      <c r="G598" s="184"/>
      <c r="H598" s="184"/>
      <c r="I598" s="200"/>
      <c r="J598" s="187"/>
      <c r="K598" s="184"/>
      <c r="M598" s="33"/>
      <c r="N598" s="33"/>
      <c r="O598" s="3"/>
      <c r="V598" s="11"/>
      <c r="W598" s="11"/>
      <c r="X598" s="11"/>
      <c r="Y598" s="11"/>
      <c r="Z598" s="11"/>
      <c r="AA598" s="11"/>
      <c r="AB598" s="11"/>
      <c r="AC598" s="11"/>
    </row>
    <row r="599" spans="1:29">
      <c r="A599" s="172" t="s">
        <v>261</v>
      </c>
      <c r="B599" s="1"/>
      <c r="C599" s="182">
        <f>C650+C701</f>
        <v>96</v>
      </c>
      <c r="D599" s="182">
        <f>D650+D701</f>
        <v>88</v>
      </c>
      <c r="E599" s="226">
        <f>-E591</f>
        <v>-19.87</v>
      </c>
      <c r="F599" s="187"/>
      <c r="G599" s="184">
        <f>G650+G701</f>
        <v>-1908</v>
      </c>
      <c r="H599" s="184">
        <f>H650+H701</f>
        <v>-1748</v>
      </c>
      <c r="I599" s="226">
        <f>-I591</f>
        <v>-21.83</v>
      </c>
      <c r="J599" s="187"/>
      <c r="K599" s="184">
        <f>K650+K701</f>
        <v>-2096</v>
      </c>
      <c r="M599" s="42">
        <f>I599*D599</f>
        <v>-1921.04</v>
      </c>
      <c r="N599" s="33"/>
      <c r="O599" s="3"/>
      <c r="V599" s="11"/>
      <c r="W599" s="11"/>
      <c r="X599" s="11"/>
      <c r="Y599" s="11"/>
      <c r="Z599" s="11"/>
      <c r="AA599" s="11"/>
      <c r="AB599" s="11"/>
      <c r="AC599" s="11"/>
    </row>
    <row r="600" spans="1:29">
      <c r="A600" s="172" t="s">
        <v>267</v>
      </c>
      <c r="B600" s="1"/>
      <c r="C600" s="182">
        <f>C651+C702</f>
        <v>12387</v>
      </c>
      <c r="D600" s="182">
        <f>D651+D702</f>
        <v>11369</v>
      </c>
      <c r="E600" s="226">
        <f>-E593</f>
        <v>-19.87</v>
      </c>
      <c r="F600" s="187"/>
      <c r="G600" s="184">
        <f>G651+G702</f>
        <v>-246129</v>
      </c>
      <c r="H600" s="184">
        <f>H651+H702</f>
        <v>-225902</v>
      </c>
      <c r="I600" s="226">
        <f>-I593</f>
        <v>-21.83</v>
      </c>
      <c r="J600" s="187"/>
      <c r="K600" s="184">
        <f>K651+K702</f>
        <v>-270408</v>
      </c>
      <c r="M600" s="42">
        <f>I600*D600</f>
        <v>-248185.27</v>
      </c>
      <c r="N600" s="33"/>
      <c r="O600" s="3"/>
      <c r="V600" s="11"/>
      <c r="W600" s="11"/>
      <c r="X600" s="11"/>
      <c r="Y600" s="11"/>
      <c r="Z600" s="11"/>
      <c r="AA600" s="11"/>
      <c r="AB600" s="11"/>
      <c r="AC600" s="11"/>
    </row>
    <row r="601" spans="1:29">
      <c r="A601" s="186" t="s">
        <v>230</v>
      </c>
      <c r="B601" s="1"/>
      <c r="C601" s="182"/>
      <c r="D601" s="182"/>
      <c r="E601" s="200"/>
      <c r="F601" s="184"/>
      <c r="G601" s="184"/>
      <c r="H601" s="184"/>
      <c r="I601" s="200"/>
      <c r="J601" s="184"/>
      <c r="K601" s="184"/>
      <c r="M601" s="33"/>
      <c r="N601" s="33"/>
      <c r="O601" s="3"/>
      <c r="Q601" s="3" t="s">
        <v>13</v>
      </c>
      <c r="V601" s="11"/>
      <c r="W601" s="11"/>
      <c r="X601" s="11"/>
      <c r="Y601" s="11"/>
      <c r="Z601" s="11"/>
      <c r="AA601" s="11"/>
      <c r="AB601" s="11"/>
      <c r="AC601" s="11"/>
    </row>
    <row r="602" spans="1:29">
      <c r="A602" s="172" t="s">
        <v>268</v>
      </c>
      <c r="B602" s="1"/>
      <c r="C602" s="182">
        <f>C653+C704</f>
        <v>164697090</v>
      </c>
      <c r="D602" s="182">
        <f>D653+D704</f>
        <v>151116862</v>
      </c>
      <c r="E602" s="246">
        <v>5.3710000000000004</v>
      </c>
      <c r="F602" s="184" t="s">
        <v>178</v>
      </c>
      <c r="G602" s="184">
        <f>G653+G704</f>
        <v>8845880</v>
      </c>
      <c r="H602" s="184">
        <f>H653+H704</f>
        <v>8116487</v>
      </c>
      <c r="I602" s="246">
        <f>ROUND(E602+(E602*$P$627),3)</f>
        <v>5.9</v>
      </c>
      <c r="J602" s="184" t="s">
        <v>178</v>
      </c>
      <c r="K602" s="184">
        <f>K653+K704</f>
        <v>9717128</v>
      </c>
      <c r="M602" s="42">
        <f>(I602/100)*D602</f>
        <v>8915894.8580000009</v>
      </c>
      <c r="N602" s="201"/>
      <c r="O602" s="8">
        <f>(I602-E602)/E602</f>
        <v>9.8491900949543826E-2</v>
      </c>
      <c r="V602" s="11"/>
      <c r="W602" s="11"/>
      <c r="X602" s="11"/>
      <c r="Y602" s="11"/>
      <c r="Z602" s="11"/>
      <c r="AA602" s="11"/>
      <c r="AB602" s="11"/>
      <c r="AC602" s="11"/>
    </row>
    <row r="603" spans="1:29">
      <c r="A603" s="186" t="s">
        <v>204</v>
      </c>
      <c r="B603" s="1"/>
      <c r="C603" s="182">
        <f>C654+C705</f>
        <v>28883</v>
      </c>
      <c r="D603" s="182">
        <f>D654+D705</f>
        <v>26506</v>
      </c>
      <c r="E603" s="474">
        <v>45</v>
      </c>
      <c r="F603" s="186" t="s">
        <v>178</v>
      </c>
      <c r="G603" s="184">
        <f>G654+G705</f>
        <v>12997</v>
      </c>
      <c r="H603" s="184">
        <f>H654+H705</f>
        <v>11928</v>
      </c>
      <c r="I603" s="341">
        <v>50</v>
      </c>
      <c r="J603" s="186" t="s">
        <v>178</v>
      </c>
      <c r="K603" s="184">
        <f>K654+K705</f>
        <v>14442</v>
      </c>
      <c r="M603" s="42">
        <f>(I603/100)*D603</f>
        <v>13253</v>
      </c>
      <c r="O603" s="8">
        <f>(I603-E603)/E603</f>
        <v>0.1111111111111111</v>
      </c>
      <c r="V603" s="11"/>
      <c r="W603" s="11"/>
      <c r="X603" s="11"/>
      <c r="Y603" s="11"/>
      <c r="Z603" s="11"/>
      <c r="AA603" s="11"/>
      <c r="AB603" s="11"/>
      <c r="AC603" s="11"/>
    </row>
    <row r="604" spans="1:29">
      <c r="A604" s="223" t="s">
        <v>205</v>
      </c>
      <c r="B604" s="1"/>
      <c r="C604" s="182"/>
      <c r="D604" s="182"/>
      <c r="E604" s="195">
        <v>-0.01</v>
      </c>
      <c r="F604" s="2"/>
      <c r="G604" s="184"/>
      <c r="H604" s="184"/>
      <c r="I604" s="195">
        <v>-0.01</v>
      </c>
      <c r="J604" s="1"/>
      <c r="K604" s="184"/>
      <c r="V604" s="11"/>
      <c r="W604" s="11"/>
      <c r="X604" s="11"/>
      <c r="Y604" s="11"/>
      <c r="Z604" s="11"/>
      <c r="AA604" s="11"/>
      <c r="AB604" s="11"/>
      <c r="AC604" s="11"/>
    </row>
    <row r="605" spans="1:29">
      <c r="A605" s="172" t="s">
        <v>194</v>
      </c>
      <c r="B605" s="1"/>
      <c r="C605" s="182">
        <f>C656+C707</f>
        <v>0</v>
      </c>
      <c r="D605" s="182">
        <f>D656+D707</f>
        <v>0</v>
      </c>
      <c r="E605" s="247">
        <f>E582</f>
        <v>0</v>
      </c>
      <c r="F605" s="187"/>
      <c r="G605" s="184">
        <f>G656+G707</f>
        <v>0</v>
      </c>
      <c r="H605" s="184">
        <f>H656+H707</f>
        <v>0</v>
      </c>
      <c r="I605" s="247">
        <f>I582</f>
        <v>0</v>
      </c>
      <c r="J605" s="187"/>
      <c r="K605" s="184">
        <f>K656+K707</f>
        <v>0</v>
      </c>
      <c r="M605" s="42">
        <f>-(I605/100)*D605</f>
        <v>0</v>
      </c>
      <c r="V605" s="11"/>
      <c r="W605" s="11"/>
      <c r="X605" s="11"/>
      <c r="Y605" s="11"/>
      <c r="Z605" s="11"/>
      <c r="AA605" s="11"/>
      <c r="AB605" s="11"/>
      <c r="AC605" s="11"/>
    </row>
    <row r="606" spans="1:29">
      <c r="A606" s="172" t="s">
        <v>195</v>
      </c>
      <c r="B606" s="1"/>
      <c r="C606" s="182"/>
      <c r="D606" s="182"/>
      <c r="E606" s="247"/>
      <c r="F606" s="187"/>
      <c r="G606" s="184"/>
      <c r="H606" s="184"/>
      <c r="I606" s="247"/>
      <c r="J606" s="187"/>
      <c r="K606" s="184"/>
      <c r="V606" s="11"/>
      <c r="W606" s="11"/>
      <c r="X606" s="11"/>
      <c r="Y606" s="11"/>
      <c r="Z606" s="11"/>
      <c r="AA606" s="11"/>
      <c r="AB606" s="11"/>
      <c r="AC606" s="11"/>
    </row>
    <row r="607" spans="1:29">
      <c r="A607" s="172" t="s">
        <v>256</v>
      </c>
      <c r="B607" s="1"/>
      <c r="C607" s="182">
        <f t="shared" ref="C607:D610" si="55">C658+C709</f>
        <v>1</v>
      </c>
      <c r="D607" s="182">
        <f t="shared" si="55"/>
        <v>1</v>
      </c>
      <c r="E607" s="247">
        <f>E584</f>
        <v>0</v>
      </c>
      <c r="F607" s="187"/>
      <c r="G607" s="184">
        <f t="shared" ref="G607:H610" si="56">G658+G709</f>
        <v>0</v>
      </c>
      <c r="H607" s="184">
        <f t="shared" si="56"/>
        <v>0</v>
      </c>
      <c r="I607" s="247">
        <f>I584</f>
        <v>0</v>
      </c>
      <c r="J607" s="187"/>
      <c r="K607" s="184">
        <f>K658+K709</f>
        <v>0</v>
      </c>
      <c r="M607" s="42">
        <f>-(I607/100)*D607</f>
        <v>0</v>
      </c>
      <c r="V607" s="11"/>
      <c r="W607" s="11"/>
      <c r="X607" s="11"/>
      <c r="Y607" s="11"/>
      <c r="Z607" s="11"/>
      <c r="AA607" s="11"/>
      <c r="AB607" s="11"/>
      <c r="AC607" s="11"/>
    </row>
    <row r="608" spans="1:29">
      <c r="A608" s="172" t="s">
        <v>257</v>
      </c>
      <c r="B608" s="1"/>
      <c r="C608" s="182">
        <f t="shared" si="55"/>
        <v>0</v>
      </c>
      <c r="D608" s="182">
        <f t="shared" si="55"/>
        <v>0</v>
      </c>
      <c r="E608" s="247">
        <f>E585</f>
        <v>301</v>
      </c>
      <c r="F608" s="187"/>
      <c r="G608" s="184">
        <f t="shared" si="56"/>
        <v>0</v>
      </c>
      <c r="H608" s="184">
        <f t="shared" si="56"/>
        <v>0</v>
      </c>
      <c r="I608" s="247">
        <f>I585</f>
        <v>333</v>
      </c>
      <c r="J608" s="187"/>
      <c r="K608" s="184">
        <f>K659+K710</f>
        <v>0</v>
      </c>
      <c r="M608" s="42">
        <f>-(I608/100)*D608</f>
        <v>0</v>
      </c>
      <c r="V608" s="11"/>
      <c r="W608" s="11"/>
      <c r="X608" s="11"/>
      <c r="Y608" s="11"/>
      <c r="Z608" s="11"/>
      <c r="AA608" s="11"/>
      <c r="AB608" s="11"/>
      <c r="AC608" s="11"/>
    </row>
    <row r="609" spans="1:29">
      <c r="A609" s="172" t="s">
        <v>258</v>
      </c>
      <c r="B609" s="1"/>
      <c r="C609" s="182">
        <f t="shared" si="55"/>
        <v>0</v>
      </c>
      <c r="D609" s="182">
        <f t="shared" si="55"/>
        <v>0</v>
      </c>
      <c r="E609" s="247">
        <f>E586</f>
        <v>1215</v>
      </c>
      <c r="F609" s="187"/>
      <c r="G609" s="184">
        <f t="shared" si="56"/>
        <v>0</v>
      </c>
      <c r="H609" s="184">
        <f t="shared" si="56"/>
        <v>0</v>
      </c>
      <c r="I609" s="247">
        <f>I586</f>
        <v>1335</v>
      </c>
      <c r="J609" s="187"/>
      <c r="K609" s="184">
        <f>K660+K711</f>
        <v>0</v>
      </c>
      <c r="M609" s="42">
        <f>-(I609/100)*D609</f>
        <v>0</v>
      </c>
      <c r="V609" s="11"/>
      <c r="W609" s="11"/>
      <c r="X609" s="11"/>
      <c r="Y609" s="11"/>
      <c r="Z609" s="11"/>
      <c r="AA609" s="11"/>
      <c r="AB609" s="11"/>
      <c r="AC609" s="11"/>
    </row>
    <row r="610" spans="1:29">
      <c r="A610" s="172" t="s">
        <v>194</v>
      </c>
      <c r="B610" s="1"/>
      <c r="C610" s="182">
        <f t="shared" si="55"/>
        <v>0</v>
      </c>
      <c r="D610" s="182">
        <f t="shared" si="55"/>
        <v>0</v>
      </c>
      <c r="E610" s="247">
        <f>E591</f>
        <v>19.87</v>
      </c>
      <c r="F610" s="187"/>
      <c r="G610" s="184">
        <f t="shared" si="56"/>
        <v>0</v>
      </c>
      <c r="H610" s="184">
        <f t="shared" si="56"/>
        <v>0</v>
      </c>
      <c r="I610" s="247">
        <f>I591</f>
        <v>21.83</v>
      </c>
      <c r="J610" s="187"/>
      <c r="K610" s="184">
        <f>K661+K712</f>
        <v>0</v>
      </c>
      <c r="M610" s="42">
        <f>-(I610/100)*D610</f>
        <v>0</v>
      </c>
      <c r="V610" s="11"/>
      <c r="W610" s="11"/>
      <c r="X610" s="11"/>
      <c r="Y610" s="11"/>
      <c r="Z610" s="11"/>
      <c r="AA610" s="11"/>
      <c r="AB610" s="11"/>
      <c r="AC610" s="11"/>
    </row>
    <row r="611" spans="1:29">
      <c r="A611" s="172" t="s">
        <v>195</v>
      </c>
      <c r="B611" s="1"/>
      <c r="C611" s="182"/>
      <c r="D611" s="182"/>
      <c r="E611" s="247"/>
      <c r="F611" s="187"/>
      <c r="G611" s="184"/>
      <c r="H611" s="184"/>
      <c r="I611" s="247"/>
      <c r="J611" s="187"/>
      <c r="K611" s="184"/>
      <c r="V611" s="11"/>
      <c r="W611" s="11"/>
      <c r="X611" s="11"/>
      <c r="Y611" s="11"/>
      <c r="Z611" s="11"/>
      <c r="AA611" s="11"/>
      <c r="AB611" s="11"/>
      <c r="AC611" s="11"/>
    </row>
    <row r="612" spans="1:29">
      <c r="A612" s="172" t="s">
        <v>256</v>
      </c>
      <c r="B612" s="1"/>
      <c r="C612" s="182">
        <f t="shared" ref="C612:D616" si="57">C663+C714</f>
        <v>40</v>
      </c>
      <c r="D612" s="182">
        <f t="shared" si="57"/>
        <v>36</v>
      </c>
      <c r="E612" s="247">
        <f>E593</f>
        <v>19.87</v>
      </c>
      <c r="F612" s="187"/>
      <c r="G612" s="184">
        <f t="shared" ref="G612:H616" si="58">G663+G714</f>
        <v>-8</v>
      </c>
      <c r="H612" s="184">
        <f t="shared" si="58"/>
        <v>-7</v>
      </c>
      <c r="I612" s="247">
        <f>I593</f>
        <v>21.83</v>
      </c>
      <c r="J612" s="187"/>
      <c r="K612" s="184">
        <f>K663+K714</f>
        <v>-9</v>
      </c>
      <c r="M612" s="42">
        <f>-(I612/100)*D612</f>
        <v>-7.8587999999999996</v>
      </c>
      <c r="V612" s="11"/>
      <c r="W612" s="11"/>
      <c r="X612" s="11"/>
      <c r="Y612" s="11"/>
      <c r="Z612" s="11"/>
      <c r="AA612" s="11"/>
      <c r="AB612" s="11"/>
      <c r="AC612" s="11"/>
    </row>
    <row r="613" spans="1:29">
      <c r="A613" s="172" t="s">
        <v>257</v>
      </c>
      <c r="B613" s="1"/>
      <c r="C613" s="182">
        <f t="shared" si="57"/>
        <v>0</v>
      </c>
      <c r="D613" s="182">
        <f t="shared" si="57"/>
        <v>0</v>
      </c>
      <c r="E613" s="247">
        <f>E594</f>
        <v>13.64</v>
      </c>
      <c r="F613" s="187"/>
      <c r="G613" s="184">
        <f t="shared" si="58"/>
        <v>0</v>
      </c>
      <c r="H613" s="184">
        <f t="shared" si="58"/>
        <v>0</v>
      </c>
      <c r="I613" s="247">
        <f>I594</f>
        <v>14.98</v>
      </c>
      <c r="J613" s="187"/>
      <c r="K613" s="184">
        <f>K664+K715</f>
        <v>0</v>
      </c>
      <c r="M613" s="42">
        <f>-(I613/100)*D613</f>
        <v>0</v>
      </c>
      <c r="V613" s="11"/>
      <c r="W613" s="11"/>
      <c r="X613" s="11"/>
      <c r="Y613" s="11"/>
      <c r="Z613" s="11"/>
      <c r="AA613" s="11"/>
      <c r="AB613" s="11"/>
      <c r="AC613" s="11"/>
    </row>
    <row r="614" spans="1:29">
      <c r="A614" s="172" t="s">
        <v>258</v>
      </c>
      <c r="B614" s="1"/>
      <c r="C614" s="182">
        <f t="shared" si="57"/>
        <v>0</v>
      </c>
      <c r="D614" s="182">
        <f t="shared" si="57"/>
        <v>0</v>
      </c>
      <c r="E614" s="247">
        <f>E595</f>
        <v>10.62</v>
      </c>
      <c r="F614" s="187"/>
      <c r="G614" s="184">
        <f t="shared" si="58"/>
        <v>0</v>
      </c>
      <c r="H614" s="184">
        <f t="shared" si="58"/>
        <v>0</v>
      </c>
      <c r="I614" s="247">
        <f>I595</f>
        <v>11.67</v>
      </c>
      <c r="J614" s="187"/>
      <c r="K614" s="184">
        <f>K665+K716</f>
        <v>0</v>
      </c>
      <c r="M614" s="42">
        <f>-(I614/100)*D614</f>
        <v>0</v>
      </c>
      <c r="V614" s="11"/>
      <c r="W614" s="11"/>
      <c r="X614" s="11"/>
      <c r="Y614" s="11"/>
      <c r="Z614" s="11"/>
      <c r="AA614" s="11"/>
      <c r="AB614" s="11"/>
      <c r="AC614" s="11"/>
    </row>
    <row r="615" spans="1:29">
      <c r="A615" s="172" t="s">
        <v>269</v>
      </c>
      <c r="B615" s="1"/>
      <c r="C615" s="182">
        <f t="shared" si="57"/>
        <v>0</v>
      </c>
      <c r="D615" s="182">
        <f t="shared" si="57"/>
        <v>0</v>
      </c>
      <c r="E615" s="216">
        <f>E596</f>
        <v>59.61</v>
      </c>
      <c r="F615" s="187"/>
      <c r="G615" s="184">
        <f t="shared" si="58"/>
        <v>0</v>
      </c>
      <c r="H615" s="184">
        <f t="shared" si="58"/>
        <v>0</v>
      </c>
      <c r="I615" s="216">
        <f>I596</f>
        <v>65.48</v>
      </c>
      <c r="J615" s="187"/>
      <c r="K615" s="184">
        <f>K666+K717</f>
        <v>0</v>
      </c>
      <c r="M615" s="42">
        <f>-(I615/100)*D615</f>
        <v>0</v>
      </c>
      <c r="V615" s="11"/>
      <c r="W615" s="11"/>
      <c r="X615" s="11"/>
      <c r="Y615" s="11"/>
      <c r="Z615" s="11"/>
      <c r="AA615" s="11"/>
      <c r="AB615" s="11"/>
      <c r="AC615" s="11"/>
    </row>
    <row r="616" spans="1:29">
      <c r="A616" s="172" t="s">
        <v>270</v>
      </c>
      <c r="B616" s="1"/>
      <c r="C616" s="182">
        <f t="shared" si="57"/>
        <v>0</v>
      </c>
      <c r="D616" s="182">
        <f t="shared" si="57"/>
        <v>0</v>
      </c>
      <c r="E616" s="216">
        <f>E597</f>
        <v>119.22</v>
      </c>
      <c r="F616" s="187"/>
      <c r="G616" s="184">
        <f t="shared" si="58"/>
        <v>0</v>
      </c>
      <c r="H616" s="184">
        <f t="shared" si="58"/>
        <v>0</v>
      </c>
      <c r="I616" s="216">
        <f>I597</f>
        <v>130.96</v>
      </c>
      <c r="J616" s="187"/>
      <c r="K616" s="184">
        <f>K667+K718</f>
        <v>0</v>
      </c>
      <c r="M616" s="42">
        <f>-(I616/100)*D616</f>
        <v>0</v>
      </c>
      <c r="V616" s="11"/>
      <c r="W616" s="11"/>
      <c r="X616" s="11"/>
      <c r="Y616" s="11"/>
      <c r="Z616" s="11"/>
      <c r="AA616" s="11"/>
      <c r="AB616" s="11"/>
      <c r="AC616" s="11"/>
    </row>
    <row r="617" spans="1:29">
      <c r="A617" s="172" t="s">
        <v>266</v>
      </c>
      <c r="B617" s="1"/>
      <c r="C617" s="182"/>
      <c r="D617" s="182"/>
      <c r="E617" s="200"/>
      <c r="F617" s="187"/>
      <c r="G617" s="184"/>
      <c r="H617" s="184"/>
      <c r="I617" s="200"/>
      <c r="J617" s="187"/>
      <c r="K617" s="184"/>
      <c r="V617" s="11"/>
      <c r="W617" s="11"/>
      <c r="X617" s="11"/>
      <c r="Y617" s="11"/>
      <c r="Z617" s="11"/>
      <c r="AA617" s="11"/>
      <c r="AB617" s="11"/>
      <c r="AC617" s="11"/>
    </row>
    <row r="618" spans="1:29">
      <c r="A618" s="172" t="s">
        <v>261</v>
      </c>
      <c r="B618" s="1"/>
      <c r="C618" s="182">
        <f>C669+C720</f>
        <v>0</v>
      </c>
      <c r="D618" s="182">
        <f>D669+D720</f>
        <v>0</v>
      </c>
      <c r="E618" s="226">
        <f>E599</f>
        <v>-19.87</v>
      </c>
      <c r="F618" s="187"/>
      <c r="G618" s="184">
        <f>G669+G720</f>
        <v>0</v>
      </c>
      <c r="H618" s="184">
        <f>H669+H720</f>
        <v>0</v>
      </c>
      <c r="I618" s="226">
        <f>I599</f>
        <v>-21.83</v>
      </c>
      <c r="J618" s="187"/>
      <c r="K618" s="184">
        <f>K669+K720</f>
        <v>0</v>
      </c>
      <c r="M618" s="42">
        <f>-(I618/100)*D618</f>
        <v>0</v>
      </c>
      <c r="V618" s="11"/>
      <c r="W618" s="11"/>
      <c r="X618" s="11"/>
      <c r="Y618" s="11"/>
      <c r="Z618" s="11"/>
      <c r="AA618" s="11"/>
      <c r="AB618" s="11"/>
      <c r="AC618" s="11"/>
    </row>
    <row r="619" spans="1:29">
      <c r="A619" s="172" t="s">
        <v>267</v>
      </c>
      <c r="B619" s="1"/>
      <c r="C619" s="182">
        <f>C670+C721</f>
        <v>0</v>
      </c>
      <c r="D619" s="182">
        <f>D670+D721</f>
        <v>0</v>
      </c>
      <c r="E619" s="226">
        <f>E600</f>
        <v>-19.87</v>
      </c>
      <c r="F619" s="187"/>
      <c r="G619" s="184">
        <f>G670+G721</f>
        <v>0</v>
      </c>
      <c r="H619" s="184">
        <f>H670+H721</f>
        <v>0</v>
      </c>
      <c r="I619" s="226">
        <f>I600</f>
        <v>-21.83</v>
      </c>
      <c r="J619" s="187"/>
      <c r="K619" s="184">
        <f>K670+K721</f>
        <v>0</v>
      </c>
      <c r="M619" s="42">
        <f>-(I619/100)*D619</f>
        <v>0</v>
      </c>
      <c r="V619" s="11"/>
      <c r="W619" s="11"/>
      <c r="X619" s="11"/>
      <c r="Y619" s="11"/>
      <c r="Z619" s="11"/>
      <c r="AA619" s="11"/>
      <c r="AB619" s="11"/>
      <c r="AC619" s="11"/>
    </row>
    <row r="620" spans="1:29">
      <c r="A620" s="186" t="s">
        <v>230</v>
      </c>
      <c r="B620" s="1"/>
      <c r="C620" s="182"/>
      <c r="D620" s="182"/>
      <c r="E620" s="247"/>
      <c r="F620" s="184"/>
      <c r="G620" s="184"/>
      <c r="H620" s="184"/>
      <c r="I620" s="247"/>
      <c r="J620" s="184"/>
      <c r="K620" s="184"/>
      <c r="V620" s="11"/>
      <c r="W620" s="11"/>
      <c r="X620" s="11"/>
      <c r="Y620" s="11"/>
      <c r="Z620" s="11"/>
      <c r="AA620" s="11"/>
      <c r="AB620" s="11"/>
      <c r="AC620" s="11"/>
    </row>
    <row r="621" spans="1:29">
      <c r="A621" s="172" t="s">
        <v>268</v>
      </c>
      <c r="B621" s="1"/>
      <c r="C621" s="182">
        <f t="shared" ref="C621:D626" si="59">C672+C723</f>
        <v>25216</v>
      </c>
      <c r="D621" s="182">
        <f t="shared" si="59"/>
        <v>22993</v>
      </c>
      <c r="E621" s="248">
        <f>E602</f>
        <v>5.3710000000000004</v>
      </c>
      <c r="F621" s="184" t="s">
        <v>178</v>
      </c>
      <c r="G621" s="184">
        <f t="shared" ref="G621:H626" si="60">G672+G723</f>
        <v>-14</v>
      </c>
      <c r="H621" s="184">
        <f t="shared" si="60"/>
        <v>-12</v>
      </c>
      <c r="I621" s="248">
        <f>I602</f>
        <v>5.9</v>
      </c>
      <c r="J621" s="184" t="s">
        <v>178</v>
      </c>
      <c r="K621" s="184">
        <f>K672+K723</f>
        <v>-15</v>
      </c>
      <c r="M621" s="42">
        <f>-((I621/100)*D621)/100</f>
        <v>-13.56587</v>
      </c>
      <c r="V621" s="11"/>
      <c r="W621" s="11"/>
      <c r="X621" s="11"/>
      <c r="Y621" s="11"/>
      <c r="Z621" s="11"/>
      <c r="AA621" s="11"/>
      <c r="AB621" s="11"/>
      <c r="AC621" s="11"/>
    </row>
    <row r="622" spans="1:29">
      <c r="A622" s="186" t="s">
        <v>204</v>
      </c>
      <c r="B622" s="1"/>
      <c r="C622" s="182">
        <f t="shared" si="59"/>
        <v>0</v>
      </c>
      <c r="D622" s="182">
        <f t="shared" si="59"/>
        <v>0</v>
      </c>
      <c r="E622" s="238">
        <f>E603</f>
        <v>45</v>
      </c>
      <c r="F622" s="184" t="s">
        <v>178</v>
      </c>
      <c r="G622" s="184">
        <f t="shared" si="60"/>
        <v>0</v>
      </c>
      <c r="H622" s="184">
        <f t="shared" si="60"/>
        <v>0</v>
      </c>
      <c r="I622" s="238">
        <f>I603</f>
        <v>50</v>
      </c>
      <c r="J622" s="186" t="s">
        <v>178</v>
      </c>
      <c r="K622" s="184">
        <f>K673+K724</f>
        <v>0</v>
      </c>
      <c r="M622" s="42">
        <f>-((I622/100)*D622)/100</f>
        <v>0</v>
      </c>
      <c r="V622" s="11"/>
      <c r="W622" s="11"/>
      <c r="X622" s="11"/>
      <c r="Y622" s="11"/>
      <c r="Z622" s="11"/>
      <c r="AA622" s="11"/>
      <c r="AB622" s="11"/>
      <c r="AC622" s="11"/>
    </row>
    <row r="623" spans="1:29">
      <c r="A623" s="186" t="s">
        <v>247</v>
      </c>
      <c r="B623" s="1"/>
      <c r="C623" s="182">
        <f t="shared" si="59"/>
        <v>12</v>
      </c>
      <c r="D623" s="182">
        <f t="shared" si="59"/>
        <v>12</v>
      </c>
      <c r="E623" s="200">
        <f>'Blocking - detail'!E623</f>
        <v>60</v>
      </c>
      <c r="F623" s="227" t="s">
        <v>13</v>
      </c>
      <c r="G623" s="184">
        <f t="shared" si="60"/>
        <v>720</v>
      </c>
      <c r="H623" s="184">
        <f t="shared" si="60"/>
        <v>720</v>
      </c>
      <c r="I623" s="200">
        <f>'Blocking - detail'!I623</f>
        <v>60</v>
      </c>
      <c r="J623" s="1"/>
      <c r="K623" s="184">
        <f>K674+K725</f>
        <v>720</v>
      </c>
      <c r="M623" s="42">
        <f>I623*D623</f>
        <v>720</v>
      </c>
      <c r="V623" s="11"/>
      <c r="W623" s="11"/>
      <c r="X623" s="11"/>
      <c r="Y623" s="11"/>
      <c r="Z623" s="11"/>
      <c r="AA623" s="11"/>
      <c r="AB623" s="11"/>
      <c r="AC623" s="11"/>
    </row>
    <row r="624" spans="1:29">
      <c r="A624" s="186" t="s">
        <v>248</v>
      </c>
      <c r="B624" s="1"/>
      <c r="C624" s="182">
        <f t="shared" si="59"/>
        <v>320</v>
      </c>
      <c r="D624" s="182">
        <f t="shared" si="59"/>
        <v>292</v>
      </c>
      <c r="E624" s="341">
        <f>'Blocking - detail'!E624</f>
        <v>-30</v>
      </c>
      <c r="F624" s="184" t="s">
        <v>178</v>
      </c>
      <c r="G624" s="184">
        <f t="shared" si="60"/>
        <v>-96</v>
      </c>
      <c r="H624" s="184">
        <f t="shared" si="60"/>
        <v>-88</v>
      </c>
      <c r="I624" s="341">
        <f>'Blocking - detail'!I624</f>
        <v>-30</v>
      </c>
      <c r="J624" s="184" t="s">
        <v>178</v>
      </c>
      <c r="K624" s="184">
        <f>K675+K726</f>
        <v>-96</v>
      </c>
      <c r="M624" s="42">
        <f>(I624/100)*D624</f>
        <v>-87.6</v>
      </c>
      <c r="V624" s="11"/>
      <c r="W624" s="11"/>
      <c r="X624" s="11"/>
      <c r="Y624" s="11"/>
      <c r="Z624" s="11"/>
      <c r="AA624" s="11"/>
      <c r="AB624" s="11"/>
      <c r="AC624" s="11"/>
    </row>
    <row r="625" spans="1:29">
      <c r="A625" s="1" t="s">
        <v>185</v>
      </c>
      <c r="B625" s="1"/>
      <c r="C625" s="182">
        <f t="shared" si="59"/>
        <v>164697090</v>
      </c>
      <c r="D625" s="182">
        <f t="shared" si="59"/>
        <v>151116862.53785235</v>
      </c>
      <c r="E625" s="193"/>
      <c r="F625" s="2"/>
      <c r="G625" s="2">
        <f t="shared" si="60"/>
        <v>10743902</v>
      </c>
      <c r="H625" s="2">
        <f t="shared" si="60"/>
        <v>9869762</v>
      </c>
      <c r="I625" s="2"/>
      <c r="J625" s="186"/>
      <c r="K625" s="2">
        <f>K676+K727</f>
        <v>11803134</v>
      </c>
      <c r="M625" s="42">
        <f>SUM(M582:M624)</f>
        <v>10842888.273330001</v>
      </c>
      <c r="P625" s="139"/>
      <c r="V625" s="11"/>
      <c r="W625" s="11"/>
      <c r="X625" s="11"/>
      <c r="Y625" s="11"/>
      <c r="Z625" s="11"/>
      <c r="AA625" s="11"/>
      <c r="AB625" s="11"/>
      <c r="AC625" s="11"/>
    </row>
    <row r="626" spans="1:29">
      <c r="A626" s="1" t="s">
        <v>167</v>
      </c>
      <c r="B626" s="1"/>
      <c r="C626" s="203" t="e">
        <f t="shared" si="59"/>
        <v>#REF!</v>
      </c>
      <c r="D626" s="203">
        <f t="shared" si="59"/>
        <v>0</v>
      </c>
      <c r="E626" s="172"/>
      <c r="F626" s="172"/>
      <c r="G626" s="173" t="e">
        <f t="shared" si="60"/>
        <v>#REF!</v>
      </c>
      <c r="H626" s="173">
        <f t="shared" si="60"/>
        <v>0</v>
      </c>
      <c r="I626" s="172"/>
      <c r="J626" s="172"/>
      <c r="K626" s="173" t="e">
        <f>G626</f>
        <v>#REF!</v>
      </c>
      <c r="V626" s="11"/>
      <c r="W626" s="11"/>
      <c r="X626" s="11"/>
      <c r="Y626" s="11"/>
      <c r="Z626" s="11"/>
      <c r="AA626" s="11"/>
      <c r="AB626" s="11"/>
      <c r="AC626" s="11"/>
    </row>
    <row r="627" spans="1:29" ht="17.25" customHeight="1" thickBot="1">
      <c r="A627" s="1" t="s">
        <v>186</v>
      </c>
      <c r="B627" s="1"/>
      <c r="C627" s="229" t="e">
        <f>SUM(C625:C626)</f>
        <v>#REF!</v>
      </c>
      <c r="D627" s="229">
        <f>SUM(D625:D626)</f>
        <v>151116862.53785235</v>
      </c>
      <c r="E627" s="205"/>
      <c r="F627" s="206"/>
      <c r="G627" s="207" t="e">
        <f>G625+G626</f>
        <v>#REF!</v>
      </c>
      <c r="H627" s="207">
        <f>H625+H626</f>
        <v>9869762</v>
      </c>
      <c r="I627" s="205"/>
      <c r="J627" s="208"/>
      <c r="K627" s="207" t="e">
        <f>K625+K626</f>
        <v>#REF!</v>
      </c>
      <c r="N627" s="3" t="s">
        <v>168</v>
      </c>
      <c r="O627" s="33" t="e">
        <f>#REF!*1000</f>
        <v>#REF!</v>
      </c>
      <c r="P627" s="101">
        <v>9.8500000000000004E-2</v>
      </c>
      <c r="V627" s="11"/>
      <c r="W627" s="11"/>
      <c r="X627" s="11"/>
      <c r="Y627" s="11"/>
      <c r="Z627" s="11"/>
      <c r="AA627" s="11"/>
      <c r="AB627" s="11"/>
      <c r="AC627" s="11"/>
    </row>
    <row r="628" spans="1:29" ht="16.5" thickTop="1">
      <c r="A628" s="1"/>
      <c r="B628" s="1"/>
      <c r="C628" s="16"/>
      <c r="D628" s="16"/>
      <c r="E628" s="214"/>
      <c r="F628" s="215"/>
      <c r="G628" s="185"/>
      <c r="H628" s="185"/>
      <c r="I628" s="249" t="s">
        <v>13</v>
      </c>
      <c r="J628" s="14"/>
      <c r="K628" s="135" t="s">
        <v>13</v>
      </c>
      <c r="N628" s="3" t="s">
        <v>114</v>
      </c>
      <c r="O628" s="33" t="e">
        <f>O627-K627</f>
        <v>#REF!</v>
      </c>
      <c r="P628" s="177" t="e">
        <f>(O627-K627)/(K627-K603-K623-K624)</f>
        <v>#REF!</v>
      </c>
      <c r="V628" s="11"/>
      <c r="W628" s="11"/>
      <c r="X628" s="11"/>
      <c r="Y628" s="11"/>
      <c r="Z628" s="11"/>
      <c r="AA628" s="11"/>
      <c r="AB628" s="11"/>
      <c r="AC628" s="11"/>
    </row>
    <row r="629" spans="1:29">
      <c r="A629" s="156" t="s">
        <v>251</v>
      </c>
      <c r="B629" s="1"/>
      <c r="C629" s="12"/>
      <c r="D629" s="12"/>
      <c r="E629" s="200"/>
      <c r="F629" s="2"/>
      <c r="G629" s="2"/>
      <c r="H629" s="2"/>
      <c r="I629" s="200"/>
      <c r="J629" s="1"/>
      <c r="K629" s="2"/>
      <c r="V629" s="11"/>
      <c r="W629" s="11"/>
      <c r="X629" s="11"/>
      <c r="Y629" s="11"/>
      <c r="Z629" s="11"/>
      <c r="AA629" s="11"/>
      <c r="AB629" s="11"/>
      <c r="AC629" s="11"/>
    </row>
    <row r="630" spans="1:29">
      <c r="A630" s="172" t="s">
        <v>84</v>
      </c>
      <c r="B630" s="1"/>
      <c r="C630" s="12"/>
      <c r="D630" s="12"/>
      <c r="E630" s="200"/>
      <c r="F630" s="2"/>
      <c r="G630" s="2"/>
      <c r="H630" s="2"/>
      <c r="I630" s="200"/>
      <c r="J630" s="1"/>
      <c r="K630" s="2"/>
      <c r="M630" s="42"/>
      <c r="N630" s="42"/>
      <c r="O630" s="209" t="e">
        <f>O628/(K585+K586+K591+K593+K594+K595+K596+K597+K599+K600)</f>
        <v>#REF!</v>
      </c>
      <c r="P630" s="101"/>
      <c r="V630" s="11"/>
      <c r="W630" s="11"/>
      <c r="X630" s="11"/>
      <c r="Y630" s="11"/>
      <c r="Z630" s="11"/>
      <c r="AA630" s="11"/>
      <c r="AB630" s="11"/>
      <c r="AC630" s="11"/>
    </row>
    <row r="631" spans="1:29">
      <c r="A631" s="186"/>
      <c r="B631" s="1"/>
      <c r="C631" s="12"/>
      <c r="D631" s="12"/>
      <c r="E631" s="200"/>
      <c r="F631" s="2"/>
      <c r="G631" s="243"/>
      <c r="H631" s="243"/>
      <c r="I631" s="200"/>
      <c r="J631" s="1"/>
      <c r="K631" s="244"/>
      <c r="M631" s="11"/>
      <c r="N631" s="11"/>
      <c r="O631" s="38"/>
      <c r="P631" s="38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>
      <c r="A632" s="172" t="s">
        <v>253</v>
      </c>
      <c r="B632" s="1"/>
      <c r="C632" s="182"/>
      <c r="D632" s="182"/>
      <c r="E632" s="2" t="s">
        <v>13</v>
      </c>
      <c r="F632" s="2"/>
      <c r="G632" s="1"/>
      <c r="H632" s="1"/>
      <c r="I632" s="2" t="s">
        <v>13</v>
      </c>
      <c r="J632" s="1"/>
      <c r="K632" s="1"/>
      <c r="M632" s="11"/>
      <c r="N632" s="11"/>
      <c r="O632" s="38"/>
      <c r="P632" s="38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>
      <c r="A633" s="172" t="s">
        <v>254</v>
      </c>
      <c r="B633" s="1"/>
      <c r="C633" s="182">
        <f>887</f>
        <v>887</v>
      </c>
      <c r="D633" s="182">
        <v>892</v>
      </c>
      <c r="E633" s="200">
        <f>$E$582</f>
        <v>0</v>
      </c>
      <c r="F633" s="187"/>
      <c r="G633" s="184">
        <f>ROUND(E633*$C633,0)</f>
        <v>0</v>
      </c>
      <c r="H633" s="184">
        <f>ROUND(E633*$D633,0)</f>
        <v>0</v>
      </c>
      <c r="I633" s="200">
        <f>$I$582</f>
        <v>0</v>
      </c>
      <c r="J633" s="187"/>
      <c r="K633" s="184">
        <f>ROUND(I633*$C633,0)</f>
        <v>0</v>
      </c>
      <c r="M633" s="11"/>
      <c r="N633" s="11"/>
      <c r="O633" s="38"/>
      <c r="P633" s="38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</row>
    <row r="634" spans="1:29">
      <c r="A634" s="172" t="s">
        <v>255</v>
      </c>
      <c r="B634" s="1"/>
      <c r="C634" s="182"/>
      <c r="D634" s="182"/>
      <c r="E634" s="200"/>
      <c r="F634" s="187"/>
      <c r="G634" s="184"/>
      <c r="H634" s="184"/>
      <c r="I634" s="200"/>
      <c r="J634" s="187"/>
      <c r="K634" s="184"/>
      <c r="M634" s="11"/>
      <c r="N634" s="11"/>
      <c r="O634" s="38"/>
      <c r="P634" s="38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</row>
    <row r="635" spans="1:29">
      <c r="A635" s="172" t="s">
        <v>256</v>
      </c>
      <c r="B635" s="1"/>
      <c r="C635" s="182">
        <f>3412</f>
        <v>3412</v>
      </c>
      <c r="D635" s="182">
        <v>3431</v>
      </c>
      <c r="E635" s="200">
        <f>$E$584</f>
        <v>0</v>
      </c>
      <c r="F635" s="187"/>
      <c r="G635" s="184">
        <f>ROUND(E635*$C635,0)</f>
        <v>0</v>
      </c>
      <c r="H635" s="184">
        <f>ROUND(E635*$D635,0)</f>
        <v>0</v>
      </c>
      <c r="I635" s="200">
        <f>$I$584</f>
        <v>0</v>
      </c>
      <c r="J635" s="187"/>
      <c r="K635" s="184">
        <f>ROUND(I635*$C635,0)</f>
        <v>0</v>
      </c>
      <c r="M635" s="11"/>
      <c r="N635" s="11"/>
      <c r="O635" s="38"/>
      <c r="P635" s="38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</row>
    <row r="636" spans="1:29">
      <c r="A636" s="172" t="s">
        <v>257</v>
      </c>
      <c r="B636" s="1"/>
      <c r="C636" s="182">
        <f>350</f>
        <v>350</v>
      </c>
      <c r="D636" s="182">
        <v>352</v>
      </c>
      <c r="E636" s="200">
        <f>$E$585</f>
        <v>301</v>
      </c>
      <c r="F636" s="187"/>
      <c r="G636" s="184">
        <f>ROUND(E636*$C636,0)</f>
        <v>105350</v>
      </c>
      <c r="H636" s="184">
        <f>ROUND(E636*$D636,0)</f>
        <v>105952</v>
      </c>
      <c r="I636" s="200">
        <f>$I$585</f>
        <v>333</v>
      </c>
      <c r="J636" s="187"/>
      <c r="K636" s="184">
        <f>ROUND(I636*$C636,0)</f>
        <v>116550</v>
      </c>
      <c r="M636" s="11"/>
      <c r="N636" s="11"/>
      <c r="O636" s="38"/>
      <c r="P636" s="38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</row>
    <row r="637" spans="1:29">
      <c r="A637" s="172" t="s">
        <v>258</v>
      </c>
      <c r="B637" s="1"/>
      <c r="C637" s="182">
        <f>9</f>
        <v>9</v>
      </c>
      <c r="D637" s="182">
        <v>9</v>
      </c>
      <c r="E637" s="200">
        <f>$E$586</f>
        <v>1215</v>
      </c>
      <c r="F637" s="187"/>
      <c r="G637" s="184">
        <f>ROUND(E637*$C637,0)</f>
        <v>10935</v>
      </c>
      <c r="H637" s="184">
        <f>ROUND(E637*$D637,0)</f>
        <v>10935</v>
      </c>
      <c r="I637" s="200">
        <f>$I$586</f>
        <v>1335</v>
      </c>
      <c r="J637" s="187"/>
      <c r="K637" s="184">
        <f>ROUND(I637*$C637,0)</f>
        <v>12015</v>
      </c>
      <c r="M637" s="11"/>
      <c r="N637" s="11"/>
      <c r="O637" s="38"/>
      <c r="P637" s="38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</row>
    <row r="638" spans="1:29">
      <c r="A638" s="172" t="s">
        <v>166</v>
      </c>
      <c r="B638" s="1"/>
      <c r="C638" s="182">
        <f>SUM(C633:C637)</f>
        <v>4658</v>
      </c>
      <c r="D638" s="182">
        <v>4683.9852262627228</v>
      </c>
      <c r="E638" s="200"/>
      <c r="F638" s="187"/>
      <c r="G638" s="184"/>
      <c r="H638" s="184"/>
      <c r="I638" s="200"/>
      <c r="J638" s="187"/>
      <c r="K638" s="184"/>
      <c r="M638" s="11"/>
      <c r="N638" s="11"/>
      <c r="O638" s="38"/>
      <c r="P638" s="38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</row>
    <row r="639" spans="1:29">
      <c r="A639" s="172" t="s">
        <v>259</v>
      </c>
      <c r="B639" s="1"/>
      <c r="C639" s="182">
        <f>5697+21813+2492+69</f>
        <v>30071</v>
      </c>
      <c r="D639" s="182">
        <v>30239</v>
      </c>
      <c r="E639" s="200"/>
      <c r="F639" s="184"/>
      <c r="G639" s="184"/>
      <c r="H639" s="184"/>
      <c r="I639" s="200"/>
      <c r="J639" s="184"/>
      <c r="K639" s="184"/>
      <c r="M639" s="11"/>
      <c r="N639" s="11"/>
      <c r="O639" s="38"/>
      <c r="P639" s="38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</row>
    <row r="640" spans="1:29">
      <c r="A640" s="172" t="s">
        <v>24</v>
      </c>
      <c r="B640" s="1"/>
      <c r="C640" s="182">
        <f>960+3719+356+9</f>
        <v>5044</v>
      </c>
      <c r="D640" s="182">
        <v>5072</v>
      </c>
      <c r="E640" s="200"/>
      <c r="F640" s="184"/>
      <c r="G640" s="184"/>
      <c r="H640" s="184"/>
      <c r="I640" s="200"/>
      <c r="J640" s="184"/>
      <c r="K640" s="184"/>
      <c r="M640" s="11"/>
      <c r="N640" s="11"/>
      <c r="O640" s="38"/>
      <c r="P640" s="38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</row>
    <row r="641" spans="1:29">
      <c r="A641" s="172" t="s">
        <v>260</v>
      </c>
      <c r="B641" s="1"/>
      <c r="C641" s="182"/>
      <c r="D641" s="182"/>
      <c r="E641" s="200"/>
      <c r="F641" s="187"/>
      <c r="G641" s="184"/>
      <c r="H641" s="184"/>
      <c r="I641" s="200"/>
      <c r="J641" s="187"/>
      <c r="K641" s="184"/>
      <c r="M641" s="11"/>
      <c r="N641" s="11"/>
      <c r="O641" s="38"/>
      <c r="P641" s="38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</row>
    <row r="642" spans="1:29">
      <c r="A642" s="172" t="s">
        <v>261</v>
      </c>
      <c r="B642" s="1"/>
      <c r="C642" s="182">
        <f>4289</f>
        <v>4289</v>
      </c>
      <c r="D642" s="182">
        <v>3939</v>
      </c>
      <c r="E642" s="200">
        <f>$E$591</f>
        <v>19.87</v>
      </c>
      <c r="F642" s="187"/>
      <c r="G642" s="184">
        <f>ROUND(E642*$C642,0)</f>
        <v>85222</v>
      </c>
      <c r="H642" s="184">
        <f>ROUND(E642*$D642,0)</f>
        <v>78268</v>
      </c>
      <c r="I642" s="200">
        <f>$I$591</f>
        <v>21.83</v>
      </c>
      <c r="J642" s="187"/>
      <c r="K642" s="184">
        <f>ROUND(I642*$C642,0)</f>
        <v>93629</v>
      </c>
      <c r="M642" s="11"/>
      <c r="N642" s="11"/>
      <c r="O642" s="38"/>
      <c r="P642" s="38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</row>
    <row r="643" spans="1:29">
      <c r="A643" s="172" t="s">
        <v>262</v>
      </c>
      <c r="B643" s="1"/>
      <c r="C643" s="182"/>
      <c r="D643" s="182"/>
      <c r="E643" s="200"/>
      <c r="F643" s="187"/>
      <c r="G643" s="184"/>
      <c r="H643" s="184"/>
      <c r="I643" s="200"/>
      <c r="J643" s="187"/>
      <c r="K643" s="184"/>
      <c r="M643" s="11"/>
      <c r="N643" s="11"/>
      <c r="O643" s="38"/>
      <c r="P643" s="38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</row>
    <row r="644" spans="1:29">
      <c r="A644" s="172" t="s">
        <v>256</v>
      </c>
      <c r="B644" s="1"/>
      <c r="C644" s="182">
        <f>49028</f>
        <v>49028</v>
      </c>
      <c r="D644" s="182">
        <v>45025</v>
      </c>
      <c r="E644" s="200">
        <f>$E$593</f>
        <v>19.87</v>
      </c>
      <c r="F644" s="187"/>
      <c r="G644" s="184">
        <f>ROUND(E644*$C644,0)</f>
        <v>974186</v>
      </c>
      <c r="H644" s="184">
        <f>ROUND(E644*$D644,0)</f>
        <v>894647</v>
      </c>
      <c r="I644" s="200">
        <f>$I$593</f>
        <v>21.83</v>
      </c>
      <c r="J644" s="187"/>
      <c r="K644" s="184">
        <f>ROUND(I644*$C644,0)</f>
        <v>1070281</v>
      </c>
      <c r="M644" s="11"/>
      <c r="N644" s="11"/>
      <c r="O644" s="38"/>
      <c r="P644" s="38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</row>
    <row r="645" spans="1:29">
      <c r="A645" s="172" t="s">
        <v>257</v>
      </c>
      <c r="B645" s="1"/>
      <c r="C645" s="182">
        <f>33712</f>
        <v>33712</v>
      </c>
      <c r="D645" s="182">
        <v>30960</v>
      </c>
      <c r="E645" s="200">
        <f>$E$594</f>
        <v>13.64</v>
      </c>
      <c r="F645" s="187"/>
      <c r="G645" s="184">
        <f>ROUND(E645*$C645,0)</f>
        <v>459832</v>
      </c>
      <c r="H645" s="184">
        <f>ROUND(E645*$D645,0)</f>
        <v>422294</v>
      </c>
      <c r="I645" s="200">
        <f>$I$594</f>
        <v>14.98</v>
      </c>
      <c r="J645" s="187"/>
      <c r="K645" s="184">
        <f>ROUND(I645*$C645,0)</f>
        <v>505006</v>
      </c>
      <c r="M645" s="11"/>
      <c r="N645" s="11"/>
      <c r="O645" s="38"/>
      <c r="P645" s="38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</row>
    <row r="646" spans="1:29">
      <c r="A646" s="172" t="s">
        <v>258</v>
      </c>
      <c r="B646" s="1"/>
      <c r="C646" s="182">
        <f>3389</f>
        <v>3389</v>
      </c>
      <c r="D646" s="182">
        <v>3112</v>
      </c>
      <c r="E646" s="200">
        <f>$E$595</f>
        <v>10.62</v>
      </c>
      <c r="F646" s="187"/>
      <c r="G646" s="184">
        <f>ROUND(E646*$C646,0)</f>
        <v>35991</v>
      </c>
      <c r="H646" s="184">
        <f>ROUND(E646*$D646,0)</f>
        <v>33049</v>
      </c>
      <c r="I646" s="200">
        <f>$I$595</f>
        <v>11.67</v>
      </c>
      <c r="J646" s="187"/>
      <c r="K646" s="184">
        <f>ROUND(I646*$C646,0)</f>
        <v>39550</v>
      </c>
      <c r="M646" s="11"/>
      <c r="N646" s="11"/>
      <c r="O646" s="38"/>
      <c r="P646" s="38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</row>
    <row r="647" spans="1:29">
      <c r="A647" s="172" t="s">
        <v>264</v>
      </c>
      <c r="B647" s="1"/>
      <c r="C647" s="182">
        <v>126</v>
      </c>
      <c r="D647" s="182">
        <v>116</v>
      </c>
      <c r="E647" s="200">
        <f>$E$596</f>
        <v>59.61</v>
      </c>
      <c r="F647" s="187"/>
      <c r="G647" s="184">
        <f>ROUND(E647*$C647,0)</f>
        <v>7511</v>
      </c>
      <c r="H647" s="184">
        <f>ROUND(E647*$D647,0)</f>
        <v>6915</v>
      </c>
      <c r="I647" s="200">
        <f>$I$596</f>
        <v>65.48</v>
      </c>
      <c r="J647" s="187"/>
      <c r="K647" s="184">
        <f>ROUND(I647*$C647,0)</f>
        <v>8250</v>
      </c>
      <c r="M647" s="11"/>
      <c r="N647" s="11"/>
      <c r="O647" s="38"/>
      <c r="P647" s="38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>
      <c r="A648" s="172" t="s">
        <v>265</v>
      </c>
      <c r="B648" s="1"/>
      <c r="C648" s="182">
        <v>1789</v>
      </c>
      <c r="D648" s="182">
        <v>1643</v>
      </c>
      <c r="E648" s="200">
        <f>$E$597</f>
        <v>119.22</v>
      </c>
      <c r="F648" s="187"/>
      <c r="G648" s="184">
        <f>ROUND(E648*$C648,0)</f>
        <v>213285</v>
      </c>
      <c r="H648" s="184">
        <f>ROUND(E648*$D648,0)</f>
        <v>195878</v>
      </c>
      <c r="I648" s="200">
        <f>$I$597</f>
        <v>130.96</v>
      </c>
      <c r="J648" s="187"/>
      <c r="K648" s="184">
        <f>ROUND(I648*$C648,0)</f>
        <v>234287</v>
      </c>
      <c r="M648" s="11"/>
      <c r="N648" s="11"/>
      <c r="O648" s="38"/>
      <c r="P648" s="38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</row>
    <row r="649" spans="1:29">
      <c r="A649" s="172" t="s">
        <v>266</v>
      </c>
      <c r="B649" s="1"/>
      <c r="C649" s="182"/>
      <c r="D649" s="182"/>
      <c r="E649" s="200"/>
      <c r="F649" s="187"/>
      <c r="G649" s="184"/>
      <c r="H649" s="184"/>
      <c r="I649" s="200"/>
      <c r="J649" s="187"/>
      <c r="K649" s="184"/>
      <c r="M649" s="11"/>
      <c r="N649" s="11"/>
      <c r="O649" s="38"/>
      <c r="P649" s="38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</row>
    <row r="650" spans="1:29">
      <c r="A650" s="172" t="s">
        <v>261</v>
      </c>
      <c r="B650" s="1"/>
      <c r="C650" s="182">
        <v>73</v>
      </c>
      <c r="D650" s="182">
        <f>ROUND(($D$676/$C$676)*C650,0)</f>
        <v>67</v>
      </c>
      <c r="E650" s="226">
        <f>-E642</f>
        <v>-19.87</v>
      </c>
      <c r="F650" s="187"/>
      <c r="G650" s="184">
        <f>ROUND(E650*$C650,0)</f>
        <v>-1451</v>
      </c>
      <c r="H650" s="184">
        <f>ROUND(E650*$D650,0)</f>
        <v>-1331</v>
      </c>
      <c r="I650" s="226">
        <f>-I642</f>
        <v>-21.83</v>
      </c>
      <c r="J650" s="187"/>
      <c r="K650" s="184">
        <f>ROUND(I650*$C650,0)</f>
        <v>-1594</v>
      </c>
      <c r="M650" s="11"/>
      <c r="N650" s="11"/>
      <c r="O650" s="38"/>
      <c r="P650" s="38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</row>
    <row r="651" spans="1:29">
      <c r="A651" s="172" t="s">
        <v>267</v>
      </c>
      <c r="B651" s="1"/>
      <c r="C651" s="182">
        <v>11428</v>
      </c>
      <c r="D651" s="182">
        <f>ROUND(($D$676/$C$676)*C651,0)</f>
        <v>10495</v>
      </c>
      <c r="E651" s="226">
        <f>-E644</f>
        <v>-19.87</v>
      </c>
      <c r="F651" s="187"/>
      <c r="G651" s="184">
        <f>ROUND(E651*$C651,0)</f>
        <v>-227074</v>
      </c>
      <c r="H651" s="184">
        <f>ROUND(E651*$D651,0)</f>
        <v>-208536</v>
      </c>
      <c r="I651" s="226">
        <f>-I644</f>
        <v>-21.83</v>
      </c>
      <c r="J651" s="187"/>
      <c r="K651" s="184">
        <f>ROUND(I651*$C651,0)</f>
        <v>-249473</v>
      </c>
      <c r="M651" s="11"/>
      <c r="N651" s="11"/>
      <c r="O651" s="38"/>
      <c r="P651" s="38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>
      <c r="A652" s="186" t="s">
        <v>230</v>
      </c>
      <c r="B652" s="1"/>
      <c r="C652" s="182"/>
      <c r="D652" s="182"/>
      <c r="E652" s="200"/>
      <c r="F652" s="184"/>
      <c r="G652" s="184"/>
      <c r="H652" s="184"/>
      <c r="I652" s="200"/>
      <c r="J652" s="184"/>
      <c r="K652" s="184"/>
      <c r="M652" s="11"/>
      <c r="N652" s="11"/>
      <c r="O652" s="38"/>
      <c r="P652" s="38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</row>
    <row r="653" spans="1:29">
      <c r="A653" s="172" t="s">
        <v>268</v>
      </c>
      <c r="B653" s="1"/>
      <c r="C653" s="182">
        <f>5084272+75575644+56800989+6712400</f>
        <v>144173305</v>
      </c>
      <c r="D653" s="182">
        <f>ROUND(($D$676/$C$676)*C653,0)</f>
        <v>132402479</v>
      </c>
      <c r="E653" s="245">
        <f>$E$602</f>
        <v>5.3710000000000004</v>
      </c>
      <c r="F653" s="184" t="s">
        <v>178</v>
      </c>
      <c r="G653" s="184">
        <f>ROUND(E653/100*$C653,0)</f>
        <v>7743548</v>
      </c>
      <c r="H653" s="184">
        <f>ROUND(E653/100*$D653,0)</f>
        <v>7111337</v>
      </c>
      <c r="I653" s="245">
        <f>$I$602</f>
        <v>5.9</v>
      </c>
      <c r="J653" s="184" t="s">
        <v>178</v>
      </c>
      <c r="K653" s="184">
        <f>ROUND(I653/100*$C653,0)</f>
        <v>8506225</v>
      </c>
      <c r="M653" s="11"/>
      <c r="N653" s="11"/>
      <c r="O653" s="38"/>
      <c r="P653" s="38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>
      <c r="A654" s="186" t="s">
        <v>204</v>
      </c>
      <c r="B654" s="1"/>
      <c r="C654" s="138">
        <f>1923+20850+3348</f>
        <v>26121</v>
      </c>
      <c r="D654" s="182">
        <f>ROUND(($D$676/$C$676)*C654,0)</f>
        <v>23988</v>
      </c>
      <c r="E654" s="202">
        <f>$E$603</f>
        <v>45</v>
      </c>
      <c r="F654" s="186" t="s">
        <v>178</v>
      </c>
      <c r="G654" s="184">
        <f>ROUND(E654*$C654/100,0)</f>
        <v>11754</v>
      </c>
      <c r="H654" s="184">
        <f>ROUND(E654*$D654/100,0)</f>
        <v>10795</v>
      </c>
      <c r="I654" s="202">
        <f>$I$603</f>
        <v>50</v>
      </c>
      <c r="J654" s="186" t="s">
        <v>178</v>
      </c>
      <c r="K654" s="184">
        <f>ROUND(I654*$C654/100,0)</f>
        <v>13061</v>
      </c>
      <c r="M654" s="11"/>
      <c r="N654" s="11"/>
      <c r="O654" s="38"/>
      <c r="P654" s="38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</row>
    <row r="655" spans="1:29">
      <c r="A655" s="223" t="s">
        <v>205</v>
      </c>
      <c r="B655" s="1"/>
      <c r="C655" s="182"/>
      <c r="D655" s="182"/>
      <c r="E655" s="195">
        <v>-0.01</v>
      </c>
      <c r="F655" s="2"/>
      <c r="G655" s="184"/>
      <c r="H655" s="184"/>
      <c r="I655" s="195">
        <v>-0.01</v>
      </c>
      <c r="J655" s="1"/>
      <c r="K655" s="184"/>
      <c r="M655" s="11"/>
      <c r="N655" s="11"/>
      <c r="O655" s="38"/>
      <c r="P655" s="38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>
      <c r="A656" s="172" t="s">
        <v>194</v>
      </c>
      <c r="B656" s="1"/>
      <c r="C656" s="182">
        <v>0</v>
      </c>
      <c r="D656" s="182">
        <v>0</v>
      </c>
      <c r="E656" s="247">
        <f>E633</f>
        <v>0</v>
      </c>
      <c r="F656" s="187"/>
      <c r="G656" s="184">
        <f>ROUND(E656*$C656*$E$604,0)</f>
        <v>0</v>
      </c>
      <c r="H656" s="184">
        <f>ROUND(E656*$D656*$E$604,0)</f>
        <v>0</v>
      </c>
      <c r="I656" s="247">
        <f>I633</f>
        <v>0</v>
      </c>
      <c r="J656" s="187"/>
      <c r="K656" s="184">
        <f>ROUND(I656*$C656*$E$604,0)</f>
        <v>0</v>
      </c>
      <c r="M656" s="11"/>
      <c r="N656" s="11"/>
      <c r="O656" s="38"/>
      <c r="P656" s="38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</row>
    <row r="657" spans="1:29">
      <c r="A657" s="172" t="s">
        <v>195</v>
      </c>
      <c r="B657" s="1"/>
      <c r="C657" s="182"/>
      <c r="D657" s="182"/>
      <c r="E657" s="247"/>
      <c r="F657" s="187"/>
      <c r="G657" s="184"/>
      <c r="H657" s="184"/>
      <c r="I657" s="247"/>
      <c r="J657" s="187"/>
      <c r="K657" s="184"/>
      <c r="M657" s="11"/>
      <c r="N657" s="11"/>
      <c r="O657" s="38"/>
      <c r="P657" s="38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>
      <c r="A658" s="172" t="s">
        <v>256</v>
      </c>
      <c r="B658" s="1"/>
      <c r="C658" s="182">
        <v>0</v>
      </c>
      <c r="D658" s="182">
        <v>0</v>
      </c>
      <c r="E658" s="247">
        <f>E635</f>
        <v>0</v>
      </c>
      <c r="F658" s="187"/>
      <c r="G658" s="184">
        <f>ROUND(E658*$C658*$E$604,0)</f>
        <v>0</v>
      </c>
      <c r="H658" s="184">
        <f>ROUND(E658*$D658*$E$604,0)</f>
        <v>0</v>
      </c>
      <c r="I658" s="247">
        <f>I635</f>
        <v>0</v>
      </c>
      <c r="J658" s="187"/>
      <c r="K658" s="184">
        <f>ROUND(I658*$C658*$E$604,0)</f>
        <v>0</v>
      </c>
      <c r="M658" s="11"/>
      <c r="N658" s="11"/>
      <c r="O658" s="38"/>
      <c r="P658" s="38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</row>
    <row r="659" spans="1:29">
      <c r="A659" s="172" t="s">
        <v>257</v>
      </c>
      <c r="B659" s="1"/>
      <c r="C659" s="182">
        <v>0</v>
      </c>
      <c r="D659" s="182">
        <v>0</v>
      </c>
      <c r="E659" s="247">
        <f>E636</f>
        <v>301</v>
      </c>
      <c r="F659" s="187"/>
      <c r="G659" s="184">
        <f>ROUND(E659*$C659*$E$604,0)</f>
        <v>0</v>
      </c>
      <c r="H659" s="184">
        <f>ROUND(E659*$D659*$E$604,0)</f>
        <v>0</v>
      </c>
      <c r="I659" s="247">
        <f>I636</f>
        <v>333</v>
      </c>
      <c r="J659" s="187"/>
      <c r="K659" s="184">
        <f>ROUND(I659*$C659*$E$604,0)</f>
        <v>0</v>
      </c>
      <c r="M659" s="11"/>
      <c r="N659" s="11"/>
      <c r="O659" s="38"/>
      <c r="P659" s="38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</row>
    <row r="660" spans="1:29">
      <c r="A660" s="172" t="s">
        <v>258</v>
      </c>
      <c r="B660" s="1"/>
      <c r="C660" s="182">
        <v>0</v>
      </c>
      <c r="D660" s="182">
        <v>0</v>
      </c>
      <c r="E660" s="247">
        <f>E637</f>
        <v>1215</v>
      </c>
      <c r="F660" s="187"/>
      <c r="G660" s="184">
        <f>ROUND(E660*$C660*$E$604,0)</f>
        <v>0</v>
      </c>
      <c r="H660" s="184">
        <f>ROUND(E660*$D660*$E$604,0)</f>
        <v>0</v>
      </c>
      <c r="I660" s="247">
        <f>I637</f>
        <v>1335</v>
      </c>
      <c r="J660" s="187"/>
      <c r="K660" s="184">
        <f>ROUND(I660*$C660*$E$604,0)</f>
        <v>0</v>
      </c>
      <c r="M660" s="11"/>
      <c r="N660" s="11"/>
      <c r="O660" s="38"/>
      <c r="P660" s="38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>
      <c r="A661" s="172" t="s">
        <v>194</v>
      </c>
      <c r="B661" s="1"/>
      <c r="C661" s="182">
        <v>0</v>
      </c>
      <c r="D661" s="182">
        <v>0</v>
      </c>
      <c r="E661" s="247">
        <f>E642</f>
        <v>19.87</v>
      </c>
      <c r="F661" s="187"/>
      <c r="G661" s="184">
        <f>ROUND(E661*$C661*$E$604,0)</f>
        <v>0</v>
      </c>
      <c r="H661" s="184">
        <f>ROUND(E661*$D661*$E$604,0)</f>
        <v>0</v>
      </c>
      <c r="I661" s="247">
        <f>I642</f>
        <v>21.83</v>
      </c>
      <c r="J661" s="187"/>
      <c r="K661" s="184">
        <f>ROUND(I661*$C661*$E$604,0)</f>
        <v>0</v>
      </c>
      <c r="M661" s="11"/>
      <c r="N661" s="11"/>
      <c r="O661" s="38"/>
      <c r="P661" s="38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>
      <c r="A662" s="172" t="s">
        <v>195</v>
      </c>
      <c r="B662" s="1"/>
      <c r="C662" s="182"/>
      <c r="D662" s="182"/>
      <c r="E662" s="247"/>
      <c r="F662" s="187"/>
      <c r="G662" s="184"/>
      <c r="H662" s="184"/>
      <c r="I662" s="247"/>
      <c r="J662" s="187"/>
      <c r="K662" s="184"/>
      <c r="M662" s="11"/>
      <c r="N662" s="11"/>
      <c r="O662" s="38"/>
      <c r="P662" s="38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</row>
    <row r="663" spans="1:29">
      <c r="A663" s="172" t="s">
        <v>256</v>
      </c>
      <c r="B663" s="1"/>
      <c r="C663" s="182">
        <v>0</v>
      </c>
      <c r="D663" s="182">
        <f>ROUND(($D$676/$C$676)*C663,0)</f>
        <v>0</v>
      </c>
      <c r="E663" s="247">
        <f>E644</f>
        <v>19.87</v>
      </c>
      <c r="F663" s="187"/>
      <c r="G663" s="184">
        <f>ROUND(E663*$C663*$E$604,0)</f>
        <v>0</v>
      </c>
      <c r="H663" s="184">
        <f>ROUND(E663*$D663*$E$604,0)</f>
        <v>0</v>
      </c>
      <c r="I663" s="247">
        <f>I644</f>
        <v>21.83</v>
      </c>
      <c r="J663" s="187"/>
      <c r="K663" s="184">
        <f>ROUND(I663*$C663*$E$604,0)</f>
        <v>0</v>
      </c>
      <c r="M663" s="11"/>
      <c r="N663" s="11"/>
      <c r="O663" s="38"/>
      <c r="P663" s="38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</row>
    <row r="664" spans="1:29">
      <c r="A664" s="172" t="s">
        <v>257</v>
      </c>
      <c r="B664" s="1"/>
      <c r="C664" s="182">
        <v>0</v>
      </c>
      <c r="D664" s="182">
        <f>ROUND(($D$676/$C$676)*C664,0)</f>
        <v>0</v>
      </c>
      <c r="E664" s="247">
        <f>E645</f>
        <v>13.64</v>
      </c>
      <c r="F664" s="187"/>
      <c r="G664" s="184">
        <f>ROUND(E664*$C664*$E$604,0)</f>
        <v>0</v>
      </c>
      <c r="H664" s="184">
        <f>ROUND(E664*$D664*$E$604,0)</f>
        <v>0</v>
      </c>
      <c r="I664" s="247">
        <f>I645</f>
        <v>14.98</v>
      </c>
      <c r="J664" s="187"/>
      <c r="K664" s="184">
        <f>ROUND(I664*$C664*$E$604,0)</f>
        <v>0</v>
      </c>
      <c r="M664" s="11"/>
      <c r="N664" s="11"/>
      <c r="O664" s="38"/>
      <c r="P664" s="38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>
      <c r="A665" s="172" t="s">
        <v>258</v>
      </c>
      <c r="B665" s="1"/>
      <c r="C665" s="182">
        <v>0</v>
      </c>
      <c r="D665" s="182">
        <f>ROUND(($D$676/$C$676)*C665,0)</f>
        <v>0</v>
      </c>
      <c r="E665" s="247">
        <f>E646</f>
        <v>10.62</v>
      </c>
      <c r="F665" s="187"/>
      <c r="G665" s="184">
        <f>ROUND(E665*$C665*$E$604,0)</f>
        <v>0</v>
      </c>
      <c r="H665" s="184">
        <f>ROUND(E665*$D665*$E$604,0)</f>
        <v>0</v>
      </c>
      <c r="I665" s="247">
        <f>I646</f>
        <v>11.67</v>
      </c>
      <c r="J665" s="187"/>
      <c r="K665" s="184">
        <f>ROUND(I665*$C665*$E$604,0)</f>
        <v>0</v>
      </c>
      <c r="M665" s="11"/>
      <c r="N665" s="11"/>
      <c r="O665" s="38"/>
      <c r="P665" s="38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</row>
    <row r="666" spans="1:29">
      <c r="A666" s="172" t="s">
        <v>269</v>
      </c>
      <c r="B666" s="1"/>
      <c r="C666" s="182">
        <v>0</v>
      </c>
      <c r="D666" s="182">
        <v>0</v>
      </c>
      <c r="E666" s="216">
        <f>E647</f>
        <v>59.61</v>
      </c>
      <c r="F666" s="187"/>
      <c r="G666" s="184">
        <f>ROUND(E666*$C666*$E$604,0)</f>
        <v>0</v>
      </c>
      <c r="H666" s="184">
        <f>ROUND(E666*$D666*$E$604,0)</f>
        <v>0</v>
      </c>
      <c r="I666" s="216">
        <f>I647</f>
        <v>65.48</v>
      </c>
      <c r="J666" s="187"/>
      <c r="K666" s="184">
        <f>ROUND(I666*$C666*$E$604,0)</f>
        <v>0</v>
      </c>
      <c r="M666" s="11"/>
      <c r="N666" s="11"/>
      <c r="O666" s="38"/>
      <c r="P666" s="38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</row>
    <row r="667" spans="1:29">
      <c r="A667" s="172" t="s">
        <v>270</v>
      </c>
      <c r="B667" s="1"/>
      <c r="C667" s="182">
        <v>0</v>
      </c>
      <c r="D667" s="182">
        <v>0</v>
      </c>
      <c r="E667" s="216">
        <f>E648</f>
        <v>119.22</v>
      </c>
      <c r="F667" s="187"/>
      <c r="G667" s="184">
        <f>ROUND(E667*$C667*$E$604,0)</f>
        <v>0</v>
      </c>
      <c r="H667" s="184">
        <f>ROUND(E667*$D667*$E$604,0)</f>
        <v>0</v>
      </c>
      <c r="I667" s="216">
        <f>I648</f>
        <v>130.96</v>
      </c>
      <c r="J667" s="187"/>
      <c r="K667" s="184">
        <f>ROUND(I667*$C667*$E$604,0)</f>
        <v>0</v>
      </c>
      <c r="M667" s="11"/>
      <c r="N667" s="11"/>
      <c r="O667" s="38"/>
      <c r="P667" s="38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>
      <c r="A668" s="172" t="s">
        <v>266</v>
      </c>
      <c r="B668" s="1"/>
      <c r="C668" s="182"/>
      <c r="D668" s="182"/>
      <c r="E668" s="200"/>
      <c r="F668" s="187"/>
      <c r="G668" s="184"/>
      <c r="H668" s="184"/>
      <c r="I668" s="200"/>
      <c r="J668" s="187"/>
      <c r="K668" s="184"/>
      <c r="M668" s="11"/>
      <c r="N668" s="11"/>
      <c r="O668" s="38"/>
      <c r="P668" s="38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</row>
    <row r="669" spans="1:29">
      <c r="A669" s="172" t="s">
        <v>261</v>
      </c>
      <c r="B669" s="1"/>
      <c r="C669" s="182">
        <v>0</v>
      </c>
      <c r="D669" s="182">
        <f>ROUND(($D$676/$C$676)*C669,0)</f>
        <v>0</v>
      </c>
      <c r="E669" s="226">
        <f>E650</f>
        <v>-19.87</v>
      </c>
      <c r="F669" s="187"/>
      <c r="G669" s="184">
        <f>ROUND(E669*$C669*$E$604,0)</f>
        <v>0</v>
      </c>
      <c r="H669" s="184">
        <f>ROUND(E669*$D669*$E$604,0)</f>
        <v>0</v>
      </c>
      <c r="I669" s="226">
        <f>I650</f>
        <v>-21.83</v>
      </c>
      <c r="J669" s="187"/>
      <c r="K669" s="184">
        <f>ROUND(I669*$C669*$E$604,0)</f>
        <v>0</v>
      </c>
      <c r="M669" s="11"/>
      <c r="N669" s="11"/>
      <c r="O669" s="38"/>
      <c r="P669" s="38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>
      <c r="A670" s="172" t="s">
        <v>267</v>
      </c>
      <c r="B670" s="1"/>
      <c r="C670" s="182">
        <v>0</v>
      </c>
      <c r="D670" s="182">
        <f>ROUND(($D$676/$C$676)*C670,0)</f>
        <v>0</v>
      </c>
      <c r="E670" s="226">
        <f>E651</f>
        <v>-19.87</v>
      </c>
      <c r="F670" s="187"/>
      <c r="G670" s="184">
        <f>ROUND(E670*$C670*$E$604,0)</f>
        <v>0</v>
      </c>
      <c r="H670" s="184">
        <f>ROUND(E670*$D670*$E$604,0)</f>
        <v>0</v>
      </c>
      <c r="I670" s="226">
        <f>I651</f>
        <v>-21.83</v>
      </c>
      <c r="J670" s="187"/>
      <c r="K670" s="184">
        <f>ROUND(I670*$C670*$E$604,0)</f>
        <v>0</v>
      </c>
      <c r="M670" s="11"/>
      <c r="N670" s="11"/>
      <c r="O670" s="38"/>
      <c r="P670" s="38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</row>
    <row r="671" spans="1:29">
      <c r="A671" s="186" t="s">
        <v>230</v>
      </c>
      <c r="B671" s="1"/>
      <c r="C671" s="182"/>
      <c r="D671" s="182"/>
      <c r="E671" s="247"/>
      <c r="F671" s="184"/>
      <c r="G671" s="184"/>
      <c r="H671" s="184"/>
      <c r="I671" s="247"/>
      <c r="J671" s="184"/>
      <c r="K671" s="184"/>
      <c r="M671" s="11"/>
      <c r="N671" s="11"/>
      <c r="O671" s="38"/>
      <c r="P671" s="38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</row>
    <row r="672" spans="1:29">
      <c r="A672" s="172" t="s">
        <v>268</v>
      </c>
      <c r="B672" s="1"/>
      <c r="C672" s="182">
        <v>0</v>
      </c>
      <c r="D672" s="182">
        <f>ROUND(($D$676/$C$676)*C672,0)</f>
        <v>0</v>
      </c>
      <c r="E672" s="248">
        <f>E653</f>
        <v>5.3710000000000004</v>
      </c>
      <c r="F672" s="184" t="s">
        <v>178</v>
      </c>
      <c r="G672" s="184">
        <f>ROUND(E672/100*$C672*$E$604,0)</f>
        <v>0</v>
      </c>
      <c r="H672" s="184">
        <f>ROUND(E672/100*$D672*$E$604,0)</f>
        <v>0</v>
      </c>
      <c r="I672" s="248">
        <f>I653</f>
        <v>5.9</v>
      </c>
      <c r="J672" s="184" t="s">
        <v>178</v>
      </c>
      <c r="K672" s="184">
        <f>ROUND(I672/100*$C672*$E$604,0)</f>
        <v>0</v>
      </c>
      <c r="M672" s="11"/>
      <c r="N672" s="11"/>
      <c r="O672" s="38"/>
      <c r="P672" s="38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</row>
    <row r="673" spans="1:29">
      <c r="A673" s="186" t="s">
        <v>204</v>
      </c>
      <c r="B673" s="1"/>
      <c r="C673" s="182">
        <v>0</v>
      </c>
      <c r="D673" s="182">
        <f>ROUND(($D$676/$C$676)*C673,0)</f>
        <v>0</v>
      </c>
      <c r="E673" s="238">
        <f>E654</f>
        <v>45</v>
      </c>
      <c r="F673" s="184" t="s">
        <v>178</v>
      </c>
      <c r="G673" s="184">
        <f>ROUND(E673/100*$C673*$E$604,0)</f>
        <v>0</v>
      </c>
      <c r="H673" s="184">
        <f>ROUND(E673/100*$D673*$E$604,0)</f>
        <v>0</v>
      </c>
      <c r="I673" s="238">
        <f>I654</f>
        <v>50</v>
      </c>
      <c r="J673" s="186" t="s">
        <v>178</v>
      </c>
      <c r="K673" s="184">
        <f>ROUND(I673/100*$C673*$E$604,0)</f>
        <v>0</v>
      </c>
      <c r="M673" s="11"/>
      <c r="N673" s="11"/>
      <c r="O673" s="38"/>
      <c r="P673" s="38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</row>
    <row r="674" spans="1:29">
      <c r="A674" s="186" t="s">
        <v>247</v>
      </c>
      <c r="B674" s="1"/>
      <c r="C674" s="182">
        <v>0</v>
      </c>
      <c r="D674" s="182">
        <v>0</v>
      </c>
      <c r="E674" s="161">
        <f>$E$623</f>
        <v>60</v>
      </c>
      <c r="F674" s="227" t="s">
        <v>13</v>
      </c>
      <c r="G674" s="184">
        <f>ROUND(E674*$C674,0)</f>
        <v>0</v>
      </c>
      <c r="H674" s="184">
        <f>ROUND(E674*$D674,0)</f>
        <v>0</v>
      </c>
      <c r="I674" s="161">
        <f>$I$623</f>
        <v>60</v>
      </c>
      <c r="J674" s="1"/>
      <c r="K674" s="184">
        <f>ROUND(I674*$C674,0)</f>
        <v>0</v>
      </c>
      <c r="M674" s="11"/>
      <c r="N674" s="11"/>
      <c r="O674" s="38"/>
      <c r="P674" s="38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</row>
    <row r="675" spans="1:29">
      <c r="A675" s="186" t="s">
        <v>248</v>
      </c>
      <c r="B675" s="1"/>
      <c r="C675" s="182">
        <v>0</v>
      </c>
      <c r="D675" s="182">
        <f>ROUND(($D$676/$C$676)*C675,0)</f>
        <v>0</v>
      </c>
      <c r="E675" s="202">
        <f>$E$624</f>
        <v>-30</v>
      </c>
      <c r="F675" s="184" t="s">
        <v>178</v>
      </c>
      <c r="G675" s="184">
        <f>ROUND(E675*$C675,0)</f>
        <v>0</v>
      </c>
      <c r="H675" s="184">
        <f>ROUND(E675*$D675,0)</f>
        <v>0</v>
      </c>
      <c r="I675" s="202">
        <f>$I$624</f>
        <v>-30</v>
      </c>
      <c r="J675" s="184" t="s">
        <v>178</v>
      </c>
      <c r="K675" s="184">
        <f>ROUND(I675*$C675,0)</f>
        <v>0</v>
      </c>
      <c r="M675" s="11"/>
      <c r="N675" s="11"/>
      <c r="O675" s="38"/>
      <c r="P675" s="38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</row>
    <row r="676" spans="1:29">
      <c r="A676" s="1" t="s">
        <v>185</v>
      </c>
      <c r="B676" s="1"/>
      <c r="C676" s="182">
        <f>SUM(C653:C653)</f>
        <v>144173305</v>
      </c>
      <c r="D676" s="182">
        <v>132402479.40697747</v>
      </c>
      <c r="E676" s="193"/>
      <c r="F676" s="2"/>
      <c r="G676" s="2">
        <f>SUM(G633:G675)</f>
        <v>9419089</v>
      </c>
      <c r="H676" s="2">
        <f>SUM(H633:H675)</f>
        <v>8660203</v>
      </c>
      <c r="I676" s="193"/>
      <c r="J676" s="186"/>
      <c r="K676" s="2">
        <f>SUM(K633:K675)</f>
        <v>10347787</v>
      </c>
      <c r="M676" s="11"/>
      <c r="N676" s="11"/>
      <c r="O676" s="38"/>
      <c r="P676" s="38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>
      <c r="A677" s="1" t="s">
        <v>167</v>
      </c>
      <c r="B677" s="1"/>
      <c r="C677" s="212" t="e">
        <f>#REF!</f>
        <v>#REF!</v>
      </c>
      <c r="D677" s="212">
        <v>0</v>
      </c>
      <c r="E677" s="172"/>
      <c r="F677" s="172"/>
      <c r="G677" s="173" t="e">
        <f>#REF!</f>
        <v>#REF!</v>
      </c>
      <c r="H677" s="173">
        <v>0</v>
      </c>
      <c r="I677" s="172"/>
      <c r="J677" s="172"/>
      <c r="K677" s="173" t="e">
        <f>G677</f>
        <v>#REF!</v>
      </c>
      <c r="M677" s="307"/>
      <c r="N677" s="307"/>
      <c r="O677" s="150"/>
      <c r="P677" s="38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 ht="16.5" thickBot="1">
      <c r="A678" s="1" t="s">
        <v>186</v>
      </c>
      <c r="B678" s="1"/>
      <c r="C678" s="229" t="e">
        <f>SUM(C676:C677)</f>
        <v>#REF!</v>
      </c>
      <c r="D678" s="229">
        <f>SUM(D676:D677)</f>
        <v>132402479.40697747</v>
      </c>
      <c r="E678" s="205"/>
      <c r="F678" s="206"/>
      <c r="G678" s="207" t="e">
        <f>G676+G677</f>
        <v>#REF!</v>
      </c>
      <c r="H678" s="207">
        <f>H676+H677</f>
        <v>8660203</v>
      </c>
      <c r="I678" s="205"/>
      <c r="J678" s="208"/>
      <c r="K678" s="207" t="e">
        <f>K676+K677</f>
        <v>#REF!</v>
      </c>
      <c r="M678" s="274"/>
      <c r="N678" s="274"/>
      <c r="O678" s="333"/>
      <c r="P678" s="38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 ht="16.5" thickTop="1">
      <c r="A679" s="1"/>
      <c r="B679" s="1"/>
      <c r="C679" s="16"/>
      <c r="D679" s="16"/>
      <c r="E679" s="214"/>
      <c r="F679" s="215"/>
      <c r="G679" s="185"/>
      <c r="H679" s="185"/>
      <c r="I679" s="249" t="s">
        <v>13</v>
      </c>
      <c r="J679" s="14"/>
      <c r="K679" s="135" t="s">
        <v>13</v>
      </c>
      <c r="M679" s="11"/>
      <c r="N679" s="11"/>
      <c r="O679" s="38"/>
      <c r="P679" s="38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</row>
    <row r="680" spans="1:29">
      <c r="A680" s="156" t="s">
        <v>271</v>
      </c>
      <c r="B680" s="1"/>
      <c r="C680" s="12"/>
      <c r="D680" s="12"/>
      <c r="E680" s="200"/>
      <c r="F680" s="2"/>
      <c r="G680" s="2"/>
      <c r="H680" s="2"/>
      <c r="I680" s="200"/>
      <c r="J680" s="1"/>
      <c r="K680" s="2"/>
      <c r="M680" s="11"/>
      <c r="N680" s="11"/>
      <c r="O680" s="38"/>
      <c r="P680" s="38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>
      <c r="A681" s="172" t="s">
        <v>272</v>
      </c>
      <c r="B681" s="1"/>
      <c r="C681" s="12"/>
      <c r="D681" s="12"/>
      <c r="E681" s="200"/>
      <c r="F681" s="2"/>
      <c r="G681" s="2"/>
      <c r="H681" s="2"/>
      <c r="I681" s="200"/>
      <c r="J681" s="1"/>
      <c r="K681" s="2"/>
      <c r="M681" s="11"/>
      <c r="N681" s="11"/>
      <c r="O681" s="38"/>
      <c r="P681" s="38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>
      <c r="A682" s="186"/>
      <c r="B682" s="1"/>
      <c r="C682" s="12"/>
      <c r="D682" s="12"/>
      <c r="E682" s="200"/>
      <c r="F682" s="2"/>
      <c r="G682" s="243"/>
      <c r="H682" s="243"/>
      <c r="I682" s="200"/>
      <c r="J682" s="1"/>
      <c r="K682" s="244"/>
      <c r="M682" s="11"/>
      <c r="N682" s="11"/>
      <c r="O682" s="38"/>
      <c r="P682" s="38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>
      <c r="A683" s="172" t="s">
        <v>253</v>
      </c>
      <c r="B683" s="1"/>
      <c r="C683" s="182"/>
      <c r="D683" s="182"/>
      <c r="E683" s="2" t="s">
        <v>13</v>
      </c>
      <c r="F683" s="2"/>
      <c r="G683" s="1"/>
      <c r="H683" s="1"/>
      <c r="I683" s="2" t="s">
        <v>13</v>
      </c>
      <c r="J683" s="1"/>
      <c r="K683" s="1"/>
      <c r="M683" s="11"/>
      <c r="N683" s="11"/>
      <c r="O683" s="38"/>
      <c r="P683" s="38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>
      <c r="A684" s="172" t="s">
        <v>254</v>
      </c>
      <c r="B684" s="1"/>
      <c r="C684" s="182">
        <v>161</v>
      </c>
      <c r="D684" s="182">
        <v>167</v>
      </c>
      <c r="E684" s="200">
        <f>$E$582</f>
        <v>0</v>
      </c>
      <c r="F684" s="187"/>
      <c r="G684" s="184">
        <f>ROUND(E684*$C684,0)</f>
        <v>0</v>
      </c>
      <c r="H684" s="184">
        <f>ROUND(E684*$D684,0)</f>
        <v>0</v>
      </c>
      <c r="I684" s="200">
        <f>$I$582</f>
        <v>0</v>
      </c>
      <c r="J684" s="187"/>
      <c r="K684" s="184">
        <f>ROUND(I684*$C684,0)</f>
        <v>0</v>
      </c>
      <c r="M684" s="11"/>
      <c r="N684" s="11"/>
      <c r="O684" s="38"/>
      <c r="P684" s="38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>
      <c r="A685" s="172" t="s">
        <v>255</v>
      </c>
      <c r="B685" s="1"/>
      <c r="C685" s="182"/>
      <c r="D685" s="182"/>
      <c r="E685" s="200"/>
      <c r="F685" s="187"/>
      <c r="G685" s="184"/>
      <c r="H685" s="184"/>
      <c r="I685" s="200"/>
      <c r="J685" s="187"/>
      <c r="K685" s="184"/>
      <c r="M685" s="11"/>
      <c r="N685" s="11"/>
      <c r="O685" s="38"/>
      <c r="P685" s="38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</row>
    <row r="686" spans="1:29">
      <c r="A686" s="172" t="s">
        <v>256</v>
      </c>
      <c r="B686" s="1"/>
      <c r="C686" s="182">
        <v>387</v>
      </c>
      <c r="D686" s="182">
        <v>401</v>
      </c>
      <c r="E686" s="200">
        <f>$E$584</f>
        <v>0</v>
      </c>
      <c r="F686" s="187"/>
      <c r="G686" s="184">
        <f>ROUND(E686*$C686,0)</f>
        <v>0</v>
      </c>
      <c r="H686" s="184">
        <f>ROUND(E686*$D686,0)</f>
        <v>0</v>
      </c>
      <c r="I686" s="200">
        <f>$I$584</f>
        <v>0</v>
      </c>
      <c r="J686" s="187"/>
      <c r="K686" s="184">
        <f>ROUND(I686*$C686,0)</f>
        <v>0</v>
      </c>
      <c r="M686" s="11"/>
      <c r="N686" s="11"/>
      <c r="O686" s="38"/>
      <c r="P686" s="38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</row>
    <row r="687" spans="1:29">
      <c r="A687" s="172" t="s">
        <v>257</v>
      </c>
      <c r="B687" s="1"/>
      <c r="C687" s="182">
        <v>37</v>
      </c>
      <c r="D687" s="182">
        <v>38</v>
      </c>
      <c r="E687" s="200">
        <f>$E$585</f>
        <v>301</v>
      </c>
      <c r="F687" s="187"/>
      <c r="G687" s="184">
        <f>ROUND(E687*$C687,0)</f>
        <v>11137</v>
      </c>
      <c r="H687" s="184">
        <f>ROUND(E687*$D687,0)</f>
        <v>11438</v>
      </c>
      <c r="I687" s="200">
        <f>$I$585</f>
        <v>333</v>
      </c>
      <c r="J687" s="187"/>
      <c r="K687" s="184">
        <f>ROUND(I687*$C687,0)</f>
        <v>12321</v>
      </c>
      <c r="M687" s="11"/>
      <c r="N687" s="11"/>
      <c r="O687" s="38"/>
      <c r="P687" s="38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>
      <c r="A688" s="172" t="s">
        <v>258</v>
      </c>
      <c r="B688" s="1"/>
      <c r="C688" s="182">
        <v>2</v>
      </c>
      <c r="D688" s="182">
        <v>2</v>
      </c>
      <c r="E688" s="200">
        <f>$E$586</f>
        <v>1215</v>
      </c>
      <c r="F688" s="187"/>
      <c r="G688" s="184">
        <f>ROUND(E688*$C688,0)</f>
        <v>2430</v>
      </c>
      <c r="H688" s="184">
        <f>ROUND(E688*$D688,0)</f>
        <v>2430</v>
      </c>
      <c r="I688" s="200">
        <f>$I$586</f>
        <v>1335</v>
      </c>
      <c r="J688" s="187"/>
      <c r="K688" s="184">
        <f>ROUND(I688*$C688,0)</f>
        <v>2670</v>
      </c>
      <c r="M688" s="11"/>
      <c r="N688" s="11"/>
      <c r="O688" s="38"/>
      <c r="P688" s="38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</row>
    <row r="689" spans="1:29">
      <c r="A689" s="172" t="s">
        <v>166</v>
      </c>
      <c r="B689" s="1"/>
      <c r="C689" s="182">
        <f>SUM(C684:C688)</f>
        <v>587</v>
      </c>
      <c r="D689" s="182">
        <v>608.93144040394361</v>
      </c>
      <c r="E689" s="200"/>
      <c r="F689" s="187"/>
      <c r="G689" s="184"/>
      <c r="H689" s="184"/>
      <c r="I689" s="200"/>
      <c r="J689" s="187"/>
      <c r="K689" s="184"/>
      <c r="M689" s="11"/>
      <c r="N689" s="11"/>
      <c r="O689" s="38"/>
      <c r="P689" s="38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</row>
    <row r="690" spans="1:29">
      <c r="A690" s="172" t="s">
        <v>259</v>
      </c>
      <c r="B690" s="1"/>
      <c r="C690" s="182">
        <f>4+8+1033+2769+281+16</f>
        <v>4111</v>
      </c>
      <c r="D690" s="182">
        <v>4265</v>
      </c>
      <c r="E690" s="200"/>
      <c r="F690" s="184"/>
      <c r="G690" s="184"/>
      <c r="H690" s="184"/>
      <c r="I690" s="200"/>
      <c r="J690" s="184"/>
      <c r="K690" s="184"/>
      <c r="M690" s="11"/>
      <c r="N690" s="11"/>
      <c r="O690" s="38"/>
      <c r="P690" s="38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</row>
    <row r="691" spans="1:29">
      <c r="A691" s="172" t="s">
        <v>24</v>
      </c>
      <c r="B691" s="1"/>
      <c r="C691" s="182">
        <f>1+1+181+460+38+2</f>
        <v>683</v>
      </c>
      <c r="D691" s="182">
        <v>709</v>
      </c>
      <c r="E691" s="200"/>
      <c r="F691" s="184"/>
      <c r="G691" s="184"/>
      <c r="H691" s="184"/>
      <c r="I691" s="200"/>
      <c r="J691" s="184"/>
      <c r="K691" s="184"/>
      <c r="M691" s="11"/>
      <c r="N691" s="11"/>
      <c r="O691" s="38"/>
      <c r="P691" s="38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</row>
    <row r="692" spans="1:29">
      <c r="A692" s="172" t="s">
        <v>260</v>
      </c>
      <c r="B692" s="1"/>
      <c r="C692" s="182"/>
      <c r="D692" s="182"/>
      <c r="E692" s="200"/>
      <c r="F692" s="187"/>
      <c r="G692" s="184"/>
      <c r="H692" s="184"/>
      <c r="I692" s="200"/>
      <c r="J692" s="187"/>
      <c r="K692" s="184"/>
      <c r="M692" s="11"/>
      <c r="N692" s="11"/>
      <c r="O692" s="38"/>
      <c r="P692" s="38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</row>
    <row r="693" spans="1:29">
      <c r="A693" s="172" t="s">
        <v>261</v>
      </c>
      <c r="B693" s="1"/>
      <c r="C693" s="182">
        <v>959</v>
      </c>
      <c r="D693" s="182">
        <f>ROUND(($D$727/$C$727)*C693,0)</f>
        <v>874</v>
      </c>
      <c r="E693" s="200">
        <f>$E$591</f>
        <v>19.87</v>
      </c>
      <c r="F693" s="187"/>
      <c r="G693" s="184">
        <f>ROUND(E693*$C693,0)</f>
        <v>19055</v>
      </c>
      <c r="H693" s="184">
        <f>ROUND(E693*$D693,0)</f>
        <v>17366</v>
      </c>
      <c r="I693" s="200">
        <f>$I$591</f>
        <v>21.83</v>
      </c>
      <c r="J693" s="187"/>
      <c r="K693" s="184">
        <f>ROUND(I693*$C693,0)</f>
        <v>20935</v>
      </c>
      <c r="M693" s="11"/>
      <c r="N693" s="11"/>
      <c r="O693" s="38"/>
      <c r="P693" s="38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</row>
    <row r="694" spans="1:29">
      <c r="A694" s="172" t="s">
        <v>262</v>
      </c>
      <c r="B694" s="1"/>
      <c r="C694" s="182"/>
      <c r="D694" s="182"/>
      <c r="E694" s="200"/>
      <c r="F694" s="187"/>
      <c r="G694" s="184"/>
      <c r="H694" s="184"/>
      <c r="I694" s="200"/>
      <c r="J694" s="187"/>
      <c r="K694" s="184"/>
      <c r="M694" s="11"/>
      <c r="N694" s="11"/>
      <c r="O694" s="38"/>
      <c r="P694" s="38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</row>
    <row r="695" spans="1:29">
      <c r="A695" s="172" t="s">
        <v>256</v>
      </c>
      <c r="B695" s="1"/>
      <c r="C695" s="182">
        <f>6331+40</f>
        <v>6371</v>
      </c>
      <c r="D695" s="182">
        <f>ROUND(($D$727/$C$727)*C695,0)</f>
        <v>5809</v>
      </c>
      <c r="E695" s="200">
        <f>$E$593</f>
        <v>19.87</v>
      </c>
      <c r="F695" s="187"/>
      <c r="G695" s="184">
        <f>ROUND(E695*$C695,0)</f>
        <v>126592</v>
      </c>
      <c r="H695" s="184">
        <f>ROUND(E695*$D695,0)</f>
        <v>115425</v>
      </c>
      <c r="I695" s="200">
        <f>$I$593</f>
        <v>21.83</v>
      </c>
      <c r="J695" s="187"/>
      <c r="K695" s="184">
        <f>ROUND(I695*$C695,0)</f>
        <v>139079</v>
      </c>
      <c r="M695" s="11"/>
      <c r="N695" s="11"/>
      <c r="O695" s="38"/>
      <c r="P695" s="38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</row>
    <row r="696" spans="1:29">
      <c r="A696" s="172" t="s">
        <v>257</v>
      </c>
      <c r="B696" s="1"/>
      <c r="C696" s="182">
        <f>3750</f>
        <v>3750</v>
      </c>
      <c r="D696" s="182">
        <f>ROUND(($D$727/$C$727)*C696,0)</f>
        <v>3419</v>
      </c>
      <c r="E696" s="200">
        <f>$E$594</f>
        <v>13.64</v>
      </c>
      <c r="F696" s="187"/>
      <c r="G696" s="184">
        <f>ROUND(E696*$C696,0)</f>
        <v>51150</v>
      </c>
      <c r="H696" s="184">
        <f>ROUND(E696*$D696,0)</f>
        <v>46635</v>
      </c>
      <c r="I696" s="200">
        <f>$I$594</f>
        <v>14.98</v>
      </c>
      <c r="J696" s="187"/>
      <c r="K696" s="184">
        <f>ROUND(I696*$C696,0)</f>
        <v>56175</v>
      </c>
      <c r="M696" s="11"/>
      <c r="N696" s="11"/>
      <c r="O696" s="38"/>
      <c r="P696" s="38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</row>
    <row r="697" spans="1:29">
      <c r="A697" s="172" t="s">
        <v>258</v>
      </c>
      <c r="B697" s="1"/>
      <c r="C697" s="182">
        <f>969</f>
        <v>969</v>
      </c>
      <c r="D697" s="182">
        <f>ROUND(($D$727/$C$727)*C697,0)</f>
        <v>884</v>
      </c>
      <c r="E697" s="200">
        <f>$E$595</f>
        <v>10.62</v>
      </c>
      <c r="F697" s="187"/>
      <c r="G697" s="184">
        <f>ROUND(E697*$C697,0)</f>
        <v>10291</v>
      </c>
      <c r="H697" s="184">
        <f>ROUND(E697*$D697,0)</f>
        <v>9388</v>
      </c>
      <c r="I697" s="200">
        <f>$I$595</f>
        <v>11.67</v>
      </c>
      <c r="J697" s="187"/>
      <c r="K697" s="184">
        <f>ROUND(I697*$C697,0)</f>
        <v>11308</v>
      </c>
      <c r="M697" s="11"/>
      <c r="N697" s="11"/>
      <c r="O697" s="38"/>
      <c r="P697" s="38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</row>
    <row r="698" spans="1:29">
      <c r="A698" s="172" t="s">
        <v>264</v>
      </c>
      <c r="B698" s="1"/>
      <c r="C698" s="182">
        <v>31</v>
      </c>
      <c r="D698" s="182">
        <v>28</v>
      </c>
      <c r="E698" s="200">
        <f>$E$596</f>
        <v>59.61</v>
      </c>
      <c r="F698" s="187"/>
      <c r="G698" s="184">
        <f>ROUND(E698*$C698,0)</f>
        <v>1848</v>
      </c>
      <c r="H698" s="184">
        <f>ROUND(E698*$D698,0)</f>
        <v>1669</v>
      </c>
      <c r="I698" s="200">
        <f>$I$596</f>
        <v>65.48</v>
      </c>
      <c r="J698" s="187"/>
      <c r="K698" s="184">
        <f>ROUND(I698*$C698,0)</f>
        <v>2030</v>
      </c>
      <c r="M698" s="11"/>
      <c r="N698" s="11"/>
      <c r="O698" s="38"/>
      <c r="P698" s="38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</row>
    <row r="699" spans="1:29">
      <c r="A699" s="172" t="s">
        <v>265</v>
      </c>
      <c r="B699" s="1"/>
      <c r="C699" s="182">
        <v>148</v>
      </c>
      <c r="D699" s="182">
        <v>135</v>
      </c>
      <c r="E699" s="200">
        <f>$E$597</f>
        <v>119.22</v>
      </c>
      <c r="F699" s="187"/>
      <c r="G699" s="184">
        <f>ROUND(E699*$C699,0)</f>
        <v>17645</v>
      </c>
      <c r="H699" s="184">
        <f>ROUND(E699*$D699,0)</f>
        <v>16095</v>
      </c>
      <c r="I699" s="200">
        <f>$I$597</f>
        <v>130.96</v>
      </c>
      <c r="J699" s="187"/>
      <c r="K699" s="184">
        <f>ROUND(I699*$C699,0)</f>
        <v>19382</v>
      </c>
      <c r="M699" s="11"/>
      <c r="N699" s="11"/>
      <c r="O699" s="38"/>
      <c r="P699" s="38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</row>
    <row r="700" spans="1:29">
      <c r="A700" s="172" t="s">
        <v>266</v>
      </c>
      <c r="B700" s="1"/>
      <c r="C700" s="182"/>
      <c r="D700" s="182"/>
      <c r="E700" s="200"/>
      <c r="F700" s="187"/>
      <c r="G700" s="184"/>
      <c r="H700" s="184"/>
      <c r="I700" s="200"/>
      <c r="J700" s="187"/>
      <c r="K700" s="184"/>
      <c r="M700" s="11"/>
      <c r="N700" s="11"/>
      <c r="O700" s="38"/>
      <c r="P700" s="38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</row>
    <row r="701" spans="1:29">
      <c r="A701" s="172" t="s">
        <v>261</v>
      </c>
      <c r="B701" s="1"/>
      <c r="C701" s="182">
        <v>23</v>
      </c>
      <c r="D701" s="182">
        <f>ROUND(($D$727/$C$727)*C701,0)</f>
        <v>21</v>
      </c>
      <c r="E701" s="226">
        <f>-E693</f>
        <v>-19.87</v>
      </c>
      <c r="F701" s="187"/>
      <c r="G701" s="184">
        <f>ROUND(E701*$C701,0)</f>
        <v>-457</v>
      </c>
      <c r="H701" s="184">
        <f>ROUND(E701*$D701,0)</f>
        <v>-417</v>
      </c>
      <c r="I701" s="226">
        <f>-I693</f>
        <v>-21.83</v>
      </c>
      <c r="J701" s="187"/>
      <c r="K701" s="184">
        <f>ROUND(I701*$C701,0)</f>
        <v>-502</v>
      </c>
      <c r="M701" s="11"/>
      <c r="N701" s="11"/>
      <c r="O701" s="38"/>
      <c r="P701" s="38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</row>
    <row r="702" spans="1:29">
      <c r="A702" s="172" t="s">
        <v>267</v>
      </c>
      <c r="B702" s="1"/>
      <c r="C702" s="182">
        <v>959</v>
      </c>
      <c r="D702" s="182">
        <f>ROUND(($D$727/$C$727)*C702,0)</f>
        <v>874</v>
      </c>
      <c r="E702" s="226">
        <f>-E695</f>
        <v>-19.87</v>
      </c>
      <c r="F702" s="187"/>
      <c r="G702" s="184">
        <f>ROUND(E702*$C702,0)</f>
        <v>-19055</v>
      </c>
      <c r="H702" s="184">
        <f>ROUND(E702*$D702,0)</f>
        <v>-17366</v>
      </c>
      <c r="I702" s="226">
        <f>-I695</f>
        <v>-21.83</v>
      </c>
      <c r="J702" s="187"/>
      <c r="K702" s="184">
        <f>ROUND(I702*$C702,0)</f>
        <v>-20935</v>
      </c>
      <c r="M702" s="11"/>
      <c r="N702" s="11"/>
      <c r="O702" s="38"/>
      <c r="P702" s="38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</row>
    <row r="703" spans="1:29">
      <c r="A703" s="186" t="s">
        <v>230</v>
      </c>
      <c r="B703" s="1"/>
      <c r="C703" s="182"/>
      <c r="D703" s="182"/>
      <c r="E703" s="200"/>
      <c r="F703" s="184"/>
      <c r="G703" s="184"/>
      <c r="H703" s="184"/>
      <c r="I703" s="200"/>
      <c r="J703" s="184"/>
      <c r="K703" s="184"/>
      <c r="M703" s="11"/>
      <c r="N703" s="11"/>
      <c r="O703" s="38"/>
      <c r="P703" s="38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>
      <c r="A704" s="172" t="s">
        <v>268</v>
      </c>
      <c r="B704" s="1"/>
      <c r="C704" s="182">
        <f>25216+1069389+10368352+7152668+1908160</f>
        <v>20523785</v>
      </c>
      <c r="D704" s="182">
        <f>ROUND(($D$727/$C$727)*C704,0)</f>
        <v>18714383</v>
      </c>
      <c r="E704" s="245">
        <f>$E$602</f>
        <v>5.3710000000000004</v>
      </c>
      <c r="F704" s="184" t="s">
        <v>178</v>
      </c>
      <c r="G704" s="184">
        <f>ROUND(E704/100*$C704,0)</f>
        <v>1102332</v>
      </c>
      <c r="H704" s="184">
        <f>ROUND(E704/100*$D704,0)</f>
        <v>1005150</v>
      </c>
      <c r="I704" s="245">
        <f>$I$602</f>
        <v>5.9</v>
      </c>
      <c r="J704" s="184" t="s">
        <v>178</v>
      </c>
      <c r="K704" s="184">
        <f>ROUND(I704/100*$C704,0)</f>
        <v>1210903</v>
      </c>
      <c r="M704" s="11"/>
      <c r="N704" s="11"/>
      <c r="O704" s="38"/>
      <c r="P704" s="38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</row>
    <row r="705" spans="1:29">
      <c r="A705" s="186" t="s">
        <v>204</v>
      </c>
      <c r="B705" s="1"/>
      <c r="C705" s="182">
        <f>362+2244+156</f>
        <v>2762</v>
      </c>
      <c r="D705" s="182">
        <f>ROUND(($D$727/$C$727)*C705,0)</f>
        <v>2518</v>
      </c>
      <c r="E705" s="202">
        <f>$E$603</f>
        <v>45</v>
      </c>
      <c r="F705" s="186" t="s">
        <v>178</v>
      </c>
      <c r="G705" s="184">
        <f>ROUND(E705*$C705/100,0)</f>
        <v>1243</v>
      </c>
      <c r="H705" s="184">
        <f>ROUND(E705*$D705/100,0)</f>
        <v>1133</v>
      </c>
      <c r="I705" s="202">
        <f>$I$603</f>
        <v>50</v>
      </c>
      <c r="J705" s="186" t="s">
        <v>178</v>
      </c>
      <c r="K705" s="184">
        <f>ROUND(I705*$C705/100,0)</f>
        <v>1381</v>
      </c>
      <c r="M705" s="11"/>
      <c r="N705" s="11"/>
      <c r="O705" s="38"/>
      <c r="P705" s="38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</row>
    <row r="706" spans="1:29">
      <c r="A706" s="223" t="s">
        <v>205</v>
      </c>
      <c r="B706" s="1"/>
      <c r="C706" s="182"/>
      <c r="D706" s="182"/>
      <c r="E706" s="195">
        <v>-0.01</v>
      </c>
      <c r="F706" s="2"/>
      <c r="G706" s="184"/>
      <c r="H706" s="184"/>
      <c r="I706" s="195">
        <v>-0.01</v>
      </c>
      <c r="J706" s="1"/>
      <c r="K706" s="184"/>
      <c r="M706" s="11"/>
      <c r="N706" s="11"/>
      <c r="O706" s="38"/>
      <c r="P706" s="38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</row>
    <row r="707" spans="1:29">
      <c r="A707" s="172" t="s">
        <v>194</v>
      </c>
      <c r="B707" s="1"/>
      <c r="C707" s="182">
        <v>0</v>
      </c>
      <c r="D707" s="182">
        <v>0</v>
      </c>
      <c r="E707" s="247">
        <f>E684</f>
        <v>0</v>
      </c>
      <c r="F707" s="187"/>
      <c r="G707" s="184">
        <f>ROUND(E707*$C707*$E$604,0)</f>
        <v>0</v>
      </c>
      <c r="H707" s="184">
        <f>ROUND(E707*$D707*$E$604,0)</f>
        <v>0</v>
      </c>
      <c r="I707" s="247">
        <f>I684</f>
        <v>0</v>
      </c>
      <c r="J707" s="187"/>
      <c r="K707" s="184">
        <f>ROUND(I707*$C707*$E$604,0)</f>
        <v>0</v>
      </c>
      <c r="M707" s="11"/>
      <c r="N707" s="11"/>
      <c r="O707" s="38"/>
      <c r="P707" s="38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</row>
    <row r="708" spans="1:29">
      <c r="A708" s="172" t="s">
        <v>195</v>
      </c>
      <c r="B708" s="1"/>
      <c r="C708" s="182"/>
      <c r="D708" s="182"/>
      <c r="E708" s="247"/>
      <c r="F708" s="187"/>
      <c r="G708" s="184"/>
      <c r="H708" s="184"/>
      <c r="I708" s="247"/>
      <c r="J708" s="187"/>
      <c r="K708" s="184"/>
      <c r="M708" s="11"/>
      <c r="N708" s="11"/>
      <c r="O708" s="38"/>
      <c r="P708" s="38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</row>
    <row r="709" spans="1:29">
      <c r="A709" s="172" t="s">
        <v>256</v>
      </c>
      <c r="B709" s="1"/>
      <c r="C709" s="182">
        <v>1</v>
      </c>
      <c r="D709" s="182">
        <v>1</v>
      </c>
      <c r="E709" s="247">
        <f>E686</f>
        <v>0</v>
      </c>
      <c r="F709" s="187"/>
      <c r="G709" s="184">
        <f>ROUND(E709*$C709*$E$604,0)</f>
        <v>0</v>
      </c>
      <c r="H709" s="184">
        <f>ROUND(E709*$D709*$E$604,0)</f>
        <v>0</v>
      </c>
      <c r="I709" s="247">
        <f>I686</f>
        <v>0</v>
      </c>
      <c r="J709" s="187"/>
      <c r="K709" s="184">
        <f>ROUND(I709*$C709*$E$604,0)</f>
        <v>0</v>
      </c>
      <c r="M709" s="11"/>
      <c r="N709" s="11"/>
      <c r="O709" s="38"/>
      <c r="P709" s="38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</row>
    <row r="710" spans="1:29">
      <c r="A710" s="172" t="s">
        <v>257</v>
      </c>
      <c r="B710" s="1"/>
      <c r="C710" s="182">
        <v>0</v>
      </c>
      <c r="D710" s="182">
        <v>0</v>
      </c>
      <c r="E710" s="247">
        <f>E687</f>
        <v>301</v>
      </c>
      <c r="F710" s="187"/>
      <c r="G710" s="184">
        <f>ROUND(E710*$C710*$E$604,0)</f>
        <v>0</v>
      </c>
      <c r="H710" s="184">
        <f>ROUND(E710*$D710*$E$604,0)</f>
        <v>0</v>
      </c>
      <c r="I710" s="247">
        <f>I687</f>
        <v>333</v>
      </c>
      <c r="J710" s="187"/>
      <c r="K710" s="184">
        <f>ROUND(I710*$C710*$E$604,0)</f>
        <v>0</v>
      </c>
      <c r="M710" s="11"/>
      <c r="N710" s="11"/>
      <c r="O710" s="38"/>
      <c r="P710" s="38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</row>
    <row r="711" spans="1:29">
      <c r="A711" s="172" t="s">
        <v>258</v>
      </c>
      <c r="B711" s="1"/>
      <c r="C711" s="182">
        <v>0</v>
      </c>
      <c r="D711" s="182">
        <v>0</v>
      </c>
      <c r="E711" s="247">
        <f>E688</f>
        <v>1215</v>
      </c>
      <c r="F711" s="187"/>
      <c r="G711" s="184">
        <f>ROUND(E711*$C711*$E$604,0)</f>
        <v>0</v>
      </c>
      <c r="H711" s="184">
        <f>ROUND(E711*$D711*$E$604,0)</f>
        <v>0</v>
      </c>
      <c r="I711" s="247">
        <f>I688</f>
        <v>1335</v>
      </c>
      <c r="J711" s="187"/>
      <c r="K711" s="184">
        <f>ROUND(I711*$C711*$E$604,0)</f>
        <v>0</v>
      </c>
      <c r="M711" s="11"/>
      <c r="N711" s="11"/>
      <c r="O711" s="38"/>
      <c r="P711" s="38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</row>
    <row r="712" spans="1:29">
      <c r="A712" s="172" t="s">
        <v>194</v>
      </c>
      <c r="B712" s="1"/>
      <c r="C712" s="182">
        <v>0</v>
      </c>
      <c r="D712" s="182">
        <f>ROUND(($D$727/$C$727)*C712,0)</f>
        <v>0</v>
      </c>
      <c r="E712" s="247">
        <f>E693</f>
        <v>19.87</v>
      </c>
      <c r="F712" s="187"/>
      <c r="G712" s="184">
        <f>ROUND(E712*$C712*$E$604,0)</f>
        <v>0</v>
      </c>
      <c r="H712" s="184">
        <f>ROUND(E712*$D712*$E$604,0)</f>
        <v>0</v>
      </c>
      <c r="I712" s="247">
        <f>I693</f>
        <v>21.83</v>
      </c>
      <c r="J712" s="187"/>
      <c r="K712" s="184">
        <f>ROUND(I712*$C712*$E$604,0)</f>
        <v>0</v>
      </c>
      <c r="M712" s="11"/>
      <c r="N712" s="11"/>
      <c r="O712" s="38"/>
      <c r="P712" s="38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</row>
    <row r="713" spans="1:29">
      <c r="A713" s="172" t="s">
        <v>195</v>
      </c>
      <c r="B713" s="1"/>
      <c r="C713" s="182"/>
      <c r="D713" s="182"/>
      <c r="E713" s="247"/>
      <c r="F713" s="187"/>
      <c r="G713" s="184"/>
      <c r="H713" s="184"/>
      <c r="I713" s="247"/>
      <c r="J713" s="187"/>
      <c r="K713" s="184"/>
      <c r="M713" s="11"/>
      <c r="N713" s="11"/>
      <c r="O713" s="38"/>
      <c r="P713" s="38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>
      <c r="A714" s="172" t="s">
        <v>256</v>
      </c>
      <c r="B714" s="1"/>
      <c r="C714" s="182">
        <v>40</v>
      </c>
      <c r="D714" s="182">
        <f>ROUND(($D$727/$C$727)*C714,0)</f>
        <v>36</v>
      </c>
      <c r="E714" s="247">
        <f>E695</f>
        <v>19.87</v>
      </c>
      <c r="F714" s="187"/>
      <c r="G714" s="184">
        <f>ROUND(E714*$C714*$E$604,0)</f>
        <v>-8</v>
      </c>
      <c r="H714" s="184">
        <f>ROUND(E714*$D714*$E$604,0)</f>
        <v>-7</v>
      </c>
      <c r="I714" s="247">
        <f>I695</f>
        <v>21.83</v>
      </c>
      <c r="J714" s="187"/>
      <c r="K714" s="184">
        <f>ROUND(I714*$C714*$E$604,0)</f>
        <v>-9</v>
      </c>
      <c r="M714" s="11"/>
      <c r="N714" s="11"/>
      <c r="O714" s="38"/>
      <c r="P714" s="38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>
      <c r="A715" s="172" t="s">
        <v>257</v>
      </c>
      <c r="B715" s="1"/>
      <c r="C715" s="182">
        <v>0</v>
      </c>
      <c r="D715" s="182">
        <f>ROUND(($D$727/$C$727)*C715,0)</f>
        <v>0</v>
      </c>
      <c r="E715" s="247">
        <f>E696</f>
        <v>13.64</v>
      </c>
      <c r="F715" s="187"/>
      <c r="G715" s="184">
        <f>ROUND(E715*$C715*$E$604,0)</f>
        <v>0</v>
      </c>
      <c r="H715" s="184">
        <f>ROUND(E715*$D715*$E$604,0)</f>
        <v>0</v>
      </c>
      <c r="I715" s="247">
        <f>I696</f>
        <v>14.98</v>
      </c>
      <c r="J715" s="187"/>
      <c r="K715" s="184">
        <f>ROUND(I715*$C715*$E$604,0)</f>
        <v>0</v>
      </c>
      <c r="M715" s="11"/>
      <c r="N715" s="11"/>
      <c r="O715" s="38"/>
      <c r="P715" s="38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</row>
    <row r="716" spans="1:29">
      <c r="A716" s="172" t="s">
        <v>258</v>
      </c>
      <c r="B716" s="1"/>
      <c r="C716" s="182">
        <v>0</v>
      </c>
      <c r="D716" s="182">
        <f>ROUND(($D$727/$C$727)*C716,0)</f>
        <v>0</v>
      </c>
      <c r="E716" s="247">
        <f>E697</f>
        <v>10.62</v>
      </c>
      <c r="F716" s="187"/>
      <c r="G716" s="184">
        <f>ROUND(E716*$C716*$E$604,0)</f>
        <v>0</v>
      </c>
      <c r="H716" s="184">
        <f>ROUND(E716*$D716*$E$604,0)</f>
        <v>0</v>
      </c>
      <c r="I716" s="247">
        <f>I697</f>
        <v>11.67</v>
      </c>
      <c r="J716" s="187"/>
      <c r="K716" s="184">
        <f>ROUND(I716*$C716*$E$604,0)</f>
        <v>0</v>
      </c>
      <c r="M716" s="11"/>
      <c r="N716" s="11"/>
      <c r="O716" s="38"/>
      <c r="P716" s="38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</row>
    <row r="717" spans="1:29">
      <c r="A717" s="172" t="s">
        <v>269</v>
      </c>
      <c r="B717" s="1"/>
      <c r="C717" s="182">
        <v>0</v>
      </c>
      <c r="D717" s="182">
        <v>0</v>
      </c>
      <c r="E717" s="216">
        <f>E698</f>
        <v>59.61</v>
      </c>
      <c r="F717" s="187"/>
      <c r="G717" s="184">
        <f>ROUND(E717*$C717*$E$604,0)</f>
        <v>0</v>
      </c>
      <c r="H717" s="184">
        <f>ROUND(E717*$D717*$E$604,0)</f>
        <v>0</v>
      </c>
      <c r="I717" s="216">
        <f>I698</f>
        <v>65.48</v>
      </c>
      <c r="J717" s="187"/>
      <c r="K717" s="184">
        <f>ROUND(I717*$C717*$E$604,0)</f>
        <v>0</v>
      </c>
      <c r="M717" s="11"/>
      <c r="N717" s="11"/>
      <c r="O717" s="38"/>
      <c r="P717" s="38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</row>
    <row r="718" spans="1:29">
      <c r="A718" s="172" t="s">
        <v>270</v>
      </c>
      <c r="B718" s="1"/>
      <c r="C718" s="182">
        <v>0</v>
      </c>
      <c r="D718" s="182">
        <v>0</v>
      </c>
      <c r="E718" s="216">
        <f>E699</f>
        <v>119.22</v>
      </c>
      <c r="F718" s="187"/>
      <c r="G718" s="184">
        <f>ROUND(E718*$C718*$E$604,0)</f>
        <v>0</v>
      </c>
      <c r="H718" s="184">
        <f>ROUND(E718*$D718*$E$604,0)</f>
        <v>0</v>
      </c>
      <c r="I718" s="216">
        <f>I699</f>
        <v>130.96</v>
      </c>
      <c r="J718" s="187"/>
      <c r="K718" s="184">
        <f>ROUND(I718*$C718*$E$604,0)</f>
        <v>0</v>
      </c>
      <c r="M718" s="11"/>
      <c r="N718" s="11"/>
      <c r="O718" s="38"/>
      <c r="P718" s="38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</row>
    <row r="719" spans="1:29">
      <c r="A719" s="172" t="s">
        <v>266</v>
      </c>
      <c r="B719" s="1"/>
      <c r="C719" s="182"/>
      <c r="D719" s="182"/>
      <c r="E719" s="200"/>
      <c r="F719" s="187"/>
      <c r="G719" s="184"/>
      <c r="H719" s="184"/>
      <c r="I719" s="200"/>
      <c r="J719" s="187"/>
      <c r="K719" s="184"/>
      <c r="M719" s="11"/>
      <c r="N719" s="11"/>
      <c r="O719" s="38"/>
      <c r="P719" s="38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</row>
    <row r="720" spans="1:29">
      <c r="A720" s="172" t="s">
        <v>261</v>
      </c>
      <c r="B720" s="1"/>
      <c r="C720" s="182">
        <v>0</v>
      </c>
      <c r="D720" s="182">
        <f>ROUND(($D$727/$C$727)*C720,0)</f>
        <v>0</v>
      </c>
      <c r="E720" s="226">
        <f>E701</f>
        <v>-19.87</v>
      </c>
      <c r="F720" s="187"/>
      <c r="G720" s="184">
        <f>ROUND(E720*$C720*$E$604,0)</f>
        <v>0</v>
      </c>
      <c r="H720" s="184">
        <f>ROUND(E720*$D720*$E$604,0)</f>
        <v>0</v>
      </c>
      <c r="I720" s="226">
        <f>I701</f>
        <v>-21.83</v>
      </c>
      <c r="J720" s="187"/>
      <c r="K720" s="184">
        <f>ROUND(I720*$C720*$E$604,0)</f>
        <v>0</v>
      </c>
      <c r="M720" s="11"/>
      <c r="N720" s="11"/>
      <c r="O720" s="38"/>
      <c r="P720" s="38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>
      <c r="A721" s="172" t="s">
        <v>267</v>
      </c>
      <c r="B721" s="1"/>
      <c r="C721" s="182">
        <v>0</v>
      </c>
      <c r="D721" s="182">
        <f>ROUND(($D$727/$C$727)*C721,0)</f>
        <v>0</v>
      </c>
      <c r="E721" s="226">
        <f>E702</f>
        <v>-19.87</v>
      </c>
      <c r="F721" s="187"/>
      <c r="G721" s="184">
        <f>ROUND(E721*$C721*$E$604,0)</f>
        <v>0</v>
      </c>
      <c r="H721" s="184">
        <f>ROUND(E721*$D721*$E$604,0)</f>
        <v>0</v>
      </c>
      <c r="I721" s="226">
        <f>I702</f>
        <v>-21.83</v>
      </c>
      <c r="J721" s="187"/>
      <c r="K721" s="184">
        <f>ROUND(I721*$C721*$E$604,0)</f>
        <v>0</v>
      </c>
      <c r="M721" s="11"/>
      <c r="N721" s="11"/>
      <c r="O721" s="38"/>
      <c r="P721" s="38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>
      <c r="A722" s="186" t="s">
        <v>230</v>
      </c>
      <c r="B722" s="1"/>
      <c r="C722" s="182"/>
      <c r="D722" s="182"/>
      <c r="E722" s="247"/>
      <c r="F722" s="184"/>
      <c r="G722" s="184"/>
      <c r="H722" s="184"/>
      <c r="I722" s="247"/>
      <c r="J722" s="184"/>
      <c r="K722" s="184"/>
      <c r="M722" s="11"/>
      <c r="N722" s="11"/>
      <c r="O722" s="38"/>
      <c r="P722" s="38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</row>
    <row r="723" spans="1:29">
      <c r="A723" s="172" t="s">
        <v>268</v>
      </c>
      <c r="B723" s="1"/>
      <c r="C723" s="182">
        <f>25216</f>
        <v>25216</v>
      </c>
      <c r="D723" s="182">
        <f>ROUND(($D$727/$C$727)*C723,0)</f>
        <v>22993</v>
      </c>
      <c r="E723" s="248">
        <f>E704</f>
        <v>5.3710000000000004</v>
      </c>
      <c r="F723" s="184" t="s">
        <v>178</v>
      </c>
      <c r="G723" s="184">
        <f>ROUND(E723/100*$C723*$E$604,0)</f>
        <v>-14</v>
      </c>
      <c r="H723" s="184">
        <f>ROUND(E723/100*$D723*$E$604,0)</f>
        <v>-12</v>
      </c>
      <c r="I723" s="248">
        <f>I704</f>
        <v>5.9</v>
      </c>
      <c r="J723" s="184" t="s">
        <v>178</v>
      </c>
      <c r="K723" s="184">
        <f>ROUND(I723/100*$C723*$E$604,0)</f>
        <v>-15</v>
      </c>
      <c r="M723" s="11"/>
      <c r="N723" s="11"/>
      <c r="O723" s="38"/>
      <c r="P723" s="38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>
      <c r="A724" s="186" t="s">
        <v>204</v>
      </c>
      <c r="B724" s="1"/>
      <c r="C724" s="182">
        <v>0</v>
      </c>
      <c r="D724" s="182">
        <f>ROUND(($D$727/$C$727)*C724,0)</f>
        <v>0</v>
      </c>
      <c r="E724" s="238">
        <f>E705</f>
        <v>45</v>
      </c>
      <c r="F724" s="184" t="s">
        <v>178</v>
      </c>
      <c r="G724" s="184">
        <f>ROUND(E724/100*$C724*$E$604,0)</f>
        <v>0</v>
      </c>
      <c r="H724" s="184">
        <f>ROUND(E724/100*$D724*$E$604,0)</f>
        <v>0</v>
      </c>
      <c r="I724" s="238">
        <f>I705</f>
        <v>50</v>
      </c>
      <c r="J724" s="186" t="s">
        <v>178</v>
      </c>
      <c r="K724" s="184">
        <f>ROUND(I724/100*$C724*$E$604,0)</f>
        <v>0</v>
      </c>
      <c r="M724" s="11"/>
      <c r="N724" s="11"/>
      <c r="O724" s="38"/>
      <c r="P724" s="38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>
      <c r="A725" s="186" t="s">
        <v>247</v>
      </c>
      <c r="B725" s="1"/>
      <c r="C725" s="182">
        <f>5+7</f>
        <v>12</v>
      </c>
      <c r="D725" s="182">
        <v>12</v>
      </c>
      <c r="E725" s="161">
        <f>$E$623</f>
        <v>60</v>
      </c>
      <c r="F725" s="227" t="s">
        <v>13</v>
      </c>
      <c r="G725" s="184">
        <f>ROUND(E725*$C725,0)</f>
        <v>720</v>
      </c>
      <c r="H725" s="184">
        <f>ROUND(E725*$D725,0)</f>
        <v>720</v>
      </c>
      <c r="I725" s="161">
        <f>$I$623</f>
        <v>60</v>
      </c>
      <c r="J725" s="1"/>
      <c r="K725" s="184">
        <f>ROUND(I725*$C725,0)</f>
        <v>720</v>
      </c>
      <c r="M725" s="11"/>
      <c r="N725" s="11"/>
      <c r="O725" s="38"/>
      <c r="P725" s="38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>
      <c r="A726" s="186" t="s">
        <v>248</v>
      </c>
      <c r="B726" s="1"/>
      <c r="C726" s="182">
        <f>8*C714</f>
        <v>320</v>
      </c>
      <c r="D726" s="182">
        <f>ROUND(($D$727/$C$727)*C726,0)</f>
        <v>292</v>
      </c>
      <c r="E726" s="202">
        <f>$E$624</f>
        <v>-30</v>
      </c>
      <c r="F726" s="184" t="s">
        <v>178</v>
      </c>
      <c r="G726" s="184">
        <f>ROUND(E726*$C726/100,0)</f>
        <v>-96</v>
      </c>
      <c r="H726" s="184">
        <f>ROUND(E726*$D726/100,0)</f>
        <v>-88</v>
      </c>
      <c r="I726" s="202">
        <f>$I$624</f>
        <v>-30</v>
      </c>
      <c r="J726" s="184" t="s">
        <v>178</v>
      </c>
      <c r="K726" s="184">
        <f>ROUND(I726*$C726/100,0)</f>
        <v>-96</v>
      </c>
      <c r="M726" s="11"/>
      <c r="N726" s="11"/>
      <c r="O726" s="38"/>
      <c r="P726" s="38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</row>
    <row r="727" spans="1:29">
      <c r="A727" s="1" t="s">
        <v>185</v>
      </c>
      <c r="B727" s="1"/>
      <c r="C727" s="182">
        <f>SUM(C704:C704)</f>
        <v>20523785</v>
      </c>
      <c r="D727" s="182">
        <v>18714383.130874861</v>
      </c>
      <c r="E727" s="193"/>
      <c r="F727" s="2"/>
      <c r="G727" s="2">
        <f>SUM(G684:G726)</f>
        <v>1324813</v>
      </c>
      <c r="H727" s="2">
        <f>SUM(H684:H726)</f>
        <v>1209559</v>
      </c>
      <c r="I727" s="193"/>
      <c r="J727" s="186"/>
      <c r="K727" s="2">
        <f>SUM(K684:K726)</f>
        <v>1455347</v>
      </c>
      <c r="M727" s="11"/>
      <c r="N727" s="11"/>
      <c r="O727" s="38"/>
      <c r="P727" s="38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</row>
    <row r="728" spans="1:29">
      <c r="A728" s="1" t="s">
        <v>167</v>
      </c>
      <c r="B728" s="1"/>
      <c r="C728" s="212" t="e">
        <f>#REF!</f>
        <v>#REF!</v>
      </c>
      <c r="D728" s="212">
        <v>0</v>
      </c>
      <c r="E728" s="172"/>
      <c r="F728" s="172"/>
      <c r="G728" s="173" t="e">
        <f>#REF!</f>
        <v>#REF!</v>
      </c>
      <c r="H728" s="173">
        <v>0</v>
      </c>
      <c r="I728" s="172"/>
      <c r="J728" s="172"/>
      <c r="K728" s="173" t="e">
        <f>G728</f>
        <v>#REF!</v>
      </c>
      <c r="M728" s="307"/>
      <c r="N728" s="307"/>
      <c r="O728" s="150"/>
      <c r="P728" s="38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</row>
    <row r="729" spans="1:29" ht="16.5" thickBot="1">
      <c r="A729" s="1" t="s">
        <v>186</v>
      </c>
      <c r="B729" s="1"/>
      <c r="C729" s="229" t="e">
        <f>SUM(C727:C728)</f>
        <v>#REF!</v>
      </c>
      <c r="D729" s="229">
        <f>SUM(D727:D728)</f>
        <v>18714383.130874861</v>
      </c>
      <c r="E729" s="205"/>
      <c r="F729" s="206"/>
      <c r="G729" s="207" t="e">
        <f>G727+G728</f>
        <v>#REF!</v>
      </c>
      <c r="H729" s="207">
        <f>H727+H728</f>
        <v>1209559</v>
      </c>
      <c r="I729" s="205"/>
      <c r="J729" s="208"/>
      <c r="K729" s="207" t="e">
        <f>K727+K728</f>
        <v>#REF!</v>
      </c>
      <c r="M729" s="274"/>
      <c r="N729" s="274"/>
      <c r="O729" s="333"/>
      <c r="P729" s="38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</row>
    <row r="730" spans="1:29" ht="16.5" thickTop="1">
      <c r="A730" s="166"/>
      <c r="B730" s="241"/>
      <c r="C730" s="166"/>
      <c r="D730" s="166"/>
      <c r="E730" s="12"/>
      <c r="F730" s="12"/>
      <c r="G730" s="242"/>
      <c r="H730" s="242"/>
      <c r="I730" s="166"/>
      <c r="J730" s="166"/>
      <c r="K730" s="166"/>
      <c r="M730" s="11"/>
      <c r="N730" s="11"/>
      <c r="O730" s="38"/>
      <c r="P730" s="38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</row>
    <row r="731" spans="1:29">
      <c r="A731" s="156" t="s">
        <v>273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  <c r="M731" s="11"/>
      <c r="N731" s="11"/>
      <c r="O731" s="38"/>
      <c r="P731" s="38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</row>
    <row r="732" spans="1:29">
      <c r="A732" s="172" t="s">
        <v>274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  <c r="M732" s="11"/>
      <c r="N732" s="11"/>
      <c r="O732" s="38"/>
      <c r="P732" s="38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</row>
    <row r="733" spans="1:29">
      <c r="A733" s="186"/>
      <c r="B733" s="1"/>
      <c r="C733" s="1"/>
      <c r="D733" s="1"/>
      <c r="E733" s="2"/>
      <c r="F733" s="2"/>
      <c r="G733" s="1"/>
      <c r="H733" s="1"/>
      <c r="I733" s="2"/>
      <c r="J733" s="1"/>
      <c r="K733" s="1"/>
      <c r="M733" s="11"/>
      <c r="N733" s="11"/>
      <c r="O733" s="38"/>
      <c r="P733" s="38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>
      <c r="A734" s="186" t="s">
        <v>197</v>
      </c>
      <c r="B734" s="1"/>
      <c r="C734" s="182"/>
      <c r="D734" s="182"/>
      <c r="E734" s="2"/>
      <c r="F734" s="2"/>
      <c r="G734" s="1"/>
      <c r="H734" s="1"/>
      <c r="I734" s="2"/>
      <c r="J734" s="1"/>
      <c r="K734" s="1"/>
      <c r="M734" s="11"/>
      <c r="N734" s="11"/>
      <c r="O734" s="38"/>
      <c r="P734" s="38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>
      <c r="A735" s="186" t="s">
        <v>275</v>
      </c>
      <c r="B735" s="1"/>
      <c r="C735" s="182">
        <v>12</v>
      </c>
      <c r="D735" s="182">
        <v>12</v>
      </c>
      <c r="E735" s="247">
        <f t="shared" ref="E735:E740" si="61">E794</f>
        <v>1205</v>
      </c>
      <c r="F735" s="200"/>
      <c r="G735" s="2">
        <f>ROUND(E735*$C735,0)</f>
        <v>14460</v>
      </c>
      <c r="H735" s="2">
        <f>ROUND(E735*$D735,0)</f>
        <v>14460</v>
      </c>
      <c r="I735" s="247">
        <f t="shared" ref="I735:I740" si="62">I794</f>
        <v>1330</v>
      </c>
      <c r="J735" s="184"/>
      <c r="K735" s="2">
        <f>ROUND(I735*$C735,0)</f>
        <v>15960</v>
      </c>
      <c r="M735" s="42">
        <f>I735*D735</f>
        <v>15960</v>
      </c>
      <c r="O735" s="8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>
      <c r="A736" s="186" t="s">
        <v>276</v>
      </c>
      <c r="B736" s="1"/>
      <c r="C736" s="182">
        <v>0</v>
      </c>
      <c r="D736" s="182">
        <v>0</v>
      </c>
      <c r="E736" s="247">
        <f t="shared" si="61"/>
        <v>1450</v>
      </c>
      <c r="F736" s="200"/>
      <c r="G736" s="2">
        <f>ROUND(E736*$C736,0)</f>
        <v>0</v>
      </c>
      <c r="H736" s="2">
        <f>ROUND(E736*$D736,0)</f>
        <v>0</v>
      </c>
      <c r="I736" s="247">
        <f t="shared" si="62"/>
        <v>1600</v>
      </c>
      <c r="J736" s="187"/>
      <c r="K736" s="2">
        <f>ROUND(I736*$C736,0)</f>
        <v>0</v>
      </c>
      <c r="M736" s="42">
        <f>I736*D736</f>
        <v>0</v>
      </c>
      <c r="O736" s="8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</row>
    <row r="737" spans="1:29">
      <c r="A737" s="186" t="s">
        <v>198</v>
      </c>
      <c r="B737" s="1"/>
      <c r="C737" s="182">
        <f>SUM(C735:C736)</f>
        <v>12</v>
      </c>
      <c r="D737" s="182">
        <f>SUM(D735:D736)</f>
        <v>12</v>
      </c>
      <c r="E737" s="247" t="str">
        <f t="shared" si="61"/>
        <v xml:space="preserve"> </v>
      </c>
      <c r="F737" s="200"/>
      <c r="G737" s="2" t="s">
        <v>13</v>
      </c>
      <c r="H737" s="2" t="s">
        <v>13</v>
      </c>
      <c r="I737" s="247" t="str">
        <f t="shared" si="62"/>
        <v xml:space="preserve"> </v>
      </c>
      <c r="J737" s="184"/>
      <c r="K737" s="2" t="s">
        <v>13</v>
      </c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</row>
    <row r="738" spans="1:29">
      <c r="A738" s="186" t="s">
        <v>277</v>
      </c>
      <c r="B738" s="1"/>
      <c r="C738" s="182">
        <f>14980</f>
        <v>14980</v>
      </c>
      <c r="D738" s="182">
        <f>ROUND(($D$758/$C$758)*C738,0)</f>
        <v>28971</v>
      </c>
      <c r="E738" s="247">
        <f t="shared" si="61"/>
        <v>0.91</v>
      </c>
      <c r="F738" s="200"/>
      <c r="G738" s="2">
        <f>ROUND(E738*$C738,0)</f>
        <v>13632</v>
      </c>
      <c r="H738" s="2">
        <f>ROUND(E738*$D738,0)</f>
        <v>26364</v>
      </c>
      <c r="I738" s="247">
        <f t="shared" si="62"/>
        <v>1.01</v>
      </c>
      <c r="J738" s="184"/>
      <c r="K738" s="2">
        <f>ROUND(I738*$C738,0)</f>
        <v>15130</v>
      </c>
      <c r="M738" s="42">
        <f>I738*D738</f>
        <v>29260.71</v>
      </c>
      <c r="O738" s="8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</row>
    <row r="739" spans="1:29">
      <c r="A739" s="186" t="s">
        <v>278</v>
      </c>
      <c r="B739" s="1"/>
      <c r="C739" s="182">
        <v>0</v>
      </c>
      <c r="D739" s="182">
        <v>0</v>
      </c>
      <c r="E739" s="247">
        <f t="shared" si="61"/>
        <v>0.83</v>
      </c>
      <c r="F739" s="200"/>
      <c r="G739" s="2">
        <f>ROUND(E739*$C739,0)</f>
        <v>0</v>
      </c>
      <c r="H739" s="2">
        <f>ROUND(E739*$D739,0)</f>
        <v>0</v>
      </c>
      <c r="I739" s="247">
        <f t="shared" si="62"/>
        <v>0.92</v>
      </c>
      <c r="J739" s="184"/>
      <c r="K739" s="2">
        <f>ROUND(I739*$C739,0)</f>
        <v>0</v>
      </c>
      <c r="M739" s="42">
        <f>I739*D739</f>
        <v>0</v>
      </c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</row>
    <row r="740" spans="1:29">
      <c r="A740" s="172" t="s">
        <v>207</v>
      </c>
      <c r="B740" s="1"/>
      <c r="C740" s="182">
        <f>10820</f>
        <v>10820</v>
      </c>
      <c r="D740" s="182">
        <f>ROUND(($D$758/$C$758)*C740,0)</f>
        <v>20926</v>
      </c>
      <c r="E740" s="247">
        <f t="shared" si="61"/>
        <v>6.03</v>
      </c>
      <c r="F740" s="200"/>
      <c r="G740" s="2">
        <f>ROUND(E740*$C740,0)</f>
        <v>65245</v>
      </c>
      <c r="H740" s="2">
        <f>ROUND(E740*$D740,0)</f>
        <v>126184</v>
      </c>
      <c r="I740" s="247">
        <f t="shared" si="62"/>
        <v>6.53</v>
      </c>
      <c r="J740" s="184"/>
      <c r="K740" s="2">
        <f>ROUND(I740*$C740,0)</f>
        <v>70655</v>
      </c>
      <c r="M740" s="42">
        <f>I740*D740</f>
        <v>136646.78</v>
      </c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</row>
    <row r="741" spans="1:29">
      <c r="A741" s="186" t="s">
        <v>230</v>
      </c>
      <c r="B741" s="1"/>
      <c r="C741" s="182"/>
      <c r="D741" s="182"/>
      <c r="E741" s="247"/>
      <c r="F741" s="200"/>
      <c r="G741" s="2"/>
      <c r="H741" s="2"/>
      <c r="I741" s="247"/>
      <c r="J741" s="184"/>
      <c r="K741" s="2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</row>
    <row r="742" spans="1:29">
      <c r="A742" s="186" t="s">
        <v>268</v>
      </c>
      <c r="B742" s="1"/>
      <c r="C742" s="182">
        <v>1248100</v>
      </c>
      <c r="D742" s="182">
        <f>ROUND(($D$758/$C$758)*C742,0)</f>
        <v>2413782</v>
      </c>
      <c r="E742" s="250">
        <f>E801</f>
        <v>3.4990000000000001</v>
      </c>
      <c r="F742" s="184" t="s">
        <v>178</v>
      </c>
      <c r="G742" s="2">
        <f>ROUND(E742/100*$C742,0)</f>
        <v>43671</v>
      </c>
      <c r="H742" s="2">
        <f>ROUND(E742/100*$D742,0)</f>
        <v>84458</v>
      </c>
      <c r="I742" s="250">
        <f>I801</f>
        <v>3.8719999999999999</v>
      </c>
      <c r="J742" s="184" t="s">
        <v>178</v>
      </c>
      <c r="K742" s="2">
        <f>ROUND(I742/100*$C742,0)</f>
        <v>48326</v>
      </c>
      <c r="M742" s="42">
        <f>(I742/100)*D742</f>
        <v>93461.639039999995</v>
      </c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</row>
    <row r="743" spans="1:29">
      <c r="A743" s="186" t="s">
        <v>204</v>
      </c>
      <c r="B743" s="1"/>
      <c r="C743" s="182">
        <v>6132</v>
      </c>
      <c r="D743" s="182">
        <f>ROUND(($D$758/$C$758)*C743,0)</f>
        <v>11859</v>
      </c>
      <c r="E743" s="247">
        <f>E802</f>
        <v>0.45</v>
      </c>
      <c r="F743" s="184"/>
      <c r="G743" s="2">
        <f>ROUND(E743*$C743,0)</f>
        <v>2759</v>
      </c>
      <c r="H743" s="2">
        <f>ROUND(E743*$D743,0)</f>
        <v>5337</v>
      </c>
      <c r="I743" s="247">
        <f>I802</f>
        <v>0.5</v>
      </c>
      <c r="J743" s="184"/>
      <c r="K743" s="2">
        <f>ROUND(I743*$C743,0)</f>
        <v>3066</v>
      </c>
      <c r="M743" s="42">
        <f>I743*D743</f>
        <v>5929.5</v>
      </c>
      <c r="N743" s="182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</row>
    <row r="744" spans="1:29">
      <c r="A744" s="172" t="s">
        <v>232</v>
      </c>
      <c r="B744" s="1"/>
      <c r="C744" s="182">
        <v>0</v>
      </c>
      <c r="D744" s="182">
        <v>0</v>
      </c>
      <c r="E744" s="251">
        <v>5.9999999999999995E-4</v>
      </c>
      <c r="F744" s="184"/>
      <c r="G744" s="2">
        <f>ROUND(E744*$C744,0)</f>
        <v>0</v>
      </c>
      <c r="H744" s="2">
        <f>ROUND(E744*$D744,0)</f>
        <v>0</v>
      </c>
      <c r="I744" s="251">
        <v>5.9999999999999995E-4</v>
      </c>
      <c r="J744" s="184"/>
      <c r="K744" s="2">
        <f>ROUND(I744*$C744,0)</f>
        <v>0</v>
      </c>
      <c r="M744" s="42">
        <f>I744*D744</f>
        <v>0</v>
      </c>
      <c r="N744" s="182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</row>
    <row r="745" spans="1:29">
      <c r="A745" s="223" t="s">
        <v>205</v>
      </c>
      <c r="B745" s="1"/>
      <c r="C745" s="182"/>
      <c r="D745" s="182"/>
      <c r="E745" s="252">
        <f>E803</f>
        <v>-0.01</v>
      </c>
      <c r="F745" s="195"/>
      <c r="G745" s="2"/>
      <c r="H745" s="2"/>
      <c r="I745" s="252">
        <f>I803</f>
        <v>-0.01</v>
      </c>
      <c r="J745" s="224"/>
      <c r="K745" s="2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</row>
    <row r="746" spans="1:29">
      <c r="A746" s="186" t="s">
        <v>275</v>
      </c>
      <c r="B746" s="1"/>
      <c r="C746" s="182">
        <v>0</v>
      </c>
      <c r="D746" s="182">
        <v>0</v>
      </c>
      <c r="E746" s="247">
        <f>E735</f>
        <v>1205</v>
      </c>
      <c r="F746" s="197"/>
      <c r="G746" s="184">
        <f>ROUND(E746*$C746*$E$803,0)</f>
        <v>0</v>
      </c>
      <c r="H746" s="184">
        <f>ROUND(E746*$D746*$E$803,0)</f>
        <v>0</v>
      </c>
      <c r="I746" s="247">
        <f>I735</f>
        <v>1330</v>
      </c>
      <c r="J746" s="184"/>
      <c r="K746" s="184">
        <f>ROUND(I746*$C746*$E$803,0)</f>
        <v>0</v>
      </c>
      <c r="M746" s="42">
        <f>-(I746*D746)/100</f>
        <v>0</v>
      </c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>
      <c r="A747" s="186" t="s">
        <v>276</v>
      </c>
      <c r="B747" s="1"/>
      <c r="C747" s="182">
        <f>C736</f>
        <v>0</v>
      </c>
      <c r="D747" s="182">
        <v>0</v>
      </c>
      <c r="E747" s="247">
        <f>E736</f>
        <v>1450</v>
      </c>
      <c r="F747" s="197"/>
      <c r="G747" s="184">
        <f>ROUND(E747*$C747*$E$803,0)</f>
        <v>0</v>
      </c>
      <c r="H747" s="184">
        <f>ROUND(E747*$D747*$E$803,0)</f>
        <v>0</v>
      </c>
      <c r="I747" s="247">
        <f>I736</f>
        <v>1600</v>
      </c>
      <c r="J747" s="184"/>
      <c r="K747" s="184">
        <f>ROUND(I747*$C747*$E$803,0)</f>
        <v>0</v>
      </c>
      <c r="M747" s="42">
        <f>-(I747*D747)/100</f>
        <v>0</v>
      </c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>
      <c r="A748" s="186" t="s">
        <v>277</v>
      </c>
      <c r="B748" s="1"/>
      <c r="C748" s="182">
        <v>0</v>
      </c>
      <c r="D748" s="182">
        <v>0</v>
      </c>
      <c r="E748" s="247">
        <f>E738</f>
        <v>0.91</v>
      </c>
      <c r="F748" s="197"/>
      <c r="G748" s="184">
        <f>ROUND(E748*$C748*$E$803,0)</f>
        <v>0</v>
      </c>
      <c r="H748" s="184">
        <f>ROUND(E748*$D748*$E$803,0)</f>
        <v>0</v>
      </c>
      <c r="I748" s="247">
        <f>I738</f>
        <v>1.01</v>
      </c>
      <c r="J748" s="184"/>
      <c r="K748" s="184">
        <f>ROUND(I748*$C748*$E$803,0)</f>
        <v>0</v>
      </c>
      <c r="M748" s="42">
        <f>-(I748*D748)/100</f>
        <v>0</v>
      </c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</row>
    <row r="749" spans="1:29">
      <c r="A749" s="186" t="s">
        <v>278</v>
      </c>
      <c r="B749" s="1"/>
      <c r="C749" s="182">
        <f>C739</f>
        <v>0</v>
      </c>
      <c r="D749" s="182">
        <v>0</v>
      </c>
      <c r="E749" s="247">
        <f>E739</f>
        <v>0.83</v>
      </c>
      <c r="F749" s="197"/>
      <c r="G749" s="184">
        <f>ROUND(E749*$C749*$E$803,0)</f>
        <v>0</v>
      </c>
      <c r="H749" s="184">
        <f>ROUND(E749*$D749*$E$803,0)</f>
        <v>0</v>
      </c>
      <c r="I749" s="247">
        <f>I739</f>
        <v>0.92</v>
      </c>
      <c r="J749" s="184"/>
      <c r="K749" s="184">
        <f>ROUND(I749*$C749*$E$803,0)</f>
        <v>0</v>
      </c>
      <c r="M749" s="42">
        <f>-(I749*D749)/100</f>
        <v>0</v>
      </c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>
      <c r="A750" s="172" t="s">
        <v>207</v>
      </c>
      <c r="B750" s="243"/>
      <c r="C750" s="182">
        <v>0</v>
      </c>
      <c r="D750" s="182">
        <v>0</v>
      </c>
      <c r="E750" s="247">
        <f>E740</f>
        <v>6.03</v>
      </c>
      <c r="F750" s="200"/>
      <c r="G750" s="184">
        <f>ROUND(E750*$C750*$E$803,0)</f>
        <v>0</v>
      </c>
      <c r="H750" s="184">
        <f>ROUND(E750*$D750*$E$803,0)</f>
        <v>0</v>
      </c>
      <c r="I750" s="247">
        <f>I740</f>
        <v>6.53</v>
      </c>
      <c r="J750" s="184"/>
      <c r="K750" s="184">
        <f>ROUND(I750*$C750*$E$803,0)</f>
        <v>0</v>
      </c>
      <c r="M750" s="42">
        <f>-(I750*D750)/100</f>
        <v>0</v>
      </c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>
      <c r="A751" s="186" t="s">
        <v>268</v>
      </c>
      <c r="B751" s="1"/>
      <c r="C751" s="182">
        <v>0</v>
      </c>
      <c r="D751" s="182">
        <v>0</v>
      </c>
      <c r="E751" s="253">
        <f>E742</f>
        <v>3.4990000000000001</v>
      </c>
      <c r="F751" s="184" t="s">
        <v>178</v>
      </c>
      <c r="G751" s="184">
        <f>ROUND(E751/100*$C751*$E$803,0)</f>
        <v>0</v>
      </c>
      <c r="H751" s="184">
        <f>ROUND(E751/100*$D751*$E$803,0)</f>
        <v>0</v>
      </c>
      <c r="I751" s="253">
        <f>I742</f>
        <v>3.8719999999999999</v>
      </c>
      <c r="J751" s="184" t="s">
        <v>178</v>
      </c>
      <c r="K751" s="184">
        <f>ROUND(I751/100*$C751*$E$803,0)</f>
        <v>0</v>
      </c>
      <c r="M751" s="42">
        <f>-((I751*D751)/100)/100</f>
        <v>0</v>
      </c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>
      <c r="A752" s="186" t="s">
        <v>204</v>
      </c>
      <c r="B752" s="1"/>
      <c r="C752" s="182">
        <v>0</v>
      </c>
      <c r="D752" s="182">
        <v>0</v>
      </c>
      <c r="E752" s="247">
        <f>E743</f>
        <v>0.45</v>
      </c>
      <c r="F752" s="184"/>
      <c r="G752" s="184">
        <f>ROUND(E752*$C752*$E$803,0)</f>
        <v>0</v>
      </c>
      <c r="H752" s="184">
        <f>ROUND(E752*$D752*$E$803,0)</f>
        <v>0</v>
      </c>
      <c r="I752" s="247">
        <f>I743</f>
        <v>0.5</v>
      </c>
      <c r="J752" s="184"/>
      <c r="K752" s="184">
        <f>ROUND(I752*$C752*$E$803,0)</f>
        <v>0</v>
      </c>
      <c r="M752" s="42">
        <f>-(I752*D752)/100</f>
        <v>0</v>
      </c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</row>
    <row r="753" spans="1:29">
      <c r="A753" s="172" t="s">
        <v>279</v>
      </c>
      <c r="B753" s="1"/>
      <c r="C753" s="182">
        <v>0</v>
      </c>
      <c r="D753" s="182">
        <v>0</v>
      </c>
      <c r="E753" s="247">
        <f>E811</f>
        <v>60</v>
      </c>
      <c r="F753" s="200"/>
      <c r="G753" s="184">
        <f>ROUND(E753*$C753,0)</f>
        <v>0</v>
      </c>
      <c r="H753" s="184">
        <f>ROUND(E753*$D753,0)</f>
        <v>0</v>
      </c>
      <c r="I753" s="247">
        <f>I811</f>
        <v>60</v>
      </c>
      <c r="J753" s="184"/>
      <c r="K753" s="184">
        <f>ROUND(I753*$C753,0)</f>
        <v>0</v>
      </c>
      <c r="M753" s="42">
        <f>-(I753*D753)/100</f>
        <v>0</v>
      </c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>
      <c r="A754" s="172" t="s">
        <v>248</v>
      </c>
      <c r="B754" s="1"/>
      <c r="C754" s="182">
        <v>0</v>
      </c>
      <c r="D754" s="182">
        <v>0</v>
      </c>
      <c r="E754" s="247">
        <f>E812</f>
        <v>-0.75</v>
      </c>
      <c r="F754" s="184"/>
      <c r="G754" s="184">
        <f>ROUND(E754*$C754,0)</f>
        <v>0</v>
      </c>
      <c r="H754" s="184">
        <f>ROUND(E754*$D754,0)</f>
        <v>0</v>
      </c>
      <c r="I754" s="247">
        <f>I812</f>
        <v>-0.75</v>
      </c>
      <c r="J754" s="184"/>
      <c r="K754" s="184">
        <f>ROUND(I754*$C754,0)</f>
        <v>0</v>
      </c>
      <c r="M754" s="42">
        <f>-(I754*D754)/100</f>
        <v>0</v>
      </c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</row>
    <row r="755" spans="1:29">
      <c r="A755" s="172" t="s">
        <v>237</v>
      </c>
      <c r="B755" s="1"/>
      <c r="C755" s="182">
        <v>1180</v>
      </c>
      <c r="D755" s="182">
        <f>ROUND(($D$758/$C$758)*C755,0)</f>
        <v>2282</v>
      </c>
      <c r="E755" s="254">
        <f>ROUND(E740/2,3)</f>
        <v>3.0150000000000001</v>
      </c>
      <c r="F755" s="184"/>
      <c r="G755" s="184">
        <f>ROUND(E755*$C755,0)</f>
        <v>3558</v>
      </c>
      <c r="H755" s="184">
        <f>ROUND(E755*$D755,0)</f>
        <v>6880</v>
      </c>
      <c r="I755" s="254">
        <f>ROUND(I740/2,3)</f>
        <v>3.2650000000000001</v>
      </c>
      <c r="J755" s="184"/>
      <c r="K755" s="184">
        <f>ROUND($C755*I755,0)</f>
        <v>3853</v>
      </c>
      <c r="M755" s="42">
        <f>I755*D755</f>
        <v>7450.7300000000005</v>
      </c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</row>
    <row r="756" spans="1:29">
      <c r="A756" s="172" t="s">
        <v>238</v>
      </c>
      <c r="B756" s="1"/>
      <c r="C756" s="182">
        <v>520</v>
      </c>
      <c r="D756" s="182">
        <f>ROUND(($D$758/$C$758)*C756,0)</f>
        <v>1006</v>
      </c>
      <c r="E756" s="197">
        <f>E740*4</f>
        <v>24.12</v>
      </c>
      <c r="F756" s="184"/>
      <c r="G756" s="184">
        <f>ROUND(E756*$C756,0)</f>
        <v>12542</v>
      </c>
      <c r="H756" s="184">
        <f>ROUND(E756*$D756,0)</f>
        <v>24265</v>
      </c>
      <c r="I756" s="197">
        <f>I740*4</f>
        <v>26.12</v>
      </c>
      <c r="J756" s="184"/>
      <c r="K756" s="184">
        <f>ROUND($C756*I756,0)</f>
        <v>13582</v>
      </c>
      <c r="M756" s="42">
        <f>I756*D756</f>
        <v>26276.720000000001</v>
      </c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</row>
    <row r="757" spans="1:29">
      <c r="A757" s="3" t="s">
        <v>239</v>
      </c>
      <c r="B757" s="166"/>
      <c r="C757" s="182">
        <v>11900</v>
      </c>
      <c r="D757" s="182">
        <f>ROUND(($D$758/$C$758)*C757,0)</f>
        <v>23014</v>
      </c>
      <c r="E757" s="255">
        <f>E742*4</f>
        <v>13.996</v>
      </c>
      <c r="F757" s="184" t="s">
        <v>178</v>
      </c>
      <c r="G757" s="184">
        <f>ROUND($C757*E757/100,0)</f>
        <v>1666</v>
      </c>
      <c r="H757" s="184">
        <f>ROUND($D757*E757/100,0)</f>
        <v>3221</v>
      </c>
      <c r="I757" s="255">
        <f>I742*4</f>
        <v>15.488</v>
      </c>
      <c r="J757" s="184" t="s">
        <v>178</v>
      </c>
      <c r="K757" s="184">
        <f>ROUND($C757*I757/100,0)</f>
        <v>1843</v>
      </c>
      <c r="M757" s="42">
        <f>(I757/100)*D757</f>
        <v>3564.4083199999995</v>
      </c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</row>
    <row r="758" spans="1:29">
      <c r="A758" s="1" t="s">
        <v>185</v>
      </c>
      <c r="B758" s="1"/>
      <c r="C758" s="182">
        <f>C742+C757</f>
        <v>1260000</v>
      </c>
      <c r="D758" s="182">
        <v>2436796.4482688801</v>
      </c>
      <c r="E758" s="193"/>
      <c r="F758" s="2"/>
      <c r="G758" s="2">
        <f>SUM(G735:G757)</f>
        <v>157533</v>
      </c>
      <c r="H758" s="2">
        <f>SUM(H735:H757)</f>
        <v>291169</v>
      </c>
      <c r="I758" s="193"/>
      <c r="J758" s="1"/>
      <c r="K758" s="2">
        <f>SUM(K735:K757)</f>
        <v>172415</v>
      </c>
      <c r="M758" s="42">
        <f>SUM(M735:M757)</f>
        <v>318550.48735999997</v>
      </c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</row>
    <row r="759" spans="1:29">
      <c r="A759" s="1" t="s">
        <v>167</v>
      </c>
      <c r="B759" s="1"/>
      <c r="C759" s="182" t="e">
        <f>#REF!</f>
        <v>#REF!</v>
      </c>
      <c r="D759" s="182">
        <v>0</v>
      </c>
      <c r="E759" s="172"/>
      <c r="F759" s="172"/>
      <c r="G759" s="204" t="e">
        <f>#REF!</f>
        <v>#REF!</v>
      </c>
      <c r="H759" s="204">
        <v>0</v>
      </c>
      <c r="I759" s="172"/>
      <c r="J759" s="172"/>
      <c r="K759" s="204" t="e">
        <f>G759</f>
        <v>#REF!</v>
      </c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</row>
    <row r="760" spans="1:29" ht="16.5" thickBot="1">
      <c r="A760" s="1" t="s">
        <v>186</v>
      </c>
      <c r="B760" s="1"/>
      <c r="C760" s="256" t="e">
        <f>SUM(C758)+C759</f>
        <v>#REF!</v>
      </c>
      <c r="D760" s="256">
        <f>SUM(D742)+D759</f>
        <v>2413782</v>
      </c>
      <c r="E760" s="205"/>
      <c r="F760" s="206"/>
      <c r="G760" s="207" t="e">
        <f>G758+G759</f>
        <v>#REF!</v>
      </c>
      <c r="H760" s="207">
        <f>H758+H759</f>
        <v>291169</v>
      </c>
      <c r="I760" s="205"/>
      <c r="J760" s="208"/>
      <c r="K760" s="207" t="e">
        <f>K758+K759</f>
        <v>#REF!</v>
      </c>
      <c r="N760" s="3" t="s">
        <v>168</v>
      </c>
      <c r="O760" s="33" t="e">
        <f>#REF!*1000</f>
        <v>#REF!</v>
      </c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</row>
    <row r="761" spans="1:29" ht="16.5" thickTop="1">
      <c r="A761" s="1"/>
      <c r="B761" s="1"/>
      <c r="C761" s="12"/>
      <c r="D761" s="12"/>
      <c r="E761" s="200"/>
      <c r="F761" s="2"/>
      <c r="G761" s="2"/>
      <c r="H761" s="2"/>
      <c r="I761" s="200"/>
      <c r="J761" s="1"/>
      <c r="K761" s="243"/>
      <c r="N761" s="3" t="s">
        <v>114</v>
      </c>
      <c r="O761" s="33" t="e">
        <f>O760-K760</f>
        <v>#REF!</v>
      </c>
      <c r="P761" s="8" t="e">
        <f>(O760-K760)/K760</f>
        <v>#REF!</v>
      </c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</row>
    <row r="762" spans="1:29">
      <c r="A762" s="156" t="s">
        <v>280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  <c r="M762" s="11"/>
      <c r="N762" s="11"/>
      <c r="O762" s="38"/>
      <c r="P762" s="38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</row>
    <row r="763" spans="1:29">
      <c r="A763" s="172" t="s">
        <v>281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  <c r="M763" s="11"/>
      <c r="N763" s="11"/>
      <c r="O763" s="38"/>
      <c r="P763" s="38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>
      <c r="A764" s="186"/>
      <c r="B764" s="1"/>
      <c r="C764" s="1"/>
      <c r="D764" s="1"/>
      <c r="E764" s="2"/>
      <c r="F764" s="2"/>
      <c r="G764" s="1"/>
      <c r="H764" s="1"/>
      <c r="I764" s="2"/>
      <c r="J764" s="1"/>
      <c r="K764" s="1"/>
      <c r="M764" s="11"/>
      <c r="N764" s="11"/>
      <c r="O764" s="38"/>
      <c r="P764" s="38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>
      <c r="A765" s="186" t="s">
        <v>197</v>
      </c>
      <c r="B765" s="1"/>
      <c r="C765" s="182"/>
      <c r="D765" s="182"/>
      <c r="E765" s="2"/>
      <c r="F765" s="2"/>
      <c r="G765" s="1"/>
      <c r="H765" s="1"/>
      <c r="I765" s="2"/>
      <c r="J765" s="1"/>
      <c r="K765" s="1"/>
      <c r="M765" s="11"/>
      <c r="N765" s="11"/>
      <c r="O765" s="38"/>
      <c r="P765" s="38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>
      <c r="A766" s="186" t="s">
        <v>275</v>
      </c>
      <c r="B766" s="1"/>
      <c r="C766" s="182">
        <f>C794+C877</f>
        <v>658</v>
      </c>
      <c r="D766" s="182">
        <f>D794+D877</f>
        <v>692</v>
      </c>
      <c r="E766" s="200">
        <v>1205</v>
      </c>
      <c r="F766" s="200"/>
      <c r="G766" s="2">
        <f>G794+G877</f>
        <v>792890</v>
      </c>
      <c r="H766" s="2">
        <f>H794+H877</f>
        <v>833860</v>
      </c>
      <c r="I766" s="200">
        <v>1330</v>
      </c>
      <c r="J766" s="184"/>
      <c r="K766" s="2">
        <f>K794+K877</f>
        <v>875140</v>
      </c>
      <c r="M766" s="42">
        <f>I766*D766</f>
        <v>920360</v>
      </c>
      <c r="O766" s="8">
        <f>(I766-E766)/E766</f>
        <v>0.1037344398340249</v>
      </c>
      <c r="P766" s="8"/>
      <c r="R766" s="192"/>
      <c r="T766" s="3" t="s">
        <v>175</v>
      </c>
      <c r="U766" s="3" t="s">
        <v>120</v>
      </c>
      <c r="V766" s="3" t="s">
        <v>176</v>
      </c>
      <c r="W766" s="3" t="s">
        <v>126</v>
      </c>
      <c r="X766" s="11"/>
      <c r="Y766" s="11"/>
      <c r="Z766" s="11"/>
      <c r="AA766" s="11"/>
      <c r="AB766" s="11"/>
      <c r="AC766" s="11"/>
    </row>
    <row r="767" spans="1:29">
      <c r="A767" s="186" t="s">
        <v>276</v>
      </c>
      <c r="B767" s="1"/>
      <c r="C767" s="182">
        <f>C795+C878</f>
        <v>60</v>
      </c>
      <c r="D767" s="182">
        <f>D795+D878</f>
        <v>62</v>
      </c>
      <c r="E767" s="200">
        <v>1450</v>
      </c>
      <c r="F767" s="200"/>
      <c r="G767" s="2">
        <f>G795+G878</f>
        <v>87000</v>
      </c>
      <c r="H767" s="2">
        <f>H795+H878</f>
        <v>89900</v>
      </c>
      <c r="I767" s="200">
        <v>1600</v>
      </c>
      <c r="J767" s="187"/>
      <c r="K767" s="2">
        <f>K795+K878</f>
        <v>95400</v>
      </c>
      <c r="M767" s="42">
        <f>I767*D767</f>
        <v>99200</v>
      </c>
      <c r="O767" s="8">
        <f>(I767-E767)/E767</f>
        <v>0.10344827586206896</v>
      </c>
      <c r="R767" s="192"/>
      <c r="S767" s="3" t="s">
        <v>7</v>
      </c>
      <c r="T767" s="49">
        <f>E766*(D766+D767+D735)</f>
        <v>923030</v>
      </c>
      <c r="U767" s="49">
        <f>I766*(D766+D767+D735)</f>
        <v>1018780</v>
      </c>
      <c r="V767" s="49">
        <v>20746.582883790943</v>
      </c>
      <c r="W767" s="101">
        <f>U767/V767</f>
        <v>49.105918102588383</v>
      </c>
      <c r="X767" s="11"/>
      <c r="Y767" s="11"/>
      <c r="Z767" s="11"/>
      <c r="AA767" s="11"/>
      <c r="AB767" s="11"/>
      <c r="AC767" s="11"/>
    </row>
    <row r="768" spans="1:29">
      <c r="A768" s="186" t="s">
        <v>198</v>
      </c>
      <c r="B768" s="1"/>
      <c r="C768" s="182">
        <f>SUM(C766:C767)</f>
        <v>718</v>
      </c>
      <c r="D768" s="182">
        <f>SUM(D766:D767)</f>
        <v>754</v>
      </c>
      <c r="E768" s="200" t="s">
        <v>13</v>
      </c>
      <c r="F768" s="200"/>
      <c r="G768" s="2"/>
      <c r="H768" s="2"/>
      <c r="I768" s="200" t="s">
        <v>13</v>
      </c>
      <c r="J768" s="184"/>
      <c r="K768" s="2"/>
      <c r="O768" s="183"/>
      <c r="S768" s="3" t="s">
        <v>208</v>
      </c>
      <c r="T768" s="49">
        <f>SUM(H766:H770)+SUM(H735:H739)-T767</f>
        <v>2074380</v>
      </c>
      <c r="U768" s="49">
        <f>SUM(K766:K770)+SUM(K735:K739)-U767</f>
        <v>1669410</v>
      </c>
      <c r="V768" s="49">
        <v>3811025.9901367896</v>
      </c>
      <c r="W768" s="101">
        <f>U768/V768</f>
        <v>0.43804739309586277</v>
      </c>
      <c r="X768" s="11"/>
      <c r="Y768" s="11"/>
      <c r="Z768" s="11"/>
      <c r="AA768" s="11"/>
      <c r="AB768" s="11"/>
      <c r="AC768" s="11"/>
    </row>
    <row r="769" spans="1:29">
      <c r="A769" s="186" t="s">
        <v>277</v>
      </c>
      <c r="B769" s="1"/>
      <c r="C769" s="182">
        <f t="shared" ref="C769:D771" si="63">C797+C880</f>
        <v>898711</v>
      </c>
      <c r="D769" s="182">
        <f t="shared" si="63"/>
        <v>1752134</v>
      </c>
      <c r="E769" s="200">
        <v>0.91</v>
      </c>
      <c r="F769" s="200"/>
      <c r="G769" s="2">
        <f t="shared" ref="G769:H771" si="64">G797+G880</f>
        <v>817827</v>
      </c>
      <c r="H769" s="2">
        <f t="shared" si="64"/>
        <v>1594442</v>
      </c>
      <c r="I769" s="200">
        <v>1.01</v>
      </c>
      <c r="J769" s="184"/>
      <c r="K769" s="2">
        <f>K797+K880</f>
        <v>907698</v>
      </c>
      <c r="M769" s="42">
        <f>I769*D769</f>
        <v>1769655.34</v>
      </c>
      <c r="O769" s="8">
        <f>(I769-E769)/E769</f>
        <v>0.10989010989010986</v>
      </c>
      <c r="S769" s="3" t="s">
        <v>246</v>
      </c>
      <c r="T769" s="49">
        <f>SUM(T767:T768)</f>
        <v>2997410</v>
      </c>
      <c r="U769" s="49">
        <f>SUM(U767:U768)</f>
        <v>2688190</v>
      </c>
      <c r="V769" s="49">
        <f>SUM(V767:V768)</f>
        <v>3831772.5730205807</v>
      </c>
      <c r="W769" s="101">
        <f>U769/V769</f>
        <v>0.70155259707412743</v>
      </c>
      <c r="X769" s="11"/>
      <c r="Y769" s="11"/>
      <c r="Z769" s="11"/>
      <c r="AA769" s="11"/>
      <c r="AB769" s="11"/>
      <c r="AC769" s="11"/>
    </row>
    <row r="770" spans="1:29">
      <c r="A770" s="186" t="s">
        <v>278</v>
      </c>
      <c r="B770" s="1"/>
      <c r="C770" s="182">
        <f t="shared" si="63"/>
        <v>875536</v>
      </c>
      <c r="D770" s="182">
        <f t="shared" si="63"/>
        <v>528174</v>
      </c>
      <c r="E770" s="200">
        <v>0.83</v>
      </c>
      <c r="F770" s="200"/>
      <c r="G770" s="2">
        <f t="shared" si="64"/>
        <v>726694</v>
      </c>
      <c r="H770" s="2">
        <f t="shared" si="64"/>
        <v>438384</v>
      </c>
      <c r="I770" s="200">
        <v>0.92</v>
      </c>
      <c r="J770" s="184"/>
      <c r="K770" s="2">
        <f>K798+K881</f>
        <v>778862</v>
      </c>
      <c r="M770" s="42">
        <f>I770*D770</f>
        <v>485920.08</v>
      </c>
      <c r="O770" s="8">
        <f>(I770-E770)/E770</f>
        <v>0.10843373493975914</v>
      </c>
      <c r="S770" s="3" t="s">
        <v>210</v>
      </c>
      <c r="T770" s="49">
        <f>H771</f>
        <v>11639274</v>
      </c>
      <c r="U770" s="49">
        <f>K771</f>
        <v>10175585</v>
      </c>
      <c r="V770" s="49">
        <v>5205301.8106998745</v>
      </c>
      <c r="W770" s="101">
        <f>U770/V770</f>
        <v>1.9548501451123061</v>
      </c>
      <c r="X770" s="11"/>
      <c r="Y770" s="11"/>
      <c r="Z770" s="11"/>
      <c r="AA770" s="11"/>
      <c r="AB770" s="11"/>
      <c r="AC770" s="11"/>
    </row>
    <row r="771" spans="1:29">
      <c r="A771" s="172" t="s">
        <v>207</v>
      </c>
      <c r="B771" s="1"/>
      <c r="C771" s="182">
        <f t="shared" si="63"/>
        <v>1557283</v>
      </c>
      <c r="D771" s="182">
        <f t="shared" si="63"/>
        <v>1930228</v>
      </c>
      <c r="E771" s="200">
        <v>6.03</v>
      </c>
      <c r="F771" s="200"/>
      <c r="G771" s="2">
        <f t="shared" si="64"/>
        <v>9390417</v>
      </c>
      <c r="H771" s="2">
        <f t="shared" si="64"/>
        <v>11639274</v>
      </c>
      <c r="I771" s="200">
        <v>6.53</v>
      </c>
      <c r="J771" s="184"/>
      <c r="K771" s="2">
        <f>K799+K882</f>
        <v>10175585</v>
      </c>
      <c r="M771" s="42">
        <f>I771*D771</f>
        <v>12604388.84</v>
      </c>
      <c r="O771" s="8">
        <f>(I771-E771)/E771</f>
        <v>8.2918739635157543E-2</v>
      </c>
      <c r="S771" s="3" t="s">
        <v>180</v>
      </c>
      <c r="T771" s="49">
        <f>H773</f>
        <v>31238595</v>
      </c>
      <c r="U771" s="49">
        <f>K773</f>
        <v>32828416</v>
      </c>
      <c r="V771" s="49">
        <v>38185452.241358206</v>
      </c>
      <c r="W771" s="101">
        <f>U771/V771</f>
        <v>0.85971002235358984</v>
      </c>
      <c r="X771" s="11"/>
      <c r="Y771" s="11"/>
      <c r="Z771" s="11"/>
      <c r="AA771" s="11"/>
      <c r="AB771" s="11"/>
      <c r="AC771" s="11"/>
    </row>
    <row r="772" spans="1:29">
      <c r="A772" s="186" t="s">
        <v>230</v>
      </c>
      <c r="B772" s="1"/>
      <c r="C772" s="182"/>
      <c r="D772" s="182"/>
      <c r="E772" s="200" t="s">
        <v>13</v>
      </c>
      <c r="F772" s="200"/>
      <c r="G772" s="2"/>
      <c r="H772" s="2"/>
      <c r="I772" s="200" t="s">
        <v>13</v>
      </c>
      <c r="J772" s="184"/>
      <c r="K772" s="2"/>
      <c r="O772" s="183"/>
      <c r="V772" s="11"/>
      <c r="W772" s="11"/>
      <c r="X772" s="11"/>
      <c r="Y772" s="11"/>
      <c r="Z772" s="11"/>
      <c r="AA772" s="11"/>
      <c r="AB772" s="11"/>
      <c r="AC772" s="11"/>
    </row>
    <row r="773" spans="1:29">
      <c r="A773" s="186" t="s">
        <v>268</v>
      </c>
      <c r="B773" s="1"/>
      <c r="C773" s="182">
        <f>C801+C884</f>
        <v>848518988</v>
      </c>
      <c r="D773" s="182">
        <f>D801+D884</f>
        <v>892786384</v>
      </c>
      <c r="E773" s="246">
        <v>3.4990000000000001</v>
      </c>
      <c r="F773" s="184" t="s">
        <v>178</v>
      </c>
      <c r="G773" s="2">
        <f>G801+G884</f>
        <v>29689679</v>
      </c>
      <c r="H773" s="2">
        <f>H801+H884</f>
        <v>31238595</v>
      </c>
      <c r="I773" s="258">
        <v>3.875</v>
      </c>
      <c r="J773" s="184" t="s">
        <v>178</v>
      </c>
      <c r="K773" s="2">
        <f>K801+K884</f>
        <v>32828416</v>
      </c>
      <c r="M773" s="42">
        <f>(I773/100)*D773</f>
        <v>34595472.380000003</v>
      </c>
      <c r="O773" s="8">
        <f>(I773-E773)/E773</f>
        <v>0.10745927407830805</v>
      </c>
      <c r="V773" s="11"/>
      <c r="W773" s="11"/>
      <c r="X773" s="11"/>
      <c r="Y773" s="11"/>
      <c r="Z773" s="11"/>
      <c r="AA773" s="11"/>
      <c r="AB773" s="11"/>
      <c r="AC773" s="11"/>
    </row>
    <row r="774" spans="1:29">
      <c r="A774" s="186" t="s">
        <v>204</v>
      </c>
      <c r="B774" s="1"/>
      <c r="C774" s="182">
        <f>C802+C885</f>
        <v>395613</v>
      </c>
      <c r="D774" s="182">
        <f>D802+D885</f>
        <v>541286</v>
      </c>
      <c r="E774" s="200">
        <v>0.45</v>
      </c>
      <c r="F774" s="184"/>
      <c r="G774" s="2">
        <f>G802+G885</f>
        <v>178026</v>
      </c>
      <c r="H774" s="2">
        <f>H802+H885</f>
        <v>243579</v>
      </c>
      <c r="I774" s="200">
        <v>0.5</v>
      </c>
      <c r="J774" s="184"/>
      <c r="K774" s="2">
        <f>K802+K885</f>
        <v>197807</v>
      </c>
      <c r="M774" s="42">
        <f>I774*D774</f>
        <v>270643</v>
      </c>
      <c r="N774" s="183"/>
      <c r="O774" s="8">
        <f>(I774-E774)/E774</f>
        <v>0.11111111111111108</v>
      </c>
      <c r="V774" s="11"/>
      <c r="W774" s="11"/>
      <c r="X774" s="11"/>
      <c r="Y774" s="11"/>
      <c r="Z774" s="11"/>
      <c r="AA774" s="11"/>
      <c r="AB774" s="11"/>
      <c r="AC774" s="11"/>
    </row>
    <row r="775" spans="1:29">
      <c r="A775" s="223" t="s">
        <v>205</v>
      </c>
      <c r="B775" s="1"/>
      <c r="C775" s="182"/>
      <c r="D775" s="182"/>
      <c r="E775" s="195">
        <v>-0.01</v>
      </c>
      <c r="F775" s="195"/>
      <c r="G775" s="2"/>
      <c r="H775" s="2"/>
      <c r="I775" s="195">
        <v>-0.01</v>
      </c>
      <c r="J775" s="224"/>
      <c r="K775" s="2"/>
      <c r="V775" s="11"/>
      <c r="W775" s="11"/>
      <c r="X775" s="11"/>
      <c r="Y775" s="11"/>
      <c r="Z775" s="11"/>
      <c r="AA775" s="11"/>
      <c r="AB775" s="11"/>
      <c r="AC775" s="11"/>
    </row>
    <row r="776" spans="1:29">
      <c r="A776" s="186" t="s">
        <v>275</v>
      </c>
      <c r="B776" s="1"/>
      <c r="C776" s="182">
        <f t="shared" ref="C776:D786" si="65">C804+C887</f>
        <v>135</v>
      </c>
      <c r="D776" s="182">
        <f t="shared" si="65"/>
        <v>143</v>
      </c>
      <c r="E776" s="197">
        <f>E766</f>
        <v>1205</v>
      </c>
      <c r="F776" s="197"/>
      <c r="G776" s="184">
        <f t="shared" ref="G776:H786" si="66">G804+G887</f>
        <v>-1627</v>
      </c>
      <c r="H776" s="184">
        <f t="shared" si="66"/>
        <v>-1723</v>
      </c>
      <c r="I776" s="197">
        <f>I766</f>
        <v>1330</v>
      </c>
      <c r="J776" s="184"/>
      <c r="K776" s="184">
        <f t="shared" ref="K776:K785" si="67">K804+K887</f>
        <v>-1795</v>
      </c>
      <c r="M776" s="42">
        <f>-(I776/100)*D776</f>
        <v>-1901.9</v>
      </c>
      <c r="V776" s="11"/>
      <c r="W776" s="11"/>
      <c r="X776" s="11"/>
      <c r="Y776" s="11"/>
      <c r="Z776" s="11"/>
      <c r="AA776" s="11"/>
      <c r="AB776" s="11"/>
      <c r="AC776" s="11"/>
    </row>
    <row r="777" spans="1:29">
      <c r="A777" s="186" t="s">
        <v>276</v>
      </c>
      <c r="B777" s="1"/>
      <c r="C777" s="182">
        <f t="shared" si="65"/>
        <v>35</v>
      </c>
      <c r="D777" s="182">
        <f t="shared" si="65"/>
        <v>36</v>
      </c>
      <c r="E777" s="197">
        <f>E767</f>
        <v>1450</v>
      </c>
      <c r="F777" s="197"/>
      <c r="G777" s="184">
        <f t="shared" si="66"/>
        <v>-508</v>
      </c>
      <c r="H777" s="184">
        <f t="shared" si="66"/>
        <v>-522</v>
      </c>
      <c r="I777" s="197">
        <f>I767</f>
        <v>1600</v>
      </c>
      <c r="J777" s="184"/>
      <c r="K777" s="184">
        <f t="shared" si="67"/>
        <v>-554</v>
      </c>
      <c r="M777" s="42">
        <f>-(I777/100)*D777</f>
        <v>-576</v>
      </c>
      <c r="V777" s="11"/>
      <c r="W777" s="11"/>
      <c r="X777" s="11"/>
      <c r="Y777" s="11"/>
      <c r="Z777" s="11"/>
      <c r="AA777" s="11"/>
      <c r="AB777" s="11"/>
      <c r="AC777" s="11"/>
    </row>
    <row r="778" spans="1:29">
      <c r="A778" s="186" t="s">
        <v>277</v>
      </c>
      <c r="B778" s="1"/>
      <c r="C778" s="182">
        <f t="shared" si="65"/>
        <v>189773</v>
      </c>
      <c r="D778" s="182">
        <f t="shared" si="65"/>
        <v>250152</v>
      </c>
      <c r="E778" s="197">
        <f>E769</f>
        <v>0.91</v>
      </c>
      <c r="F778" s="197"/>
      <c r="G778" s="184">
        <f t="shared" si="66"/>
        <v>-1727</v>
      </c>
      <c r="H778" s="184">
        <f t="shared" si="66"/>
        <v>-2276</v>
      </c>
      <c r="I778" s="197">
        <f>I769</f>
        <v>1.01</v>
      </c>
      <c r="J778" s="184"/>
      <c r="K778" s="184">
        <f t="shared" si="67"/>
        <v>-1917</v>
      </c>
      <c r="M778" s="42">
        <f>-(I778/100)*D778</f>
        <v>-2526.5351999999998</v>
      </c>
      <c r="V778" s="11"/>
      <c r="W778" s="11"/>
      <c r="X778" s="11"/>
      <c r="Y778" s="11"/>
      <c r="Z778" s="11"/>
      <c r="AA778" s="11"/>
      <c r="AB778" s="11"/>
      <c r="AC778" s="11"/>
    </row>
    <row r="779" spans="1:29">
      <c r="A779" s="186" t="s">
        <v>278</v>
      </c>
      <c r="B779" s="1"/>
      <c r="C779" s="182">
        <f t="shared" si="65"/>
        <v>767389</v>
      </c>
      <c r="D779" s="182">
        <f t="shared" si="65"/>
        <v>242431</v>
      </c>
      <c r="E779" s="197">
        <f>E770</f>
        <v>0.83</v>
      </c>
      <c r="F779" s="197"/>
      <c r="G779" s="184">
        <f t="shared" si="66"/>
        <v>-6369</v>
      </c>
      <c r="H779" s="184">
        <f t="shared" si="66"/>
        <v>-2012</v>
      </c>
      <c r="I779" s="197">
        <f>I770</f>
        <v>0.92</v>
      </c>
      <c r="J779" s="184"/>
      <c r="K779" s="184">
        <f t="shared" si="67"/>
        <v>-6793</v>
      </c>
      <c r="M779" s="42">
        <f>-(I779/100)*D779</f>
        <v>-2230.3652000000002</v>
      </c>
      <c r="V779" s="11"/>
      <c r="W779" s="11"/>
      <c r="X779" s="11"/>
      <c r="Y779" s="11"/>
      <c r="Z779" s="11"/>
      <c r="AA779" s="11"/>
      <c r="AB779" s="11"/>
      <c r="AC779" s="11"/>
    </row>
    <row r="780" spans="1:29">
      <c r="A780" s="172" t="s">
        <v>207</v>
      </c>
      <c r="B780" s="243"/>
      <c r="C780" s="182">
        <f t="shared" si="65"/>
        <v>887827</v>
      </c>
      <c r="D780" s="182">
        <f t="shared" si="65"/>
        <v>417760</v>
      </c>
      <c r="E780" s="197">
        <f>E771</f>
        <v>6.03</v>
      </c>
      <c r="F780" s="200"/>
      <c r="G780" s="184">
        <f t="shared" si="66"/>
        <v>-53535</v>
      </c>
      <c r="H780" s="184">
        <f t="shared" si="66"/>
        <v>-25191</v>
      </c>
      <c r="I780" s="197">
        <f>I771</f>
        <v>6.53</v>
      </c>
      <c r="J780" s="184"/>
      <c r="K780" s="184">
        <f t="shared" si="67"/>
        <v>-58041</v>
      </c>
      <c r="M780" s="42">
        <f>-(I780/100)*D780</f>
        <v>-27279.727999999999</v>
      </c>
      <c r="V780" s="11"/>
      <c r="W780" s="11"/>
      <c r="X780" s="11"/>
      <c r="Y780" s="11"/>
      <c r="Z780" s="11"/>
      <c r="AA780" s="11"/>
      <c r="AB780" s="11"/>
      <c r="AC780" s="11"/>
    </row>
    <row r="781" spans="1:29">
      <c r="A781" s="186" t="s">
        <v>268</v>
      </c>
      <c r="B781" s="1"/>
      <c r="C781" s="182">
        <f t="shared" si="65"/>
        <v>541097802</v>
      </c>
      <c r="D781" s="182">
        <f t="shared" si="65"/>
        <v>196350613</v>
      </c>
      <c r="E781" s="198">
        <f>E773</f>
        <v>3.4990000000000001</v>
      </c>
      <c r="F781" s="184" t="s">
        <v>178</v>
      </c>
      <c r="G781" s="184">
        <f t="shared" si="66"/>
        <v>-189330</v>
      </c>
      <c r="H781" s="184">
        <f t="shared" si="66"/>
        <v>-68703</v>
      </c>
      <c r="I781" s="198">
        <f>I773</f>
        <v>3.875</v>
      </c>
      <c r="J781" s="184" t="s">
        <v>178</v>
      </c>
      <c r="K781" s="184">
        <f t="shared" si="67"/>
        <v>-209251</v>
      </c>
      <c r="M781" s="42">
        <f>-((I781/100)*D781)/100</f>
        <v>-76085.862537499997</v>
      </c>
      <c r="V781" s="11"/>
      <c r="W781" s="11"/>
      <c r="X781" s="11"/>
      <c r="Y781" s="11"/>
      <c r="Z781" s="11"/>
      <c r="AA781" s="11"/>
      <c r="AB781" s="11"/>
      <c r="AC781" s="11"/>
    </row>
    <row r="782" spans="1:29">
      <c r="A782" s="186" t="s">
        <v>204</v>
      </c>
      <c r="B782" s="1"/>
      <c r="C782" s="182">
        <f t="shared" si="65"/>
        <v>208290</v>
      </c>
      <c r="D782" s="182">
        <f t="shared" si="65"/>
        <v>87611</v>
      </c>
      <c r="E782" s="247">
        <f>E774</f>
        <v>0.45</v>
      </c>
      <c r="F782" s="184"/>
      <c r="G782" s="184">
        <f t="shared" si="66"/>
        <v>-937</v>
      </c>
      <c r="H782" s="184">
        <f t="shared" si="66"/>
        <v>-394</v>
      </c>
      <c r="I782" s="247">
        <f>I774</f>
        <v>0.5</v>
      </c>
      <c r="J782" s="184"/>
      <c r="K782" s="184">
        <f t="shared" si="67"/>
        <v>-1041</v>
      </c>
      <c r="M782" s="42">
        <f>-(I782/100)*D782</f>
        <v>-438.05500000000001</v>
      </c>
      <c r="V782" s="11"/>
      <c r="W782" s="11"/>
      <c r="X782" s="11"/>
      <c r="Y782" s="11"/>
      <c r="Z782" s="11"/>
      <c r="AA782" s="11"/>
      <c r="AB782" s="11"/>
      <c r="AC782" s="11"/>
    </row>
    <row r="783" spans="1:29">
      <c r="A783" s="172" t="s">
        <v>279</v>
      </c>
      <c r="B783" s="1"/>
      <c r="C783" s="182">
        <f t="shared" si="65"/>
        <v>170</v>
      </c>
      <c r="D783" s="182">
        <f t="shared" si="65"/>
        <v>179</v>
      </c>
      <c r="E783" s="200">
        <v>60</v>
      </c>
      <c r="F783" s="200"/>
      <c r="G783" s="184">
        <f t="shared" si="66"/>
        <v>10200</v>
      </c>
      <c r="H783" s="184">
        <f t="shared" si="66"/>
        <v>10740</v>
      </c>
      <c r="I783" s="200">
        <f>'Blocking - detail'!I783</f>
        <v>60</v>
      </c>
      <c r="J783" s="184"/>
      <c r="K783" s="184">
        <f t="shared" si="67"/>
        <v>10200</v>
      </c>
      <c r="M783" s="42">
        <f>I783*D783</f>
        <v>10740</v>
      </c>
      <c r="V783" s="11"/>
      <c r="W783" s="11"/>
      <c r="X783" s="11"/>
      <c r="Y783" s="11"/>
      <c r="Z783" s="11"/>
      <c r="AA783" s="11"/>
      <c r="AB783" s="11"/>
      <c r="AC783" s="11"/>
    </row>
    <row r="784" spans="1:29">
      <c r="A784" s="172" t="s">
        <v>248</v>
      </c>
      <c r="B784" s="1"/>
      <c r="C784" s="182">
        <f t="shared" si="65"/>
        <v>957162</v>
      </c>
      <c r="D784" s="182">
        <f t="shared" si="65"/>
        <v>492583</v>
      </c>
      <c r="E784" s="200">
        <v>-0.75</v>
      </c>
      <c r="F784" s="184"/>
      <c r="G784" s="184">
        <f t="shared" si="66"/>
        <v>-717872</v>
      </c>
      <c r="H784" s="184">
        <f t="shared" si="66"/>
        <v>-369437</v>
      </c>
      <c r="I784" s="200">
        <f>'Blocking - detail'!I784</f>
        <v>-0.75</v>
      </c>
      <c r="J784" s="184"/>
      <c r="K784" s="184">
        <f t="shared" si="67"/>
        <v>-717872</v>
      </c>
      <c r="M784" s="42">
        <f>I784*D784</f>
        <v>-369437.25</v>
      </c>
      <c r="V784" s="11"/>
      <c r="W784" s="11"/>
      <c r="X784" s="11"/>
      <c r="Y784" s="11"/>
      <c r="Z784" s="11"/>
      <c r="AA784" s="11"/>
      <c r="AB784" s="11"/>
      <c r="AC784" s="11"/>
    </row>
    <row r="785" spans="1:29">
      <c r="A785" s="1" t="s">
        <v>185</v>
      </c>
      <c r="B785" s="1"/>
      <c r="C785" s="182">
        <f t="shared" si="65"/>
        <v>848518988</v>
      </c>
      <c r="D785" s="182">
        <f t="shared" si="65"/>
        <v>892786385.17848599</v>
      </c>
      <c r="E785" s="193"/>
      <c r="F785" s="2"/>
      <c r="G785" s="2">
        <f t="shared" si="66"/>
        <v>40720828</v>
      </c>
      <c r="H785" s="2">
        <f t="shared" si="66"/>
        <v>45618516</v>
      </c>
      <c r="I785" s="2"/>
      <c r="J785" s="1"/>
      <c r="K785" s="2">
        <f t="shared" si="67"/>
        <v>44871844</v>
      </c>
      <c r="M785" s="42">
        <f>SUM(M766:M784)</f>
        <v>50275903.944062501</v>
      </c>
      <c r="V785" s="11"/>
      <c r="W785" s="11"/>
      <c r="X785" s="11"/>
      <c r="Y785" s="11"/>
      <c r="Z785" s="11"/>
      <c r="AA785" s="11"/>
      <c r="AB785" s="11"/>
      <c r="AC785" s="11"/>
    </row>
    <row r="786" spans="1:29">
      <c r="A786" s="1" t="s">
        <v>167</v>
      </c>
      <c r="B786" s="1"/>
      <c r="C786" s="182" t="e">
        <f t="shared" si="65"/>
        <v>#REF!</v>
      </c>
      <c r="D786" s="182">
        <f t="shared" si="65"/>
        <v>0</v>
      </c>
      <c r="E786" s="172"/>
      <c r="F786" s="172"/>
      <c r="G786" s="204" t="e">
        <f t="shared" si="66"/>
        <v>#REF!</v>
      </c>
      <c r="H786" s="204">
        <f t="shared" si="66"/>
        <v>0</v>
      </c>
      <c r="I786" s="172"/>
      <c r="J786" s="172"/>
      <c r="K786" s="204" t="e">
        <f>G786</f>
        <v>#REF!</v>
      </c>
      <c r="Q786" s="139"/>
      <c r="V786" s="11"/>
      <c r="W786" s="11"/>
      <c r="X786" s="11"/>
      <c r="Y786" s="11"/>
      <c r="Z786" s="11"/>
      <c r="AA786" s="11"/>
      <c r="AB786" s="11"/>
      <c r="AC786" s="11"/>
    </row>
    <row r="787" spans="1:29" ht="16.5" thickBot="1">
      <c r="A787" s="1" t="s">
        <v>186</v>
      </c>
      <c r="B787" s="1"/>
      <c r="C787" s="256" t="e">
        <f>SUM(C785)+C786</f>
        <v>#REF!</v>
      </c>
      <c r="D787" s="256">
        <f>SUM(D773)+D786</f>
        <v>892786384</v>
      </c>
      <c r="E787" s="205"/>
      <c r="F787" s="206"/>
      <c r="G787" s="207" t="e">
        <f>G785+G786</f>
        <v>#REF!</v>
      </c>
      <c r="H787" s="207">
        <f>H785+H786</f>
        <v>45618516</v>
      </c>
      <c r="I787" s="205"/>
      <c r="J787" s="208"/>
      <c r="K787" s="207" t="e">
        <f>K785+K786</f>
        <v>#REF!</v>
      </c>
      <c r="N787" s="3" t="s">
        <v>168</v>
      </c>
      <c r="O787" s="33">
        <v>43704978.563067347</v>
      </c>
      <c r="V787" s="11"/>
      <c r="W787" s="11"/>
      <c r="X787" s="11"/>
      <c r="Y787" s="11"/>
      <c r="Z787" s="11"/>
      <c r="AA787" s="11"/>
      <c r="AB787" s="11"/>
      <c r="AC787" s="11"/>
    </row>
    <row r="788" spans="1:29" ht="16.5" thickTop="1">
      <c r="A788" s="1"/>
      <c r="B788" s="1"/>
      <c r="C788" s="12"/>
      <c r="D788" s="12"/>
      <c r="E788" s="200"/>
      <c r="F788" s="2"/>
      <c r="G788" s="2"/>
      <c r="H788" s="2"/>
      <c r="I788" s="216" t="s">
        <v>13</v>
      </c>
      <c r="J788" s="1"/>
      <c r="K788" s="2" t="s">
        <v>13</v>
      </c>
      <c r="N788" s="3" t="s">
        <v>114</v>
      </c>
      <c r="O788" s="33" t="e">
        <f>O787-K787</f>
        <v>#REF!</v>
      </c>
      <c r="P788" s="139" t="e">
        <f>(O787-K787)/K787</f>
        <v>#REF!</v>
      </c>
      <c r="V788" s="11"/>
      <c r="W788" s="11"/>
      <c r="X788" s="11"/>
      <c r="Y788" s="11"/>
      <c r="Z788" s="11"/>
      <c r="AA788" s="11"/>
      <c r="AB788" s="11"/>
      <c r="AC788" s="11"/>
    </row>
    <row r="789" spans="1:29">
      <c r="A789" s="1"/>
      <c r="B789" s="1"/>
      <c r="C789" s="12"/>
      <c r="D789" s="12"/>
      <c r="E789" s="200"/>
      <c r="F789" s="2"/>
      <c r="G789" s="2"/>
      <c r="H789" s="2"/>
      <c r="I789" s="200"/>
      <c r="J789" s="1"/>
      <c r="K789" s="243"/>
      <c r="M789" s="11"/>
      <c r="N789" s="11"/>
      <c r="O789" s="38"/>
      <c r="P789" s="38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</row>
    <row r="790" spans="1:29">
      <c r="A790" s="156" t="s">
        <v>280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279"/>
      <c r="N790" s="279"/>
      <c r="O790" s="38"/>
      <c r="P790" s="38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>
      <c r="A791" s="172" t="s">
        <v>282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  <c r="M791" s="11"/>
      <c r="N791" s="11"/>
      <c r="O791" s="38"/>
      <c r="P791" s="38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>
      <c r="A792" s="186"/>
      <c r="B792" s="1"/>
      <c r="C792" s="1"/>
      <c r="D792" s="1"/>
      <c r="E792" s="2"/>
      <c r="F792" s="2"/>
      <c r="G792" s="1"/>
      <c r="H792" s="1"/>
      <c r="I792" s="2"/>
      <c r="J792" s="1"/>
      <c r="K792" s="1"/>
      <c r="M792" s="11"/>
      <c r="N792" s="11"/>
      <c r="O792" s="38"/>
      <c r="P792" s="38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>
      <c r="A793" s="186" t="s">
        <v>197</v>
      </c>
      <c r="B793" s="1"/>
      <c r="C793" s="182"/>
      <c r="D793" s="182"/>
      <c r="E793" s="2"/>
      <c r="F793" s="2"/>
      <c r="G793" s="1"/>
      <c r="H793" s="1"/>
      <c r="I793" s="2"/>
      <c r="J793" s="1"/>
      <c r="K793" s="1"/>
      <c r="M793" s="11"/>
      <c r="N793" s="11"/>
      <c r="O793" s="33" t="s">
        <v>13</v>
      </c>
      <c r="P793" s="38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>
      <c r="A794" s="186" t="s">
        <v>275</v>
      </c>
      <c r="B794" s="1"/>
      <c r="C794" s="182">
        <f>C822+C850</f>
        <v>658</v>
      </c>
      <c r="D794" s="182">
        <f>D822+D850</f>
        <v>692</v>
      </c>
      <c r="E794" s="200">
        <f>$E$766</f>
        <v>1205</v>
      </c>
      <c r="F794" s="200"/>
      <c r="G794" s="2">
        <f>G822+G850</f>
        <v>792890</v>
      </c>
      <c r="H794" s="2">
        <f>H822+H850</f>
        <v>833860</v>
      </c>
      <c r="I794" s="200">
        <v>1330</v>
      </c>
      <c r="J794" s="184"/>
      <c r="K794" s="2">
        <f>K822+K850</f>
        <v>875140</v>
      </c>
      <c r="M794" s="11"/>
      <c r="N794" s="11"/>
      <c r="O794" s="8">
        <f>(I794-E794)/E794</f>
        <v>0.1037344398340249</v>
      </c>
      <c r="P794" s="38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</row>
    <row r="795" spans="1:29">
      <c r="A795" s="186" t="s">
        <v>276</v>
      </c>
      <c r="B795" s="1"/>
      <c r="C795" s="182">
        <f>C823+C851</f>
        <v>48</v>
      </c>
      <c r="D795" s="182">
        <f>D823+D851</f>
        <v>50</v>
      </c>
      <c r="E795" s="200">
        <f>$E$767</f>
        <v>1450</v>
      </c>
      <c r="F795" s="200"/>
      <c r="G795" s="2">
        <f>G823+G851</f>
        <v>69600</v>
      </c>
      <c r="H795" s="2">
        <f>H823+H851</f>
        <v>72500</v>
      </c>
      <c r="I795" s="200">
        <v>1600</v>
      </c>
      <c r="J795" s="187"/>
      <c r="K795" s="2">
        <f>K823+K851</f>
        <v>76800</v>
      </c>
      <c r="M795" s="11"/>
      <c r="N795" s="11"/>
      <c r="O795" s="8">
        <f>(I795-E795)/E795</f>
        <v>0.10344827586206896</v>
      </c>
      <c r="P795" s="38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</row>
    <row r="796" spans="1:29">
      <c r="A796" s="186" t="s">
        <v>198</v>
      </c>
      <c r="B796" s="1"/>
      <c r="C796" s="182">
        <f>SUM(C794:C795)</f>
        <v>706</v>
      </c>
      <c r="D796" s="182">
        <f>SUM(D794:D795)</f>
        <v>742</v>
      </c>
      <c r="E796" s="200" t="s">
        <v>13</v>
      </c>
      <c r="F796" s="200"/>
      <c r="G796" s="2"/>
      <c r="H796" s="2"/>
      <c r="I796" s="200" t="s">
        <v>13</v>
      </c>
      <c r="J796" s="184"/>
      <c r="K796" s="2"/>
      <c r="M796" s="11"/>
      <c r="N796" s="11"/>
      <c r="O796" s="183"/>
      <c r="P796" s="38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</row>
    <row r="797" spans="1:29">
      <c r="A797" s="186" t="s">
        <v>277</v>
      </c>
      <c r="B797" s="1"/>
      <c r="C797" s="182">
        <f t="shared" ref="C797:D799" si="68">C825+C853</f>
        <v>898711</v>
      </c>
      <c r="D797" s="182">
        <f t="shared" si="68"/>
        <v>1752134</v>
      </c>
      <c r="E797" s="200">
        <f>$E$769</f>
        <v>0.91</v>
      </c>
      <c r="F797" s="200"/>
      <c r="G797" s="2">
        <f t="shared" ref="G797:H799" si="69">G825+G853</f>
        <v>817827</v>
      </c>
      <c r="H797" s="2">
        <f t="shared" si="69"/>
        <v>1594442</v>
      </c>
      <c r="I797" s="200">
        <v>1.01</v>
      </c>
      <c r="J797" s="184"/>
      <c r="K797" s="2">
        <f>K825+K853</f>
        <v>907698</v>
      </c>
      <c r="M797" s="11"/>
      <c r="N797" s="11"/>
      <c r="O797" s="8">
        <f>(I797-E797)/E797</f>
        <v>0.10989010989010986</v>
      </c>
      <c r="P797" s="38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</row>
    <row r="798" spans="1:29">
      <c r="A798" s="186" t="s">
        <v>278</v>
      </c>
      <c r="B798" s="1"/>
      <c r="C798" s="182">
        <f t="shared" si="68"/>
        <v>209743</v>
      </c>
      <c r="D798" s="182">
        <f t="shared" si="68"/>
        <v>487863</v>
      </c>
      <c r="E798" s="200">
        <f>$E$770</f>
        <v>0.83</v>
      </c>
      <c r="F798" s="200"/>
      <c r="G798" s="2">
        <f t="shared" si="69"/>
        <v>174086</v>
      </c>
      <c r="H798" s="2">
        <f t="shared" si="69"/>
        <v>404926</v>
      </c>
      <c r="I798" s="200">
        <v>0.92</v>
      </c>
      <c r="J798" s="184"/>
      <c r="K798" s="2">
        <f>K826+K854</f>
        <v>192964</v>
      </c>
      <c r="M798" s="11"/>
      <c r="N798" s="11"/>
      <c r="O798" s="8">
        <f>(I798-E798)/E798</f>
        <v>0.10843373493975914</v>
      </c>
      <c r="P798" s="38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</row>
    <row r="799" spans="1:29">
      <c r="A799" s="172" t="s">
        <v>207</v>
      </c>
      <c r="B799" s="1"/>
      <c r="C799" s="182">
        <f t="shared" si="68"/>
        <v>904657</v>
      </c>
      <c r="D799" s="182">
        <f t="shared" si="68"/>
        <v>1890714</v>
      </c>
      <c r="E799" s="200">
        <f>$E$771</f>
        <v>6.03</v>
      </c>
      <c r="F799" s="200"/>
      <c r="G799" s="2">
        <f t="shared" si="69"/>
        <v>5455082</v>
      </c>
      <c r="H799" s="2">
        <f t="shared" si="69"/>
        <v>11401005</v>
      </c>
      <c r="I799" s="200">
        <v>6.53</v>
      </c>
      <c r="J799" s="184"/>
      <c r="K799" s="2">
        <f>K827+K855</f>
        <v>5907411</v>
      </c>
      <c r="M799" s="11"/>
      <c r="N799" s="11"/>
      <c r="O799" s="8">
        <f>(I799-E799)/E799</f>
        <v>8.2918739635157543E-2</v>
      </c>
      <c r="P799" s="38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>
      <c r="A800" s="186" t="s">
        <v>230</v>
      </c>
      <c r="B800" s="1"/>
      <c r="C800" s="182"/>
      <c r="D800" s="182"/>
      <c r="E800" s="200" t="s">
        <v>13</v>
      </c>
      <c r="F800" s="200"/>
      <c r="G800" s="2"/>
      <c r="H800" s="2"/>
      <c r="I800" s="200" t="s">
        <v>13</v>
      </c>
      <c r="J800" s="184"/>
      <c r="K800" s="2"/>
      <c r="M800" s="11"/>
      <c r="N800" s="11"/>
      <c r="O800" s="183"/>
      <c r="P800" s="38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>
      <c r="A801" s="186" t="s">
        <v>268</v>
      </c>
      <c r="B801" s="1"/>
      <c r="C801" s="182">
        <f>C829+C857</f>
        <v>411194188</v>
      </c>
      <c r="D801" s="182">
        <f>D829+D857</f>
        <v>866308148</v>
      </c>
      <c r="E801" s="258">
        <f>$E$773</f>
        <v>3.4990000000000001</v>
      </c>
      <c r="F801" s="184" t="s">
        <v>178</v>
      </c>
      <c r="G801" s="2">
        <f>G829+G857</f>
        <v>14387684</v>
      </c>
      <c r="H801" s="2">
        <f>H829+H857</f>
        <v>30312122</v>
      </c>
      <c r="I801" s="258">
        <v>3.8719999999999999</v>
      </c>
      <c r="J801" s="184" t="s">
        <v>178</v>
      </c>
      <c r="K801" s="2">
        <f>K829+K857</f>
        <v>15921439</v>
      </c>
      <c r="M801" s="11"/>
      <c r="N801" s="11"/>
      <c r="O801" s="8">
        <f>(I801-E801)/E801</f>
        <v>0.10660188625321514</v>
      </c>
      <c r="P801" s="38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</row>
    <row r="802" spans="1:29">
      <c r="A802" s="186" t="s">
        <v>204</v>
      </c>
      <c r="B802" s="1"/>
      <c r="C802" s="182">
        <f>C830+C858</f>
        <v>226397</v>
      </c>
      <c r="D802" s="182">
        <f>D830+D858</f>
        <v>531041</v>
      </c>
      <c r="E802" s="200">
        <f>$E$774</f>
        <v>0.45</v>
      </c>
      <c r="F802" s="184"/>
      <c r="G802" s="2">
        <f>G830+G858</f>
        <v>101879</v>
      </c>
      <c r="H802" s="2">
        <f>H830+H858</f>
        <v>238969</v>
      </c>
      <c r="I802" s="200">
        <v>0.5</v>
      </c>
      <c r="J802" s="184"/>
      <c r="K802" s="2">
        <f>K830+K858</f>
        <v>113199</v>
      </c>
      <c r="M802" s="11"/>
      <c r="N802" s="11"/>
      <c r="O802" s="8">
        <f>(I802-E802)/E802</f>
        <v>0.11111111111111108</v>
      </c>
      <c r="P802" s="38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</row>
    <row r="803" spans="1:29">
      <c r="A803" s="223" t="s">
        <v>205</v>
      </c>
      <c r="B803" s="1"/>
      <c r="C803" s="182"/>
      <c r="D803" s="182"/>
      <c r="E803" s="195">
        <v>-0.01</v>
      </c>
      <c r="F803" s="195"/>
      <c r="G803" s="2"/>
      <c r="H803" s="2"/>
      <c r="I803" s="195">
        <v>-0.01</v>
      </c>
      <c r="J803" s="224"/>
      <c r="K803" s="2"/>
      <c r="M803" s="11"/>
      <c r="N803" s="11"/>
      <c r="O803" s="38"/>
      <c r="P803" s="38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</row>
    <row r="804" spans="1:29">
      <c r="A804" s="186" t="s">
        <v>275</v>
      </c>
      <c r="B804" s="1"/>
      <c r="C804" s="182">
        <f t="shared" ref="C804:D814" si="70">C832+C860</f>
        <v>135</v>
      </c>
      <c r="D804" s="182">
        <f t="shared" si="70"/>
        <v>143</v>
      </c>
      <c r="E804" s="197">
        <f>E794</f>
        <v>1205</v>
      </c>
      <c r="F804" s="197"/>
      <c r="G804" s="184">
        <f t="shared" ref="G804:H814" si="71">G832+G860</f>
        <v>-1627</v>
      </c>
      <c r="H804" s="184">
        <f t="shared" si="71"/>
        <v>-1723</v>
      </c>
      <c r="I804" s="197">
        <f>I794</f>
        <v>1330</v>
      </c>
      <c r="J804" s="184"/>
      <c r="K804" s="184">
        <f t="shared" ref="K804:K813" si="72">K832+K860</f>
        <v>-1795</v>
      </c>
      <c r="M804" s="11"/>
      <c r="N804" s="11"/>
      <c r="O804" s="38"/>
      <c r="P804" s="38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</row>
    <row r="805" spans="1:29">
      <c r="A805" s="186" t="s">
        <v>276</v>
      </c>
      <c r="B805" s="1"/>
      <c r="C805" s="182">
        <f t="shared" si="70"/>
        <v>23</v>
      </c>
      <c r="D805" s="182">
        <f t="shared" si="70"/>
        <v>24</v>
      </c>
      <c r="E805" s="197">
        <f>E795</f>
        <v>1450</v>
      </c>
      <c r="F805" s="197"/>
      <c r="G805" s="184">
        <f t="shared" si="71"/>
        <v>-334</v>
      </c>
      <c r="H805" s="184">
        <f t="shared" si="71"/>
        <v>-348</v>
      </c>
      <c r="I805" s="197">
        <f>I795</f>
        <v>1600</v>
      </c>
      <c r="J805" s="184"/>
      <c r="K805" s="184">
        <f t="shared" si="72"/>
        <v>-368</v>
      </c>
      <c r="M805" s="11"/>
      <c r="N805" s="11"/>
      <c r="O805" s="38"/>
      <c r="P805" s="38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</row>
    <row r="806" spans="1:29">
      <c r="A806" s="186" t="s">
        <v>277</v>
      </c>
      <c r="B806" s="1"/>
      <c r="C806" s="182">
        <f t="shared" si="70"/>
        <v>189773</v>
      </c>
      <c r="D806" s="182">
        <f t="shared" si="70"/>
        <v>250152</v>
      </c>
      <c r="E806" s="197">
        <f>E797</f>
        <v>0.91</v>
      </c>
      <c r="F806" s="197"/>
      <c r="G806" s="184">
        <f t="shared" si="71"/>
        <v>-1727</v>
      </c>
      <c r="H806" s="184">
        <f t="shared" si="71"/>
        <v>-2276</v>
      </c>
      <c r="I806" s="197">
        <f>I797</f>
        <v>1.01</v>
      </c>
      <c r="J806" s="184"/>
      <c r="K806" s="184">
        <f t="shared" si="72"/>
        <v>-1917</v>
      </c>
      <c r="M806" s="11"/>
      <c r="N806" s="11"/>
      <c r="O806" s="38"/>
      <c r="P806" s="38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>
      <c r="A807" s="186" t="s">
        <v>278</v>
      </c>
      <c r="B807" s="1"/>
      <c r="C807" s="182">
        <f t="shared" si="70"/>
        <v>101596</v>
      </c>
      <c r="D807" s="182">
        <f t="shared" si="70"/>
        <v>202120</v>
      </c>
      <c r="E807" s="197">
        <f>E798</f>
        <v>0.83</v>
      </c>
      <c r="F807" s="197"/>
      <c r="G807" s="184">
        <f t="shared" si="71"/>
        <v>-843</v>
      </c>
      <c r="H807" s="184">
        <f t="shared" si="71"/>
        <v>-1677</v>
      </c>
      <c r="I807" s="197">
        <f>I798</f>
        <v>0.92</v>
      </c>
      <c r="J807" s="184"/>
      <c r="K807" s="184">
        <f t="shared" si="72"/>
        <v>-934</v>
      </c>
      <c r="M807" s="11"/>
      <c r="N807" s="11"/>
      <c r="O807" s="38"/>
      <c r="P807" s="38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>
      <c r="A808" s="172" t="s">
        <v>207</v>
      </c>
      <c r="B808" s="243"/>
      <c r="C808" s="182">
        <f t="shared" si="70"/>
        <v>235201</v>
      </c>
      <c r="D808" s="182">
        <f t="shared" si="70"/>
        <v>378246</v>
      </c>
      <c r="E808" s="197">
        <f>E799</f>
        <v>6.03</v>
      </c>
      <c r="F808" s="200"/>
      <c r="G808" s="184">
        <f t="shared" si="71"/>
        <v>-14182</v>
      </c>
      <c r="H808" s="184">
        <f t="shared" si="71"/>
        <v>-22808</v>
      </c>
      <c r="I808" s="197">
        <f>I799</f>
        <v>6.53</v>
      </c>
      <c r="J808" s="184"/>
      <c r="K808" s="184">
        <f t="shared" si="72"/>
        <v>-15359</v>
      </c>
      <c r="M808" s="11"/>
      <c r="N808" s="11"/>
      <c r="O808" s="38"/>
      <c r="P808" s="38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>
      <c r="A809" s="186" t="s">
        <v>268</v>
      </c>
      <c r="B809" s="1"/>
      <c r="C809" s="182">
        <f t="shared" si="70"/>
        <v>103773002</v>
      </c>
      <c r="D809" s="182">
        <f t="shared" si="70"/>
        <v>169872377</v>
      </c>
      <c r="E809" s="198">
        <f>E801</f>
        <v>3.4990000000000001</v>
      </c>
      <c r="F809" s="184" t="s">
        <v>178</v>
      </c>
      <c r="G809" s="184">
        <f t="shared" si="71"/>
        <v>-36310</v>
      </c>
      <c r="H809" s="184">
        <f t="shared" si="71"/>
        <v>-59438</v>
      </c>
      <c r="I809" s="198">
        <f>I801</f>
        <v>3.8719999999999999</v>
      </c>
      <c r="J809" s="184" t="s">
        <v>178</v>
      </c>
      <c r="K809" s="184">
        <f t="shared" si="72"/>
        <v>-40181</v>
      </c>
      <c r="M809" s="11"/>
      <c r="N809" s="11"/>
      <c r="O809" s="38"/>
      <c r="P809" s="38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>
      <c r="A810" s="186" t="s">
        <v>204</v>
      </c>
      <c r="B810" s="1"/>
      <c r="C810" s="182">
        <f t="shared" si="70"/>
        <v>39074</v>
      </c>
      <c r="D810" s="182">
        <f t="shared" si="70"/>
        <v>77366</v>
      </c>
      <c r="E810" s="247">
        <f>E802</f>
        <v>0.45</v>
      </c>
      <c r="F810" s="184"/>
      <c r="G810" s="184">
        <f t="shared" si="71"/>
        <v>-176</v>
      </c>
      <c r="H810" s="184">
        <f t="shared" si="71"/>
        <v>-348</v>
      </c>
      <c r="I810" s="247">
        <f>I802</f>
        <v>0.5</v>
      </c>
      <c r="J810" s="184"/>
      <c r="K810" s="184">
        <f t="shared" si="72"/>
        <v>-195</v>
      </c>
      <c r="M810" s="11"/>
      <c r="N810" s="11"/>
      <c r="O810" s="38"/>
      <c r="P810" s="38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</row>
    <row r="811" spans="1:29">
      <c r="A811" s="172" t="s">
        <v>279</v>
      </c>
      <c r="B811" s="1"/>
      <c r="C811" s="182">
        <f t="shared" si="70"/>
        <v>158</v>
      </c>
      <c r="D811" s="182">
        <f t="shared" si="70"/>
        <v>167</v>
      </c>
      <c r="E811" s="200">
        <f>$E$783</f>
        <v>60</v>
      </c>
      <c r="F811" s="200"/>
      <c r="G811" s="184">
        <f t="shared" si="71"/>
        <v>9480</v>
      </c>
      <c r="H811" s="184">
        <f t="shared" si="71"/>
        <v>10020</v>
      </c>
      <c r="I811" s="200">
        <f>$I$783</f>
        <v>60</v>
      </c>
      <c r="J811" s="184"/>
      <c r="K811" s="184">
        <f t="shared" si="72"/>
        <v>9480</v>
      </c>
      <c r="M811" s="11"/>
      <c r="N811" s="11"/>
      <c r="O811" s="38"/>
      <c r="P811" s="38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>
      <c r="A812" s="172" t="s">
        <v>248</v>
      </c>
      <c r="B812" s="1"/>
      <c r="C812" s="182">
        <f t="shared" si="70"/>
        <v>291369</v>
      </c>
      <c r="D812" s="182">
        <f t="shared" si="70"/>
        <v>452272</v>
      </c>
      <c r="E812" s="200">
        <f>$E$784</f>
        <v>-0.75</v>
      </c>
      <c r="F812" s="184"/>
      <c r="G812" s="184">
        <f t="shared" si="71"/>
        <v>-218527</v>
      </c>
      <c r="H812" s="184">
        <f t="shared" si="71"/>
        <v>-339204</v>
      </c>
      <c r="I812" s="200">
        <f>$I$784</f>
        <v>-0.75</v>
      </c>
      <c r="J812" s="184"/>
      <c r="K812" s="184">
        <f t="shared" si="72"/>
        <v>-218527</v>
      </c>
      <c r="M812" s="11"/>
      <c r="N812" s="11"/>
      <c r="O812" s="38"/>
      <c r="P812" s="38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>
      <c r="A813" s="1" t="s">
        <v>185</v>
      </c>
      <c r="B813" s="1"/>
      <c r="C813" s="182">
        <f t="shared" si="70"/>
        <v>411194188</v>
      </c>
      <c r="D813" s="182">
        <f t="shared" si="70"/>
        <v>866308148.72444463</v>
      </c>
      <c r="E813" s="193"/>
      <c r="F813" s="2"/>
      <c r="G813" s="2">
        <f t="shared" si="71"/>
        <v>21534802</v>
      </c>
      <c r="H813" s="2">
        <f t="shared" si="71"/>
        <v>44440022</v>
      </c>
      <c r="I813" s="2"/>
      <c r="J813" s="1"/>
      <c r="K813" s="2">
        <f t="shared" si="72"/>
        <v>23724855</v>
      </c>
      <c r="M813" s="11"/>
      <c r="N813" s="11"/>
      <c r="O813" s="38"/>
      <c r="P813" s="38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>
      <c r="A814" s="1" t="s">
        <v>167</v>
      </c>
      <c r="B814" s="1"/>
      <c r="C814" s="182" t="e">
        <f t="shared" si="70"/>
        <v>#REF!</v>
      </c>
      <c r="D814" s="182">
        <f t="shared" si="70"/>
        <v>0</v>
      </c>
      <c r="E814" s="172"/>
      <c r="F814" s="172"/>
      <c r="G814" s="204" t="e">
        <f t="shared" si="71"/>
        <v>#REF!</v>
      </c>
      <c r="H814" s="204">
        <f t="shared" si="71"/>
        <v>0</v>
      </c>
      <c r="I814" s="172"/>
      <c r="J814" s="172"/>
      <c r="K814" s="204" t="e">
        <f>G814</f>
        <v>#REF!</v>
      </c>
      <c r="M814" s="307"/>
      <c r="N814" s="307"/>
      <c r="O814" s="150"/>
      <c r="P814" s="38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</row>
    <row r="815" spans="1:29" ht="16.5" thickBot="1">
      <c r="A815" s="1" t="s">
        <v>186</v>
      </c>
      <c r="B815" s="1"/>
      <c r="C815" s="256" t="e">
        <f>SUM(C813)+C814</f>
        <v>#REF!</v>
      </c>
      <c r="D815" s="256">
        <f>SUM(D801)+D814</f>
        <v>866308148</v>
      </c>
      <c r="E815" s="205"/>
      <c r="F815" s="206"/>
      <c r="G815" s="207" t="e">
        <f>G813+G814</f>
        <v>#REF!</v>
      </c>
      <c r="H815" s="207">
        <f>H813+H814</f>
        <v>44440022</v>
      </c>
      <c r="I815" s="205"/>
      <c r="J815" s="208"/>
      <c r="K815" s="207" t="e">
        <f>K813+K814</f>
        <v>#REF!</v>
      </c>
      <c r="M815" s="274"/>
      <c r="N815" s="3" t="s">
        <v>168</v>
      </c>
      <c r="O815" s="33" t="e">
        <f>#REF!*1000+#REF!*1000</f>
        <v>#REF!</v>
      </c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</row>
    <row r="816" spans="1:29" ht="16.5" thickTop="1">
      <c r="A816" s="1"/>
      <c r="B816" s="1"/>
      <c r="C816" s="12"/>
      <c r="D816" s="12"/>
      <c r="E816" s="200"/>
      <c r="F816" s="2"/>
      <c r="G816" s="2"/>
      <c r="H816" s="2"/>
      <c r="I816" s="216" t="s">
        <v>13</v>
      </c>
      <c r="J816" s="1"/>
      <c r="K816" s="2" t="s">
        <v>13</v>
      </c>
      <c r="M816" s="11"/>
      <c r="N816" s="3" t="s">
        <v>114</v>
      </c>
      <c r="O816" s="33" t="e">
        <f>O815-K815-K760</f>
        <v>#REF!</v>
      </c>
      <c r="P816" s="139" t="e">
        <f>(O815-K815)/K815</f>
        <v>#REF!</v>
      </c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</row>
    <row r="817" spans="1:29">
      <c r="A817" s="1"/>
      <c r="B817" s="1"/>
      <c r="C817" s="12"/>
      <c r="D817" s="12"/>
      <c r="E817" s="200"/>
      <c r="F817" s="2"/>
      <c r="G817" s="2"/>
      <c r="H817" s="2"/>
      <c r="I817" s="200"/>
      <c r="J817" s="1"/>
      <c r="K817" s="243"/>
      <c r="M817" s="11"/>
      <c r="N817" s="11"/>
      <c r="O817" s="38"/>
      <c r="P817" s="38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</row>
    <row r="818" spans="1:29">
      <c r="A818" s="156" t="s">
        <v>280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  <c r="M818" s="11"/>
      <c r="N818" s="11"/>
      <c r="O818" s="38"/>
      <c r="P818" s="38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</row>
    <row r="819" spans="1:29">
      <c r="A819" s="172" t="s">
        <v>283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  <c r="M819" s="11"/>
      <c r="N819" s="11"/>
      <c r="O819" s="38"/>
      <c r="P819" s="38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</row>
    <row r="820" spans="1:29">
      <c r="A820" s="186"/>
      <c r="B820" s="1"/>
      <c r="C820" s="1"/>
      <c r="D820" s="1"/>
      <c r="E820" s="2"/>
      <c r="F820" s="2"/>
      <c r="G820" s="1"/>
      <c r="H820" s="1"/>
      <c r="I820" s="2"/>
      <c r="J820" s="1"/>
      <c r="K820" s="1"/>
      <c r="M820" s="11"/>
      <c r="N820" s="11"/>
      <c r="O820" s="38"/>
      <c r="P820" s="38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>
      <c r="A821" s="186" t="s">
        <v>197</v>
      </c>
      <c r="B821" s="1"/>
      <c r="C821" s="182"/>
      <c r="D821" s="182"/>
      <c r="E821" s="2"/>
      <c r="F821" s="2"/>
      <c r="G821" s="1"/>
      <c r="H821" s="1"/>
      <c r="I821" s="2"/>
      <c r="J821" s="1"/>
      <c r="K821" s="1"/>
      <c r="M821" s="11"/>
      <c r="N821" s="11"/>
      <c r="O821" s="38"/>
      <c r="P821" s="38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>
      <c r="A822" s="186" t="s">
        <v>275</v>
      </c>
      <c r="B822" s="1"/>
      <c r="C822" s="182">
        <f>111+187</f>
        <v>298</v>
      </c>
      <c r="D822" s="182">
        <v>317</v>
      </c>
      <c r="E822" s="200">
        <f>$E$794</f>
        <v>1205</v>
      </c>
      <c r="F822" s="200"/>
      <c r="G822" s="2">
        <f>ROUND(E822*$C822,0)</f>
        <v>359090</v>
      </c>
      <c r="H822" s="2">
        <f>ROUND(E822*$D822,0)</f>
        <v>381985</v>
      </c>
      <c r="I822" s="200">
        <f>$I$794</f>
        <v>1330</v>
      </c>
      <c r="J822" s="184"/>
      <c r="K822" s="2">
        <f>ROUND(I822*$C822,0)</f>
        <v>396340</v>
      </c>
      <c r="M822" s="11"/>
      <c r="N822" s="11"/>
      <c r="O822" s="38"/>
      <c r="P822" s="38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>
      <c r="A823" s="186" t="s">
        <v>276</v>
      </c>
      <c r="B823" s="1"/>
      <c r="C823" s="182">
        <v>11</v>
      </c>
      <c r="D823" s="182">
        <v>12</v>
      </c>
      <c r="E823" s="200">
        <f>$E$795</f>
        <v>1450</v>
      </c>
      <c r="F823" s="200"/>
      <c r="G823" s="2">
        <f>ROUND(E823*$C823,0)</f>
        <v>15950</v>
      </c>
      <c r="H823" s="2">
        <f>ROUND(E823*$D823,0)</f>
        <v>17400</v>
      </c>
      <c r="I823" s="200">
        <f>$I$795</f>
        <v>1600</v>
      </c>
      <c r="J823" s="187"/>
      <c r="K823" s="2">
        <f>ROUND(I823*$C823,0)</f>
        <v>17600</v>
      </c>
      <c r="M823" s="11"/>
      <c r="N823" s="11"/>
      <c r="O823" s="38"/>
      <c r="P823" s="38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>
      <c r="A824" s="186" t="s">
        <v>198</v>
      </c>
      <c r="B824" s="1"/>
      <c r="C824" s="182">
        <f>SUM(C822:C823)</f>
        <v>309</v>
      </c>
      <c r="D824" s="182">
        <f>SUM(D822:D823)</f>
        <v>329</v>
      </c>
      <c r="E824" s="200" t="s">
        <v>13</v>
      </c>
      <c r="F824" s="200"/>
      <c r="G824" s="2" t="s">
        <v>13</v>
      </c>
      <c r="H824" s="2" t="s">
        <v>13</v>
      </c>
      <c r="I824" s="200" t="s">
        <v>13</v>
      </c>
      <c r="J824" s="184"/>
      <c r="K824" s="2" t="s">
        <v>13</v>
      </c>
      <c r="M824" s="11"/>
      <c r="N824" s="11"/>
      <c r="O824" s="38"/>
      <c r="P824" s="38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</row>
    <row r="825" spans="1:29">
      <c r="A825" s="186" t="s">
        <v>277</v>
      </c>
      <c r="B825" s="1"/>
      <c r="C825" s="182">
        <f>161644+238775</f>
        <v>400419</v>
      </c>
      <c r="D825" s="182">
        <f>ROUND((C825/$C$841)*$D$841,0)</f>
        <v>435560</v>
      </c>
      <c r="E825" s="200">
        <f>$E$797</f>
        <v>0.91</v>
      </c>
      <c r="F825" s="200"/>
      <c r="G825" s="2">
        <f>ROUND(E825*$C825,0)</f>
        <v>364381</v>
      </c>
      <c r="H825" s="2">
        <f>ROUND(E825*$D825,0)</f>
        <v>396360</v>
      </c>
      <c r="I825" s="200">
        <f>$I$797</f>
        <v>1.01</v>
      </c>
      <c r="J825" s="184"/>
      <c r="K825" s="2">
        <f>ROUND(I825*$C825,0)</f>
        <v>404423</v>
      </c>
      <c r="M825" s="11"/>
      <c r="N825" s="11"/>
      <c r="O825" s="38"/>
      <c r="P825" s="38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</row>
    <row r="826" spans="1:29">
      <c r="A826" s="186" t="s">
        <v>278</v>
      </c>
      <c r="B826" s="1"/>
      <c r="C826" s="182">
        <f>42662</f>
        <v>42662</v>
      </c>
      <c r="D826" s="182">
        <f>ROUND((C826/$C$841)*$D$841,0)</f>
        <v>46406</v>
      </c>
      <c r="E826" s="200">
        <f>$E$798</f>
        <v>0.83</v>
      </c>
      <c r="F826" s="200"/>
      <c r="G826" s="2">
        <f>ROUND(E826*$C826,0)</f>
        <v>35409</v>
      </c>
      <c r="H826" s="2">
        <f>ROUND(E826*$D826,0)</f>
        <v>38517</v>
      </c>
      <c r="I826" s="200">
        <f>$I$798</f>
        <v>0.92</v>
      </c>
      <c r="J826" s="184"/>
      <c r="K826" s="2">
        <f>ROUND(I826*$C826,0)</f>
        <v>39249</v>
      </c>
      <c r="M826" s="11"/>
      <c r="N826" s="11"/>
      <c r="O826" s="38"/>
      <c r="P826" s="38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</row>
    <row r="827" spans="1:29">
      <c r="A827" s="172" t="s">
        <v>207</v>
      </c>
      <c r="B827" s="1"/>
      <c r="C827" s="182">
        <f>121935+34520+164918</f>
        <v>321373</v>
      </c>
      <c r="D827" s="182">
        <f>ROUND((C827/$C$841)*$D$841,0)</f>
        <v>349577</v>
      </c>
      <c r="E827" s="200">
        <f>$E$799</f>
        <v>6.03</v>
      </c>
      <c r="F827" s="200"/>
      <c r="G827" s="2">
        <f>ROUND(E827*$C827,0)</f>
        <v>1937879</v>
      </c>
      <c r="H827" s="2">
        <f>ROUND(E827*$D827,0)</f>
        <v>2107949</v>
      </c>
      <c r="I827" s="200">
        <f>$I$799</f>
        <v>6.53</v>
      </c>
      <c r="J827" s="184"/>
      <c r="K827" s="2">
        <f>ROUND(I827*$C827,0)</f>
        <v>2098566</v>
      </c>
      <c r="M827" s="11"/>
      <c r="N827" s="11"/>
      <c r="O827" s="38"/>
      <c r="P827" s="38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</row>
    <row r="828" spans="1:29">
      <c r="A828" s="186" t="s">
        <v>230</v>
      </c>
      <c r="B828" s="1"/>
      <c r="C828" s="182"/>
      <c r="D828" s="182"/>
      <c r="E828" s="200" t="s">
        <v>13</v>
      </c>
      <c r="F828" s="200"/>
      <c r="G828" s="2"/>
      <c r="H828" s="2"/>
      <c r="I828" s="200" t="s">
        <v>13</v>
      </c>
      <c r="J828" s="184"/>
      <c r="K828" s="2"/>
      <c r="M828" s="11"/>
      <c r="N828" s="11"/>
      <c r="O828" s="38"/>
      <c r="P828" s="38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</row>
    <row r="829" spans="1:29">
      <c r="A829" s="186" t="s">
        <v>268</v>
      </c>
      <c r="B829" s="1"/>
      <c r="C829" s="182">
        <f>48095401+19012800+74513181</f>
        <v>141621382</v>
      </c>
      <c r="D829" s="182">
        <f>ROUND((C829/$C$841)*$D$841,0)</f>
        <v>154050076</v>
      </c>
      <c r="E829" s="258">
        <f>$E$801</f>
        <v>3.4990000000000001</v>
      </c>
      <c r="F829" s="184" t="s">
        <v>178</v>
      </c>
      <c r="G829" s="2">
        <f>ROUND(E829/100*$C829,0)</f>
        <v>4955332</v>
      </c>
      <c r="H829" s="2">
        <f>ROUND(E829/100*$D829,0)</f>
        <v>5390212</v>
      </c>
      <c r="I829" s="258">
        <f>$I$801</f>
        <v>3.8719999999999999</v>
      </c>
      <c r="J829" s="184" t="s">
        <v>178</v>
      </c>
      <c r="K829" s="2">
        <f>ROUND(I829/100*$C829,0)</f>
        <v>5483580</v>
      </c>
      <c r="M829" s="11"/>
      <c r="N829" s="11"/>
      <c r="O829" s="38"/>
      <c r="P829" s="38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</row>
    <row r="830" spans="1:29">
      <c r="A830" s="186" t="s">
        <v>204</v>
      </c>
      <c r="B830" s="1"/>
      <c r="C830" s="182">
        <f>10682+5964+26547</f>
        <v>43193</v>
      </c>
      <c r="D830" s="182">
        <f>ROUND((C830/$C$841)*$D$841,0)</f>
        <v>46984</v>
      </c>
      <c r="E830" s="200">
        <f>$E$802</f>
        <v>0.45</v>
      </c>
      <c r="F830" s="184"/>
      <c r="G830" s="2">
        <f>ROUND(E830*$C830,0)</f>
        <v>19437</v>
      </c>
      <c r="H830" s="2">
        <f>ROUND(E830*$D830,0)</f>
        <v>21143</v>
      </c>
      <c r="I830" s="200">
        <f>$I$802</f>
        <v>0.5</v>
      </c>
      <c r="J830" s="184"/>
      <c r="K830" s="2">
        <f>ROUND(I830*$C830,0)</f>
        <v>21597</v>
      </c>
      <c r="M830" s="11"/>
      <c r="N830" s="11"/>
      <c r="O830" s="38"/>
      <c r="P830" s="38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</row>
    <row r="831" spans="1:29">
      <c r="A831" s="223" t="s">
        <v>205</v>
      </c>
      <c r="B831" s="1"/>
      <c r="C831" s="182"/>
      <c r="D831" s="182"/>
      <c r="E831" s="195">
        <v>-0.01</v>
      </c>
      <c r="F831" s="195"/>
      <c r="G831" s="2"/>
      <c r="H831" s="2"/>
      <c r="I831" s="195">
        <v>-0.01</v>
      </c>
      <c r="J831" s="224"/>
      <c r="K831" s="2"/>
      <c r="M831" s="11"/>
      <c r="N831" s="11"/>
      <c r="O831" s="38"/>
      <c r="P831" s="38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>
      <c r="A832" s="186" t="s">
        <v>275</v>
      </c>
      <c r="B832" s="1"/>
      <c r="C832" s="182">
        <v>111</v>
      </c>
      <c r="D832" s="182">
        <v>118</v>
      </c>
      <c r="E832" s="197">
        <f>E822</f>
        <v>1205</v>
      </c>
      <c r="F832" s="197"/>
      <c r="G832" s="184">
        <f>ROUND(E832*$C832*$E$803,0)</f>
        <v>-1338</v>
      </c>
      <c r="H832" s="184">
        <f>ROUND(E832*$D832*$E$803,0)</f>
        <v>-1422</v>
      </c>
      <c r="I832" s="197">
        <f>I822</f>
        <v>1330</v>
      </c>
      <c r="J832" s="184"/>
      <c r="K832" s="184">
        <f>ROUND(I832*$C832*$E$803,0)</f>
        <v>-1476</v>
      </c>
      <c r="M832" s="11"/>
      <c r="N832" s="11"/>
      <c r="O832" s="38"/>
      <c r="P832" s="38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>
      <c r="A833" s="186" t="s">
        <v>276</v>
      </c>
      <c r="B833" s="1"/>
      <c r="C833" s="182">
        <v>11</v>
      </c>
      <c r="D833" s="182">
        <v>12</v>
      </c>
      <c r="E833" s="197">
        <f>E823</f>
        <v>1450</v>
      </c>
      <c r="F833" s="197"/>
      <c r="G833" s="184">
        <f>ROUND(E833*$C833*$E$803,0)</f>
        <v>-160</v>
      </c>
      <c r="H833" s="184">
        <f>ROUND(E833*$D833*$E$803,0)</f>
        <v>-174</v>
      </c>
      <c r="I833" s="197">
        <f>I823</f>
        <v>1600</v>
      </c>
      <c r="J833" s="184"/>
      <c r="K833" s="184">
        <f>ROUND(I833*$C833*$E$803,0)</f>
        <v>-176</v>
      </c>
      <c r="M833" s="11"/>
      <c r="N833" s="11"/>
      <c r="O833" s="38"/>
      <c r="P833" s="38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>
      <c r="A834" s="186" t="s">
        <v>277</v>
      </c>
      <c r="B834" s="1"/>
      <c r="C834" s="182">
        <v>161644</v>
      </c>
      <c r="D834" s="182">
        <f>ROUND((C834/$C$841)*$D$841,0)</f>
        <v>175830</v>
      </c>
      <c r="E834" s="197">
        <f>E825</f>
        <v>0.91</v>
      </c>
      <c r="F834" s="197"/>
      <c r="G834" s="184">
        <f>ROUND(E834*$C834*$E$803,0)</f>
        <v>-1471</v>
      </c>
      <c r="H834" s="184">
        <f>ROUND(E834*$D834*$E$803,0)</f>
        <v>-1600</v>
      </c>
      <c r="I834" s="197">
        <f>I825</f>
        <v>1.01</v>
      </c>
      <c r="J834" s="184"/>
      <c r="K834" s="184">
        <f>ROUND(I834*$C834*$E$803,0)</f>
        <v>-1633</v>
      </c>
      <c r="M834" s="11"/>
      <c r="N834" s="11"/>
      <c r="O834" s="38"/>
      <c r="P834" s="38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</row>
    <row r="835" spans="1:29">
      <c r="A835" s="186" t="s">
        <v>278</v>
      </c>
      <c r="B835" s="1"/>
      <c r="C835" s="182">
        <v>42662</v>
      </c>
      <c r="D835" s="182">
        <f>ROUND((C835/$C$841)*$D$841,0)</f>
        <v>46406</v>
      </c>
      <c r="E835" s="197">
        <f>E826</f>
        <v>0.83</v>
      </c>
      <c r="F835" s="197"/>
      <c r="G835" s="184">
        <f>ROUND(E835*$C835*$E$803,0)</f>
        <v>-354</v>
      </c>
      <c r="H835" s="184">
        <f>ROUND(E835*$D835*$E$803,0)</f>
        <v>-385</v>
      </c>
      <c r="I835" s="197">
        <f>I826</f>
        <v>0.92</v>
      </c>
      <c r="J835" s="184"/>
      <c r="K835" s="184">
        <f>ROUND(I835*$C835*$E$803,0)</f>
        <v>-392</v>
      </c>
      <c r="M835" s="11"/>
      <c r="N835" s="11"/>
      <c r="O835" s="38"/>
      <c r="P835" s="38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>
      <c r="A836" s="172" t="s">
        <v>207</v>
      </c>
      <c r="B836" s="243"/>
      <c r="C836" s="182">
        <f>121935+34520</f>
        <v>156455</v>
      </c>
      <c r="D836" s="182">
        <f>ROUND((C836/$C$841)*$D$841,0)</f>
        <v>170185</v>
      </c>
      <c r="E836" s="197">
        <f>E827</f>
        <v>6.03</v>
      </c>
      <c r="F836" s="200"/>
      <c r="G836" s="184">
        <f>ROUND(E836*$C836*$E$803,0)</f>
        <v>-9434</v>
      </c>
      <c r="H836" s="184">
        <f>ROUND(E836*$D836*$E$803,0)</f>
        <v>-10262</v>
      </c>
      <c r="I836" s="197">
        <f>I827</f>
        <v>6.53</v>
      </c>
      <c r="J836" s="184"/>
      <c r="K836" s="184">
        <f>ROUND(I836*$C836*$E$803,0)</f>
        <v>-10217</v>
      </c>
      <c r="M836" s="11"/>
      <c r="N836" s="11"/>
      <c r="O836" s="38"/>
      <c r="P836" s="38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</row>
    <row r="837" spans="1:29">
      <c r="A837" s="186" t="s">
        <v>268</v>
      </c>
      <c r="B837" s="1"/>
      <c r="C837" s="182">
        <f>48095401+19012800</f>
        <v>67108201</v>
      </c>
      <c r="D837" s="182">
        <f>ROUND((C837/$C$841)*$D$841,0)</f>
        <v>72997618</v>
      </c>
      <c r="E837" s="198">
        <f>E829</f>
        <v>3.4990000000000001</v>
      </c>
      <c r="F837" s="184" t="s">
        <v>178</v>
      </c>
      <c r="G837" s="184">
        <f>ROUND(E837/100*$C837*$E$803,0)</f>
        <v>-23481</v>
      </c>
      <c r="H837" s="184">
        <f>ROUND(E837/100*$D837*$E$803,0)</f>
        <v>-25542</v>
      </c>
      <c r="I837" s="198">
        <f>I829</f>
        <v>3.8719999999999999</v>
      </c>
      <c r="J837" s="184" t="s">
        <v>178</v>
      </c>
      <c r="K837" s="184">
        <f>ROUND(I837/100*$C837*$E$803,0)</f>
        <v>-25984</v>
      </c>
      <c r="M837" s="11"/>
      <c r="N837" s="11"/>
      <c r="O837" s="38"/>
      <c r="P837" s="38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</row>
    <row r="838" spans="1:29">
      <c r="A838" s="186" t="s">
        <v>204</v>
      </c>
      <c r="B838" s="1"/>
      <c r="C838" s="182">
        <f>10682+5964</f>
        <v>16646</v>
      </c>
      <c r="D838" s="182">
        <f>ROUND((C838/$C$841)*$D$841,0)</f>
        <v>18107</v>
      </c>
      <c r="E838" s="247">
        <f>E830</f>
        <v>0.45</v>
      </c>
      <c r="F838" s="184"/>
      <c r="G838" s="184">
        <f>ROUND(E838*$C838*$E$803,0)</f>
        <v>-75</v>
      </c>
      <c r="H838" s="184">
        <f>ROUND(E838*$D838*$E$803,0)</f>
        <v>-81</v>
      </c>
      <c r="I838" s="247">
        <f>I830</f>
        <v>0.5</v>
      </c>
      <c r="J838" s="184"/>
      <c r="K838" s="184">
        <f>ROUND(I838*$C838*$E$803,0)</f>
        <v>-83</v>
      </c>
      <c r="M838" s="11"/>
      <c r="N838" s="11"/>
      <c r="O838" s="38"/>
      <c r="P838" s="38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</row>
    <row r="839" spans="1:29">
      <c r="A839" s="172" t="s">
        <v>279</v>
      </c>
      <c r="B839" s="1"/>
      <c r="C839" s="182">
        <f>111+11</f>
        <v>122</v>
      </c>
      <c r="D839" s="182">
        <v>130</v>
      </c>
      <c r="E839" s="200">
        <f>$E$811</f>
        <v>60</v>
      </c>
      <c r="F839" s="200"/>
      <c r="G839" s="184">
        <f>ROUND(E839*$C839,0)</f>
        <v>7320</v>
      </c>
      <c r="H839" s="184">
        <f>ROUND(E839*$D839,0)</f>
        <v>7800</v>
      </c>
      <c r="I839" s="200">
        <f>$I$811</f>
        <v>60</v>
      </c>
      <c r="J839" s="184"/>
      <c r="K839" s="184">
        <f>ROUND(I839*$C839,0)</f>
        <v>7320</v>
      </c>
      <c r="M839" s="11"/>
      <c r="N839" s="11"/>
      <c r="O839" s="38"/>
      <c r="P839" s="38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</row>
    <row r="840" spans="1:29">
      <c r="A840" s="172" t="s">
        <v>248</v>
      </c>
      <c r="B840" s="1"/>
      <c r="C840" s="182">
        <f>161644+42662</f>
        <v>204306</v>
      </c>
      <c r="D840" s="182">
        <f>ROUND((C840/$C$841)*$D$841,0)</f>
        <v>222236</v>
      </c>
      <c r="E840" s="200">
        <f>$E$812</f>
        <v>-0.75</v>
      </c>
      <c r="F840" s="184"/>
      <c r="G840" s="184">
        <f>ROUND(E840*$C840,0)</f>
        <v>-153230</v>
      </c>
      <c r="H840" s="184">
        <f>ROUND(E840*$D840,0)</f>
        <v>-166677</v>
      </c>
      <c r="I840" s="200">
        <f>$I$812</f>
        <v>-0.75</v>
      </c>
      <c r="J840" s="184"/>
      <c r="K840" s="184">
        <f>ROUND(I840*$C840,0)</f>
        <v>-153230</v>
      </c>
      <c r="M840" s="11"/>
      <c r="N840" s="11"/>
      <c r="O840" s="38"/>
      <c r="P840" s="38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</row>
    <row r="841" spans="1:29">
      <c r="A841" s="1" t="s">
        <v>185</v>
      </c>
      <c r="B841" s="1"/>
      <c r="C841" s="182">
        <f>C829</f>
        <v>141621382</v>
      </c>
      <c r="D841" s="182">
        <v>154050076.39425009</v>
      </c>
      <c r="E841" s="193"/>
      <c r="F841" s="2"/>
      <c r="G841" s="2">
        <f>SUM(G822:G840)</f>
        <v>7505255</v>
      </c>
      <c r="H841" s="2">
        <f>SUM(H822:H840)</f>
        <v>8155223</v>
      </c>
      <c r="I841" s="193"/>
      <c r="J841" s="1"/>
      <c r="K841" s="2">
        <f>SUM(K822:K840)</f>
        <v>8275484</v>
      </c>
      <c r="M841" s="11"/>
      <c r="N841" s="11"/>
      <c r="O841" s="38"/>
      <c r="P841" s="38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</row>
    <row r="842" spans="1:29">
      <c r="A842" s="1" t="s">
        <v>167</v>
      </c>
      <c r="B842" s="1"/>
      <c r="C842" s="182" t="e">
        <f>#REF!</f>
        <v>#REF!</v>
      </c>
      <c r="D842" s="182">
        <v>0</v>
      </c>
      <c r="E842" s="172"/>
      <c r="F842" s="172"/>
      <c r="G842" s="204" t="e">
        <f>#REF!</f>
        <v>#REF!</v>
      </c>
      <c r="H842" s="204">
        <v>0</v>
      </c>
      <c r="I842" s="172"/>
      <c r="J842" s="172"/>
      <c r="K842" s="204" t="e">
        <f>G842</f>
        <v>#REF!</v>
      </c>
      <c r="M842" s="307"/>
      <c r="N842" s="307"/>
      <c r="O842" s="150"/>
      <c r="P842" s="38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</row>
    <row r="843" spans="1:29" ht="16.5" thickBot="1">
      <c r="A843" s="1" t="s">
        <v>186</v>
      </c>
      <c r="B843" s="1"/>
      <c r="C843" s="256" t="e">
        <f>SUM(C841)+C842</f>
        <v>#REF!</v>
      </c>
      <c r="D843" s="256">
        <f>SUM(D829)+D842</f>
        <v>154050076</v>
      </c>
      <c r="E843" s="205"/>
      <c r="F843" s="206"/>
      <c r="G843" s="207" t="e">
        <f>G841+G842</f>
        <v>#REF!</v>
      </c>
      <c r="H843" s="207">
        <f>H841+H842</f>
        <v>8155223</v>
      </c>
      <c r="I843" s="205"/>
      <c r="J843" s="208"/>
      <c r="K843" s="207" t="e">
        <f>K841+K842</f>
        <v>#REF!</v>
      </c>
      <c r="M843" s="274"/>
      <c r="N843" s="274"/>
      <c r="O843" s="333"/>
      <c r="P843" s="38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</row>
    <row r="844" spans="1:29" ht="16.5" thickTop="1">
      <c r="A844" s="1"/>
      <c r="B844" s="1"/>
      <c r="C844" s="12"/>
      <c r="D844" s="12"/>
      <c r="E844" s="200"/>
      <c r="F844" s="2"/>
      <c r="G844" s="2"/>
      <c r="H844" s="2"/>
      <c r="I844" s="216" t="s">
        <v>13</v>
      </c>
      <c r="J844" s="1"/>
      <c r="K844" s="2" t="s">
        <v>13</v>
      </c>
      <c r="M844" s="11"/>
      <c r="N844" s="11"/>
      <c r="O844" s="38"/>
      <c r="P844" s="38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>
      <c r="A845" s="1"/>
      <c r="B845" s="1"/>
      <c r="C845" s="12"/>
      <c r="D845" s="12"/>
      <c r="E845" s="200"/>
      <c r="F845" s="2"/>
      <c r="G845" s="2"/>
      <c r="H845" s="2"/>
      <c r="I845" s="200"/>
      <c r="J845" s="1"/>
      <c r="K845" s="243"/>
      <c r="M845" s="11"/>
      <c r="N845" s="11"/>
      <c r="O845" s="38"/>
      <c r="P845" s="38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>
      <c r="A846" s="156" t="s">
        <v>280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  <c r="M846" s="11"/>
      <c r="N846" s="11"/>
      <c r="O846" s="38"/>
      <c r="P846" s="38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>
      <c r="A847" s="172" t="s">
        <v>284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  <c r="M847" s="11"/>
      <c r="N847" s="11"/>
      <c r="O847" s="38"/>
      <c r="P847" s="38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>
      <c r="A848" s="186"/>
      <c r="B848" s="1"/>
      <c r="C848" s="1"/>
      <c r="D848" s="1"/>
      <c r="E848" s="2"/>
      <c r="F848" s="2"/>
      <c r="G848" s="1"/>
      <c r="H848" s="1"/>
      <c r="I848" s="2"/>
      <c r="J848" s="1"/>
      <c r="K848" s="1"/>
      <c r="M848" s="11"/>
      <c r="N848" s="11"/>
      <c r="O848" s="38"/>
      <c r="P848" s="38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</row>
    <row r="849" spans="1:29">
      <c r="A849" s="186" t="s">
        <v>197</v>
      </c>
      <c r="B849" s="1"/>
      <c r="C849" s="182"/>
      <c r="D849" s="182"/>
      <c r="E849" s="2"/>
      <c r="F849" s="2"/>
      <c r="G849" s="1"/>
      <c r="H849" s="1"/>
      <c r="I849" s="2"/>
      <c r="J849" s="1"/>
      <c r="K849" s="1"/>
      <c r="M849" s="11"/>
      <c r="N849" s="11"/>
      <c r="O849" s="38"/>
      <c r="P849" s="38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</row>
    <row r="850" spans="1:29">
      <c r="A850" s="186" t="s">
        <v>275</v>
      </c>
      <c r="B850" s="1"/>
      <c r="C850" s="182">
        <f>24+336</f>
        <v>360</v>
      </c>
      <c r="D850" s="182">
        <v>375</v>
      </c>
      <c r="E850" s="200">
        <f>$E$794</f>
        <v>1205</v>
      </c>
      <c r="F850" s="200"/>
      <c r="G850" s="2">
        <f>ROUND(E850*$C850,0)</f>
        <v>433800</v>
      </c>
      <c r="H850" s="2">
        <f>ROUND(E850*$D850,0)</f>
        <v>451875</v>
      </c>
      <c r="I850" s="200">
        <f>$I$794</f>
        <v>1330</v>
      </c>
      <c r="J850" s="184"/>
      <c r="K850" s="2">
        <f>ROUND(I850*$C850,0)</f>
        <v>478800</v>
      </c>
      <c r="M850" s="11"/>
      <c r="N850" s="11"/>
      <c r="O850" s="38"/>
      <c r="P850" s="38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>
      <c r="A851" s="186" t="s">
        <v>276</v>
      </c>
      <c r="B851" s="1"/>
      <c r="C851" s="182">
        <f>24+25-C878</f>
        <v>37</v>
      </c>
      <c r="D851" s="182">
        <v>38</v>
      </c>
      <c r="E851" s="200">
        <f>$E$795</f>
        <v>1450</v>
      </c>
      <c r="F851" s="200"/>
      <c r="G851" s="2">
        <f>ROUND(E851*$C851,0)</f>
        <v>53650</v>
      </c>
      <c r="H851" s="2">
        <f>ROUND(E851*$D851,0)</f>
        <v>55100</v>
      </c>
      <c r="I851" s="200">
        <f>$I$795</f>
        <v>1600</v>
      </c>
      <c r="J851" s="187"/>
      <c r="K851" s="2">
        <f>ROUND(I851*$C851,0)</f>
        <v>59200</v>
      </c>
      <c r="M851" s="11"/>
      <c r="N851" s="11"/>
      <c r="O851" s="38"/>
      <c r="P851" s="38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</row>
    <row r="852" spans="1:29">
      <c r="A852" s="186" t="s">
        <v>198</v>
      </c>
      <c r="B852" s="1"/>
      <c r="C852" s="182">
        <f>SUM(C850:C851)</f>
        <v>397</v>
      </c>
      <c r="D852" s="182">
        <f>SUM(D850:D851)</f>
        <v>413</v>
      </c>
      <c r="E852" s="200" t="s">
        <v>13</v>
      </c>
      <c r="F852" s="200"/>
      <c r="G852" s="2" t="s">
        <v>13</v>
      </c>
      <c r="H852" s="2" t="s">
        <v>13</v>
      </c>
      <c r="I852" s="200" t="s">
        <v>13</v>
      </c>
      <c r="J852" s="184"/>
      <c r="K852" s="2" t="s">
        <v>13</v>
      </c>
      <c r="M852" s="11"/>
      <c r="N852" s="11"/>
      <c r="O852" s="38"/>
      <c r="P852" s="38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</row>
    <row r="853" spans="1:29">
      <c r="A853" s="186" t="s">
        <v>277</v>
      </c>
      <c r="B853" s="1"/>
      <c r="C853" s="182">
        <f>28129+470163</f>
        <v>498292</v>
      </c>
      <c r="D853" s="182">
        <f>ROUND(($D$869/$C$869)*C853,0)</f>
        <v>1316574</v>
      </c>
      <c r="E853" s="200">
        <f>$E$797</f>
        <v>0.91</v>
      </c>
      <c r="F853" s="200"/>
      <c r="G853" s="2">
        <f>ROUND(E853*$C853,0)</f>
        <v>453446</v>
      </c>
      <c r="H853" s="2">
        <f>ROUND(E853*$D853,0)</f>
        <v>1198082</v>
      </c>
      <c r="I853" s="200">
        <f>$I$797</f>
        <v>1.01</v>
      </c>
      <c r="J853" s="184"/>
      <c r="K853" s="2">
        <f>ROUND(I853*$C853,0)</f>
        <v>503275</v>
      </c>
      <c r="M853" s="11"/>
      <c r="N853" s="11"/>
      <c r="O853" s="38"/>
      <c r="P853" s="38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</row>
    <row r="854" spans="1:29">
      <c r="A854" s="186" t="s">
        <v>278</v>
      </c>
      <c r="B854" s="1"/>
      <c r="C854" s="182">
        <f>724727+108147-C881</f>
        <v>167081</v>
      </c>
      <c r="D854" s="182">
        <f>ROUND(($D$869/$C$869)*C854,0)</f>
        <v>441457</v>
      </c>
      <c r="E854" s="200">
        <f>$E$798</f>
        <v>0.83</v>
      </c>
      <c r="F854" s="200"/>
      <c r="G854" s="2">
        <f>ROUND(E854*$C854,0)</f>
        <v>138677</v>
      </c>
      <c r="H854" s="2">
        <f>ROUND(E854*$D854,0)</f>
        <v>366409</v>
      </c>
      <c r="I854" s="200">
        <f>$I$798</f>
        <v>0.92</v>
      </c>
      <c r="J854" s="184"/>
      <c r="K854" s="2">
        <f>ROUND(I854*$C854,0)</f>
        <v>153715</v>
      </c>
      <c r="M854" s="11"/>
      <c r="N854" s="11"/>
      <c r="O854" s="38"/>
      <c r="P854" s="38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</row>
    <row r="855" spans="1:29">
      <c r="A855" s="172" t="s">
        <v>207</v>
      </c>
      <c r="B855" s="1"/>
      <c r="C855" s="182">
        <f>23089+708283+406336+98202-C882</f>
        <v>583284</v>
      </c>
      <c r="D855" s="182">
        <f>ROUND(($D$869/$C$869)*C855,0)</f>
        <v>1541137</v>
      </c>
      <c r="E855" s="200">
        <f>$E$799</f>
        <v>6.03</v>
      </c>
      <c r="F855" s="200"/>
      <c r="G855" s="2">
        <f>ROUND(E855*$C855,0)</f>
        <v>3517203</v>
      </c>
      <c r="H855" s="2">
        <f>ROUND(E855*$D855,0)</f>
        <v>9293056</v>
      </c>
      <c r="I855" s="200">
        <f>$I$799</f>
        <v>6.53</v>
      </c>
      <c r="J855" s="184"/>
      <c r="K855" s="2">
        <f>ROUND(I855*$C855,0)</f>
        <v>3808845</v>
      </c>
      <c r="M855" s="11"/>
      <c r="N855" s="11"/>
      <c r="O855" s="38"/>
      <c r="P855" s="38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</row>
    <row r="856" spans="1:29">
      <c r="A856" s="186" t="s">
        <v>230</v>
      </c>
      <c r="B856" s="1"/>
      <c r="C856" s="182"/>
      <c r="D856" s="182"/>
      <c r="E856" s="200" t="s">
        <v>13</v>
      </c>
      <c r="F856" s="200"/>
      <c r="G856" s="2"/>
      <c r="H856" s="2"/>
      <c r="I856" s="200" t="s">
        <v>13</v>
      </c>
      <c r="J856" s="184"/>
      <c r="K856" s="2"/>
      <c r="M856" s="11"/>
      <c r="N856" s="11"/>
      <c r="O856" s="38"/>
      <c r="P856" s="38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</row>
    <row r="857" spans="1:29">
      <c r="A857" s="186" t="s">
        <v>268</v>
      </c>
      <c r="B857" s="1"/>
      <c r="C857" s="182">
        <f>5533801+468455800+177233604+55674401-C884</f>
        <v>269572806</v>
      </c>
      <c r="D857" s="182">
        <f>ROUND(($D$869/$C$869)*C857,0)</f>
        <v>712258072</v>
      </c>
      <c r="E857" s="258">
        <f>$E$801</f>
        <v>3.4990000000000001</v>
      </c>
      <c r="F857" s="184" t="s">
        <v>178</v>
      </c>
      <c r="G857" s="2">
        <f>ROUND(E857/100*$C857,0)</f>
        <v>9432352</v>
      </c>
      <c r="H857" s="2">
        <f>ROUND(E857/100*$D857,0)</f>
        <v>24921910</v>
      </c>
      <c r="I857" s="258">
        <f>$I$801</f>
        <v>3.8719999999999999</v>
      </c>
      <c r="J857" s="184" t="s">
        <v>178</v>
      </c>
      <c r="K857" s="2">
        <f>ROUND(I857/100*$C857,0)</f>
        <v>10437859</v>
      </c>
      <c r="M857" s="11"/>
      <c r="N857" s="11"/>
      <c r="O857" s="38"/>
      <c r="P857" s="38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>
      <c r="A858" s="186" t="s">
        <v>204</v>
      </c>
      <c r="B858" s="1"/>
      <c r="C858" s="182">
        <f>6402+185242+134464+26312-C885</f>
        <v>183204</v>
      </c>
      <c r="D858" s="182">
        <f>ROUND(($D$869/$C$869)*C858,0)</f>
        <v>484057</v>
      </c>
      <c r="E858" s="200">
        <f>$E$802</f>
        <v>0.45</v>
      </c>
      <c r="F858" s="184"/>
      <c r="G858" s="2">
        <f>ROUND(E858*$C858,0)</f>
        <v>82442</v>
      </c>
      <c r="H858" s="2">
        <f>ROUND(E858*$D858,0)</f>
        <v>217826</v>
      </c>
      <c r="I858" s="200">
        <f>$I$802</f>
        <v>0.5</v>
      </c>
      <c r="J858" s="184"/>
      <c r="K858" s="2">
        <f>ROUND(I858*$C858,0)</f>
        <v>91602</v>
      </c>
      <c r="M858" s="11"/>
      <c r="N858" s="11"/>
      <c r="O858" s="38"/>
      <c r="P858" s="38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</row>
    <row r="859" spans="1:29">
      <c r="A859" s="223" t="s">
        <v>205</v>
      </c>
      <c r="B859" s="1"/>
      <c r="C859" s="182"/>
      <c r="D859" s="182"/>
      <c r="E859" s="195">
        <v>-0.01</v>
      </c>
      <c r="F859" s="195"/>
      <c r="G859" s="2"/>
      <c r="H859" s="2"/>
      <c r="I859" s="195">
        <v>-0.01</v>
      </c>
      <c r="J859" s="224"/>
      <c r="K859" s="2"/>
      <c r="M859" s="11"/>
      <c r="N859" s="11"/>
      <c r="O859" s="38"/>
      <c r="P859" s="38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</row>
    <row r="860" spans="1:29">
      <c r="A860" s="186" t="s">
        <v>275</v>
      </c>
      <c r="B860" s="1"/>
      <c r="C860" s="182">
        <v>24</v>
      </c>
      <c r="D860" s="182">
        <v>25</v>
      </c>
      <c r="E860" s="197">
        <f>E850</f>
        <v>1205</v>
      </c>
      <c r="F860" s="197"/>
      <c r="G860" s="184">
        <f>ROUND(E860*$C860*$E$803,0)</f>
        <v>-289</v>
      </c>
      <c r="H860" s="184">
        <f>ROUND(E860*$D860*$E$803,0)</f>
        <v>-301</v>
      </c>
      <c r="I860" s="197">
        <f>I850</f>
        <v>1330</v>
      </c>
      <c r="J860" s="184"/>
      <c r="K860" s="184">
        <f>ROUND(I860*$C860*$E$803,0)</f>
        <v>-319</v>
      </c>
      <c r="M860" s="11"/>
      <c r="N860" s="11"/>
      <c r="O860" s="38"/>
      <c r="P860" s="38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</row>
    <row r="861" spans="1:29">
      <c r="A861" s="186" t="s">
        <v>276</v>
      </c>
      <c r="B861" s="1"/>
      <c r="C861" s="182">
        <f>24-C888</f>
        <v>12</v>
      </c>
      <c r="D861" s="182">
        <v>12</v>
      </c>
      <c r="E861" s="197">
        <f>E851</f>
        <v>1450</v>
      </c>
      <c r="F861" s="197"/>
      <c r="G861" s="184">
        <f>ROUND(E861*$C861*$E$803,0)</f>
        <v>-174</v>
      </c>
      <c r="H861" s="184">
        <f>ROUND(E861*$D861*$E$803,0)</f>
        <v>-174</v>
      </c>
      <c r="I861" s="197">
        <f>I851</f>
        <v>1600</v>
      </c>
      <c r="J861" s="184"/>
      <c r="K861" s="184">
        <f>ROUND(I861*$C861*$E$803,0)</f>
        <v>-192</v>
      </c>
      <c r="M861" s="11"/>
      <c r="N861" s="11"/>
      <c r="O861" s="38"/>
      <c r="P861" s="38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</row>
    <row r="862" spans="1:29">
      <c r="A862" s="186" t="s">
        <v>277</v>
      </c>
      <c r="B862" s="1"/>
      <c r="C862" s="182">
        <v>28129</v>
      </c>
      <c r="D862" s="182">
        <f>ROUND(($D$869/$C$869)*C862,0)</f>
        <v>74322</v>
      </c>
      <c r="E862" s="197">
        <f>E853</f>
        <v>0.91</v>
      </c>
      <c r="F862" s="197"/>
      <c r="G862" s="184">
        <f>ROUND(E862*$C862*$E$803,0)</f>
        <v>-256</v>
      </c>
      <c r="H862" s="184">
        <f>ROUND(E862*$D862*$E$803,0)</f>
        <v>-676</v>
      </c>
      <c r="I862" s="197">
        <f>I853</f>
        <v>1.01</v>
      </c>
      <c r="J862" s="184"/>
      <c r="K862" s="184">
        <f>ROUND(I862*$C862*$E$803,0)</f>
        <v>-284</v>
      </c>
      <c r="M862" s="11"/>
      <c r="N862" s="11"/>
      <c r="O862" s="38"/>
      <c r="P862" s="38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</row>
    <row r="863" spans="1:29">
      <c r="A863" s="186" t="s">
        <v>278</v>
      </c>
      <c r="B863" s="1"/>
      <c r="C863" s="182">
        <f>724727-C881</f>
        <v>58934</v>
      </c>
      <c r="D863" s="182">
        <f>ROUND(($D$869/$C$869)*C863,0)</f>
        <v>155714</v>
      </c>
      <c r="E863" s="197">
        <f>E854</f>
        <v>0.83</v>
      </c>
      <c r="F863" s="197"/>
      <c r="G863" s="184">
        <f>ROUND(E863*$C863*$E$803,0)</f>
        <v>-489</v>
      </c>
      <c r="H863" s="184">
        <f>ROUND(E863*$D863*$E$803,0)</f>
        <v>-1292</v>
      </c>
      <c r="I863" s="197">
        <f>I854</f>
        <v>0.92</v>
      </c>
      <c r="J863" s="184"/>
      <c r="K863" s="184">
        <f>ROUND(I863*$C863*$E$803,0)</f>
        <v>-542</v>
      </c>
      <c r="M863" s="11"/>
      <c r="N863" s="11"/>
      <c r="O863" s="38"/>
      <c r="P863" s="38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</row>
    <row r="864" spans="1:29">
      <c r="A864" s="172" t="s">
        <v>207</v>
      </c>
      <c r="B864" s="243"/>
      <c r="C864" s="182">
        <f>23089+708283-C882</f>
        <v>78746</v>
      </c>
      <c r="D864" s="182">
        <f>ROUND(($D$869/$C$869)*C864,0)</f>
        <v>208061</v>
      </c>
      <c r="E864" s="197">
        <f>E855</f>
        <v>6.03</v>
      </c>
      <c r="F864" s="200"/>
      <c r="G864" s="184">
        <f>ROUND(E864*$C864*$E$803,0)</f>
        <v>-4748</v>
      </c>
      <c r="H864" s="184">
        <f>ROUND(E864*$D864*$E$803,0)</f>
        <v>-12546</v>
      </c>
      <c r="I864" s="197">
        <f>I855</f>
        <v>6.53</v>
      </c>
      <c r="J864" s="184"/>
      <c r="K864" s="184">
        <f>ROUND(I864*$C864*$E$803,0)</f>
        <v>-5142</v>
      </c>
      <c r="M864" s="11"/>
      <c r="N864" s="11"/>
      <c r="O864" s="38"/>
      <c r="P864" s="38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</row>
    <row r="865" spans="1:29">
      <c r="A865" s="186" t="s">
        <v>268</v>
      </c>
      <c r="B865" s="1"/>
      <c r="C865" s="182">
        <f>5533801+468455800-C884</f>
        <v>36664801</v>
      </c>
      <c r="D865" s="182">
        <f>ROUND(($D$869/$C$869)*C865,0)</f>
        <v>96874759</v>
      </c>
      <c r="E865" s="198">
        <f>E857</f>
        <v>3.4990000000000001</v>
      </c>
      <c r="F865" s="184" t="s">
        <v>178</v>
      </c>
      <c r="G865" s="184">
        <f>ROUND(E865/100*$C865*$E$803,0)</f>
        <v>-12829</v>
      </c>
      <c r="H865" s="184">
        <f>ROUND(E865/100*$D865*$E$803,0)</f>
        <v>-33896</v>
      </c>
      <c r="I865" s="198">
        <f>I857</f>
        <v>3.8719999999999999</v>
      </c>
      <c r="J865" s="184" t="s">
        <v>178</v>
      </c>
      <c r="K865" s="184">
        <f>ROUND(I865/100*$C865*$E$803,0)</f>
        <v>-14197</v>
      </c>
      <c r="M865" s="11"/>
      <c r="N865" s="11"/>
      <c r="O865" s="38"/>
      <c r="P865" s="38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</row>
    <row r="866" spans="1:29">
      <c r="A866" s="186" t="s">
        <v>204</v>
      </c>
      <c r="B866" s="1"/>
      <c r="C866" s="182">
        <f>6402+185242-C885</f>
        <v>22428</v>
      </c>
      <c r="D866" s="182">
        <f>ROUND(($D$869/$C$869)*C866,0)</f>
        <v>59259</v>
      </c>
      <c r="E866" s="247">
        <f>E858</f>
        <v>0.45</v>
      </c>
      <c r="F866" s="184"/>
      <c r="G866" s="184">
        <f>ROUND(E866*$C866*$E$803,0)</f>
        <v>-101</v>
      </c>
      <c r="H866" s="184">
        <f>ROUND(E866*$D866*$E$803,0)</f>
        <v>-267</v>
      </c>
      <c r="I866" s="247">
        <f>I858</f>
        <v>0.5</v>
      </c>
      <c r="J866" s="184"/>
      <c r="K866" s="184">
        <f>ROUND(I866*$C866*$E$803,0)</f>
        <v>-112</v>
      </c>
      <c r="M866" s="11"/>
      <c r="N866" s="11"/>
      <c r="O866" s="38"/>
      <c r="P866" s="38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</row>
    <row r="867" spans="1:29">
      <c r="A867" s="172" t="s">
        <v>279</v>
      </c>
      <c r="B867" s="1"/>
      <c r="C867" s="182">
        <f>24+24-C894</f>
        <v>36</v>
      </c>
      <c r="D867" s="182">
        <v>37</v>
      </c>
      <c r="E867" s="200">
        <f>$E$811</f>
        <v>60</v>
      </c>
      <c r="F867" s="200"/>
      <c r="G867" s="184">
        <f>ROUND(E867*$C867,0)</f>
        <v>2160</v>
      </c>
      <c r="H867" s="184">
        <f>ROUND(E867*$D867,0)</f>
        <v>2220</v>
      </c>
      <c r="I867" s="200">
        <f>$I$811</f>
        <v>60</v>
      </c>
      <c r="J867" s="184"/>
      <c r="K867" s="184">
        <f>ROUND(I867*$C867,0)</f>
        <v>2160</v>
      </c>
      <c r="M867" s="11"/>
      <c r="N867" s="11"/>
      <c r="O867" s="38"/>
      <c r="P867" s="38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</row>
    <row r="868" spans="1:29">
      <c r="A868" s="172" t="s">
        <v>248</v>
      </c>
      <c r="B868" s="1"/>
      <c r="C868" s="182">
        <f>28129+724727-C895</f>
        <v>87063</v>
      </c>
      <c r="D868" s="182">
        <f>ROUND(($D$869/$C$869)*C868,0)</f>
        <v>230036</v>
      </c>
      <c r="E868" s="200">
        <f>$E$812</f>
        <v>-0.75</v>
      </c>
      <c r="F868" s="184"/>
      <c r="G868" s="184">
        <f>ROUND(E868*$C868,0)</f>
        <v>-65297</v>
      </c>
      <c r="H868" s="184">
        <f>ROUND(E868*$D868,0)</f>
        <v>-172527</v>
      </c>
      <c r="I868" s="200">
        <f>$I$812</f>
        <v>-0.75</v>
      </c>
      <c r="J868" s="184"/>
      <c r="K868" s="184">
        <f>ROUND(I868*$C868,0)</f>
        <v>-65297</v>
      </c>
      <c r="M868" s="11"/>
      <c r="N868" s="11"/>
      <c r="O868" s="38"/>
      <c r="P868" s="38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</row>
    <row r="869" spans="1:29">
      <c r="A869" s="1" t="s">
        <v>185</v>
      </c>
      <c r="B869" s="1"/>
      <c r="C869" s="182">
        <f>C857</f>
        <v>269572806</v>
      </c>
      <c r="D869" s="182">
        <v>712258072.33019459</v>
      </c>
      <c r="E869" s="193"/>
      <c r="F869" s="2"/>
      <c r="G869" s="2">
        <f>SUM(G850:G868)</f>
        <v>14029547</v>
      </c>
      <c r="H869" s="2">
        <f>SUM(H850:H868)</f>
        <v>36284799</v>
      </c>
      <c r="I869" s="193"/>
      <c r="J869" s="1"/>
      <c r="K869" s="2">
        <f>SUM(K850:K868)</f>
        <v>15449371</v>
      </c>
      <c r="M869" s="11"/>
      <c r="N869" s="11"/>
      <c r="O869" s="38"/>
      <c r="P869" s="38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</row>
    <row r="870" spans="1:29">
      <c r="A870" s="1" t="s">
        <v>167</v>
      </c>
      <c r="B870" s="1"/>
      <c r="C870" s="182" t="e">
        <f>#REF!</f>
        <v>#REF!</v>
      </c>
      <c r="D870" s="182">
        <v>0</v>
      </c>
      <c r="E870" s="172"/>
      <c r="F870" s="172"/>
      <c r="G870" s="204" t="e">
        <f>#REF!</f>
        <v>#REF!</v>
      </c>
      <c r="H870" s="204">
        <v>0</v>
      </c>
      <c r="I870" s="172"/>
      <c r="J870" s="172"/>
      <c r="K870" s="204" t="e">
        <f>G870</f>
        <v>#REF!</v>
      </c>
      <c r="M870" s="307"/>
      <c r="N870" s="307"/>
      <c r="O870" s="150"/>
      <c r="P870" s="38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</row>
    <row r="871" spans="1:29" ht="16.5" thickBot="1">
      <c r="A871" s="1" t="s">
        <v>186</v>
      </c>
      <c r="B871" s="1"/>
      <c r="C871" s="256" t="e">
        <f>SUM(C869)+C870</f>
        <v>#REF!</v>
      </c>
      <c r="D871" s="256">
        <f>SUM(D857)+D870</f>
        <v>712258072</v>
      </c>
      <c r="E871" s="205"/>
      <c r="F871" s="206"/>
      <c r="G871" s="207" t="e">
        <f>G869+G870</f>
        <v>#REF!</v>
      </c>
      <c r="H871" s="207">
        <f>H869+H870</f>
        <v>36284799</v>
      </c>
      <c r="I871" s="205"/>
      <c r="J871" s="208"/>
      <c r="K871" s="207" t="e">
        <f>K869+K870</f>
        <v>#REF!</v>
      </c>
      <c r="M871" s="274"/>
      <c r="N871" s="274"/>
      <c r="O871" s="333"/>
      <c r="P871" s="38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</row>
    <row r="872" spans="1:29" ht="16.5" thickTop="1">
      <c r="A872" s="1"/>
      <c r="B872" s="1"/>
      <c r="C872" s="12"/>
      <c r="D872" s="12"/>
      <c r="E872" s="200"/>
      <c r="F872" s="2"/>
      <c r="G872" s="2"/>
      <c r="H872" s="2"/>
      <c r="I872" s="216" t="s">
        <v>13</v>
      </c>
      <c r="J872" s="1"/>
      <c r="K872" s="2" t="s">
        <v>13</v>
      </c>
      <c r="M872" s="11"/>
      <c r="N872" s="11"/>
      <c r="O872" s="38"/>
      <c r="P872" s="38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</row>
    <row r="873" spans="1:29">
      <c r="A873" s="156" t="s">
        <v>378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  <c r="M873" s="11"/>
      <c r="N873" s="11"/>
      <c r="O873" s="38"/>
      <c r="P873" s="38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</row>
    <row r="874" spans="1:29">
      <c r="A874" s="172" t="s">
        <v>411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  <c r="M874" s="11"/>
      <c r="N874" s="11"/>
      <c r="O874" s="38"/>
      <c r="P874" s="38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</row>
    <row r="875" spans="1:29">
      <c r="A875" s="186"/>
      <c r="B875" s="1"/>
      <c r="C875" s="1"/>
      <c r="D875" s="1"/>
      <c r="E875" s="2"/>
      <c r="F875" s="2"/>
      <c r="G875" s="1"/>
      <c r="H875" s="1"/>
      <c r="I875" s="2"/>
      <c r="J875" s="1"/>
      <c r="K875" s="1"/>
      <c r="M875" s="11"/>
      <c r="N875" s="11"/>
      <c r="O875" s="38"/>
      <c r="P875" s="38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</row>
    <row r="876" spans="1:29">
      <c r="A876" s="186" t="s">
        <v>197</v>
      </c>
      <c r="B876" s="1"/>
      <c r="C876" s="182"/>
      <c r="D876" s="182"/>
      <c r="E876" s="2"/>
      <c r="F876" s="2"/>
      <c r="G876" s="1"/>
      <c r="H876" s="1"/>
      <c r="I876" s="2"/>
      <c r="J876" s="1"/>
      <c r="K876" s="1"/>
      <c r="M876" s="11"/>
      <c r="N876" s="11"/>
      <c r="P876" s="38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>
      <c r="A877" s="186" t="s">
        <v>275</v>
      </c>
      <c r="B877" s="1"/>
      <c r="C877" s="182">
        <v>0</v>
      </c>
      <c r="D877" s="182">
        <v>0</v>
      </c>
      <c r="E877" s="200">
        <f>$E$766</f>
        <v>1205</v>
      </c>
      <c r="F877" s="200"/>
      <c r="G877" s="2">
        <f>ROUND(E877*$C877,0)</f>
        <v>0</v>
      </c>
      <c r="H877" s="2">
        <f>ROUND(E877*$D877,0)</f>
        <v>0</v>
      </c>
      <c r="I877" s="200">
        <v>1330</v>
      </c>
      <c r="J877" s="184"/>
      <c r="K877" s="2">
        <f>ROUND(I877*$C877,0)</f>
        <v>0</v>
      </c>
      <c r="M877" s="11"/>
      <c r="N877" s="11"/>
      <c r="O877" s="8">
        <f>(I877-E877)/E877</f>
        <v>0.1037344398340249</v>
      </c>
      <c r="P877" s="38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>
      <c r="A878" s="186" t="s">
        <v>276</v>
      </c>
      <c r="B878" s="1"/>
      <c r="C878" s="182">
        <v>12</v>
      </c>
      <c r="D878" s="182">
        <v>12</v>
      </c>
      <c r="E878" s="200">
        <f>$E$767</f>
        <v>1450</v>
      </c>
      <c r="F878" s="200"/>
      <c r="G878" s="2">
        <f>ROUND(E878*$C878,0)</f>
        <v>17400</v>
      </c>
      <c r="H878" s="2">
        <f>ROUND(E878*$D878,0)</f>
        <v>17400</v>
      </c>
      <c r="I878" s="200">
        <v>1550</v>
      </c>
      <c r="J878" s="187"/>
      <c r="K878" s="2">
        <f>ROUND(I878*$C878,0)</f>
        <v>18600</v>
      </c>
      <c r="M878" s="11"/>
      <c r="N878" s="11"/>
      <c r="O878" s="8">
        <f>(I878-E878)/E878</f>
        <v>6.8965517241379309E-2</v>
      </c>
      <c r="P878" s="38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</row>
    <row r="879" spans="1:29">
      <c r="A879" s="186" t="s">
        <v>198</v>
      </c>
      <c r="B879" s="1"/>
      <c r="C879" s="182">
        <f>SUM(C877:C878)</f>
        <v>12</v>
      </c>
      <c r="D879" s="182">
        <v>12</v>
      </c>
      <c r="E879" s="200" t="s">
        <v>13</v>
      </c>
      <c r="F879" s="200"/>
      <c r="G879" s="2" t="s">
        <v>13</v>
      </c>
      <c r="H879" s="2" t="s">
        <v>13</v>
      </c>
      <c r="I879" s="200" t="s">
        <v>13</v>
      </c>
      <c r="J879" s="184"/>
      <c r="K879" s="2" t="s">
        <v>13</v>
      </c>
      <c r="M879" s="11"/>
      <c r="N879" s="11"/>
      <c r="O879" s="183"/>
      <c r="P879" s="38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>
      <c r="A880" s="186" t="s">
        <v>277</v>
      </c>
      <c r="B880" s="1"/>
      <c r="C880" s="182">
        <v>0</v>
      </c>
      <c r="D880" s="182">
        <v>0</v>
      </c>
      <c r="E880" s="200">
        <f>$E$769</f>
        <v>0.91</v>
      </c>
      <c r="F880" s="200"/>
      <c r="G880" s="2">
        <f>ROUND(E880*$C880,0)</f>
        <v>0</v>
      </c>
      <c r="H880" s="2">
        <f>ROUND(E880*$D880,0)</f>
        <v>0</v>
      </c>
      <c r="I880" s="200">
        <v>1.01</v>
      </c>
      <c r="J880" s="184"/>
      <c r="K880" s="2">
        <f>ROUND(I880*$C880,0)</f>
        <v>0</v>
      </c>
      <c r="M880" s="11"/>
      <c r="N880" s="11"/>
      <c r="O880" s="8">
        <f>(I880-E880)/E880</f>
        <v>0.10989010989010986</v>
      </c>
      <c r="P880" s="38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>
      <c r="A881" s="186" t="s">
        <v>278</v>
      </c>
      <c r="B881" s="1"/>
      <c r="C881" s="182">
        <v>665793</v>
      </c>
      <c r="D881" s="182">
        <f>ROUND(($D$896/$C$896)*C881,0)</f>
        <v>40311</v>
      </c>
      <c r="E881" s="200">
        <f>$E$770</f>
        <v>0.83</v>
      </c>
      <c r="F881" s="200"/>
      <c r="G881" s="2">
        <f>ROUND(E881*$C881,0)</f>
        <v>552608</v>
      </c>
      <c r="H881" s="2">
        <f>ROUND(E881*$D881,0)</f>
        <v>33458</v>
      </c>
      <c r="I881" s="200">
        <v>0.88</v>
      </c>
      <c r="J881" s="184"/>
      <c r="K881" s="2">
        <f>ROUND(I881*$C881,0)</f>
        <v>585898</v>
      </c>
      <c r="M881" s="11"/>
      <c r="N881" s="11"/>
      <c r="O881" s="8">
        <f>(I881-E881)/E881</f>
        <v>6.0240963855421742E-2</v>
      </c>
      <c r="P881" s="38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>
      <c r="A882" s="172" t="s">
        <v>207</v>
      </c>
      <c r="B882" s="1"/>
      <c r="C882" s="182">
        <v>652626</v>
      </c>
      <c r="D882" s="182">
        <f>ROUND(($D$896/$C$896)*C882,0)</f>
        <v>39514</v>
      </c>
      <c r="E882" s="200">
        <f>$E$771</f>
        <v>6.03</v>
      </c>
      <c r="F882" s="200"/>
      <c r="G882" s="2">
        <f>ROUND(E882*$C882,0)</f>
        <v>3935335</v>
      </c>
      <c r="H882" s="2">
        <f>ROUND(E882*$D882,0)</f>
        <v>238269</v>
      </c>
      <c r="I882" s="200">
        <v>6.54</v>
      </c>
      <c r="J882" s="184"/>
      <c r="K882" s="2">
        <f>ROUND(I882*$C882,0)</f>
        <v>4268174</v>
      </c>
      <c r="M882" s="11"/>
      <c r="N882" s="11"/>
      <c r="O882" s="8">
        <f>(I882-E882)/E882</f>
        <v>8.4577114427860658E-2</v>
      </c>
      <c r="P882" s="38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>
      <c r="A883" s="186" t="s">
        <v>230</v>
      </c>
      <c r="B883" s="1"/>
      <c r="C883" s="138" t="s">
        <v>13</v>
      </c>
      <c r="D883" s="182"/>
      <c r="E883" s="200" t="s">
        <v>13</v>
      </c>
      <c r="F883" s="200"/>
      <c r="G883" s="2"/>
      <c r="H883" s="2"/>
      <c r="I883" s="200" t="s">
        <v>13</v>
      </c>
      <c r="J883" s="184"/>
      <c r="K883" s="2"/>
      <c r="M883" s="11"/>
      <c r="N883" s="11"/>
      <c r="O883" s="183"/>
      <c r="P883" s="38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>
      <c r="A884" s="186" t="s">
        <v>268</v>
      </c>
      <c r="B884" s="1"/>
      <c r="C884" s="182">
        <v>437324800</v>
      </c>
      <c r="D884" s="182">
        <f>ROUND(($D$896/$C$896)*C884,0)</f>
        <v>26478236</v>
      </c>
      <c r="E884" s="258">
        <f>$E$773</f>
        <v>3.4990000000000001</v>
      </c>
      <c r="F884" s="184" t="s">
        <v>178</v>
      </c>
      <c r="G884" s="2">
        <f>ROUND(E884/100*$C884,0)</f>
        <v>15301995</v>
      </c>
      <c r="H884" s="2">
        <f>ROUND(E884/100*$D884,0)</f>
        <v>926473</v>
      </c>
      <c r="I884" s="258">
        <v>3.8660000000000001</v>
      </c>
      <c r="J884" s="184" t="s">
        <v>178</v>
      </c>
      <c r="K884" s="2">
        <f>ROUND(I884/100*$C884,0)</f>
        <v>16906977</v>
      </c>
      <c r="M884" s="11"/>
      <c r="N884" s="11"/>
      <c r="O884" s="8">
        <f>(I884-E884)/E884</f>
        <v>0.10488711060302944</v>
      </c>
      <c r="P884" s="38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</row>
    <row r="885" spans="1:29">
      <c r="A885" s="186" t="s">
        <v>204</v>
      </c>
      <c r="B885" s="1"/>
      <c r="C885" s="182">
        <v>169216</v>
      </c>
      <c r="D885" s="182">
        <f>ROUND(($D$896/$C$896)*C885,0)</f>
        <v>10245</v>
      </c>
      <c r="E885" s="200">
        <f>$E$774</f>
        <v>0.45</v>
      </c>
      <c r="F885" s="184"/>
      <c r="G885" s="2">
        <f>ROUND(E885*$C885,0)</f>
        <v>76147</v>
      </c>
      <c r="H885" s="2">
        <f>ROUND(E885*$D885,0)</f>
        <v>4610</v>
      </c>
      <c r="I885" s="200">
        <v>0.5</v>
      </c>
      <c r="J885" s="184"/>
      <c r="K885" s="2">
        <f>ROUND(I885*$C885,0)</f>
        <v>84608</v>
      </c>
      <c r="M885" s="11"/>
      <c r="N885" s="11"/>
      <c r="O885" s="8">
        <f>(I885-E885)/E885</f>
        <v>0.11111111111111108</v>
      </c>
      <c r="P885" s="38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</row>
    <row r="886" spans="1:29">
      <c r="A886" s="223" t="s">
        <v>205</v>
      </c>
      <c r="B886" s="1"/>
      <c r="C886" s="182"/>
      <c r="D886" s="182"/>
      <c r="E886" s="195">
        <v>-0.01</v>
      </c>
      <c r="F886" s="195"/>
      <c r="G886" s="2"/>
      <c r="H886" s="2"/>
      <c r="I886" s="195">
        <v>-0.01</v>
      </c>
      <c r="J886" s="224"/>
      <c r="K886" s="2"/>
      <c r="M886" s="11"/>
      <c r="N886" s="11"/>
      <c r="O886" s="38"/>
      <c r="P886" s="38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</row>
    <row r="887" spans="1:29">
      <c r="A887" s="186" t="s">
        <v>275</v>
      </c>
      <c r="B887" s="1"/>
      <c r="C887" s="182">
        <v>0</v>
      </c>
      <c r="D887" s="182">
        <v>0</v>
      </c>
      <c r="E887" s="197">
        <f>E877</f>
        <v>1205</v>
      </c>
      <c r="F887" s="197"/>
      <c r="G887" s="184">
        <f>ROUND(E887*$C887*$E$803,0)</f>
        <v>0</v>
      </c>
      <c r="H887" s="184">
        <f>ROUND(E887*$D887*$E$803,0)</f>
        <v>0</v>
      </c>
      <c r="I887" s="197">
        <f>I877</f>
        <v>1330</v>
      </c>
      <c r="J887" s="184"/>
      <c r="K887" s="184">
        <f>ROUND(I887*$C887*$E$803,0)</f>
        <v>0</v>
      </c>
      <c r="M887" s="11"/>
      <c r="N887" s="11"/>
      <c r="O887" s="38"/>
      <c r="P887" s="38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>
      <c r="A888" s="186" t="s">
        <v>276</v>
      </c>
      <c r="B888" s="1"/>
      <c r="C888" s="182">
        <v>12</v>
      </c>
      <c r="D888" s="182">
        <v>12</v>
      </c>
      <c r="E888" s="197">
        <f>E878</f>
        <v>1450</v>
      </c>
      <c r="F888" s="197"/>
      <c r="G888" s="184">
        <f>ROUND(E888*$C888*$E$803,0)</f>
        <v>-174</v>
      </c>
      <c r="H888" s="184">
        <f>ROUND(E888*$D888*$E$803,0)</f>
        <v>-174</v>
      </c>
      <c r="I888" s="197">
        <f>I878</f>
        <v>1550</v>
      </c>
      <c r="J888" s="184"/>
      <c r="K888" s="184">
        <f>ROUND(I888*$C888*$E$803,0)</f>
        <v>-186</v>
      </c>
      <c r="M888" s="11"/>
      <c r="N888" s="11"/>
      <c r="O888" s="33" t="e">
        <f>O898-K898</f>
        <v>#REF!</v>
      </c>
      <c r="P888" s="38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</row>
    <row r="889" spans="1:29">
      <c r="A889" s="186" t="s">
        <v>277</v>
      </c>
      <c r="B889" s="1"/>
      <c r="C889" s="182">
        <v>0</v>
      </c>
      <c r="D889" s="182">
        <v>0</v>
      </c>
      <c r="E889" s="197">
        <f>E880</f>
        <v>0.91</v>
      </c>
      <c r="F889" s="197"/>
      <c r="G889" s="184">
        <f>ROUND(E889*$C889*$E$803,0)</f>
        <v>0</v>
      </c>
      <c r="H889" s="184">
        <f>ROUND(E889*$D889*$E$803,0)</f>
        <v>0</v>
      </c>
      <c r="I889" s="197">
        <f>I880</f>
        <v>1.01</v>
      </c>
      <c r="J889" s="184"/>
      <c r="K889" s="184">
        <f>ROUND(I889*$C889*$E$803,0)</f>
        <v>0</v>
      </c>
      <c r="M889" s="11"/>
      <c r="N889" s="11"/>
      <c r="O889" s="38"/>
      <c r="P889" s="38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</row>
    <row r="890" spans="1:29">
      <c r="A890" s="186" t="s">
        <v>278</v>
      </c>
      <c r="B890" s="1"/>
      <c r="C890" s="182">
        <f>C881</f>
        <v>665793</v>
      </c>
      <c r="D890" s="182">
        <f>ROUND(($D$896/$C$896)*C890,0)</f>
        <v>40311</v>
      </c>
      <c r="E890" s="197">
        <f>E881</f>
        <v>0.83</v>
      </c>
      <c r="F890" s="197"/>
      <c r="G890" s="184">
        <f>ROUND(E890*$C890*$E$803,0)</f>
        <v>-5526</v>
      </c>
      <c r="H890" s="184">
        <f>ROUND(E890*$D890*$E$803,0)</f>
        <v>-335</v>
      </c>
      <c r="I890" s="197">
        <f>I881</f>
        <v>0.88</v>
      </c>
      <c r="J890" s="184"/>
      <c r="K890" s="184">
        <f>ROUND(I890*$C890*$E$803,0)</f>
        <v>-5859</v>
      </c>
      <c r="M890" s="11"/>
      <c r="N890" s="11"/>
      <c r="O890" s="38"/>
      <c r="P890" s="38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</row>
    <row r="891" spans="1:29">
      <c r="A891" s="172" t="s">
        <v>207</v>
      </c>
      <c r="B891" s="243"/>
      <c r="C891" s="182">
        <f>C882</f>
        <v>652626</v>
      </c>
      <c r="D891" s="182">
        <f>ROUND(($D$896/$C$896)*C891,0)</f>
        <v>39514</v>
      </c>
      <c r="E891" s="197">
        <f>E882</f>
        <v>6.03</v>
      </c>
      <c r="F891" s="200"/>
      <c r="G891" s="184">
        <f>ROUND(E891*$C891*$E$803,0)</f>
        <v>-39353</v>
      </c>
      <c r="H891" s="184">
        <f>ROUND(E891*$D891*$E$803,0)</f>
        <v>-2383</v>
      </c>
      <c r="I891" s="197">
        <f>I882</f>
        <v>6.54</v>
      </c>
      <c r="J891" s="184"/>
      <c r="K891" s="184">
        <f>ROUND(I891*$C891*$E$803,0)</f>
        <v>-42682</v>
      </c>
      <c r="M891" s="11"/>
      <c r="N891" s="11"/>
      <c r="O891" s="38"/>
      <c r="P891" s="38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</row>
    <row r="892" spans="1:29">
      <c r="A892" s="186" t="s">
        <v>268</v>
      </c>
      <c r="B892" s="1"/>
      <c r="C892" s="182">
        <f>C884</f>
        <v>437324800</v>
      </c>
      <c r="D892" s="182">
        <f>ROUND(($D$896/$C$896)*C892,0)</f>
        <v>26478236</v>
      </c>
      <c r="E892" s="198">
        <f>E884</f>
        <v>3.4990000000000001</v>
      </c>
      <c r="F892" s="184" t="s">
        <v>178</v>
      </c>
      <c r="G892" s="184">
        <f>ROUND(E892/100*$C892*$E$803,0)</f>
        <v>-153020</v>
      </c>
      <c r="H892" s="184">
        <f>ROUND(E892/100*$D892*$E$803,0)</f>
        <v>-9265</v>
      </c>
      <c r="I892" s="198">
        <f>I884</f>
        <v>3.8660000000000001</v>
      </c>
      <c r="J892" s="184" t="s">
        <v>178</v>
      </c>
      <c r="K892" s="184">
        <f>ROUND(I892/100*$C892*$E$803,0)</f>
        <v>-169070</v>
      </c>
      <c r="M892" s="11"/>
      <c r="N892" s="11"/>
      <c r="O892" s="38"/>
      <c r="P892" s="38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</row>
    <row r="893" spans="1:29">
      <c r="A893" s="186" t="s">
        <v>204</v>
      </c>
      <c r="B893" s="1"/>
      <c r="C893" s="182">
        <f>C885</f>
        <v>169216</v>
      </c>
      <c r="D893" s="182">
        <f>ROUND(($D$896/$C$896)*C893,0)</f>
        <v>10245</v>
      </c>
      <c r="E893" s="247">
        <f>E885</f>
        <v>0.45</v>
      </c>
      <c r="F893" s="184"/>
      <c r="G893" s="184">
        <f>ROUND(E893*$C893*$E$803,0)</f>
        <v>-761</v>
      </c>
      <c r="H893" s="184">
        <f>ROUND(E893*$D893*$E$803,0)</f>
        <v>-46</v>
      </c>
      <c r="I893" s="247">
        <f>I885</f>
        <v>0.5</v>
      </c>
      <c r="J893" s="184"/>
      <c r="K893" s="184">
        <f>ROUND(I893*$C893*$E$803,0)</f>
        <v>-846</v>
      </c>
      <c r="M893" s="11"/>
      <c r="N893" s="11"/>
      <c r="O893" s="38"/>
      <c r="P893" s="38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>
      <c r="A894" s="172" t="s">
        <v>279</v>
      </c>
      <c r="B894" s="1"/>
      <c r="C894" s="182">
        <v>12</v>
      </c>
      <c r="D894" s="182">
        <v>12</v>
      </c>
      <c r="E894" s="200">
        <f>$E$783</f>
        <v>60</v>
      </c>
      <c r="F894" s="200"/>
      <c r="G894" s="184">
        <f>ROUND(E894*$C894,0)</f>
        <v>720</v>
      </c>
      <c r="H894" s="184">
        <f>ROUND(E894*$D894,0)</f>
        <v>720</v>
      </c>
      <c r="I894" s="200">
        <f>$I$783</f>
        <v>60</v>
      </c>
      <c r="J894" s="184"/>
      <c r="K894" s="184">
        <f>ROUND(I894*$C894,0)</f>
        <v>720</v>
      </c>
      <c r="M894" s="11"/>
      <c r="N894" s="11"/>
      <c r="O894" s="38"/>
      <c r="P894" s="38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</row>
    <row r="895" spans="1:29">
      <c r="A895" s="172" t="s">
        <v>248</v>
      </c>
      <c r="B895" s="1"/>
      <c r="C895" s="182">
        <f>C881</f>
        <v>665793</v>
      </c>
      <c r="D895" s="182">
        <f>ROUND(($D$896/$C$896)*C895,0)</f>
        <v>40311</v>
      </c>
      <c r="E895" s="200">
        <f>$E$784</f>
        <v>-0.75</v>
      </c>
      <c r="F895" s="184"/>
      <c r="G895" s="184">
        <f>ROUND(E895*$C895,0)</f>
        <v>-499345</v>
      </c>
      <c r="H895" s="184">
        <f>ROUND(E895*$D895,0)</f>
        <v>-30233</v>
      </c>
      <c r="I895" s="200">
        <f>$I$784</f>
        <v>-0.75</v>
      </c>
      <c r="J895" s="184"/>
      <c r="K895" s="184">
        <f>ROUND(I895*$C895,0)</f>
        <v>-499345</v>
      </c>
      <c r="M895" s="11"/>
      <c r="N895" s="11"/>
      <c r="O895" s="38"/>
      <c r="P895" s="38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</row>
    <row r="896" spans="1:29">
      <c r="A896" s="1" t="s">
        <v>185</v>
      </c>
      <c r="B896" s="1"/>
      <c r="C896" s="182">
        <f>C884</f>
        <v>437324800</v>
      </c>
      <c r="D896" s="182">
        <v>26478236.454041336</v>
      </c>
      <c r="E896" s="193"/>
      <c r="F896" s="2"/>
      <c r="G896" s="2">
        <f>SUM(G877:G895)</f>
        <v>19186026</v>
      </c>
      <c r="H896" s="2">
        <f>SUM(H877:H895)</f>
        <v>1178494</v>
      </c>
      <c r="I896" s="193"/>
      <c r="J896" s="1"/>
      <c r="K896" s="2">
        <f>SUM(K877:K895)</f>
        <v>21146989</v>
      </c>
      <c r="M896" s="11"/>
      <c r="N896" s="11"/>
      <c r="O896" s="38"/>
      <c r="P896" s="38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</row>
    <row r="897" spans="1:29">
      <c r="A897" s="1" t="s">
        <v>167</v>
      </c>
      <c r="B897" s="1"/>
      <c r="C897" s="182" t="e">
        <f>#REF!</f>
        <v>#REF!</v>
      </c>
      <c r="D897" s="182">
        <v>0</v>
      </c>
      <c r="E897" s="172"/>
      <c r="F897" s="172"/>
      <c r="G897" s="204" t="e">
        <f>#REF!</f>
        <v>#REF!</v>
      </c>
      <c r="H897" s="204">
        <v>0</v>
      </c>
      <c r="I897" s="172"/>
      <c r="J897" s="172"/>
      <c r="K897" s="204" t="e">
        <f>G897</f>
        <v>#REF!</v>
      </c>
      <c r="M897" s="307"/>
      <c r="N897" s="307"/>
      <c r="O897" s="150"/>
      <c r="P897" s="38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</row>
    <row r="898" spans="1:29" ht="16.5" thickBot="1">
      <c r="A898" s="1" t="s">
        <v>186</v>
      </c>
      <c r="B898" s="1"/>
      <c r="C898" s="256" t="e">
        <f>SUM(C896)+C897</f>
        <v>#REF!</v>
      </c>
      <c r="D898" s="256">
        <f>SUM(D884)+D897</f>
        <v>26478236</v>
      </c>
      <c r="E898" s="205"/>
      <c r="F898" s="206"/>
      <c r="G898" s="207" t="e">
        <f>G896+G897</f>
        <v>#REF!</v>
      </c>
      <c r="H898" s="207">
        <f>H896+H897</f>
        <v>1178494</v>
      </c>
      <c r="I898" s="205"/>
      <c r="J898" s="208"/>
      <c r="K898" s="207" t="e">
        <f>K896+K897</f>
        <v>#REF!</v>
      </c>
      <c r="M898" s="274"/>
      <c r="N898" s="3" t="s">
        <v>168</v>
      </c>
      <c r="O898" s="33" t="e">
        <f>#REF!*1000</f>
        <v>#REF!</v>
      </c>
      <c r="P898" s="38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</row>
    <row r="899" spans="1:29" ht="16.5" thickTop="1">
      <c r="A899" s="1"/>
      <c r="B899" s="1"/>
      <c r="C899" s="12"/>
      <c r="D899" s="12"/>
      <c r="E899" s="200"/>
      <c r="F899" s="2"/>
      <c r="G899" s="2"/>
      <c r="H899" s="2"/>
      <c r="I899" s="216" t="s">
        <v>13</v>
      </c>
      <c r="J899" s="1"/>
      <c r="K899" s="2" t="s">
        <v>13</v>
      </c>
      <c r="M899" s="11"/>
      <c r="N899" s="3" t="s">
        <v>114</v>
      </c>
      <c r="P899" s="38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</row>
    <row r="900" spans="1:29">
      <c r="A900" s="156" t="s">
        <v>286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  <c r="M900" s="11"/>
      <c r="N900" s="11"/>
      <c r="O900" s="38"/>
      <c r="P900" s="38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</row>
    <row r="901" spans="1:29">
      <c r="A901" s="1" t="s">
        <v>382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1"/>
      <c r="Z901" s="11"/>
      <c r="AA901" s="11"/>
      <c r="AB901" s="11"/>
      <c r="AC901" s="11"/>
    </row>
    <row r="902" spans="1:29">
      <c r="A902" s="1" t="s">
        <v>383</v>
      </c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1"/>
      <c r="Z902" s="11"/>
      <c r="AA902" s="11"/>
      <c r="AB902" s="11"/>
      <c r="AC902" s="11"/>
    </row>
    <row r="903" spans="1:29">
      <c r="A903" s="1" t="s">
        <v>288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141"/>
      <c r="N903" s="141"/>
      <c r="O903" s="141"/>
      <c r="P903" s="38"/>
      <c r="Q903" s="142"/>
      <c r="R903" s="143"/>
      <c r="S903" s="144"/>
      <c r="T903" s="145"/>
      <c r="U903" s="141"/>
      <c r="V903" s="141"/>
      <c r="W903" s="141"/>
      <c r="X903" s="141"/>
      <c r="Y903" s="11"/>
      <c r="Z903" s="11"/>
      <c r="AA903" s="11"/>
      <c r="AB903" s="11"/>
      <c r="AC903" s="11"/>
    </row>
    <row r="904" spans="1:29">
      <c r="A904" s="3" t="s">
        <v>162</v>
      </c>
      <c r="C904" s="127">
        <f>15020</f>
        <v>15020</v>
      </c>
      <c r="D904" s="127">
        <f t="shared" ref="D904:D913" si="73">ROUND(($D$923/$C$923)*C904,0)</f>
        <v>14891</v>
      </c>
      <c r="E904" s="128">
        <v>7.61</v>
      </c>
      <c r="G904" s="2">
        <f t="shared" ref="G904:G913" si="74">ROUND(E904*$C904,0)</f>
        <v>114302</v>
      </c>
      <c r="H904" s="2">
        <f t="shared" ref="H904:H913" si="75">ROUND(E904*$D904,0)</f>
        <v>113321</v>
      </c>
      <c r="I904" s="128" t="e">
        <f t="shared" ref="I904:I913" si="76">E904+(E904*$P$925)</f>
        <v>#REF!</v>
      </c>
      <c r="K904" s="2" t="e">
        <f t="shared" ref="K904:K913" si="77">ROUND(I904*$C904,0)</f>
        <v>#REF!</v>
      </c>
      <c r="M904" s="42" t="e">
        <f t="shared" ref="M904:M913" si="78">I904*D904</f>
        <v>#REF!</v>
      </c>
      <c r="O904" s="261">
        <v>31</v>
      </c>
      <c r="P904" s="262">
        <f t="shared" ref="P904:P913" si="79">O904*D904</f>
        <v>461621</v>
      </c>
      <c r="Q904" s="263" t="e">
        <f t="shared" ref="Q904:Q913" si="80">$P$924*O904</f>
        <v>#REF!</v>
      </c>
      <c r="R904" s="264" t="e">
        <f t="shared" ref="R904:R913" si="81">ROUND(E904+Q904,2)</f>
        <v>#REF!</v>
      </c>
      <c r="S904" s="147"/>
      <c r="T904" s="141"/>
      <c r="U904" s="144"/>
      <c r="V904" s="144"/>
      <c r="W904" s="148"/>
      <c r="X904" s="144"/>
      <c r="Y904" s="11"/>
      <c r="Z904" s="11"/>
      <c r="AA904" s="11"/>
      <c r="AB904" s="11"/>
      <c r="AC904" s="11"/>
    </row>
    <row r="905" spans="1:29">
      <c r="A905" s="3" t="s">
        <v>289</v>
      </c>
      <c r="C905" s="127">
        <f>15262</f>
        <v>15262</v>
      </c>
      <c r="D905" s="127">
        <f t="shared" si="73"/>
        <v>15131</v>
      </c>
      <c r="E905" s="128">
        <v>9.1300000000000008</v>
      </c>
      <c r="G905" s="2">
        <f t="shared" si="74"/>
        <v>139342</v>
      </c>
      <c r="H905" s="2">
        <f t="shared" si="75"/>
        <v>138146</v>
      </c>
      <c r="I905" s="128" t="e">
        <f t="shared" si="76"/>
        <v>#REF!</v>
      </c>
      <c r="K905" s="2" t="e">
        <f t="shared" si="77"/>
        <v>#REF!</v>
      </c>
      <c r="M905" s="42" t="e">
        <f t="shared" si="78"/>
        <v>#REF!</v>
      </c>
      <c r="O905" s="265">
        <v>44</v>
      </c>
      <c r="P905" s="38">
        <f t="shared" si="79"/>
        <v>665764</v>
      </c>
      <c r="Q905" s="266" t="e">
        <f t="shared" si="80"/>
        <v>#REF!</v>
      </c>
      <c r="R905" s="267" t="e">
        <f t="shared" si="81"/>
        <v>#REF!</v>
      </c>
      <c r="S905" s="141"/>
      <c r="T905" s="141"/>
      <c r="U905" s="144"/>
      <c r="V905" s="144"/>
      <c r="W905" s="148"/>
      <c r="X905" s="144"/>
      <c r="Y905" s="11"/>
      <c r="Z905" s="11"/>
      <c r="AA905" s="11"/>
      <c r="AB905" s="11"/>
      <c r="AC905" s="11"/>
    </row>
    <row r="906" spans="1:29">
      <c r="A906" s="3" t="s">
        <v>385</v>
      </c>
      <c r="C906" s="127">
        <v>0</v>
      </c>
      <c r="D906" s="127">
        <f t="shared" si="73"/>
        <v>0</v>
      </c>
      <c r="E906" s="128">
        <v>29.01</v>
      </c>
      <c r="G906" s="2">
        <f t="shared" si="74"/>
        <v>0</v>
      </c>
      <c r="H906" s="2">
        <f t="shared" si="75"/>
        <v>0</v>
      </c>
      <c r="I906" s="128" t="e">
        <f t="shared" si="76"/>
        <v>#REF!</v>
      </c>
      <c r="K906" s="2" t="e">
        <f t="shared" si="77"/>
        <v>#REF!</v>
      </c>
      <c r="M906" s="42" t="e">
        <f t="shared" si="78"/>
        <v>#REF!</v>
      </c>
      <c r="O906" s="265">
        <v>44</v>
      </c>
      <c r="P906" s="38">
        <f t="shared" si="79"/>
        <v>0</v>
      </c>
      <c r="Q906" s="266" t="e">
        <f t="shared" si="80"/>
        <v>#REF!</v>
      </c>
      <c r="R906" s="267" t="e">
        <f t="shared" si="81"/>
        <v>#REF!</v>
      </c>
      <c r="S906" s="141"/>
      <c r="T906" s="141"/>
      <c r="U906" s="144"/>
      <c r="V906" s="144"/>
      <c r="W906" s="148"/>
      <c r="X906" s="144"/>
      <c r="Y906" s="11"/>
      <c r="Z906" s="11"/>
      <c r="AA906" s="11"/>
      <c r="AB906" s="11"/>
      <c r="AC906" s="11"/>
    </row>
    <row r="907" spans="1:29">
      <c r="A907" s="3" t="s">
        <v>386</v>
      </c>
      <c r="C907" s="127">
        <v>0</v>
      </c>
      <c r="D907" s="127">
        <f t="shared" si="73"/>
        <v>0</v>
      </c>
      <c r="E907" s="128">
        <v>22.56</v>
      </c>
      <c r="G907" s="2">
        <f t="shared" si="74"/>
        <v>0</v>
      </c>
      <c r="H907" s="2">
        <f t="shared" si="75"/>
        <v>0</v>
      </c>
      <c r="I907" s="128" t="e">
        <f t="shared" si="76"/>
        <v>#REF!</v>
      </c>
      <c r="K907" s="2" t="e">
        <f t="shared" si="77"/>
        <v>#REF!</v>
      </c>
      <c r="M907" s="42" t="e">
        <f t="shared" si="78"/>
        <v>#REF!</v>
      </c>
      <c r="O907" s="265">
        <v>44</v>
      </c>
      <c r="P907" s="38">
        <f t="shared" si="79"/>
        <v>0</v>
      </c>
      <c r="Q907" s="266" t="e">
        <f t="shared" si="80"/>
        <v>#REF!</v>
      </c>
      <c r="R907" s="267" t="e">
        <f t="shared" si="81"/>
        <v>#REF!</v>
      </c>
      <c r="S907" s="141"/>
      <c r="T907" s="141"/>
      <c r="U907" s="144"/>
      <c r="V907" s="144"/>
      <c r="W907" s="148"/>
      <c r="X907" s="144"/>
      <c r="Y907" s="11"/>
      <c r="Z907" s="11"/>
      <c r="AA907" s="11"/>
      <c r="AB907" s="11"/>
      <c r="AC907" s="11"/>
    </row>
    <row r="908" spans="1:29">
      <c r="A908" s="3" t="s">
        <v>380</v>
      </c>
      <c r="C908" s="127">
        <v>0</v>
      </c>
      <c r="D908" s="127">
        <f t="shared" si="73"/>
        <v>0</v>
      </c>
      <c r="E908" s="128">
        <v>11.68</v>
      </c>
      <c r="G908" s="2">
        <f t="shared" si="74"/>
        <v>0</v>
      </c>
      <c r="H908" s="2">
        <f t="shared" si="75"/>
        <v>0</v>
      </c>
      <c r="I908" s="128" t="e">
        <f t="shared" si="76"/>
        <v>#REF!</v>
      </c>
      <c r="K908" s="2" t="e">
        <f t="shared" si="77"/>
        <v>#REF!</v>
      </c>
      <c r="M908" s="42" t="e">
        <f t="shared" si="78"/>
        <v>#REF!</v>
      </c>
      <c r="O908" s="265">
        <v>64</v>
      </c>
      <c r="P908" s="38">
        <f t="shared" si="79"/>
        <v>0</v>
      </c>
      <c r="Q908" s="266" t="e">
        <f t="shared" si="80"/>
        <v>#REF!</v>
      </c>
      <c r="R908" s="267" t="e">
        <f t="shared" si="81"/>
        <v>#REF!</v>
      </c>
      <c r="S908" s="141"/>
      <c r="T908" s="141"/>
      <c r="U908" s="144"/>
      <c r="V908" s="144"/>
      <c r="W908" s="148"/>
      <c r="X908" s="144"/>
      <c r="Y908" s="11"/>
      <c r="Z908" s="11"/>
      <c r="AA908" s="11"/>
      <c r="AB908" s="11"/>
      <c r="AC908" s="11"/>
    </row>
    <row r="909" spans="1:29">
      <c r="A909" s="3" t="s">
        <v>387</v>
      </c>
      <c r="C909" s="127">
        <v>0</v>
      </c>
      <c r="D909" s="127">
        <f t="shared" si="73"/>
        <v>0</v>
      </c>
      <c r="E909" s="128">
        <v>30.06</v>
      </c>
      <c r="G909" s="2">
        <f t="shared" si="74"/>
        <v>0</v>
      </c>
      <c r="H909" s="2">
        <f t="shared" si="75"/>
        <v>0</v>
      </c>
      <c r="I909" s="128" t="e">
        <f t="shared" si="76"/>
        <v>#REF!</v>
      </c>
      <c r="K909" s="2" t="e">
        <f t="shared" si="77"/>
        <v>#REF!</v>
      </c>
      <c r="M909" s="42" t="e">
        <f t="shared" si="78"/>
        <v>#REF!</v>
      </c>
      <c r="O909" s="265">
        <v>64</v>
      </c>
      <c r="P909" s="38">
        <f t="shared" si="79"/>
        <v>0</v>
      </c>
      <c r="Q909" s="266" t="e">
        <f t="shared" si="80"/>
        <v>#REF!</v>
      </c>
      <c r="R909" s="267" t="e">
        <f t="shared" si="81"/>
        <v>#REF!</v>
      </c>
      <c r="S909" s="141"/>
      <c r="T909" s="141"/>
      <c r="U909" s="144"/>
      <c r="V909" s="144"/>
      <c r="W909" s="148"/>
      <c r="X909" s="144"/>
      <c r="Y909" s="11"/>
      <c r="Z909" s="11"/>
      <c r="AA909" s="11"/>
      <c r="AB909" s="11"/>
      <c r="AC909" s="11"/>
    </row>
    <row r="910" spans="1:29">
      <c r="A910" s="3" t="s">
        <v>388</v>
      </c>
      <c r="C910" s="127">
        <v>0</v>
      </c>
      <c r="D910" s="127">
        <f t="shared" si="73"/>
        <v>0</v>
      </c>
      <c r="E910" s="128">
        <v>23.65</v>
      </c>
      <c r="G910" s="2">
        <f t="shared" si="74"/>
        <v>0</v>
      </c>
      <c r="H910" s="2">
        <f t="shared" si="75"/>
        <v>0</v>
      </c>
      <c r="I910" s="128" t="e">
        <f t="shared" si="76"/>
        <v>#REF!</v>
      </c>
      <c r="K910" s="2" t="e">
        <f t="shared" si="77"/>
        <v>#REF!</v>
      </c>
      <c r="M910" s="42" t="e">
        <f t="shared" si="78"/>
        <v>#REF!</v>
      </c>
      <c r="O910" s="265">
        <v>64</v>
      </c>
      <c r="P910" s="38">
        <f t="shared" si="79"/>
        <v>0</v>
      </c>
      <c r="Q910" s="266" t="e">
        <f t="shared" si="80"/>
        <v>#REF!</v>
      </c>
      <c r="R910" s="267" t="e">
        <f t="shared" si="81"/>
        <v>#REF!</v>
      </c>
      <c r="S910" s="141"/>
      <c r="T910" s="141"/>
      <c r="U910" s="144"/>
      <c r="V910" s="144"/>
      <c r="W910" s="148"/>
      <c r="X910" s="144"/>
      <c r="Y910" s="11"/>
      <c r="Z910" s="11"/>
      <c r="AA910" s="11"/>
      <c r="AB910" s="11"/>
      <c r="AC910" s="11"/>
    </row>
    <row r="911" spans="1:29">
      <c r="A911" s="3" t="s">
        <v>163</v>
      </c>
      <c r="C911" s="127">
        <f>18290</f>
        <v>18290</v>
      </c>
      <c r="D911" s="127">
        <f t="shared" si="73"/>
        <v>18133</v>
      </c>
      <c r="E911" s="128">
        <v>13.33</v>
      </c>
      <c r="G911" s="2">
        <f t="shared" si="74"/>
        <v>243806</v>
      </c>
      <c r="H911" s="2">
        <f t="shared" si="75"/>
        <v>241713</v>
      </c>
      <c r="I911" s="128" t="e">
        <f t="shared" si="76"/>
        <v>#REF!</v>
      </c>
      <c r="K911" s="2" t="e">
        <f t="shared" si="77"/>
        <v>#REF!</v>
      </c>
      <c r="M911" s="42" t="e">
        <f t="shared" si="78"/>
        <v>#REF!</v>
      </c>
      <c r="O911" s="265">
        <v>85</v>
      </c>
      <c r="P911" s="38">
        <f t="shared" si="79"/>
        <v>1541305</v>
      </c>
      <c r="Q911" s="266" t="e">
        <f t="shared" si="80"/>
        <v>#REF!</v>
      </c>
      <c r="R911" s="267" t="e">
        <f t="shared" si="81"/>
        <v>#REF!</v>
      </c>
      <c r="S911" s="141"/>
      <c r="T911" s="141"/>
      <c r="U911" s="144"/>
      <c r="V911" s="144"/>
      <c r="W911" s="148"/>
      <c r="X911" s="144"/>
      <c r="Y911" s="11"/>
      <c r="Z911" s="11"/>
      <c r="AA911" s="11"/>
      <c r="AB911" s="11"/>
      <c r="AC911" s="11"/>
    </row>
    <row r="912" spans="1:29">
      <c r="A912" s="3" t="s">
        <v>381</v>
      </c>
      <c r="C912" s="127">
        <v>0</v>
      </c>
      <c r="D912" s="127">
        <f t="shared" si="73"/>
        <v>0</v>
      </c>
      <c r="E912" s="128">
        <v>16.91</v>
      </c>
      <c r="G912" s="2">
        <f t="shared" si="74"/>
        <v>0</v>
      </c>
      <c r="H912" s="2">
        <f t="shared" si="75"/>
        <v>0</v>
      </c>
      <c r="I912" s="128" t="e">
        <f t="shared" si="76"/>
        <v>#REF!</v>
      </c>
      <c r="K912" s="2" t="e">
        <f t="shared" si="77"/>
        <v>#REF!</v>
      </c>
      <c r="M912" s="42" t="e">
        <f t="shared" si="78"/>
        <v>#REF!</v>
      </c>
      <c r="O912" s="265">
        <v>115</v>
      </c>
      <c r="P912" s="38">
        <f t="shared" si="79"/>
        <v>0</v>
      </c>
      <c r="Q912" s="266" t="e">
        <f t="shared" si="80"/>
        <v>#REF!</v>
      </c>
      <c r="R912" s="267" t="e">
        <f t="shared" si="81"/>
        <v>#REF!</v>
      </c>
      <c r="S912" s="141"/>
      <c r="T912" s="141"/>
      <c r="U912" s="144"/>
      <c r="V912" s="144"/>
      <c r="W912" s="148"/>
      <c r="X912" s="144"/>
      <c r="Y912" s="11"/>
      <c r="Z912" s="11"/>
      <c r="AA912" s="11"/>
      <c r="AB912" s="11"/>
      <c r="AC912" s="11"/>
    </row>
    <row r="913" spans="1:29">
      <c r="A913" s="3" t="s">
        <v>164</v>
      </c>
      <c r="C913" s="127">
        <f>1621</f>
        <v>1621</v>
      </c>
      <c r="D913" s="127">
        <f t="shared" si="73"/>
        <v>1607</v>
      </c>
      <c r="E913" s="128">
        <v>22.32</v>
      </c>
      <c r="G913" s="2">
        <f t="shared" si="74"/>
        <v>36181</v>
      </c>
      <c r="H913" s="2">
        <f t="shared" si="75"/>
        <v>35868</v>
      </c>
      <c r="I913" s="128" t="e">
        <f t="shared" si="76"/>
        <v>#REF!</v>
      </c>
      <c r="K913" s="2" t="e">
        <f t="shared" si="77"/>
        <v>#REF!</v>
      </c>
      <c r="M913" s="42" t="e">
        <f t="shared" si="78"/>
        <v>#REF!</v>
      </c>
      <c r="O913" s="265">
        <v>176</v>
      </c>
      <c r="P913" s="38">
        <f t="shared" si="79"/>
        <v>282832</v>
      </c>
      <c r="Q913" s="266" t="e">
        <f t="shared" si="80"/>
        <v>#REF!</v>
      </c>
      <c r="R913" s="267" t="e">
        <f t="shared" si="81"/>
        <v>#REF!</v>
      </c>
      <c r="S913" s="141"/>
      <c r="T913" s="141"/>
      <c r="U913" s="144"/>
      <c r="V913" s="144"/>
      <c r="W913" s="148"/>
      <c r="X913" s="144"/>
      <c r="Y913" s="11"/>
      <c r="Z913" s="11"/>
      <c r="AA913" s="11"/>
      <c r="AB913" s="11"/>
      <c r="AC913" s="11"/>
    </row>
    <row r="914" spans="1:29">
      <c r="A914" s="3" t="s">
        <v>384</v>
      </c>
      <c r="C914" s="127"/>
      <c r="D914" s="127"/>
      <c r="E914" s="128"/>
      <c r="G914" s="2"/>
      <c r="H914" s="2"/>
      <c r="I914" s="128"/>
      <c r="K914" s="2"/>
      <c r="M914" s="42"/>
      <c r="O914" s="265"/>
      <c r="P914" s="38"/>
      <c r="Q914" s="266"/>
      <c r="R914" s="267"/>
      <c r="S914" s="141"/>
      <c r="T914" s="141"/>
      <c r="U914" s="144"/>
      <c r="V914" s="144"/>
      <c r="W914" s="148"/>
      <c r="X914" s="144"/>
      <c r="Y914" s="11"/>
      <c r="Z914" s="11"/>
      <c r="AA914" s="11"/>
      <c r="AB914" s="11"/>
      <c r="AC914" s="11"/>
    </row>
    <row r="915" spans="1:29">
      <c r="A915" s="3" t="s">
        <v>389</v>
      </c>
      <c r="C915" s="127">
        <v>0</v>
      </c>
      <c r="D915" s="127">
        <f t="shared" ref="D915:D921" si="82">ROUND(($D$923/$C$923)*C915,0)</f>
        <v>0</v>
      </c>
      <c r="E915" s="128">
        <v>29.33</v>
      </c>
      <c r="G915" s="2">
        <f t="shared" ref="G915:G921" si="83">ROUND(E915*$C915,0)</f>
        <v>0</v>
      </c>
      <c r="H915" s="2">
        <f t="shared" ref="H915:H921" si="84">ROUND(E915*$D915,0)</f>
        <v>0</v>
      </c>
      <c r="I915" s="128" t="e">
        <f t="shared" ref="I915:I921" si="85">E915+(E915*$P$925)</f>
        <v>#REF!</v>
      </c>
      <c r="K915" s="2" t="e">
        <f t="shared" ref="K915:K921" si="86">ROUND(I915*$C915,0)</f>
        <v>#REF!</v>
      </c>
      <c r="M915" s="42" t="e">
        <f t="shared" ref="M915:M921" si="87">I915*D915</f>
        <v>#REF!</v>
      </c>
      <c r="O915" s="265">
        <v>39</v>
      </c>
      <c r="P915" s="38">
        <f t="shared" ref="P915:P921" si="88">O915*D915</f>
        <v>0</v>
      </c>
      <c r="Q915" s="266" t="e">
        <f t="shared" ref="Q915:Q921" si="89">$P$924*O915</f>
        <v>#REF!</v>
      </c>
      <c r="R915" s="267" t="e">
        <f t="shared" ref="R915:R921" si="90">ROUND(E915+Q915,2)</f>
        <v>#REF!</v>
      </c>
      <c r="S915" s="141"/>
      <c r="T915" s="141"/>
      <c r="U915" s="144"/>
      <c r="V915" s="144"/>
      <c r="W915" s="148"/>
      <c r="X915" s="144"/>
      <c r="Y915" s="11"/>
      <c r="Z915" s="11"/>
      <c r="AA915" s="11"/>
      <c r="AB915" s="11"/>
      <c r="AC915" s="11"/>
    </row>
    <row r="916" spans="1:29">
      <c r="A916" s="3" t="s">
        <v>390</v>
      </c>
      <c r="C916" s="127">
        <v>0</v>
      </c>
      <c r="D916" s="127">
        <f t="shared" si="82"/>
        <v>0</v>
      </c>
      <c r="E916" s="128">
        <v>24.46</v>
      </c>
      <c r="G916" s="2">
        <f t="shared" si="83"/>
        <v>0</v>
      </c>
      <c r="H916" s="2">
        <f t="shared" si="84"/>
        <v>0</v>
      </c>
      <c r="I916" s="128" t="e">
        <f t="shared" si="85"/>
        <v>#REF!</v>
      </c>
      <c r="K916" s="2" t="e">
        <f t="shared" si="86"/>
        <v>#REF!</v>
      </c>
      <c r="M916" s="42" t="e">
        <f t="shared" si="87"/>
        <v>#REF!</v>
      </c>
      <c r="O916" s="265">
        <v>39</v>
      </c>
      <c r="P916" s="38">
        <f t="shared" si="88"/>
        <v>0</v>
      </c>
      <c r="Q916" s="266" t="e">
        <f t="shared" si="89"/>
        <v>#REF!</v>
      </c>
      <c r="R916" s="267" t="e">
        <f t="shared" si="90"/>
        <v>#REF!</v>
      </c>
      <c r="S916" s="141"/>
      <c r="T916" s="141"/>
      <c r="U916" s="144"/>
      <c r="V916" s="144"/>
      <c r="W916" s="148"/>
      <c r="X916" s="144"/>
      <c r="Y916" s="11"/>
      <c r="Z916" s="11"/>
      <c r="AA916" s="11"/>
      <c r="AB916" s="11"/>
      <c r="AC916" s="11"/>
    </row>
    <row r="917" spans="1:29">
      <c r="A917" s="3" t="s">
        <v>391</v>
      </c>
      <c r="C917" s="127">
        <v>0</v>
      </c>
      <c r="D917" s="127">
        <f t="shared" si="82"/>
        <v>0</v>
      </c>
      <c r="E917" s="128">
        <v>22.55</v>
      </c>
      <c r="G917" s="2">
        <f t="shared" si="83"/>
        <v>0</v>
      </c>
      <c r="H917" s="2">
        <f t="shared" si="84"/>
        <v>0</v>
      </c>
      <c r="I917" s="128" t="e">
        <f t="shared" si="85"/>
        <v>#REF!</v>
      </c>
      <c r="K917" s="2" t="e">
        <f t="shared" si="86"/>
        <v>#REF!</v>
      </c>
      <c r="M917" s="42" t="e">
        <f t="shared" si="87"/>
        <v>#REF!</v>
      </c>
      <c r="O917" s="265">
        <v>68</v>
      </c>
      <c r="P917" s="38">
        <f t="shared" si="88"/>
        <v>0</v>
      </c>
      <c r="Q917" s="266" t="e">
        <f t="shared" si="89"/>
        <v>#REF!</v>
      </c>
      <c r="R917" s="267" t="e">
        <f t="shared" si="90"/>
        <v>#REF!</v>
      </c>
      <c r="S917" s="141"/>
      <c r="T917" s="141"/>
      <c r="U917" s="144"/>
      <c r="V917" s="144"/>
      <c r="W917" s="148"/>
      <c r="X917" s="144"/>
      <c r="Y917" s="11"/>
      <c r="Z917" s="11"/>
      <c r="AA917" s="11"/>
      <c r="AB917" s="11"/>
      <c r="AC917" s="11"/>
    </row>
    <row r="918" spans="1:29">
      <c r="A918" s="3" t="s">
        <v>392</v>
      </c>
      <c r="C918" s="127">
        <v>0</v>
      </c>
      <c r="D918" s="127">
        <f t="shared" si="82"/>
        <v>0</v>
      </c>
      <c r="E918" s="128">
        <v>32.950000000000003</v>
      </c>
      <c r="G918" s="2">
        <f t="shared" si="83"/>
        <v>0</v>
      </c>
      <c r="H918" s="2">
        <f t="shared" si="84"/>
        <v>0</v>
      </c>
      <c r="I918" s="128" t="e">
        <f t="shared" si="85"/>
        <v>#REF!</v>
      </c>
      <c r="K918" s="2" t="e">
        <f t="shared" si="86"/>
        <v>#REF!</v>
      </c>
      <c r="M918" s="42" t="e">
        <f t="shared" si="87"/>
        <v>#REF!</v>
      </c>
      <c r="O918" s="265">
        <v>68</v>
      </c>
      <c r="P918" s="38">
        <f t="shared" si="88"/>
        <v>0</v>
      </c>
      <c r="Q918" s="266" t="e">
        <f t="shared" si="89"/>
        <v>#REF!</v>
      </c>
      <c r="R918" s="267" t="e">
        <f t="shared" si="90"/>
        <v>#REF!</v>
      </c>
      <c r="S918" s="141"/>
      <c r="T918" s="141"/>
      <c r="U918" s="144"/>
      <c r="V918" s="144"/>
      <c r="W918" s="148"/>
      <c r="X918" s="144"/>
      <c r="Y918" s="11"/>
      <c r="Z918" s="11"/>
      <c r="AA918" s="11"/>
      <c r="AB918" s="11"/>
      <c r="AC918" s="11"/>
    </row>
    <row r="919" spans="1:29">
      <c r="A919" s="3" t="s">
        <v>393</v>
      </c>
      <c r="C919" s="127">
        <v>0</v>
      </c>
      <c r="D919" s="127">
        <f t="shared" si="82"/>
        <v>0</v>
      </c>
      <c r="E919" s="128">
        <v>26.53</v>
      </c>
      <c r="G919" s="2">
        <f t="shared" si="83"/>
        <v>0</v>
      </c>
      <c r="H919" s="2">
        <f t="shared" si="84"/>
        <v>0</v>
      </c>
      <c r="I919" s="128" t="e">
        <f t="shared" si="85"/>
        <v>#REF!</v>
      </c>
      <c r="K919" s="2" t="e">
        <f t="shared" si="86"/>
        <v>#REF!</v>
      </c>
      <c r="M919" s="42" t="e">
        <f t="shared" si="87"/>
        <v>#REF!</v>
      </c>
      <c r="O919" s="265">
        <v>68</v>
      </c>
      <c r="P919" s="38">
        <f t="shared" si="88"/>
        <v>0</v>
      </c>
      <c r="Q919" s="266" t="e">
        <f t="shared" si="89"/>
        <v>#REF!</v>
      </c>
      <c r="R919" s="267" t="e">
        <f t="shared" si="90"/>
        <v>#REF!</v>
      </c>
      <c r="S919" s="141"/>
      <c r="T919" s="141"/>
      <c r="U919" s="144"/>
      <c r="V919" s="144"/>
      <c r="W919" s="148"/>
      <c r="X919" s="144"/>
      <c r="Y919" s="11"/>
      <c r="Z919" s="11"/>
      <c r="AA919" s="11"/>
      <c r="AB919" s="11"/>
      <c r="AC919" s="11"/>
    </row>
    <row r="920" spans="1:29">
      <c r="A920" s="3" t="s">
        <v>394</v>
      </c>
      <c r="C920" s="127">
        <v>0</v>
      </c>
      <c r="D920" s="127">
        <f t="shared" si="82"/>
        <v>0</v>
      </c>
      <c r="E920" s="128">
        <v>26.07</v>
      </c>
      <c r="G920" s="2">
        <f t="shared" si="83"/>
        <v>0</v>
      </c>
      <c r="H920" s="2">
        <f t="shared" si="84"/>
        <v>0</v>
      </c>
      <c r="I920" s="128" t="e">
        <f t="shared" si="85"/>
        <v>#REF!</v>
      </c>
      <c r="K920" s="2" t="e">
        <f t="shared" si="86"/>
        <v>#REF!</v>
      </c>
      <c r="M920" s="42" t="e">
        <f t="shared" si="87"/>
        <v>#REF!</v>
      </c>
      <c r="O920" s="265">
        <v>68</v>
      </c>
      <c r="P920" s="38">
        <f t="shared" si="88"/>
        <v>0</v>
      </c>
      <c r="Q920" s="266" t="e">
        <f t="shared" si="89"/>
        <v>#REF!</v>
      </c>
      <c r="R920" s="267" t="e">
        <f t="shared" si="90"/>
        <v>#REF!</v>
      </c>
      <c r="S920" s="141"/>
      <c r="T920" s="141"/>
      <c r="U920" s="144"/>
      <c r="V920" s="144"/>
      <c r="W920" s="148"/>
      <c r="X920" s="144"/>
      <c r="Y920" s="11"/>
      <c r="Z920" s="11"/>
      <c r="AA920" s="11"/>
      <c r="AB920" s="11"/>
      <c r="AC920" s="11"/>
    </row>
    <row r="921" spans="1:29">
      <c r="A921" s="3" t="s">
        <v>395</v>
      </c>
      <c r="C921" s="127">
        <v>0</v>
      </c>
      <c r="D921" s="127">
        <f t="shared" si="82"/>
        <v>0</v>
      </c>
      <c r="E921" s="128">
        <v>28.39</v>
      </c>
      <c r="G921" s="2">
        <f t="shared" si="83"/>
        <v>0</v>
      </c>
      <c r="H921" s="2">
        <f t="shared" si="84"/>
        <v>0</v>
      </c>
      <c r="I921" s="128" t="e">
        <f t="shared" si="85"/>
        <v>#REF!</v>
      </c>
      <c r="K921" s="2" t="e">
        <f t="shared" si="86"/>
        <v>#REF!</v>
      </c>
      <c r="M921" s="42" t="e">
        <f t="shared" si="87"/>
        <v>#REF!</v>
      </c>
      <c r="O921" s="265">
        <v>68</v>
      </c>
      <c r="P921" s="38">
        <f t="shared" si="88"/>
        <v>0</v>
      </c>
      <c r="Q921" s="266" t="e">
        <f t="shared" si="89"/>
        <v>#REF!</v>
      </c>
      <c r="R921" s="267" t="e">
        <f t="shared" si="90"/>
        <v>#REF!</v>
      </c>
      <c r="S921" s="141"/>
      <c r="T921" s="141"/>
      <c r="U921" s="144"/>
      <c r="V921" s="144"/>
      <c r="W921" s="148"/>
      <c r="X921" s="144"/>
      <c r="Y921" s="11"/>
      <c r="Z921" s="11"/>
      <c r="AA921" s="11"/>
      <c r="AB921" s="11"/>
      <c r="AC921" s="11"/>
    </row>
    <row r="922" spans="1:29">
      <c r="A922" s="3" t="s">
        <v>166</v>
      </c>
      <c r="C922" s="127">
        <f>181*12</f>
        <v>2172</v>
      </c>
      <c r="D922" s="127">
        <v>1874</v>
      </c>
      <c r="E922" s="128"/>
      <c r="G922" s="2"/>
      <c r="H922" s="2"/>
      <c r="I922" s="128"/>
      <c r="K922" s="2"/>
      <c r="O922" s="265"/>
      <c r="P922" s="38">
        <f>SUM(P904:P916)</f>
        <v>2951522</v>
      </c>
      <c r="Q922" s="266"/>
      <c r="R922" s="267"/>
      <c r="S922" s="141"/>
      <c r="T922" s="141"/>
      <c r="U922" s="144"/>
      <c r="V922" s="144"/>
      <c r="W922" s="144"/>
      <c r="X922" s="144"/>
      <c r="Y922" s="11"/>
      <c r="Z922" s="11"/>
      <c r="AA922" s="11"/>
      <c r="AB922" s="11"/>
      <c r="AC922" s="11"/>
    </row>
    <row r="923" spans="1:29">
      <c r="A923" s="3" t="s">
        <v>185</v>
      </c>
      <c r="C923" s="127">
        <v>2977084</v>
      </c>
      <c r="D923" s="127">
        <v>2951534.6465794938</v>
      </c>
      <c r="E923" s="132"/>
      <c r="F923" s="11"/>
      <c r="G923" s="135">
        <f>SUM(G904:G916)</f>
        <v>533631</v>
      </c>
      <c r="H923" s="135">
        <f>SUM(H904:H916)</f>
        <v>529048</v>
      </c>
      <c r="I923" s="132"/>
      <c r="J923" s="11"/>
      <c r="K923" s="135" t="e">
        <f>SUM(K904:K916)</f>
        <v>#REF!</v>
      </c>
      <c r="M923" s="42" t="e">
        <f>SUM(M904:M922)</f>
        <v>#REF!</v>
      </c>
      <c r="O923" s="265"/>
      <c r="P923" s="268" t="e">
        <f>O925-H925</f>
        <v>#REF!</v>
      </c>
      <c r="Q923" s="11"/>
      <c r="R923" s="269"/>
      <c r="S923" s="141"/>
      <c r="T923" s="141"/>
      <c r="U923" s="151"/>
      <c r="V923" s="141"/>
      <c r="W923" s="141"/>
      <c r="X923" s="141"/>
      <c r="Y923" s="11"/>
      <c r="Z923" s="11"/>
      <c r="AA923" s="11"/>
      <c r="AB923" s="11"/>
      <c r="AC923" s="11"/>
    </row>
    <row r="924" spans="1:29">
      <c r="A924" s="3" t="s">
        <v>167</v>
      </c>
      <c r="C924" s="127" t="e">
        <f>#REF!</f>
        <v>#REF!</v>
      </c>
      <c r="D924" s="127">
        <v>0</v>
      </c>
      <c r="E924" s="132"/>
      <c r="F924" s="11"/>
      <c r="G924" s="135" t="e">
        <f>#REF!</f>
        <v>#REF!</v>
      </c>
      <c r="H924" s="135">
        <v>0</v>
      </c>
      <c r="I924" s="132"/>
      <c r="J924" s="11"/>
      <c r="K924" s="135" t="e">
        <f>G924</f>
        <v>#REF!</v>
      </c>
      <c r="M924" s="152"/>
      <c r="N924" s="152"/>
      <c r="O924" s="270"/>
      <c r="P924" s="271" t="e">
        <f>P923/P922</f>
        <v>#REF!</v>
      </c>
      <c r="Q924" s="50"/>
      <c r="R924" s="272"/>
      <c r="S924" s="144"/>
      <c r="T924" s="14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 ht="16.5" thickBot="1">
      <c r="A925" s="3" t="s">
        <v>1</v>
      </c>
      <c r="C925" s="136" t="e">
        <f>C923+C924</f>
        <v>#REF!</v>
      </c>
      <c r="D925" s="136">
        <f>D923+D924</f>
        <v>2951534.6465794938</v>
      </c>
      <c r="E925" s="137"/>
      <c r="F925" s="137"/>
      <c r="G925" s="137" t="e">
        <f>G923+G924</f>
        <v>#REF!</v>
      </c>
      <c r="H925" s="137">
        <f>H923+H924</f>
        <v>529048</v>
      </c>
      <c r="I925" s="137"/>
      <c r="J925" s="137"/>
      <c r="K925" s="137" t="e">
        <f>K923+K924</f>
        <v>#REF!</v>
      </c>
      <c r="M925" s="154"/>
      <c r="N925" s="140" t="s">
        <v>213</v>
      </c>
      <c r="O925" s="273" t="e">
        <f>#REF!*1000</f>
        <v>#REF!</v>
      </c>
      <c r="P925" s="8" t="e">
        <f>((O925-G925)/G925)+0.0028</f>
        <v>#REF!</v>
      </c>
      <c r="S925" s="141"/>
      <c r="T925" s="14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 ht="16.5" thickTop="1">
      <c r="A926" s="1"/>
      <c r="B926" s="1"/>
      <c r="C926" s="12"/>
      <c r="D926" s="12"/>
      <c r="E926" s="12"/>
      <c r="F926" s="12"/>
      <c r="G926" s="2"/>
      <c r="H926" s="2"/>
      <c r="I926" s="12" t="s">
        <v>13</v>
      </c>
      <c r="J926" s="12"/>
      <c r="K926" s="2" t="s">
        <v>13</v>
      </c>
      <c r="M926" s="140"/>
      <c r="N926" s="140" t="s">
        <v>114</v>
      </c>
      <c r="O926" s="274" t="e">
        <f>O925-K925</f>
        <v>#REF!</v>
      </c>
      <c r="P926" s="8" t="e">
        <f>(O925-K925)/K925</f>
        <v>#REF!</v>
      </c>
      <c r="Q926" s="140"/>
      <c r="R926" s="140"/>
      <c r="S926" s="141"/>
      <c r="T926" s="14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>
      <c r="A927" s="156" t="s">
        <v>290</v>
      </c>
      <c r="B927" s="1"/>
      <c r="C927" s="1"/>
      <c r="D927" s="1"/>
      <c r="E927" s="1"/>
      <c r="F927" s="1"/>
      <c r="G927" s="1"/>
      <c r="H927" s="1"/>
      <c r="I927" s="1"/>
      <c r="J927" s="1"/>
      <c r="K927" s="1"/>
      <c r="M927" s="141"/>
      <c r="N927" s="141"/>
      <c r="O927" s="150"/>
      <c r="P927" s="141"/>
      <c r="Q927" s="11"/>
      <c r="R927" s="11"/>
      <c r="S927" s="11"/>
      <c r="T927" s="141"/>
      <c r="U927" s="141"/>
      <c r="V927" s="141"/>
      <c r="W927" s="141"/>
      <c r="X927" s="141"/>
      <c r="Y927" s="11"/>
      <c r="Z927" s="11"/>
      <c r="AA927" s="11"/>
      <c r="AB927" s="11"/>
      <c r="AC927" s="11"/>
    </row>
    <row r="928" spans="1:29">
      <c r="A928" s="1" t="s">
        <v>291</v>
      </c>
      <c r="B928" s="1"/>
      <c r="C928" s="1"/>
      <c r="D928" s="1"/>
      <c r="E928" s="1"/>
      <c r="F928" s="1"/>
      <c r="G928" s="1"/>
      <c r="H928" s="1"/>
      <c r="I928" s="1"/>
      <c r="J928" s="1"/>
      <c r="K928" s="1"/>
      <c r="M928" s="11"/>
      <c r="N928" s="11"/>
      <c r="O928" s="38"/>
      <c r="P928" s="38"/>
      <c r="Q928" s="11"/>
      <c r="R928" s="11"/>
      <c r="S928" s="11"/>
      <c r="T928" s="141"/>
      <c r="U928" s="141"/>
      <c r="V928" s="141"/>
      <c r="W928" s="141"/>
      <c r="X928" s="141"/>
      <c r="Y928" s="11"/>
      <c r="Z928" s="11"/>
      <c r="AA928" s="11"/>
      <c r="AB928" s="11"/>
      <c r="AC928" s="11"/>
    </row>
    <row r="929" spans="1: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M929" s="11"/>
      <c r="N929" s="11"/>
      <c r="O929" s="38"/>
      <c r="P929" s="38" t="s">
        <v>13</v>
      </c>
      <c r="Q929" s="11"/>
      <c r="R929" s="11"/>
      <c r="S929" s="11"/>
      <c r="T929" s="141"/>
      <c r="U929" s="141"/>
      <c r="V929" s="141"/>
      <c r="W929" s="141"/>
      <c r="X929" s="141"/>
      <c r="Y929" s="11"/>
      <c r="Z929" s="11"/>
      <c r="AA929" s="11"/>
      <c r="AB929" s="11"/>
      <c r="AC929" s="11"/>
    </row>
    <row r="930" spans="1:29">
      <c r="A930" s="1" t="s">
        <v>292</v>
      </c>
      <c r="B930" s="1"/>
      <c r="C930" s="12"/>
      <c r="D930" s="12"/>
      <c r="E930" s="161"/>
      <c r="F930" s="1"/>
      <c r="G930" s="275">
        <v>30454.32</v>
      </c>
      <c r="H930" s="275">
        <v>30454.32</v>
      </c>
      <c r="I930" s="161"/>
      <c r="J930" s="1"/>
      <c r="K930" s="2">
        <f>G930</f>
        <v>30454.32</v>
      </c>
      <c r="M930" s="42">
        <f>K930</f>
        <v>30454.32</v>
      </c>
      <c r="N930" s="11"/>
      <c r="O930" s="38"/>
      <c r="P930" s="38" t="s">
        <v>13</v>
      </c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>
      <c r="A931" s="1" t="s">
        <v>293</v>
      </c>
      <c r="B931" s="1"/>
      <c r="C931" s="127">
        <v>448995</v>
      </c>
      <c r="D931" s="182">
        <f>ROUND(($D$934/$C$934)*C931,0)</f>
        <v>453966</v>
      </c>
      <c r="E931" s="276">
        <v>6.4050000000000002</v>
      </c>
      <c r="F931" s="1" t="s">
        <v>178</v>
      </c>
      <c r="G931" s="277">
        <f>ROUND(C931*E931/100,0)</f>
        <v>28758</v>
      </c>
      <c r="H931" s="277">
        <f>ROUND(D931*E931/100,0)</f>
        <v>29077</v>
      </c>
      <c r="I931" s="276">
        <v>7.4130000000000003</v>
      </c>
      <c r="J931" s="1" t="s">
        <v>178</v>
      </c>
      <c r="K931" s="2">
        <f>ROUND(I931*$C931/100,0)</f>
        <v>33284</v>
      </c>
      <c r="M931" s="42">
        <f>(I931/100)*D931</f>
        <v>33652.499580000003</v>
      </c>
      <c r="N931" s="11"/>
      <c r="O931" s="38"/>
      <c r="P931" s="38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>
      <c r="A932" s="1" t="s">
        <v>294</v>
      </c>
      <c r="B932" s="1"/>
      <c r="C932" s="127">
        <v>0</v>
      </c>
      <c r="D932" s="182">
        <f>ROUND(($D$934/$C$934)*C932,0)</f>
        <v>0</v>
      </c>
      <c r="E932" s="276">
        <v>7.1669999999999998</v>
      </c>
      <c r="F932" s="1" t="s">
        <v>178</v>
      </c>
      <c r="G932" s="277">
        <f>ROUND(C932*E932/100,0)</f>
        <v>0</v>
      </c>
      <c r="H932" s="277">
        <f>ROUND(D932*E932/100,0)</f>
        <v>0</v>
      </c>
      <c r="I932" s="276">
        <f>ROUND(I931/E931*E932,3)</f>
        <v>8.2949999999999999</v>
      </c>
      <c r="J932" s="1" t="s">
        <v>178</v>
      </c>
      <c r="K932" s="2">
        <f>ROUND(I932*D932/100,0)</f>
        <v>0</v>
      </c>
      <c r="M932" s="42">
        <f>(I932/100)*D932</f>
        <v>0</v>
      </c>
      <c r="N932" s="11"/>
      <c r="O932" s="38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>
      <c r="A933" s="1" t="s">
        <v>166</v>
      </c>
      <c r="B933" s="1"/>
      <c r="C933" s="127">
        <f>27*12</f>
        <v>324</v>
      </c>
      <c r="D933" s="182">
        <v>241</v>
      </c>
      <c r="E933" s="278"/>
      <c r="F933" s="1"/>
      <c r="G933" s="2"/>
      <c r="H933" s="2"/>
      <c r="I933" s="278"/>
      <c r="J933" s="1"/>
      <c r="K933" s="2"/>
      <c r="M933" s="11"/>
      <c r="N933" s="11"/>
      <c r="O933" s="38"/>
      <c r="P933" s="38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>
      <c r="A934" s="3" t="s">
        <v>295</v>
      </c>
      <c r="C934" s="127">
        <f>SUM(C931:C932)</f>
        <v>448995</v>
      </c>
      <c r="D934" s="127">
        <v>453965.95876460936</v>
      </c>
      <c r="E934" s="132"/>
      <c r="F934" s="11"/>
      <c r="G934" s="135">
        <f>SUM(G930:G932)</f>
        <v>59212.32</v>
      </c>
      <c r="H934" s="135">
        <f>SUM(H930:H932)</f>
        <v>59531.32</v>
      </c>
      <c r="I934" s="132"/>
      <c r="J934" s="11"/>
      <c r="K934" s="135">
        <f>SUM(K930:K932)</f>
        <v>63738.32</v>
      </c>
      <c r="M934" s="279">
        <f>SUM(M930:M933)</f>
        <v>64106.819580000003</v>
      </c>
      <c r="N934" s="11"/>
      <c r="O934" s="38"/>
      <c r="P934" s="38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>
      <c r="A935" s="3" t="s">
        <v>296</v>
      </c>
      <c r="C935" s="127" t="e">
        <f>#REF!</f>
        <v>#REF!</v>
      </c>
      <c r="D935" s="127">
        <v>0</v>
      </c>
      <c r="E935" s="132"/>
      <c r="F935" s="11"/>
      <c r="G935" s="135" t="e">
        <f>#REF!</f>
        <v>#REF!</v>
      </c>
      <c r="H935" s="135">
        <v>0</v>
      </c>
      <c r="I935" s="132"/>
      <c r="J935" s="11"/>
      <c r="K935" s="135" t="e">
        <f>G935</f>
        <v>#REF!</v>
      </c>
      <c r="M935" s="152"/>
      <c r="N935" s="152"/>
      <c r="O935" s="153"/>
      <c r="P935" s="38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 ht="16.5" thickBot="1">
      <c r="A936" s="1" t="s">
        <v>1</v>
      </c>
      <c r="B936" s="1"/>
      <c r="C936" s="256" t="e">
        <f>C934+C935</f>
        <v>#REF!</v>
      </c>
      <c r="D936" s="256">
        <f>D934+D935</f>
        <v>453965.95876460936</v>
      </c>
      <c r="E936" s="280"/>
      <c r="F936" s="281"/>
      <c r="G936" s="137" t="e">
        <f>G934+G935</f>
        <v>#REF!</v>
      </c>
      <c r="H936" s="137">
        <f>H934+H935</f>
        <v>59531.32</v>
      </c>
      <c r="I936" s="280"/>
      <c r="J936" s="281"/>
      <c r="K936" s="137" t="e">
        <f>K934+K935</f>
        <v>#REF!</v>
      </c>
      <c r="M936" s="154"/>
      <c r="N936" s="140" t="s">
        <v>213</v>
      </c>
      <c r="O936" s="279" t="e">
        <f>#REF!*1000</f>
        <v>#REF!</v>
      </c>
      <c r="P936" s="8" t="s">
        <v>13</v>
      </c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 ht="16.5" thickTop="1">
      <c r="A937" s="1"/>
      <c r="B937" s="1"/>
      <c r="C937" s="1"/>
      <c r="D937" s="1"/>
      <c r="E937" s="282"/>
      <c r="F937" s="1"/>
      <c r="G937" s="1"/>
      <c r="H937" s="1"/>
      <c r="I937" s="282" t="s">
        <v>13</v>
      </c>
      <c r="J937" s="1"/>
      <c r="K937" s="2" t="s">
        <v>13</v>
      </c>
      <c r="M937" s="11"/>
      <c r="N937" s="140" t="s">
        <v>114</v>
      </c>
      <c r="O937" s="279" t="e">
        <f>O936-K936</f>
        <v>#REF!</v>
      </c>
      <c r="P937" s="8" t="e">
        <f>(O936-K936)/K936</f>
        <v>#REF!</v>
      </c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</row>
    <row r="938" spans="1:29">
      <c r="A938" s="156" t="s">
        <v>297</v>
      </c>
      <c r="B938" s="1"/>
      <c r="C938" s="1"/>
      <c r="D938" s="1"/>
      <c r="E938" s="1"/>
      <c r="F938" s="1"/>
      <c r="G938" s="1"/>
      <c r="H938" s="1"/>
      <c r="I938" s="1"/>
      <c r="J938" s="1"/>
      <c r="K938" s="1"/>
      <c r="M938" s="11"/>
      <c r="N938" s="11"/>
      <c r="O938" s="38"/>
      <c r="P938" s="38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</row>
    <row r="939" spans="1:29">
      <c r="A939" s="1" t="s">
        <v>298</v>
      </c>
      <c r="B939" s="1"/>
      <c r="C939" s="1"/>
      <c r="D939" s="1"/>
      <c r="E939" s="1"/>
      <c r="F939" s="1"/>
      <c r="G939" s="1"/>
      <c r="H939" s="1"/>
      <c r="I939" s="1"/>
      <c r="J939" s="1"/>
      <c r="K939" s="1"/>
      <c r="M939" s="11"/>
      <c r="N939" s="11"/>
      <c r="O939" s="38"/>
      <c r="P939" s="38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</row>
    <row r="940" spans="1:29">
      <c r="A940" s="1"/>
      <c r="B940" s="1"/>
      <c r="C940" s="1"/>
      <c r="D940" s="1"/>
      <c r="E940" s="282"/>
      <c r="F940" s="1"/>
      <c r="G940" s="1"/>
      <c r="H940" s="1"/>
      <c r="I940" s="282"/>
      <c r="J940" s="1"/>
      <c r="K940" s="1"/>
      <c r="M940" s="11"/>
      <c r="N940" s="11"/>
      <c r="O940" s="38"/>
      <c r="P940" s="38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</row>
    <row r="941" spans="1:29">
      <c r="A941" s="1" t="s">
        <v>292</v>
      </c>
      <c r="B941" s="1"/>
      <c r="C941" s="12"/>
      <c r="D941" s="12"/>
      <c r="E941" s="161"/>
      <c r="F941" s="1"/>
      <c r="G941" s="275">
        <f>G952+G978</f>
        <v>2152.73</v>
      </c>
      <c r="H941" s="275">
        <f>H952+H978</f>
        <v>2349.2199999999998</v>
      </c>
      <c r="I941" s="161"/>
      <c r="J941" s="1"/>
      <c r="K941" s="2">
        <f>G941</f>
        <v>2152.73</v>
      </c>
      <c r="M941" s="279">
        <f>K941</f>
        <v>2152.73</v>
      </c>
      <c r="N941" s="11"/>
      <c r="O941" s="38"/>
      <c r="P941" s="38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</row>
    <row r="942" spans="1:29">
      <c r="A942" s="1" t="s">
        <v>407</v>
      </c>
      <c r="B942" s="1"/>
      <c r="C942" s="127">
        <f>C968+C979+C980</f>
        <v>2017979</v>
      </c>
      <c r="D942" s="127">
        <f>D968+D979</f>
        <v>999683</v>
      </c>
      <c r="E942" s="276">
        <v>6.1459999999999999</v>
      </c>
      <c r="F942" s="1" t="s">
        <v>178</v>
      </c>
      <c r="G942" s="277">
        <f>G968+G979+G980</f>
        <v>124025</v>
      </c>
      <c r="H942" s="277">
        <f>H968+H979</f>
        <v>61441</v>
      </c>
      <c r="I942" s="276">
        <f>'Blocking - detail'!I939</f>
        <v>6.1459999999999999</v>
      </c>
      <c r="J942" s="1" t="s">
        <v>178</v>
      </c>
      <c r="K942" s="2">
        <f>K968+K979</f>
        <v>65376</v>
      </c>
      <c r="M942" s="42">
        <f>(I942/100)*D942</f>
        <v>61440.517180000003</v>
      </c>
      <c r="N942" s="11"/>
      <c r="O942" s="38"/>
      <c r="P942" s="38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>
      <c r="A943" s="1" t="s">
        <v>409</v>
      </c>
      <c r="B943" s="1"/>
      <c r="C943" s="127">
        <f>C969</f>
        <v>2425702</v>
      </c>
      <c r="D943" s="127">
        <f>D969+D980</f>
        <v>3439646</v>
      </c>
      <c r="E943" s="284">
        <f>E942</f>
        <v>6.1459999999999999</v>
      </c>
      <c r="F943" s="1" t="s">
        <v>178</v>
      </c>
      <c r="G943" s="277">
        <f>SUM(G954:G966)</f>
        <v>149307.61000000002</v>
      </c>
      <c r="H943" s="277">
        <f>H969+H980</f>
        <v>60532</v>
      </c>
      <c r="I943" s="284">
        <f>I942</f>
        <v>6.1459999999999999</v>
      </c>
      <c r="J943" s="1" t="s">
        <v>178</v>
      </c>
      <c r="K943" s="2">
        <f>K969+K980</f>
        <v>68174</v>
      </c>
      <c r="M943" s="42">
        <f>(I943/100)*D943</f>
        <v>211400.64316000001</v>
      </c>
      <c r="N943" s="11"/>
      <c r="O943" s="38"/>
      <c r="P943" s="38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>
      <c r="A944" s="1" t="s">
        <v>166</v>
      </c>
      <c r="B944" s="1"/>
      <c r="C944" s="127">
        <f>C970+C981</f>
        <v>3046</v>
      </c>
      <c r="D944" s="127">
        <f>D970+D981</f>
        <v>3401</v>
      </c>
      <c r="E944" s="278"/>
      <c r="F944" s="1"/>
      <c r="G944" s="2"/>
      <c r="H944" s="2"/>
      <c r="I944" s="278"/>
      <c r="J944" s="1"/>
      <c r="K944" s="2"/>
      <c r="M944" s="11"/>
      <c r="N944" s="11"/>
      <c r="O944" s="38"/>
      <c r="P944" s="38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>
      <c r="A945" s="3" t="s">
        <v>295</v>
      </c>
      <c r="C945" s="127">
        <f>C971+C982</f>
        <v>4443681</v>
      </c>
      <c r="D945" s="127">
        <f>D971+D982</f>
        <v>4439329.75109665</v>
      </c>
      <c r="E945" s="132"/>
      <c r="F945" s="11"/>
      <c r="G945" s="135">
        <f>G941+G942+G943</f>
        <v>275485.34000000003</v>
      </c>
      <c r="H945" s="135">
        <f>H971+H982</f>
        <v>124322.22</v>
      </c>
      <c r="I945" s="132"/>
      <c r="J945" s="11"/>
      <c r="K945" s="135">
        <f>K971+K982</f>
        <v>296529.72609999997</v>
      </c>
      <c r="M945" s="279">
        <f>SUM(M941:M944)</f>
        <v>274993.89034000004</v>
      </c>
      <c r="N945" s="11"/>
      <c r="O945" s="38"/>
      <c r="P945" s="38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>
      <c r="A946" s="3" t="s">
        <v>296</v>
      </c>
      <c r="C946" s="127" t="e">
        <f>C972+C983</f>
        <v>#REF!</v>
      </c>
      <c r="D946" s="127">
        <f>D972+D983</f>
        <v>0</v>
      </c>
      <c r="E946" s="132"/>
      <c r="F946" s="11"/>
      <c r="G946" s="135" t="e">
        <f>G972+G983</f>
        <v>#REF!</v>
      </c>
      <c r="H946" s="135">
        <f>H972+H983</f>
        <v>0</v>
      </c>
      <c r="I946" s="132"/>
      <c r="J946" s="11"/>
      <c r="K946" s="135" t="e">
        <f>G946</f>
        <v>#REF!</v>
      </c>
      <c r="M946" s="152"/>
      <c r="N946" s="152"/>
      <c r="O946" s="153"/>
      <c r="P946" s="38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 ht="16.5" thickBot="1">
      <c r="A947" s="1" t="s">
        <v>1</v>
      </c>
      <c r="B947" s="1"/>
      <c r="C947" s="256" t="e">
        <f>C945+C946</f>
        <v>#REF!</v>
      </c>
      <c r="D947" s="256">
        <f>D945+D946</f>
        <v>4439329.75109665</v>
      </c>
      <c r="E947" s="280"/>
      <c r="F947" s="281"/>
      <c r="G947" s="137" t="e">
        <f>G945+G946</f>
        <v>#REF!</v>
      </c>
      <c r="H947" s="137">
        <f>H945+H946</f>
        <v>124322.22</v>
      </c>
      <c r="I947" s="280"/>
      <c r="J947" s="281"/>
      <c r="K947" s="137" t="e">
        <f>K945+K946</f>
        <v>#REF!</v>
      </c>
      <c r="M947" s="154"/>
      <c r="N947" s="140" t="s">
        <v>213</v>
      </c>
      <c r="O947" s="279" t="e">
        <f>#REF!*1000</f>
        <v>#REF!</v>
      </c>
      <c r="P947" s="38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 ht="16.5" thickTop="1">
      <c r="A948" s="1"/>
      <c r="B948" s="1"/>
      <c r="C948" s="16"/>
      <c r="D948" s="16"/>
      <c r="E948" s="285"/>
      <c r="F948" s="14"/>
      <c r="G948" s="20"/>
      <c r="H948" s="20"/>
      <c r="I948" s="285" t="s">
        <v>13</v>
      </c>
      <c r="J948" s="14"/>
      <c r="K948" s="20" t="s">
        <v>13</v>
      </c>
      <c r="M948" s="11"/>
      <c r="N948" s="140" t="s">
        <v>114</v>
      </c>
      <c r="P948" s="38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>
      <c r="A949" s="156" t="s">
        <v>301</v>
      </c>
      <c r="B949" s="1"/>
      <c r="C949" s="1"/>
      <c r="D949" s="1"/>
      <c r="E949" s="1"/>
      <c r="F949" s="1"/>
      <c r="G949" s="1"/>
      <c r="H949" s="1"/>
      <c r="I949" s="1"/>
      <c r="J949" s="1"/>
      <c r="K949" s="1"/>
      <c r="M949" s="279"/>
      <c r="N949" s="279"/>
      <c r="O949" s="38"/>
      <c r="P949" s="38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>
      <c r="A950" s="1" t="s">
        <v>302</v>
      </c>
      <c r="B950" s="1"/>
      <c r="C950" s="1"/>
      <c r="D950" s="1"/>
      <c r="E950" s="1"/>
      <c r="F950" s="1"/>
      <c r="G950" s="1"/>
      <c r="H950" s="1"/>
      <c r="I950" s="1"/>
      <c r="J950" s="1"/>
      <c r="K950" s="1"/>
      <c r="M950" s="11"/>
      <c r="N950" s="11"/>
      <c r="O950" s="38"/>
      <c r="P950" s="38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>
      <c r="A951" s="1"/>
      <c r="B951" s="1"/>
      <c r="C951" s="1"/>
      <c r="D951" s="1"/>
      <c r="E951" s="282"/>
      <c r="F951" s="1"/>
      <c r="G951" s="1"/>
      <c r="H951" s="1"/>
      <c r="I951" s="282"/>
      <c r="J951" s="1"/>
      <c r="K951" s="1"/>
      <c r="M951" s="11"/>
      <c r="N951" s="11"/>
      <c r="O951" s="38"/>
      <c r="P951" s="38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>
      <c r="A952" s="1" t="s">
        <v>292</v>
      </c>
      <c r="B952" s="1"/>
      <c r="C952" s="12"/>
      <c r="D952" s="12"/>
      <c r="E952" s="161"/>
      <c r="F952" s="1"/>
      <c r="G952" s="275">
        <v>2152.73</v>
      </c>
      <c r="H952" s="275">
        <v>2349.2199999999998</v>
      </c>
      <c r="I952" s="161"/>
      <c r="J952" s="1"/>
      <c r="K952" s="2">
        <f>G952</f>
        <v>2152.73</v>
      </c>
      <c r="M952" s="11"/>
      <c r="N952" s="11"/>
      <c r="O952" s="38"/>
      <c r="P952" s="38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</row>
    <row r="953" spans="1:29">
      <c r="A953" s="1" t="s">
        <v>383</v>
      </c>
      <c r="B953" s="1"/>
      <c r="C953" s="12"/>
      <c r="D953" s="12"/>
      <c r="E953" s="161"/>
      <c r="F953" s="1"/>
      <c r="G953" s="275"/>
      <c r="H953" s="275"/>
      <c r="I953" s="161"/>
      <c r="J953" s="1"/>
      <c r="K953" s="2"/>
      <c r="M953" s="11"/>
      <c r="N953" s="11"/>
      <c r="O953" s="279" t="e">
        <f>O947-K947</f>
        <v>#REF!</v>
      </c>
      <c r="P953" s="38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</row>
    <row r="954" spans="1:29">
      <c r="A954" s="3" t="s">
        <v>396</v>
      </c>
      <c r="B954" s="1"/>
      <c r="C954" s="12">
        <f>4115+22+44+10+367+2+4</f>
        <v>4564</v>
      </c>
      <c r="D954" s="12"/>
      <c r="E954" s="161">
        <v>1.91</v>
      </c>
      <c r="F954" s="1"/>
      <c r="G954" s="275">
        <f t="shared" ref="G954:G959" si="91">E954*C954</f>
        <v>8717.24</v>
      </c>
      <c r="H954" s="275"/>
      <c r="I954" s="161">
        <f t="shared" ref="I954:I959" si="92">$I$968*O954/100</f>
        <v>2.05158</v>
      </c>
      <c r="J954" s="1"/>
      <c r="K954" s="2">
        <f t="shared" ref="K954:K959" si="93">I954*$C954</f>
        <v>9363.4111200000007</v>
      </c>
      <c r="M954" s="11"/>
      <c r="N954" s="11"/>
      <c r="O954" s="38">
        <v>31</v>
      </c>
      <c r="P954" s="478">
        <f t="shared" ref="P954:P959" si="94">E954/O954</f>
        <v>6.1612903225806447E-2</v>
      </c>
      <c r="Q954" s="11"/>
      <c r="R954" s="11">
        <v>6.1460000000000001E-2</v>
      </c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</row>
    <row r="955" spans="1:29">
      <c r="A955" s="3" t="s">
        <v>397</v>
      </c>
      <c r="B955" s="1"/>
      <c r="C955" s="12">
        <f>7386+30+690+6</f>
        <v>8112</v>
      </c>
      <c r="D955" s="12"/>
      <c r="E955" s="161">
        <v>2.7</v>
      </c>
      <c r="F955" s="1"/>
      <c r="G955" s="275">
        <f t="shared" si="91"/>
        <v>21902.400000000001</v>
      </c>
      <c r="H955" s="275"/>
      <c r="I955" s="161">
        <f t="shared" si="92"/>
        <v>2.9119200000000003</v>
      </c>
      <c r="J955" s="1"/>
      <c r="K955" s="2">
        <f t="shared" si="93"/>
        <v>23621.495040000002</v>
      </c>
      <c r="M955" s="11"/>
      <c r="N955" s="11"/>
      <c r="O955" s="38">
        <v>44</v>
      </c>
      <c r="P955" s="478">
        <f t="shared" si="94"/>
        <v>6.136363636363637E-2</v>
      </c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>
      <c r="A956" s="3" t="s">
        <v>398</v>
      </c>
      <c r="B956" s="1"/>
      <c r="C956" s="12">
        <f>357+715+39+65</f>
        <v>1176</v>
      </c>
      <c r="D956" s="12"/>
      <c r="E956" s="161">
        <v>3.93</v>
      </c>
      <c r="F956" s="1"/>
      <c r="G956" s="275">
        <f t="shared" si="91"/>
        <v>4621.68</v>
      </c>
      <c r="H956" s="275"/>
      <c r="I956" s="161">
        <f t="shared" si="92"/>
        <v>4.2355200000000002</v>
      </c>
      <c r="J956" s="1"/>
      <c r="K956" s="2">
        <f t="shared" si="93"/>
        <v>4980.9715200000001</v>
      </c>
      <c r="M956" s="11"/>
      <c r="N956" s="11"/>
      <c r="O956" s="38">
        <v>64</v>
      </c>
      <c r="P956" s="478">
        <f t="shared" si="94"/>
        <v>6.1406250000000002E-2</v>
      </c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>
      <c r="A957" s="3" t="s">
        <v>399</v>
      </c>
      <c r="B957" s="1"/>
      <c r="C957" s="12">
        <f>10556+1033</f>
        <v>11589</v>
      </c>
      <c r="D957" s="12"/>
      <c r="E957" s="161">
        <v>5.22</v>
      </c>
      <c r="F957" s="1"/>
      <c r="G957" s="275">
        <f t="shared" si="91"/>
        <v>60494.579999999994</v>
      </c>
      <c r="H957" s="275"/>
      <c r="I957" s="161">
        <f t="shared" si="92"/>
        <v>5.6252999999999993</v>
      </c>
      <c r="J957" s="1"/>
      <c r="K957" s="2">
        <f t="shared" si="93"/>
        <v>65191.601699999992</v>
      </c>
      <c r="M957" s="11"/>
      <c r="N957" s="11"/>
      <c r="O957" s="38">
        <v>85</v>
      </c>
      <c r="P957" s="478">
        <f t="shared" si="94"/>
        <v>6.1411764705882353E-2</v>
      </c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>
      <c r="A958" s="3" t="s">
        <v>400</v>
      </c>
      <c r="B958" s="1"/>
      <c r="C958" s="12">
        <f>1478+146+231+2458</f>
        <v>4313</v>
      </c>
      <c r="D958" s="12"/>
      <c r="E958" s="161">
        <v>7.07</v>
      </c>
      <c r="F958" s="1"/>
      <c r="G958" s="275">
        <f t="shared" si="91"/>
        <v>30492.91</v>
      </c>
      <c r="H958" s="275"/>
      <c r="I958" s="161">
        <f t="shared" si="92"/>
        <v>7.6107000000000005</v>
      </c>
      <c r="J958" s="1"/>
      <c r="K958" s="2">
        <f t="shared" si="93"/>
        <v>32824.949100000005</v>
      </c>
      <c r="M958" s="11"/>
      <c r="N958" s="11"/>
      <c r="O958" s="38">
        <v>115</v>
      </c>
      <c r="P958" s="478">
        <f t="shared" si="94"/>
        <v>6.1478260869565218E-2</v>
      </c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>
      <c r="A959" s="3" t="s">
        <v>401</v>
      </c>
      <c r="B959" s="1"/>
      <c r="C959" s="12">
        <f>1575+177</f>
        <v>1752</v>
      </c>
      <c r="D959" s="12"/>
      <c r="E959" s="161">
        <v>10.82</v>
      </c>
      <c r="F959" s="1"/>
      <c r="G959" s="275">
        <f t="shared" si="91"/>
        <v>18956.64</v>
      </c>
      <c r="H959" s="275"/>
      <c r="I959" s="161">
        <f t="shared" si="92"/>
        <v>11.647680000000001</v>
      </c>
      <c r="J959" s="1"/>
      <c r="K959" s="2">
        <f t="shared" si="93"/>
        <v>20406.735360000002</v>
      </c>
      <c r="M959" s="11"/>
      <c r="N959" s="11"/>
      <c r="O959" s="38">
        <v>176</v>
      </c>
      <c r="P959" s="478">
        <f t="shared" si="94"/>
        <v>6.1477272727272728E-2</v>
      </c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>
      <c r="B960" s="1"/>
      <c r="C960" s="12"/>
      <c r="D960" s="12"/>
      <c r="E960" s="161"/>
      <c r="F960" s="1"/>
      <c r="G960" s="275"/>
      <c r="H960" s="275"/>
      <c r="I960" s="161"/>
      <c r="J960" s="1"/>
      <c r="K960" s="2"/>
      <c r="M960" s="11"/>
      <c r="N960" s="11"/>
      <c r="O960" s="38"/>
      <c r="P960" s="38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>
      <c r="A961" s="3" t="s">
        <v>384</v>
      </c>
      <c r="B961" s="1"/>
      <c r="C961" s="12"/>
      <c r="D961" s="12"/>
      <c r="E961" s="161"/>
      <c r="F961" s="1"/>
      <c r="G961" s="275"/>
      <c r="H961" s="275"/>
      <c r="I961" s="161" t="s">
        <v>13</v>
      </c>
      <c r="J961" s="1"/>
      <c r="K961" s="2"/>
      <c r="M961" s="11"/>
      <c r="N961" s="11"/>
      <c r="O961" s="38"/>
      <c r="P961" s="38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>
      <c r="A962" s="3" t="s">
        <v>402</v>
      </c>
      <c r="B962" s="1"/>
      <c r="C962" s="12">
        <v>0</v>
      </c>
      <c r="D962" s="12"/>
      <c r="E962" s="161">
        <v>2.4</v>
      </c>
      <c r="F962" s="1"/>
      <c r="G962" s="275">
        <f>E962*C962</f>
        <v>0</v>
      </c>
      <c r="H962" s="275"/>
      <c r="I962" s="161">
        <f>$I$968*O962/100</f>
        <v>2.5810200000000005</v>
      </c>
      <c r="J962" s="1"/>
      <c r="K962" s="2">
        <f>I962*$C962</f>
        <v>0</v>
      </c>
      <c r="M962" s="11"/>
      <c r="N962" s="11"/>
      <c r="O962" s="38">
        <v>39</v>
      </c>
      <c r="P962" s="478">
        <f>E962/O962</f>
        <v>6.1538461538461535E-2</v>
      </c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>
      <c r="A963" s="3" t="s">
        <v>403</v>
      </c>
      <c r="B963" s="1"/>
      <c r="C963" s="12">
        <f>370</f>
        <v>370</v>
      </c>
      <c r="D963" s="12"/>
      <c r="E963" s="161">
        <v>4.18</v>
      </c>
      <c r="F963" s="1"/>
      <c r="G963" s="275">
        <f>E963*C963</f>
        <v>1546.6</v>
      </c>
      <c r="H963" s="275"/>
      <c r="I963" s="161">
        <f>$I$968*O963/100</f>
        <v>4.5002399999999998</v>
      </c>
      <c r="J963" s="1"/>
      <c r="K963" s="2">
        <f>I963*$C963</f>
        <v>1665.0888</v>
      </c>
      <c r="M963" s="11"/>
      <c r="N963" s="11"/>
      <c r="O963" s="38">
        <v>68</v>
      </c>
      <c r="P963" s="478">
        <f>E963/O963</f>
        <v>6.147058823529411E-2</v>
      </c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>
      <c r="A964" s="3" t="s">
        <v>404</v>
      </c>
      <c r="B964" s="1"/>
      <c r="C964" s="12">
        <f>4</f>
        <v>4</v>
      </c>
      <c r="D964" s="12"/>
      <c r="E964" s="161">
        <v>5.78</v>
      </c>
      <c r="F964" s="1"/>
      <c r="G964" s="275">
        <f>E964*C964</f>
        <v>23.12</v>
      </c>
      <c r="H964" s="275"/>
      <c r="I964" s="161">
        <f>$I$968*O964/100</f>
        <v>6.2209199999999996</v>
      </c>
      <c r="J964" s="1"/>
      <c r="K964" s="2">
        <f>I964*$C964</f>
        <v>24.883679999999998</v>
      </c>
      <c r="M964" s="11"/>
      <c r="N964" s="11"/>
      <c r="O964" s="38">
        <v>94</v>
      </c>
      <c r="P964" s="478">
        <f>E964/O964</f>
        <v>6.1489361702127661E-2</v>
      </c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>
      <c r="A965" s="3" t="s">
        <v>405</v>
      </c>
      <c r="B965" s="1"/>
      <c r="C965" s="12">
        <f>128+39</f>
        <v>167</v>
      </c>
      <c r="D965" s="12"/>
      <c r="E965" s="161">
        <v>9.16</v>
      </c>
      <c r="F965" s="1"/>
      <c r="G965" s="275">
        <f>E965*C965</f>
        <v>1529.72</v>
      </c>
      <c r="H965" s="275"/>
      <c r="I965" s="161">
        <f>$I$968*O965/100</f>
        <v>9.8608200000000004</v>
      </c>
      <c r="J965" s="1"/>
      <c r="K965" s="2">
        <f>I965*$C965</f>
        <v>1646.75694</v>
      </c>
      <c r="M965" s="11"/>
      <c r="N965" s="11"/>
      <c r="O965" s="38">
        <v>149</v>
      </c>
      <c r="P965" s="478">
        <f>E965/O965</f>
        <v>6.1476510067114097E-2</v>
      </c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>
      <c r="A966" s="3" t="s">
        <v>406</v>
      </c>
      <c r="B966" s="1"/>
      <c r="C966" s="12">
        <f>47</f>
        <v>47</v>
      </c>
      <c r="D966" s="12"/>
      <c r="E966" s="161">
        <v>21.76</v>
      </c>
      <c r="F966" s="1"/>
      <c r="G966" s="275">
        <f>E966*C966</f>
        <v>1022.72</v>
      </c>
      <c r="H966" s="275"/>
      <c r="I966" s="161">
        <f>$I$968*O966/100</f>
        <v>23.427720000000001</v>
      </c>
      <c r="J966" s="1"/>
      <c r="K966" s="2">
        <f>I966*$C966</f>
        <v>1101.10284</v>
      </c>
      <c r="M966" s="11"/>
      <c r="N966" s="11"/>
      <c r="O966" s="38">
        <v>354</v>
      </c>
      <c r="P966" s="478">
        <f>E966/O966</f>
        <v>6.1468926553672323E-2</v>
      </c>
      <c r="Q966" s="11" t="s">
        <v>13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>
      <c r="A967" s="1"/>
      <c r="B967" s="1"/>
      <c r="C967" s="12"/>
      <c r="D967" s="12"/>
      <c r="E967" s="161"/>
      <c r="F967" s="1"/>
      <c r="G967" s="275"/>
      <c r="H967" s="275"/>
      <c r="I967" s="161"/>
      <c r="J967" s="1"/>
      <c r="K967" s="2"/>
      <c r="M967" s="11"/>
      <c r="N967" s="11"/>
      <c r="O967" s="38"/>
      <c r="P967" s="38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>
      <c r="A968" s="1" t="s">
        <v>407</v>
      </c>
      <c r="B968" s="1"/>
      <c r="C968" s="127">
        <f>363706+292497+2160+112145+73788+6445+101667+34034+586+824</f>
        <v>987852</v>
      </c>
      <c r="D968" s="182">
        <f>ROUND(($D$971/$C$971)*C968,0)</f>
        <v>999683</v>
      </c>
      <c r="E968" s="276">
        <f>$E$942</f>
        <v>6.1459999999999999</v>
      </c>
      <c r="F968" s="1" t="s">
        <v>178</v>
      </c>
      <c r="G968" s="277">
        <f>ROUND(C968*E968/100,0)</f>
        <v>60713</v>
      </c>
      <c r="H968" s="277">
        <f>ROUND(D968*E968/100,0)</f>
        <v>61441</v>
      </c>
      <c r="I968" s="276">
        <v>6.6180000000000003</v>
      </c>
      <c r="J968" s="1" t="s">
        <v>178</v>
      </c>
      <c r="K968" s="2">
        <f>ROUND(I968*C968/100,0)</f>
        <v>65376</v>
      </c>
      <c r="M968" s="11"/>
      <c r="N968" s="11"/>
      <c r="O968" s="38"/>
      <c r="P968" s="38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>
      <c r="A969" s="1" t="s">
        <v>408</v>
      </c>
      <c r="B969" s="1"/>
      <c r="C969" s="127">
        <f>127566+324980+1320+22848+897247+169940+277177+682+1364+39325+272844+4120+11377+30360+264+2496+87808+16790+31152+28120+432+22016+6708+19364+62+124+3575+25641</f>
        <v>2425702</v>
      </c>
      <c r="D969" s="182">
        <f>ROUND(($D$971/$C$971)*C969,0)</f>
        <v>2454753</v>
      </c>
      <c r="E969" s="284" t="s">
        <v>13</v>
      </c>
      <c r="F969" s="1" t="s">
        <v>13</v>
      </c>
      <c r="G969" s="277" t="s">
        <v>13</v>
      </c>
      <c r="H969" s="277">
        <f>ROUND(D969*E969/100,0)</f>
        <v>0</v>
      </c>
      <c r="I969" s="284">
        <v>0</v>
      </c>
      <c r="J969" s="1" t="s">
        <v>178</v>
      </c>
      <c r="K969" s="2">
        <v>0</v>
      </c>
      <c r="M969" s="11"/>
      <c r="N969" s="11"/>
      <c r="O969" s="38"/>
      <c r="P969" s="38">
        <v>211950</v>
      </c>
      <c r="Q969" s="2">
        <f>C969*0.06146</f>
        <v>149083.64491999999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>
      <c r="A970" s="1" t="s">
        <v>166</v>
      </c>
      <c r="B970" s="1"/>
      <c r="C970" s="127">
        <f>54+1950</f>
        <v>2004</v>
      </c>
      <c r="D970" s="182">
        <v>2369</v>
      </c>
      <c r="E970" s="278"/>
      <c r="F970" s="1"/>
      <c r="G970" s="2"/>
      <c r="H970" s="2"/>
      <c r="I970" s="278"/>
      <c r="J970" s="1"/>
      <c r="K970" s="2"/>
      <c r="M970" s="11"/>
      <c r="N970" s="11"/>
      <c r="O970" s="38"/>
      <c r="P970" s="38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>
      <c r="A971" s="3" t="s">
        <v>295</v>
      </c>
      <c r="C971" s="127">
        <f>C968+C969</f>
        <v>3413554</v>
      </c>
      <c r="D971" s="127">
        <v>3454436.4805654008</v>
      </c>
      <c r="E971" s="132"/>
      <c r="F971" s="11"/>
      <c r="G971" s="135">
        <f>SUM(G952:G969)</f>
        <v>212173.34</v>
      </c>
      <c r="H971" s="135">
        <f>SUM(H952:H969)</f>
        <v>63790.22</v>
      </c>
      <c r="I971" s="132"/>
      <c r="J971" s="11"/>
      <c r="K971" s="135">
        <f>SUM(K952:K969)</f>
        <v>228355.72609999997</v>
      </c>
      <c r="M971" s="11"/>
      <c r="N971" s="11"/>
      <c r="O971" s="38"/>
      <c r="P971" s="38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>
      <c r="A972" s="3" t="s">
        <v>296</v>
      </c>
      <c r="C972" s="127" t="e">
        <f>#REF!</f>
        <v>#REF!</v>
      </c>
      <c r="D972" s="127">
        <v>0</v>
      </c>
      <c r="E972" s="132"/>
      <c r="F972" s="11"/>
      <c r="G972" s="135" t="e">
        <f>#REF!</f>
        <v>#REF!</v>
      </c>
      <c r="H972" s="135">
        <v>0</v>
      </c>
      <c r="I972" s="132"/>
      <c r="J972" s="11"/>
      <c r="K972" s="135" t="e">
        <f>G972</f>
        <v>#REF!</v>
      </c>
      <c r="M972" s="307"/>
      <c r="N972" s="307"/>
      <c r="O972" s="150"/>
      <c r="P972" s="38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</row>
    <row r="973" spans="1:29" ht="16.5" thickBot="1">
      <c r="A973" s="1" t="s">
        <v>1</v>
      </c>
      <c r="B973" s="1"/>
      <c r="C973" s="256" t="e">
        <f>C971+C972</f>
        <v>#REF!</v>
      </c>
      <c r="D973" s="256">
        <f>D971+D972</f>
        <v>3454436.4805654008</v>
      </c>
      <c r="E973" s="280"/>
      <c r="F973" s="281"/>
      <c r="G973" s="137" t="e">
        <f>G971+G972</f>
        <v>#REF!</v>
      </c>
      <c r="H973" s="137">
        <f>H971+H972</f>
        <v>63790.22</v>
      </c>
      <c r="I973" s="280"/>
      <c r="J973" s="281"/>
      <c r="K973" s="137" t="e">
        <f>K971+K972</f>
        <v>#REF!</v>
      </c>
      <c r="M973" s="274"/>
      <c r="N973" s="274"/>
      <c r="O973" s="333"/>
      <c r="P973" s="38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</row>
    <row r="974" spans="1:29" ht="16.5" thickTop="1">
      <c r="A974" s="1"/>
      <c r="B974" s="1"/>
      <c r="C974" s="16"/>
      <c r="D974" s="16"/>
      <c r="E974" s="285"/>
      <c r="F974" s="14"/>
      <c r="G974" s="20"/>
      <c r="H974" s="20"/>
      <c r="I974" s="285" t="s">
        <v>13</v>
      </c>
      <c r="J974" s="14"/>
      <c r="K974" s="20" t="s">
        <v>13</v>
      </c>
      <c r="M974" s="11"/>
      <c r="N974" s="11"/>
      <c r="O974" s="38"/>
      <c r="P974" s="38" t="s">
        <v>13</v>
      </c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>
      <c r="A975" s="156" t="s">
        <v>303</v>
      </c>
      <c r="B975" s="1"/>
      <c r="C975" s="1"/>
      <c r="D975" s="1"/>
      <c r="E975" s="1"/>
      <c r="F975" s="1"/>
      <c r="G975" s="1"/>
      <c r="H975" s="1"/>
      <c r="I975" s="1"/>
      <c r="J975" s="1"/>
      <c r="K975" s="1"/>
      <c r="M975" s="11"/>
      <c r="N975" s="11"/>
      <c r="O975" s="38"/>
      <c r="P975" s="38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>
      <c r="A976" s="1" t="s">
        <v>304</v>
      </c>
      <c r="B976" s="1"/>
      <c r="C976" s="1"/>
      <c r="D976" s="1"/>
      <c r="E976" s="1"/>
      <c r="F976" s="1"/>
      <c r="G976" s="1"/>
      <c r="H976" s="1"/>
      <c r="I976" s="1"/>
      <c r="J976" s="1"/>
      <c r="K976" s="1"/>
      <c r="M976" s="11"/>
      <c r="N976" s="11"/>
      <c r="O976" s="38"/>
      <c r="P976" s="38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>
      <c r="A977" s="1"/>
      <c r="B977" s="1"/>
      <c r="C977" s="1"/>
      <c r="D977" s="1"/>
      <c r="E977" s="282"/>
      <c r="F977" s="1"/>
      <c r="G977" s="1"/>
      <c r="H977" s="1"/>
      <c r="I977" s="282"/>
      <c r="J977" s="1"/>
      <c r="K977" s="1"/>
      <c r="M977" s="11"/>
      <c r="N977" s="11"/>
      <c r="O977" s="38"/>
      <c r="P977" s="38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>
      <c r="A978" s="1" t="s">
        <v>292</v>
      </c>
      <c r="B978" s="1"/>
      <c r="C978" s="12"/>
      <c r="D978" s="12"/>
      <c r="E978" s="161"/>
      <c r="F978" s="1"/>
      <c r="G978" s="275">
        <v>0</v>
      </c>
      <c r="H978" s="275">
        <v>0</v>
      </c>
      <c r="I978" s="161"/>
      <c r="J978" s="1"/>
      <c r="K978" s="2">
        <f>G978</f>
        <v>0</v>
      </c>
      <c r="M978" s="11"/>
      <c r="N978" s="11"/>
      <c r="O978" s="38"/>
      <c r="P978" s="38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</row>
    <row r="979" spans="1:29">
      <c r="A979" s="1" t="s">
        <v>299</v>
      </c>
      <c r="B979" s="1"/>
      <c r="C979" s="127">
        <v>0</v>
      </c>
      <c r="D979" s="182">
        <f>ROUND(($D$982/$C$982)*C979,0)</f>
        <v>0</v>
      </c>
      <c r="E979" s="276">
        <f>$E$942</f>
        <v>6.1459999999999999</v>
      </c>
      <c r="F979" s="1" t="s">
        <v>178</v>
      </c>
      <c r="G979" s="277">
        <f>ROUND(C979*E979/100,0)</f>
        <v>0</v>
      </c>
      <c r="H979" s="277">
        <f>ROUND(D979*E979/100,0)</f>
        <v>0</v>
      </c>
      <c r="I979" s="276">
        <f>I968</f>
        <v>6.6180000000000003</v>
      </c>
      <c r="J979" s="1" t="s">
        <v>178</v>
      </c>
      <c r="K979" s="2">
        <f>ROUND(I979*D979/100,0)</f>
        <v>0</v>
      </c>
      <c r="M979" s="11"/>
      <c r="N979" s="11"/>
      <c r="O979" s="38"/>
      <c r="P979" s="38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>
      <c r="A980" s="1" t="s">
        <v>300</v>
      </c>
      <c r="B980" s="1"/>
      <c r="C980" s="127">
        <v>1030127</v>
      </c>
      <c r="D980" s="182">
        <f>ROUND(($D$982/$C$982)*C980,0)</f>
        <v>984893</v>
      </c>
      <c r="E980" s="284">
        <f>E979</f>
        <v>6.1459999999999999</v>
      </c>
      <c r="F980" s="1" t="s">
        <v>178</v>
      </c>
      <c r="G980" s="277">
        <f>ROUND(C980*E980/100,0)</f>
        <v>63312</v>
      </c>
      <c r="H980" s="277">
        <f>ROUND(D980*E980/100,0)</f>
        <v>60532</v>
      </c>
      <c r="I980" s="284">
        <f>I979</f>
        <v>6.6180000000000003</v>
      </c>
      <c r="J980" s="1" t="s">
        <v>178</v>
      </c>
      <c r="K980" s="2">
        <f>ROUND(I980*$C980/100,0)</f>
        <v>68174</v>
      </c>
      <c r="M980" s="11"/>
      <c r="N980" s="11"/>
      <c r="O980" s="38"/>
      <c r="P980" s="38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>
      <c r="A981" s="1" t="s">
        <v>166</v>
      </c>
      <c r="B981" s="1"/>
      <c r="C981" s="127">
        <v>1042</v>
      </c>
      <c r="D981" s="182">
        <v>1032</v>
      </c>
      <c r="E981" s="278"/>
      <c r="F981" s="1"/>
      <c r="G981" s="2"/>
      <c r="H981" s="2"/>
      <c r="I981" s="278"/>
      <c r="J981" s="1"/>
      <c r="K981" s="2"/>
      <c r="M981" s="11"/>
      <c r="N981" s="11"/>
      <c r="O981" s="38"/>
      <c r="P981" s="38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</row>
    <row r="982" spans="1:29">
      <c r="A982" s="3" t="s">
        <v>295</v>
      </c>
      <c r="C982" s="127">
        <f>C979+C980</f>
        <v>1030127</v>
      </c>
      <c r="D982" s="127">
        <v>984893.270531249</v>
      </c>
      <c r="E982" s="132"/>
      <c r="F982" s="11"/>
      <c r="G982" s="135">
        <f>SUM(G978:G980)</f>
        <v>63312</v>
      </c>
      <c r="H982" s="135">
        <f>SUM(H978:H980)</f>
        <v>60532</v>
      </c>
      <c r="I982" s="132"/>
      <c r="J982" s="11"/>
      <c r="K982" s="135">
        <f>SUM(K978:K980)</f>
        <v>68174</v>
      </c>
      <c r="M982" s="11"/>
      <c r="N982" s="11"/>
      <c r="O982" s="38"/>
      <c r="P982" s="38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</row>
    <row r="983" spans="1:29">
      <c r="A983" s="3" t="s">
        <v>296</v>
      </c>
      <c r="C983" s="127" t="e">
        <f>#REF!</f>
        <v>#REF!</v>
      </c>
      <c r="D983" s="127">
        <v>0</v>
      </c>
      <c r="E983" s="132"/>
      <c r="F983" s="11"/>
      <c r="G983" s="135" t="e">
        <f>#REF!</f>
        <v>#REF!</v>
      </c>
      <c r="H983" s="135">
        <v>0</v>
      </c>
      <c r="I983" s="132"/>
      <c r="J983" s="11"/>
      <c r="K983" s="135" t="e">
        <f>G983</f>
        <v>#REF!</v>
      </c>
      <c r="M983" s="307"/>
      <c r="N983" s="307"/>
      <c r="O983" s="150"/>
      <c r="P983" s="38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</row>
    <row r="984" spans="1:29" ht="16.5" thickBot="1">
      <c r="A984" s="1" t="s">
        <v>1</v>
      </c>
      <c r="B984" s="1"/>
      <c r="C984" s="256" t="e">
        <f>C982+C983</f>
        <v>#REF!</v>
      </c>
      <c r="D984" s="256">
        <f>D982+D983</f>
        <v>984893.270531249</v>
      </c>
      <c r="E984" s="280"/>
      <c r="F984" s="281"/>
      <c r="G984" s="137" t="e">
        <f>G982+G983</f>
        <v>#REF!</v>
      </c>
      <c r="H984" s="137">
        <f>H982+H983</f>
        <v>60532</v>
      </c>
      <c r="I984" s="280"/>
      <c r="J984" s="281"/>
      <c r="K984" s="137" t="e">
        <f>K982+K983</f>
        <v>#REF!</v>
      </c>
      <c r="M984" s="274"/>
      <c r="N984" s="274"/>
      <c r="O984" s="333"/>
      <c r="P984" s="38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</row>
    <row r="985" spans="1:29" ht="16.5" thickTop="1">
      <c r="A985" s="1"/>
      <c r="B985" s="1"/>
      <c r="C985" s="16"/>
      <c r="D985" s="16"/>
      <c r="E985" s="285"/>
      <c r="F985" s="14"/>
      <c r="G985" s="20"/>
      <c r="H985" s="20"/>
      <c r="I985" s="285" t="s">
        <v>13</v>
      </c>
      <c r="J985" s="14"/>
      <c r="K985" s="20" t="s">
        <v>13</v>
      </c>
      <c r="M985" s="11"/>
      <c r="N985" s="11"/>
      <c r="O985" s="38"/>
      <c r="P985" s="38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</row>
    <row r="986" spans="1:29">
      <c r="A986" s="156" t="s">
        <v>305</v>
      </c>
      <c r="B986" s="1"/>
      <c r="C986" s="1"/>
      <c r="D986" s="1"/>
      <c r="E986" s="1"/>
      <c r="F986" s="1"/>
      <c r="G986" s="1"/>
      <c r="H986" s="1"/>
      <c r="I986" s="1"/>
      <c r="J986" s="1"/>
      <c r="K986" s="1" t="s">
        <v>13</v>
      </c>
      <c r="M986" s="11"/>
      <c r="N986" s="11"/>
      <c r="O986" s="38"/>
      <c r="P986" s="38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</row>
    <row r="987" spans="1:29">
      <c r="A987" s="1" t="s">
        <v>80</v>
      </c>
      <c r="B987" s="1"/>
      <c r="C987" s="1"/>
      <c r="D987" s="1"/>
      <c r="E987" s="1"/>
      <c r="F987" s="1"/>
      <c r="G987" s="1"/>
      <c r="H987" s="1"/>
      <c r="I987" s="1"/>
      <c r="J987" s="1"/>
      <c r="K987" s="1"/>
      <c r="M987" s="11"/>
      <c r="N987" s="11"/>
      <c r="O987" s="38"/>
      <c r="P987" s="38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</row>
    <row r="988" spans="1:29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M988" s="11"/>
      <c r="N988" s="11"/>
      <c r="O988" s="38"/>
      <c r="P988" s="38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</row>
    <row r="989" spans="1:29">
      <c r="A989" s="1" t="s">
        <v>306</v>
      </c>
      <c r="B989" s="1"/>
      <c r="C989" s="12">
        <v>192</v>
      </c>
      <c r="D989" s="182">
        <v>190</v>
      </c>
      <c r="E989" s="161">
        <v>3.5</v>
      </c>
      <c r="F989" s="1"/>
      <c r="G989" s="2">
        <f>ROUND(E989*C989,0)</f>
        <v>672</v>
      </c>
      <c r="H989" s="2">
        <f>ROUND(E989*D989,0)</f>
        <v>665</v>
      </c>
      <c r="I989" s="161">
        <f>'Blocking - detail'!I960</f>
        <v>3.5</v>
      </c>
      <c r="J989" s="1"/>
      <c r="K989" s="2">
        <f>ROUND(I989*$C989,0)</f>
        <v>672</v>
      </c>
      <c r="M989" s="42">
        <f>I989*D989</f>
        <v>665</v>
      </c>
      <c r="N989" s="11"/>
      <c r="O989" s="288"/>
      <c r="P989" s="288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</row>
    <row r="990" spans="1:29">
      <c r="A990" s="1" t="s">
        <v>307</v>
      </c>
      <c r="B990" s="1"/>
      <c r="C990" s="12">
        <v>146</v>
      </c>
      <c r="D990" s="182">
        <v>145</v>
      </c>
      <c r="E990" s="161">
        <v>6.5</v>
      </c>
      <c r="F990" s="1"/>
      <c r="G990" s="2">
        <f>ROUND(E990*C990,0)</f>
        <v>949</v>
      </c>
      <c r="H990" s="2">
        <f>ROUND(E990*D990,0)</f>
        <v>943</v>
      </c>
      <c r="I990" s="161">
        <f>'Blocking - detail'!I961</f>
        <v>6.5</v>
      </c>
      <c r="J990" s="1"/>
      <c r="K990" s="2">
        <f>ROUND(I990*$C990,0)</f>
        <v>949</v>
      </c>
      <c r="M990" s="42">
        <f>I990*D990</f>
        <v>942.5</v>
      </c>
      <c r="N990" s="11"/>
      <c r="O990" s="288"/>
      <c r="P990" s="288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</row>
    <row r="991" spans="1:29">
      <c r="A991" s="1" t="s">
        <v>308</v>
      </c>
      <c r="B991" s="1"/>
      <c r="C991" s="12">
        <f>SUM(C989:C990)</f>
        <v>338</v>
      </c>
      <c r="D991" s="182">
        <v>335</v>
      </c>
      <c r="E991" s="237"/>
      <c r="F991" s="1"/>
      <c r="G991" s="277"/>
      <c r="H991" s="277"/>
      <c r="I991" s="237"/>
      <c r="J991" s="1"/>
      <c r="K991" s="2"/>
      <c r="M991" s="11"/>
      <c r="N991" s="11"/>
      <c r="O991" s="288"/>
      <c r="P991" s="288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>
      <c r="A992" s="1" t="s">
        <v>268</v>
      </c>
      <c r="B992" s="1"/>
      <c r="C992" s="12">
        <f>88297+144017</f>
        <v>232314</v>
      </c>
      <c r="D992" s="182">
        <v>235030</v>
      </c>
      <c r="E992" s="190">
        <v>7.2930000000000001</v>
      </c>
      <c r="F992" s="1" t="s">
        <v>178</v>
      </c>
      <c r="G992" s="277">
        <f>ROUND(C992*E992/100,0)</f>
        <v>16943</v>
      </c>
      <c r="H992" s="277">
        <f>ROUND(D992*E992/100,0)</f>
        <v>17141</v>
      </c>
      <c r="I992" s="190">
        <v>7.88</v>
      </c>
      <c r="J992" s="2" t="s">
        <v>178</v>
      </c>
      <c r="K992" s="2">
        <f>ROUND(I992*$C992/100,0)</f>
        <v>18306</v>
      </c>
      <c r="M992" s="42">
        <f>(I992/100)*D992</f>
        <v>18520.363999999998</v>
      </c>
      <c r="N992" s="11"/>
      <c r="O992" s="288"/>
      <c r="P992" s="288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</row>
    <row r="993" spans="1:29">
      <c r="A993" s="1" t="s">
        <v>185</v>
      </c>
      <c r="B993" s="1"/>
      <c r="C993" s="182">
        <f>SUM(C992)</f>
        <v>232314</v>
      </c>
      <c r="D993" s="182">
        <f>SUM(D992)</f>
        <v>235030</v>
      </c>
      <c r="E993" s="12"/>
      <c r="F993" s="12"/>
      <c r="G993" s="277">
        <f>SUM(G989:G992)</f>
        <v>18564</v>
      </c>
      <c r="H993" s="277">
        <f>SUM(H989:H992)</f>
        <v>18749</v>
      </c>
      <c r="I993" s="12"/>
      <c r="J993" s="2"/>
      <c r="K993" s="277">
        <f>SUM(K989:K992)</f>
        <v>19927</v>
      </c>
      <c r="M993" s="279">
        <f>SUM(M989:M992)</f>
        <v>20127.863999999998</v>
      </c>
      <c r="N993" s="11"/>
      <c r="O993" s="38"/>
      <c r="P993" s="38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>
      <c r="A994" s="1" t="s">
        <v>167</v>
      </c>
      <c r="B994" s="1"/>
      <c r="C994" s="212" t="e">
        <f>#REF!</f>
        <v>#REF!</v>
      </c>
      <c r="D994" s="212">
        <v>0</v>
      </c>
      <c r="E994" s="290"/>
      <c r="F994" s="290"/>
      <c r="G994" s="291" t="e">
        <f>#REF!</f>
        <v>#REF!</v>
      </c>
      <c r="H994" s="291">
        <v>0</v>
      </c>
      <c r="I994" s="290"/>
      <c r="J994" s="290"/>
      <c r="K994" s="291" t="e">
        <f>G994</f>
        <v>#REF!</v>
      </c>
      <c r="M994" s="152"/>
      <c r="N994" s="152"/>
      <c r="O994" s="153"/>
      <c r="P994" s="38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 ht="16.5" thickBot="1">
      <c r="A995" s="1" t="s">
        <v>186</v>
      </c>
      <c r="B995" s="1"/>
      <c r="C995" s="229" t="e">
        <f>C993+C994</f>
        <v>#REF!</v>
      </c>
      <c r="D995" s="229">
        <f>D992+D994</f>
        <v>235030</v>
      </c>
      <c r="E995" s="208"/>
      <c r="F995" s="208"/>
      <c r="G995" s="175" t="e">
        <f>G993+G994</f>
        <v>#REF!</v>
      </c>
      <c r="H995" s="175">
        <f>H993+H994</f>
        <v>18749</v>
      </c>
      <c r="I995" s="208"/>
      <c r="J995" s="208"/>
      <c r="K995" s="175" t="e">
        <f>K993+K994</f>
        <v>#REF!</v>
      </c>
      <c r="M995" s="154"/>
      <c r="N995" s="140" t="s">
        <v>213</v>
      </c>
      <c r="O995" s="33" t="e">
        <f>#REF!*1000</f>
        <v>#REF!</v>
      </c>
      <c r="P995" s="38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 ht="16.5" thickTop="1">
      <c r="A996" s="1"/>
      <c r="B996" s="176"/>
      <c r="C996" s="1"/>
      <c r="D996" s="1"/>
      <c r="E996" s="1"/>
      <c r="F996" s="1"/>
      <c r="G996" s="1"/>
      <c r="H996" s="1"/>
      <c r="I996" s="1" t="s">
        <v>13</v>
      </c>
      <c r="J996" s="1"/>
      <c r="K996" s="2" t="s">
        <v>13</v>
      </c>
      <c r="M996" s="11"/>
      <c r="N996" s="140" t="s">
        <v>114</v>
      </c>
      <c r="O996" s="279" t="e">
        <f>O995-K995</f>
        <v>#REF!</v>
      </c>
      <c r="P996" s="139" t="e">
        <f>(O995-K995)/K995</f>
        <v>#REF!</v>
      </c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</row>
    <row r="997" spans="1:29">
      <c r="A997" s="125" t="s">
        <v>309</v>
      </c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M997" s="11"/>
      <c r="N997" s="11"/>
      <c r="O997" s="38"/>
      <c r="P997" s="38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>
      <c r="A998" s="166" t="s">
        <v>310</v>
      </c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1"/>
      <c r="Z998" s="11"/>
      <c r="AA998" s="11"/>
      <c r="AB998" s="11"/>
      <c r="AC998" s="11"/>
    </row>
    <row r="999" spans="1:29">
      <c r="A999" s="293" t="s">
        <v>311</v>
      </c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1"/>
      <c r="Z999" s="11"/>
      <c r="AA999" s="11"/>
      <c r="AB999" s="11"/>
      <c r="AC999" s="11"/>
    </row>
    <row r="1000" spans="1:29">
      <c r="A1000" s="3" t="s">
        <v>312</v>
      </c>
      <c r="G1000" s="126"/>
      <c r="H1000" s="126"/>
      <c r="M1000" s="141"/>
      <c r="N1000" s="141"/>
      <c r="O1000" s="141"/>
      <c r="P1000" s="38"/>
      <c r="Q1000" s="142"/>
      <c r="R1000" s="143"/>
      <c r="S1000" s="294"/>
      <c r="T1000" s="145"/>
      <c r="U1000" s="141"/>
      <c r="V1000" s="141"/>
      <c r="W1000" s="141"/>
      <c r="X1000" s="141"/>
      <c r="Y1000" s="11"/>
      <c r="Z1000" s="11"/>
      <c r="AA1000" s="11"/>
      <c r="AB1000" s="11"/>
      <c r="AC1000" s="11"/>
    </row>
    <row r="1001" spans="1:29">
      <c r="A1001" s="3" t="s">
        <v>158</v>
      </c>
      <c r="C1001" s="127">
        <f>10803</f>
        <v>10803</v>
      </c>
      <c r="D1001" s="127">
        <f>ROUND(($D$1030/$C$1030)*C1001,0)</f>
        <v>10983</v>
      </c>
      <c r="E1001" s="128">
        <v>8.7799999999999994</v>
      </c>
      <c r="G1001" s="2">
        <f>ROUND(E1001*$C1001,0)</f>
        <v>94850</v>
      </c>
      <c r="H1001" s="2">
        <f>ROUND(E1001*$D1001,0)</f>
        <v>96431</v>
      </c>
      <c r="I1001" s="128" t="e">
        <f>E1001+(E1001*$P$1032)</f>
        <v>#REF!</v>
      </c>
      <c r="K1001" s="2" t="e">
        <f>ROUND(I1001*$C1001,0)</f>
        <v>#REF!</v>
      </c>
      <c r="M1001" s="42" t="e">
        <f>I1001*D1001</f>
        <v>#REF!</v>
      </c>
      <c r="N1001" s="11"/>
      <c r="O1001" s="144"/>
      <c r="P1001" s="38"/>
      <c r="Q1001" s="266"/>
      <c r="R1001" s="146"/>
      <c r="S1001" s="147"/>
      <c r="T1001" s="141"/>
      <c r="U1001" s="144"/>
      <c r="V1001" s="144"/>
      <c r="W1001" s="295"/>
      <c r="X1001" s="144"/>
      <c r="Y1001" s="11"/>
      <c r="Z1001" s="11"/>
      <c r="AA1001" s="11"/>
      <c r="AB1001" s="11"/>
      <c r="AC1001" s="11"/>
    </row>
    <row r="1002" spans="1:29">
      <c r="A1002" s="3" t="s">
        <v>159</v>
      </c>
      <c r="C1002" s="127">
        <f>1449</f>
        <v>1449</v>
      </c>
      <c r="D1002" s="127">
        <f>ROUND(($D$1030/$C$1030)*C1002,0)</f>
        <v>1473</v>
      </c>
      <c r="E1002" s="128">
        <v>16.079999999999998</v>
      </c>
      <c r="G1002" s="2">
        <f>ROUND(E1002*$C1002,0)</f>
        <v>23300</v>
      </c>
      <c r="H1002" s="2">
        <f>ROUND(E1002*$D1002,0)</f>
        <v>23686</v>
      </c>
      <c r="I1002" s="128" t="e">
        <f>E1002+(E1002*$P$1032)</f>
        <v>#REF!</v>
      </c>
      <c r="K1002" s="2" t="e">
        <f>ROUND(I1002*$C1002,0)</f>
        <v>#REF!</v>
      </c>
      <c r="M1002" s="42" t="e">
        <f>I1002*D1002</f>
        <v>#REF!</v>
      </c>
      <c r="N1002" s="11"/>
      <c r="O1002" s="144"/>
      <c r="P1002" s="38"/>
      <c r="Q1002" s="266"/>
      <c r="R1002" s="146"/>
      <c r="S1002" s="141"/>
      <c r="T1002" s="141"/>
      <c r="U1002" s="144"/>
      <c r="V1002" s="144"/>
      <c r="W1002" s="295"/>
      <c r="X1002" s="144"/>
      <c r="Y1002" s="11"/>
      <c r="Z1002" s="11"/>
      <c r="AA1002" s="11"/>
      <c r="AB1002" s="11"/>
      <c r="AC1002" s="11"/>
    </row>
    <row r="1003" spans="1:29">
      <c r="A1003" s="3" t="s">
        <v>160</v>
      </c>
      <c r="C1003" s="127">
        <v>36</v>
      </c>
      <c r="D1003" s="127">
        <f>ROUND(($D$1030/$C$1030)*C1003,0)</f>
        <v>37</v>
      </c>
      <c r="E1003" s="128">
        <v>32.53</v>
      </c>
      <c r="G1003" s="2">
        <f>ROUND(E1003*$C1003,0)</f>
        <v>1171</v>
      </c>
      <c r="H1003" s="2">
        <f>ROUND(E1003*$D1003,0)</f>
        <v>1204</v>
      </c>
      <c r="I1003" s="128" t="e">
        <f>E1003+(E1003*$P$1032)</f>
        <v>#REF!</v>
      </c>
      <c r="K1003" s="2" t="e">
        <f>ROUND(I1003*$C1003,0)</f>
        <v>#REF!</v>
      </c>
      <c r="M1003" s="42" t="e">
        <f>I1003*D1003</f>
        <v>#REF!</v>
      </c>
      <c r="N1003" s="11"/>
      <c r="O1003" s="144"/>
      <c r="P1003" s="38"/>
      <c r="Q1003" s="266"/>
      <c r="R1003" s="146"/>
      <c r="S1003" s="141"/>
      <c r="T1003" s="141"/>
      <c r="U1003" s="144"/>
      <c r="V1003" s="144"/>
      <c r="W1003" s="295"/>
      <c r="X1003" s="144"/>
      <c r="Y1003" s="11"/>
      <c r="Z1003" s="11"/>
      <c r="AA1003" s="11"/>
      <c r="AB1003" s="11"/>
      <c r="AC1003" s="11"/>
    </row>
    <row r="1004" spans="1:29">
      <c r="A1004" s="3" t="s">
        <v>313</v>
      </c>
      <c r="C1004" s="127"/>
      <c r="D1004" s="127"/>
      <c r="E1004" s="296"/>
      <c r="G1004" s="126"/>
      <c r="H1004" s="126"/>
      <c r="I1004" s="296"/>
      <c r="N1004" s="11"/>
      <c r="O1004" s="144"/>
      <c r="P1004" s="38"/>
      <c r="Q1004" s="11"/>
      <c r="R1004" s="150"/>
      <c r="S1004" s="141"/>
      <c r="T1004" s="141"/>
      <c r="U1004" s="144"/>
      <c r="V1004" s="144"/>
      <c r="W1004" s="295"/>
      <c r="X1004" s="144"/>
      <c r="Y1004" s="11"/>
      <c r="Z1004" s="11"/>
      <c r="AA1004" s="11"/>
      <c r="AB1004" s="11"/>
      <c r="AC1004" s="11"/>
    </row>
    <row r="1005" spans="1:29">
      <c r="A1005" s="3" t="s">
        <v>158</v>
      </c>
      <c r="C1005" s="127">
        <f>5042</f>
        <v>5042</v>
      </c>
      <c r="D1005" s="127">
        <f>ROUND(($D$1030/$C$1030)*C1005,0)</f>
        <v>5126</v>
      </c>
      <c r="E1005" s="128">
        <v>8.23</v>
      </c>
      <c r="G1005" s="2">
        <f>ROUND(E1005*$C1005,0)</f>
        <v>41496</v>
      </c>
      <c r="H1005" s="2">
        <f>ROUND(E1005*$D1005,0)</f>
        <v>42187</v>
      </c>
      <c r="I1005" s="128" t="e">
        <f>E1005+(E1005*$P$1032)</f>
        <v>#REF!</v>
      </c>
      <c r="K1005" s="2" t="e">
        <f>ROUND(I1005*$C1005,0)</f>
        <v>#REF!</v>
      </c>
      <c r="M1005" s="42" t="e">
        <f>I1005*D1005</f>
        <v>#REF!</v>
      </c>
      <c r="N1005" s="11"/>
      <c r="O1005" s="144"/>
      <c r="P1005" s="38"/>
      <c r="Q1005" s="266"/>
      <c r="R1005" s="146"/>
      <c r="S1005" s="11"/>
      <c r="T1005" s="11"/>
      <c r="U1005" s="144"/>
      <c r="V1005" s="144"/>
      <c r="W1005" s="295"/>
      <c r="X1005" s="144"/>
      <c r="Y1005" s="11"/>
      <c r="Z1005" s="11"/>
      <c r="AA1005" s="11"/>
      <c r="AB1005" s="11"/>
      <c r="AC1005" s="11"/>
    </row>
    <row r="1006" spans="1:29">
      <c r="A1006" s="3" t="s">
        <v>159</v>
      </c>
      <c r="C1006" s="127">
        <v>0</v>
      </c>
      <c r="D1006" s="127">
        <f>ROUND(($D$1030/$C$1030)*C1006,0)</f>
        <v>0</v>
      </c>
      <c r="E1006" s="128">
        <v>15</v>
      </c>
      <c r="G1006" s="2">
        <f>ROUND(E1006*$C1006,0)</f>
        <v>0</v>
      </c>
      <c r="H1006" s="2">
        <f>ROUND(E1006*$D1006,0)</f>
        <v>0</v>
      </c>
      <c r="I1006" s="128" t="e">
        <f>E1006+(E1006*$P$1032)</f>
        <v>#REF!</v>
      </c>
      <c r="K1006" s="2" t="e">
        <f>ROUND(I1006*$C1006,0)</f>
        <v>#REF!</v>
      </c>
      <c r="M1006" s="42" t="e">
        <f>I1006*D1006</f>
        <v>#REF!</v>
      </c>
      <c r="N1006" s="11"/>
      <c r="O1006" s="144"/>
      <c r="P1006" s="38"/>
      <c r="Q1006" s="266"/>
      <c r="R1006" s="146"/>
      <c r="S1006" s="11"/>
      <c r="T1006" s="11"/>
      <c r="U1006" s="144"/>
      <c r="V1006" s="144"/>
      <c r="W1006" s="295"/>
      <c r="X1006" s="144"/>
      <c r="Y1006" s="11"/>
      <c r="Z1006" s="11"/>
      <c r="AA1006" s="11"/>
      <c r="AB1006" s="11"/>
      <c r="AC1006" s="11"/>
    </row>
    <row r="1007" spans="1:29">
      <c r="A1007" s="293" t="s">
        <v>314</v>
      </c>
      <c r="C1007" s="127"/>
      <c r="D1007" s="127"/>
      <c r="E1007" s="128"/>
      <c r="G1007" s="2"/>
      <c r="H1007" s="2"/>
      <c r="I1007" s="128"/>
      <c r="K1007" s="2"/>
      <c r="N1007" s="11"/>
      <c r="O1007" s="144"/>
      <c r="P1007" s="38"/>
      <c r="Q1007" s="11"/>
      <c r="R1007" s="11"/>
      <c r="S1007" s="11"/>
      <c r="T1007" s="11"/>
      <c r="U1007" s="11"/>
      <c r="V1007" s="11"/>
      <c r="W1007" s="295"/>
      <c r="X1007" s="11"/>
      <c r="Y1007" s="11"/>
      <c r="Z1007" s="11"/>
      <c r="AA1007" s="11"/>
      <c r="AB1007" s="11"/>
      <c r="AC1007" s="11"/>
    </row>
    <row r="1008" spans="1:29">
      <c r="A1008" s="3" t="s">
        <v>312</v>
      </c>
      <c r="C1008" s="127"/>
      <c r="D1008" s="127"/>
      <c r="E1008" s="296"/>
      <c r="G1008" s="126"/>
      <c r="H1008" s="126"/>
      <c r="I1008" s="296"/>
      <c r="N1008" s="11"/>
      <c r="O1008" s="38"/>
      <c r="P1008" s="38"/>
      <c r="Q1008" s="11"/>
      <c r="R1008" s="11"/>
      <c r="S1008" s="11"/>
      <c r="T1008" s="11"/>
      <c r="U1008" s="11"/>
      <c r="V1008" s="11"/>
      <c r="W1008" s="295"/>
      <c r="X1008" s="11"/>
      <c r="Y1008" s="11"/>
      <c r="Z1008" s="11"/>
      <c r="AA1008" s="11"/>
      <c r="AB1008" s="11"/>
      <c r="AC1008" s="11"/>
    </row>
    <row r="1009" spans="1:29">
      <c r="A1009" s="3" t="s">
        <v>158</v>
      </c>
      <c r="C1009" s="127">
        <f>471</f>
        <v>471</v>
      </c>
      <c r="D1009" s="127">
        <f>ROUND(($D$1030/$C$1030)*C1009,0)</f>
        <v>479</v>
      </c>
      <c r="E1009" s="128">
        <v>11.47</v>
      </c>
      <c r="G1009" s="2">
        <f>ROUND(E1009*$C1009,0)</f>
        <v>5402</v>
      </c>
      <c r="H1009" s="2">
        <f>ROUND(E1009*$D1009,0)</f>
        <v>5494</v>
      </c>
      <c r="I1009" s="128" t="e">
        <f>E1009+(E1009*$P$1032)</f>
        <v>#REF!</v>
      </c>
      <c r="K1009" s="2" t="e">
        <f>ROUND(I1009*$C1009,0)</f>
        <v>#REF!</v>
      </c>
      <c r="M1009" s="42" t="e">
        <f>I1009*D1009</f>
        <v>#REF!</v>
      </c>
      <c r="N1009" s="11"/>
      <c r="O1009" s="144"/>
      <c r="P1009" s="38"/>
      <c r="Q1009" s="266"/>
      <c r="R1009" s="146"/>
      <c r="S1009" s="11"/>
      <c r="T1009" s="11"/>
      <c r="U1009" s="144"/>
      <c r="V1009" s="144"/>
      <c r="W1009" s="295"/>
      <c r="X1009" s="144"/>
      <c r="Y1009" s="11"/>
      <c r="Z1009" s="11"/>
      <c r="AA1009" s="11"/>
      <c r="AB1009" s="11"/>
      <c r="AC1009" s="11"/>
    </row>
    <row r="1010" spans="1:29">
      <c r="A1010" s="3" t="s">
        <v>159</v>
      </c>
      <c r="C1010" s="127">
        <f>456</f>
        <v>456</v>
      </c>
      <c r="D1010" s="127">
        <f>ROUND(($D$1030/$C$1030)*C1010,0)</f>
        <v>464</v>
      </c>
      <c r="E1010" s="128">
        <v>19.260000000000002</v>
      </c>
      <c r="G1010" s="2">
        <f>ROUND(E1010*$C1010,0)</f>
        <v>8783</v>
      </c>
      <c r="H1010" s="2">
        <f>ROUND(E1010*$D1010,0)</f>
        <v>8937</v>
      </c>
      <c r="I1010" s="128" t="e">
        <f>E1010+(E1010*$P$1032)</f>
        <v>#REF!</v>
      </c>
      <c r="K1010" s="2" t="e">
        <f>ROUND(I1010*$C1010,0)</f>
        <v>#REF!</v>
      </c>
      <c r="M1010" s="42" t="e">
        <f>I1010*D1010</f>
        <v>#REF!</v>
      </c>
      <c r="N1010" s="11"/>
      <c r="O1010" s="144"/>
      <c r="P1010" s="38"/>
      <c r="Q1010" s="266"/>
      <c r="R1010" s="146"/>
      <c r="S1010" s="292"/>
      <c r="T1010" s="292"/>
      <c r="U1010" s="144"/>
      <c r="V1010" s="144"/>
      <c r="W1010" s="295"/>
      <c r="X1010" s="144"/>
      <c r="Y1010" s="11"/>
      <c r="Z1010" s="11"/>
      <c r="AA1010" s="11"/>
      <c r="AB1010" s="11"/>
      <c r="AC1010" s="11"/>
    </row>
    <row r="1011" spans="1:29">
      <c r="A1011" s="3" t="s">
        <v>160</v>
      </c>
      <c r="C1011" s="127">
        <v>0</v>
      </c>
      <c r="D1011" s="127">
        <f>ROUND(($D$1030/$C$1030)*C1011,0)</f>
        <v>0</v>
      </c>
      <c r="E1011" s="128">
        <v>35.75</v>
      </c>
      <c r="G1011" s="2">
        <f>ROUND(E1011*$C1011,0)</f>
        <v>0</v>
      </c>
      <c r="H1011" s="2">
        <f>ROUND(E1011*$D1011,0)</f>
        <v>0</v>
      </c>
      <c r="I1011" s="128" t="e">
        <f>E1011+(E1011*$P$1032)</f>
        <v>#REF!</v>
      </c>
      <c r="K1011" s="2" t="e">
        <f>ROUND(I1011*$C1011,0)</f>
        <v>#REF!</v>
      </c>
      <c r="M1011" s="42" t="e">
        <f>I1011*D1011</f>
        <v>#REF!</v>
      </c>
      <c r="N1011" s="11"/>
      <c r="O1011" s="144"/>
      <c r="P1011" s="38"/>
      <c r="Q1011" s="266"/>
      <c r="R1011" s="146"/>
      <c r="S1011" s="292"/>
      <c r="T1011" s="292"/>
      <c r="U1011" s="144"/>
      <c r="V1011" s="144"/>
      <c r="W1011" s="295"/>
      <c r="X1011" s="144"/>
      <c r="Y1011" s="11"/>
      <c r="Z1011" s="11"/>
      <c r="AA1011" s="11"/>
      <c r="AB1011" s="11"/>
      <c r="AC1011" s="11"/>
    </row>
    <row r="1012" spans="1:29">
      <c r="A1012" s="3" t="s">
        <v>313</v>
      </c>
      <c r="C1012" s="127"/>
      <c r="D1012" s="127"/>
      <c r="E1012" s="296"/>
      <c r="G1012" s="126"/>
      <c r="H1012" s="126"/>
      <c r="I1012" s="296"/>
      <c r="M1012" s="11"/>
      <c r="N1012" s="11"/>
      <c r="O1012" s="11"/>
      <c r="P1012" s="298"/>
      <c r="Q1012" s="298"/>
      <c r="R1012" s="480"/>
      <c r="S1012" s="292"/>
      <c r="T1012" s="292"/>
      <c r="U1012" s="300"/>
      <c r="V1012" s="11"/>
      <c r="W1012" s="295"/>
      <c r="X1012" s="11"/>
      <c r="Y1012" s="11"/>
      <c r="Z1012" s="11"/>
      <c r="AA1012" s="11"/>
      <c r="AB1012" s="11"/>
      <c r="AC1012" s="11"/>
    </row>
    <row r="1013" spans="1:29">
      <c r="A1013" s="3" t="s">
        <v>158</v>
      </c>
      <c r="C1013" s="127">
        <v>0</v>
      </c>
      <c r="D1013" s="127">
        <f>ROUND(($D$1030/$C$1030)*C1013,0)</f>
        <v>0</v>
      </c>
      <c r="E1013" s="128">
        <v>10.86</v>
      </c>
      <c r="G1013" s="2">
        <f>ROUND(E1013*$C1013,0)</f>
        <v>0</v>
      </c>
      <c r="H1013" s="2">
        <f>ROUND(E1013*$D1013,0)</f>
        <v>0</v>
      </c>
      <c r="I1013" s="128" t="e">
        <f>E1013+(E1013*$P$1032)</f>
        <v>#REF!</v>
      </c>
      <c r="K1013" s="2" t="e">
        <f>ROUND(I1013*$C1013,0)</f>
        <v>#REF!</v>
      </c>
      <c r="M1013" s="42" t="e">
        <f>I1013*D1013</f>
        <v>#REF!</v>
      </c>
      <c r="N1013" s="11"/>
      <c r="O1013" s="144"/>
      <c r="P1013" s="38"/>
      <c r="Q1013" s="266"/>
      <c r="R1013" s="146"/>
      <c r="S1013" s="292"/>
      <c r="T1013" s="292"/>
      <c r="U1013" s="144"/>
      <c r="V1013" s="144"/>
      <c r="W1013" s="295"/>
      <c r="X1013" s="144"/>
      <c r="Y1013" s="11"/>
      <c r="Z1013" s="11"/>
      <c r="AA1013" s="11"/>
      <c r="AB1013" s="11"/>
      <c r="AC1013" s="11"/>
    </row>
    <row r="1014" spans="1:29">
      <c r="A1014" s="3" t="s">
        <v>159</v>
      </c>
      <c r="C1014" s="127">
        <v>0</v>
      </c>
      <c r="D1014" s="127">
        <f>ROUND(($D$1030/$C$1030)*C1014,0)</f>
        <v>0</v>
      </c>
      <c r="E1014" s="128">
        <v>18.21</v>
      </c>
      <c r="G1014" s="2">
        <f>ROUND(E1014*$C1014,0)</f>
        <v>0</v>
      </c>
      <c r="H1014" s="2">
        <f>ROUND(E1014*$D1014,0)</f>
        <v>0</v>
      </c>
      <c r="I1014" s="128" t="e">
        <f>E1014+(E1014*$P$1032)</f>
        <v>#REF!</v>
      </c>
      <c r="K1014" s="2" t="e">
        <f>ROUND(I1014*$C1014,0)</f>
        <v>#REF!</v>
      </c>
      <c r="M1014" s="42" t="e">
        <f>I1014*D1014</f>
        <v>#REF!</v>
      </c>
      <c r="N1014" s="11"/>
      <c r="O1014" s="144"/>
      <c r="P1014" s="38"/>
      <c r="Q1014" s="266"/>
      <c r="R1014" s="146"/>
      <c r="S1014" s="292"/>
      <c r="T1014" s="292"/>
      <c r="U1014" s="144"/>
      <c r="V1014" s="144"/>
      <c r="W1014" s="295"/>
      <c r="X1014" s="144"/>
      <c r="Y1014" s="11"/>
      <c r="Z1014" s="11"/>
      <c r="AA1014" s="11"/>
      <c r="AB1014" s="11"/>
      <c r="AC1014" s="11"/>
    </row>
    <row r="1015" spans="1:29">
      <c r="A1015" s="293" t="s">
        <v>315</v>
      </c>
      <c r="B1015" s="166"/>
      <c r="C1015" s="127"/>
      <c r="D1015" s="127"/>
      <c r="E1015" s="296"/>
      <c r="F1015" s="166"/>
      <c r="G1015" s="166"/>
      <c r="H1015" s="166"/>
      <c r="I1015" s="296"/>
      <c r="J1015" s="166"/>
      <c r="K1015" s="166"/>
      <c r="M1015" s="11"/>
      <c r="N1015" s="11"/>
      <c r="O1015" s="11"/>
      <c r="P1015" s="298"/>
      <c r="Q1015" s="298"/>
      <c r="R1015" s="480"/>
      <c r="S1015" s="292"/>
      <c r="T1015" s="292"/>
      <c r="U1015" s="300"/>
      <c r="V1015" s="11"/>
      <c r="W1015" s="295"/>
      <c r="X1015" s="11"/>
      <c r="Y1015" s="11"/>
      <c r="Z1015" s="11"/>
      <c r="AA1015" s="11"/>
      <c r="AB1015" s="11"/>
      <c r="AC1015" s="11"/>
    </row>
    <row r="1016" spans="1:29">
      <c r="A1016" s="3" t="s">
        <v>312</v>
      </c>
      <c r="C1016" s="127"/>
      <c r="D1016" s="127"/>
      <c r="E1016" s="296"/>
      <c r="G1016" s="126"/>
      <c r="H1016" s="126"/>
      <c r="I1016" s="296"/>
      <c r="M1016" s="11"/>
      <c r="N1016" s="11"/>
      <c r="O1016" s="11"/>
      <c r="P1016" s="298"/>
      <c r="Q1016" s="298"/>
      <c r="R1016" s="480"/>
      <c r="S1016" s="292"/>
      <c r="T1016" s="292"/>
      <c r="U1016" s="300"/>
      <c r="V1016" s="11"/>
      <c r="W1016" s="295"/>
      <c r="X1016" s="11"/>
      <c r="Y1016" s="11"/>
      <c r="Z1016" s="11"/>
      <c r="AA1016" s="11"/>
      <c r="AB1016" s="11"/>
      <c r="AC1016" s="11"/>
    </row>
    <row r="1017" spans="1:29">
      <c r="A1017" s="3" t="s">
        <v>158</v>
      </c>
      <c r="C1017" s="127">
        <v>0</v>
      </c>
      <c r="D1017" s="127">
        <f>ROUND(($D$1030/$C$1030)*C1017,0)</f>
        <v>0</v>
      </c>
      <c r="E1017" s="128">
        <v>11.47</v>
      </c>
      <c r="G1017" s="2">
        <f>ROUND(E1017*$C1017,0)</f>
        <v>0</v>
      </c>
      <c r="H1017" s="2">
        <f>ROUND(E1017*$D1017,0)</f>
        <v>0</v>
      </c>
      <c r="I1017" s="128" t="e">
        <f>E1017+(E1017*$P$1032)</f>
        <v>#REF!</v>
      </c>
      <c r="K1017" s="2" t="e">
        <f>ROUND(I1017*$C1017,0)</f>
        <v>#REF!</v>
      </c>
      <c r="M1017" s="42" t="e">
        <f>I1017*D1017</f>
        <v>#REF!</v>
      </c>
      <c r="N1017" s="11"/>
      <c r="O1017" s="144"/>
      <c r="P1017" s="38"/>
      <c r="Q1017" s="266"/>
      <c r="R1017" s="146"/>
      <c r="S1017" s="292"/>
      <c r="T1017" s="292"/>
      <c r="U1017" s="144"/>
      <c r="V1017" s="144"/>
      <c r="W1017" s="295"/>
      <c r="X1017" s="144"/>
      <c r="Y1017" s="11"/>
      <c r="Z1017" s="11"/>
      <c r="AA1017" s="11"/>
      <c r="AB1017" s="11"/>
      <c r="AC1017" s="11"/>
    </row>
    <row r="1018" spans="1:29">
      <c r="A1018" s="3" t="s">
        <v>159</v>
      </c>
      <c r="C1018" s="127">
        <v>0</v>
      </c>
      <c r="D1018" s="127">
        <f>ROUND(($D$1030/$C$1030)*C1018,0)</f>
        <v>0</v>
      </c>
      <c r="E1018" s="128">
        <v>18.649999999999999</v>
      </c>
      <c r="G1018" s="2">
        <f>ROUND(E1018*$C1018,0)</f>
        <v>0</v>
      </c>
      <c r="H1018" s="2">
        <f>ROUND(E1018*$D1018,0)</f>
        <v>0</v>
      </c>
      <c r="I1018" s="128" t="e">
        <f>E1018+(E1018*$P$1032)</f>
        <v>#REF!</v>
      </c>
      <c r="K1018" s="2" t="e">
        <f>ROUND(I1018*$C1018,0)</f>
        <v>#REF!</v>
      </c>
      <c r="M1018" s="42" t="e">
        <f>I1018*D1018</f>
        <v>#REF!</v>
      </c>
      <c r="N1018" s="11"/>
      <c r="O1018" s="144"/>
      <c r="P1018" s="38"/>
      <c r="Q1018" s="266"/>
      <c r="R1018" s="146"/>
      <c r="S1018" s="292"/>
      <c r="T1018" s="292"/>
      <c r="U1018" s="144"/>
      <c r="V1018" s="144"/>
      <c r="W1018" s="295"/>
      <c r="X1018" s="144"/>
      <c r="Y1018" s="11"/>
      <c r="Z1018" s="11"/>
      <c r="AA1018" s="11"/>
      <c r="AB1018" s="11"/>
      <c r="AC1018" s="11"/>
    </row>
    <row r="1019" spans="1:29">
      <c r="A1019" s="3" t="s">
        <v>160</v>
      </c>
      <c r="C1019" s="127">
        <v>0</v>
      </c>
      <c r="D1019" s="127">
        <f>ROUND(($D$1030/$C$1030)*C1019,0)</f>
        <v>0</v>
      </c>
      <c r="E1019" s="128">
        <v>35.130000000000003</v>
      </c>
      <c r="G1019" s="2">
        <f>ROUND(E1019*$C1019,0)</f>
        <v>0</v>
      </c>
      <c r="H1019" s="2">
        <f>ROUND(E1019*$D1019,0)</f>
        <v>0</v>
      </c>
      <c r="I1019" s="128" t="e">
        <f>E1019+(E1019*$P$1032)</f>
        <v>#REF!</v>
      </c>
      <c r="K1019" s="2" t="e">
        <f>ROUND(I1019*$C1019,0)</f>
        <v>#REF!</v>
      </c>
      <c r="M1019" s="42" t="e">
        <f>I1019*D1019</f>
        <v>#REF!</v>
      </c>
      <c r="N1019" s="11"/>
      <c r="O1019" s="144"/>
      <c r="P1019" s="38"/>
      <c r="Q1019" s="266"/>
      <c r="R1019" s="146"/>
      <c r="S1019" s="292"/>
      <c r="T1019" s="292"/>
      <c r="U1019" s="144"/>
      <c r="V1019" s="144"/>
      <c r="W1019" s="295"/>
      <c r="X1019" s="144"/>
      <c r="Y1019" s="11"/>
      <c r="Z1019" s="11"/>
      <c r="AA1019" s="11"/>
      <c r="AB1019" s="11"/>
      <c r="AC1019" s="11"/>
    </row>
    <row r="1020" spans="1:29">
      <c r="A1020" s="3" t="s">
        <v>313</v>
      </c>
      <c r="C1020" s="127"/>
      <c r="D1020" s="127"/>
      <c r="E1020" s="296"/>
      <c r="G1020" s="126"/>
      <c r="H1020" s="126"/>
      <c r="I1020" s="296"/>
      <c r="M1020" s="11"/>
      <c r="N1020" s="11"/>
      <c r="O1020" s="11"/>
      <c r="P1020" s="298"/>
      <c r="Q1020" s="298"/>
      <c r="R1020" s="480"/>
      <c r="S1020" s="292"/>
      <c r="T1020" s="292"/>
      <c r="U1020" s="300"/>
      <c r="V1020" s="11"/>
      <c r="W1020" s="295"/>
      <c r="X1020" s="11"/>
      <c r="Y1020" s="11"/>
      <c r="Z1020" s="11"/>
      <c r="AA1020" s="11"/>
      <c r="AB1020" s="11"/>
      <c r="AC1020" s="11"/>
    </row>
    <row r="1021" spans="1:29">
      <c r="A1021" s="3" t="s">
        <v>158</v>
      </c>
      <c r="C1021" s="127">
        <v>0</v>
      </c>
      <c r="D1021" s="127">
        <f>ROUND(($D$1030/$C$1030)*C1021,0)</f>
        <v>0</v>
      </c>
      <c r="E1021" s="128">
        <v>10.86</v>
      </c>
      <c r="G1021" s="2">
        <f>ROUND(E1021*$C1021,0)</f>
        <v>0</v>
      </c>
      <c r="H1021" s="2">
        <f>ROUND(E1021*$D1021,0)</f>
        <v>0</v>
      </c>
      <c r="I1021" s="128" t="e">
        <f>E1021+(E1021*$P$1032)</f>
        <v>#REF!</v>
      </c>
      <c r="K1021" s="2" t="e">
        <f>ROUND(I1021*$C1021,0)</f>
        <v>#REF!</v>
      </c>
      <c r="M1021" s="42" t="e">
        <f>I1021*D1021</f>
        <v>#REF!</v>
      </c>
      <c r="N1021" s="11"/>
      <c r="O1021" s="144"/>
      <c r="P1021" s="38"/>
      <c r="Q1021" s="266"/>
      <c r="R1021" s="146"/>
      <c r="S1021" s="292"/>
      <c r="T1021" s="292"/>
      <c r="U1021" s="144"/>
      <c r="V1021" s="144"/>
      <c r="W1021" s="295"/>
      <c r="X1021" s="144"/>
      <c r="Y1021" s="11"/>
      <c r="Z1021" s="11"/>
      <c r="AA1021" s="11"/>
      <c r="AB1021" s="11"/>
      <c r="AC1021" s="11"/>
    </row>
    <row r="1022" spans="1:29">
      <c r="A1022" s="3" t="s">
        <v>159</v>
      </c>
      <c r="C1022" s="127">
        <v>0</v>
      </c>
      <c r="D1022" s="127">
        <f>ROUND(($D$1030/$C$1030)*C1022,0)</f>
        <v>0</v>
      </c>
      <c r="E1022" s="128">
        <v>17.600000000000001</v>
      </c>
      <c r="G1022" s="2">
        <f>ROUND(E1022*$C1022,0)</f>
        <v>0</v>
      </c>
      <c r="H1022" s="2">
        <f>ROUND(E1022*$D1022,0)</f>
        <v>0</v>
      </c>
      <c r="I1022" s="128" t="e">
        <f>E1022+(E1022*$P$1032)</f>
        <v>#REF!</v>
      </c>
      <c r="K1022" s="2" t="e">
        <f>ROUND(I1022*$C1022,0)</f>
        <v>#REF!</v>
      </c>
      <c r="M1022" s="42" t="e">
        <f>I1022*D1022</f>
        <v>#REF!</v>
      </c>
      <c r="N1022" s="11"/>
      <c r="O1022" s="144"/>
      <c r="P1022" s="38"/>
      <c r="Q1022" s="266"/>
      <c r="R1022" s="146"/>
      <c r="S1022" s="292"/>
      <c r="T1022" s="292"/>
      <c r="U1022" s="144"/>
      <c r="V1022" s="144"/>
      <c r="W1022" s="295"/>
      <c r="X1022" s="144"/>
      <c r="Y1022" s="11"/>
      <c r="Z1022" s="11"/>
      <c r="AA1022" s="11"/>
      <c r="AB1022" s="11"/>
      <c r="AC1022" s="11"/>
    </row>
    <row r="1023" spans="1:29">
      <c r="A1023" s="293" t="s">
        <v>316</v>
      </c>
      <c r="B1023" s="166"/>
      <c r="C1023" s="127"/>
      <c r="D1023" s="127"/>
      <c r="E1023" s="296"/>
      <c r="F1023" s="166"/>
      <c r="G1023" s="166"/>
      <c r="H1023" s="166"/>
      <c r="I1023" s="296"/>
      <c r="J1023" s="166"/>
      <c r="K1023" s="166"/>
      <c r="M1023" s="11"/>
      <c r="N1023" s="11"/>
      <c r="O1023" s="11"/>
      <c r="P1023" s="298"/>
      <c r="Q1023" s="298"/>
      <c r="R1023" s="480"/>
      <c r="S1023" s="292"/>
      <c r="T1023" s="292"/>
      <c r="U1023" s="300"/>
      <c r="V1023" s="11"/>
      <c r="W1023" s="295"/>
      <c r="X1023" s="11"/>
      <c r="Y1023" s="11"/>
      <c r="Z1023" s="11"/>
      <c r="AA1023" s="11"/>
      <c r="AB1023" s="11"/>
      <c r="AC1023" s="11"/>
    </row>
    <row r="1024" spans="1:29">
      <c r="A1024" s="3" t="s">
        <v>158</v>
      </c>
      <c r="C1024" s="127">
        <f>1999</f>
        <v>1999</v>
      </c>
      <c r="D1024" s="127">
        <f>ROUND(($D$1030/$C$1030)*C1024,0)</f>
        <v>2032</v>
      </c>
      <c r="E1024" s="128">
        <v>9.18</v>
      </c>
      <c r="G1024" s="2">
        <f>ROUND(E1024*$C1024,0)</f>
        <v>18351</v>
      </c>
      <c r="H1024" s="2">
        <f>ROUND(E1024*$D1024,0)</f>
        <v>18654</v>
      </c>
      <c r="I1024" s="128" t="e">
        <f>E1024+(E1024*$P$1032)</f>
        <v>#REF!</v>
      </c>
      <c r="K1024" s="2" t="e">
        <f>ROUND(I1024*$C1024,0)</f>
        <v>#REF!</v>
      </c>
      <c r="M1024" s="42" t="e">
        <f>I1024*D1024</f>
        <v>#REF!</v>
      </c>
      <c r="N1024" s="11"/>
      <c r="O1024" s="144"/>
      <c r="P1024" s="38"/>
      <c r="Q1024" s="266"/>
      <c r="R1024" s="146"/>
      <c r="S1024" s="292"/>
      <c r="T1024" s="292"/>
      <c r="U1024" s="144"/>
      <c r="V1024" s="144"/>
      <c r="W1024" s="295"/>
      <c r="X1024" s="144"/>
      <c r="Y1024" s="11"/>
      <c r="Z1024" s="11"/>
      <c r="AA1024" s="11"/>
      <c r="AB1024" s="11"/>
      <c r="AC1024" s="11"/>
    </row>
    <row r="1025" spans="1:29">
      <c r="A1025" s="3" t="s">
        <v>159</v>
      </c>
      <c r="C1025" s="127">
        <f>1691</f>
        <v>1691</v>
      </c>
      <c r="D1025" s="127">
        <f>ROUND(($D$1030/$C$1030)*C1025,0)</f>
        <v>1719</v>
      </c>
      <c r="E1025" s="128">
        <v>16.079999999999998</v>
      </c>
      <c r="G1025" s="2">
        <f>ROUND(E1025*$C1025,0)</f>
        <v>27191</v>
      </c>
      <c r="H1025" s="2">
        <f>ROUND(E1025*$D1025,0)</f>
        <v>27642</v>
      </c>
      <c r="I1025" s="128" t="e">
        <f>E1025+(E1025*$P$1032)</f>
        <v>#REF!</v>
      </c>
      <c r="K1025" s="2" t="e">
        <f>ROUND(I1025*$C1025,0)</f>
        <v>#REF!</v>
      </c>
      <c r="M1025" s="42" t="e">
        <f>I1025*D1025</f>
        <v>#REF!</v>
      </c>
      <c r="N1025" s="11"/>
      <c r="O1025" s="144"/>
      <c r="P1025" s="38"/>
      <c r="Q1025" s="266"/>
      <c r="R1025" s="146"/>
      <c r="S1025" s="292"/>
      <c r="T1025" s="292"/>
      <c r="U1025" s="144"/>
      <c r="V1025" s="144"/>
      <c r="W1025" s="295"/>
      <c r="X1025" s="144"/>
      <c r="Y1025" s="11"/>
      <c r="Z1025" s="11"/>
      <c r="AA1025" s="11"/>
      <c r="AB1025" s="11"/>
      <c r="AC1025" s="11"/>
    </row>
    <row r="1026" spans="1:29">
      <c r="A1026" s="3" t="s">
        <v>160</v>
      </c>
      <c r="C1026" s="127">
        <v>0</v>
      </c>
      <c r="D1026" s="127">
        <f>ROUND(($D$1030/$C$1030)*C1026,0)</f>
        <v>0</v>
      </c>
      <c r="E1026" s="128">
        <v>34.340000000000003</v>
      </c>
      <c r="G1026" s="2">
        <f>ROUND(E1026*$C1026,0)</f>
        <v>0</v>
      </c>
      <c r="H1026" s="2">
        <f>ROUND(E1026*$D1026,0)</f>
        <v>0</v>
      </c>
      <c r="I1026" s="128" t="e">
        <f>E1026+(E1026*$P$1032)</f>
        <v>#REF!</v>
      </c>
      <c r="K1026" s="2" t="e">
        <f>ROUND(I1026*$C1026,0)</f>
        <v>#REF!</v>
      </c>
      <c r="M1026" s="42" t="e">
        <f>I1026*D1026</f>
        <v>#REF!</v>
      </c>
      <c r="N1026" s="11"/>
      <c r="O1026" s="144"/>
      <c r="P1026" s="38"/>
      <c r="Q1026" s="266"/>
      <c r="R1026" s="146"/>
      <c r="S1026" s="292"/>
      <c r="T1026" s="292"/>
      <c r="U1026" s="144"/>
      <c r="V1026" s="144"/>
      <c r="W1026" s="295"/>
      <c r="X1026" s="144"/>
      <c r="Y1026" s="11"/>
      <c r="Z1026" s="11"/>
      <c r="AA1026" s="11"/>
      <c r="AB1026" s="11"/>
      <c r="AC1026" s="11"/>
    </row>
    <row r="1027" spans="1:29">
      <c r="A1027" s="5" t="s">
        <v>317</v>
      </c>
      <c r="C1027" s="127"/>
      <c r="D1027" s="127"/>
      <c r="E1027" s="128"/>
      <c r="G1027" s="2"/>
      <c r="H1027" s="2"/>
      <c r="I1027" s="128"/>
      <c r="K1027" s="2"/>
      <c r="M1027" s="11"/>
      <c r="N1027" s="11"/>
      <c r="O1027" s="11"/>
      <c r="P1027" s="298"/>
      <c r="Q1027" s="298"/>
      <c r="R1027" s="481"/>
      <c r="S1027" s="292"/>
      <c r="T1027" s="292"/>
      <c r="U1027" s="300"/>
      <c r="V1027" s="11"/>
      <c r="W1027" s="295"/>
      <c r="X1027" s="11"/>
      <c r="Y1027" s="11"/>
      <c r="Z1027" s="11"/>
      <c r="AA1027" s="11"/>
      <c r="AB1027" s="11"/>
      <c r="AC1027" s="11"/>
    </row>
    <row r="1028" spans="1:29">
      <c r="A1028" s="3" t="s">
        <v>318</v>
      </c>
      <c r="C1028" s="127">
        <f>96</f>
        <v>96</v>
      </c>
      <c r="D1028" s="127">
        <f>ROUND(($D$1030/$C$1030)*C1028,0)</f>
        <v>98</v>
      </c>
      <c r="E1028" s="128">
        <v>32.950000000000003</v>
      </c>
      <c r="G1028" s="2">
        <f>ROUND(E1028*$C1028,0)</f>
        <v>3163</v>
      </c>
      <c r="H1028" s="2">
        <f>ROUND(E1028*$D1028,0)</f>
        <v>3229</v>
      </c>
      <c r="I1028" s="128" t="e">
        <f>E1028+(E1028*$P$1032)</f>
        <v>#REF!</v>
      </c>
      <c r="K1028" s="2" t="e">
        <f>ROUND(I1028*$C1028,0)</f>
        <v>#REF!</v>
      </c>
      <c r="M1028" s="42" t="e">
        <f>I1028*D1028</f>
        <v>#REF!</v>
      </c>
      <c r="N1028" s="11"/>
      <c r="O1028" s="144"/>
      <c r="P1028" s="38"/>
      <c r="Q1028" s="266"/>
      <c r="R1028" s="146"/>
      <c r="S1028" s="292"/>
      <c r="T1028" s="292"/>
      <c r="U1028" s="144"/>
      <c r="V1028" s="144"/>
      <c r="W1028" s="295"/>
      <c r="X1028" s="144"/>
      <c r="Y1028" s="11"/>
      <c r="Z1028" s="11"/>
      <c r="AA1028" s="11"/>
      <c r="AB1028" s="11"/>
      <c r="AC1028" s="11"/>
    </row>
    <row r="1029" spans="1:29">
      <c r="A1029" s="3" t="s">
        <v>166</v>
      </c>
      <c r="C1029" s="127">
        <f>74+91+41+12+35+35+27+62+12</f>
        <v>389</v>
      </c>
      <c r="D1029" s="127">
        <v>588</v>
      </c>
      <c r="E1029" s="302"/>
      <c r="G1029" s="2"/>
      <c r="H1029" s="2"/>
      <c r="I1029" s="302"/>
      <c r="K1029" s="2"/>
      <c r="N1029" s="11"/>
      <c r="O1029" s="144"/>
      <c r="P1029" s="303"/>
      <c r="Q1029" s="11"/>
      <c r="R1029" s="150"/>
      <c r="S1029" s="141"/>
      <c r="T1029" s="141"/>
      <c r="U1029" s="144"/>
      <c r="V1029" s="144"/>
      <c r="W1029" s="144"/>
      <c r="X1029" s="144"/>
      <c r="Y1029" s="11"/>
      <c r="Z1029" s="11"/>
      <c r="AA1029" s="11"/>
      <c r="AB1029" s="11"/>
      <c r="AC1029" s="11"/>
    </row>
    <row r="1030" spans="1:29">
      <c r="A1030" s="3" t="s">
        <v>185</v>
      </c>
      <c r="C1030" s="127">
        <f>2042049</f>
        <v>2042049</v>
      </c>
      <c r="D1030" s="127">
        <v>2075987.7990116791</v>
      </c>
      <c r="E1030" s="132"/>
      <c r="F1030" s="11"/>
      <c r="G1030" s="135">
        <f>SUM(G1001:G1028)</f>
        <v>223707</v>
      </c>
      <c r="H1030" s="135">
        <f>SUM(H1001:H1028)</f>
        <v>227464</v>
      </c>
      <c r="I1030" s="132"/>
      <c r="J1030" s="11"/>
      <c r="K1030" s="135" t="e">
        <f>SUM(K1001:K1028)</f>
        <v>#REF!</v>
      </c>
      <c r="M1030" s="42" t="e">
        <f>SUM(M1001:M1029)</f>
        <v>#REF!</v>
      </c>
      <c r="N1030" s="11"/>
      <c r="O1030" s="144"/>
      <c r="P1030" s="482"/>
      <c r="Q1030" s="11"/>
      <c r="R1030" s="150"/>
      <c r="S1030" s="141"/>
      <c r="T1030" s="141"/>
      <c r="U1030" s="151"/>
      <c r="V1030" s="141"/>
      <c r="W1030" s="141"/>
      <c r="X1030" s="141"/>
      <c r="Y1030" s="11"/>
      <c r="Z1030" s="11"/>
      <c r="AA1030" s="11"/>
      <c r="AB1030" s="11"/>
      <c r="AC1030" s="11"/>
    </row>
    <row r="1031" spans="1:29">
      <c r="A1031" s="3" t="s">
        <v>167</v>
      </c>
      <c r="C1031" s="127" t="e">
        <f>#REF!</f>
        <v>#REF!</v>
      </c>
      <c r="D1031" s="127">
        <v>0</v>
      </c>
      <c r="E1031" s="132"/>
      <c r="F1031" s="11"/>
      <c r="G1031" s="135" t="e">
        <f>#REF!</f>
        <v>#REF!</v>
      </c>
      <c r="H1031" s="135">
        <v>0</v>
      </c>
      <c r="I1031" s="132"/>
      <c r="J1031" s="11"/>
      <c r="K1031" s="135" t="e">
        <f>G1031</f>
        <v>#REF!</v>
      </c>
      <c r="M1031" s="152"/>
      <c r="N1031" s="307"/>
      <c r="O1031" s="150"/>
      <c r="P1031" s="141"/>
      <c r="Q1031" s="141"/>
      <c r="R1031" s="146"/>
      <c r="S1031" s="144"/>
      <c r="T1031" s="141"/>
      <c r="U1031" s="11"/>
      <c r="V1031" s="11"/>
      <c r="W1031" s="11"/>
      <c r="X1031" s="11"/>
      <c r="Y1031" s="11"/>
      <c r="Z1031" s="11"/>
      <c r="AA1031" s="11"/>
      <c r="AB1031" s="11"/>
      <c r="AC1031" s="11"/>
    </row>
    <row r="1032" spans="1:29" ht="16.5" thickBot="1">
      <c r="A1032" s="3" t="s">
        <v>1</v>
      </c>
      <c r="C1032" s="136" t="e">
        <f>C1030+C1031</f>
        <v>#REF!</v>
      </c>
      <c r="D1032" s="136">
        <f>D1030+D1031</f>
        <v>2075987.7990116791</v>
      </c>
      <c r="E1032" s="137"/>
      <c r="F1032" s="137"/>
      <c r="G1032" s="137" t="e">
        <f>G1030+G1031</f>
        <v>#REF!</v>
      </c>
      <c r="H1032" s="137">
        <f>H1030+H1031</f>
        <v>227464</v>
      </c>
      <c r="I1032" s="137"/>
      <c r="J1032" s="137"/>
      <c r="K1032" s="137" t="e">
        <f>K1030+K1031</f>
        <v>#REF!</v>
      </c>
      <c r="M1032" s="154"/>
      <c r="N1032" s="140" t="s">
        <v>213</v>
      </c>
      <c r="O1032" s="33" t="e">
        <f>#REF!*1000</f>
        <v>#REF!</v>
      </c>
      <c r="P1032" s="8" t="e">
        <f>(O1032-G1032)/G1032+0.00276</f>
        <v>#REF!</v>
      </c>
      <c r="Q1032" s="141"/>
      <c r="R1032" s="141"/>
      <c r="S1032" s="141"/>
      <c r="T1032" s="141"/>
      <c r="U1032" s="11"/>
      <c r="V1032" s="11"/>
      <c r="W1032" s="11"/>
      <c r="X1032" s="11"/>
      <c r="Y1032" s="11"/>
      <c r="Z1032" s="11"/>
      <c r="AA1032" s="11"/>
      <c r="AB1032" s="11"/>
      <c r="AC1032" s="11"/>
    </row>
    <row r="1033" spans="1:29" ht="16.5" thickTop="1">
      <c r="C1033" s="138"/>
      <c r="D1033" s="138"/>
      <c r="E1033" s="138"/>
      <c r="F1033" s="138"/>
      <c r="G1033" s="126"/>
      <c r="H1033" s="126"/>
      <c r="I1033" s="138" t="s">
        <v>13</v>
      </c>
      <c r="J1033" s="138"/>
      <c r="K1033" s="2" t="s">
        <v>13</v>
      </c>
      <c r="M1033" s="140"/>
      <c r="N1033" s="140" t="s">
        <v>114</v>
      </c>
      <c r="O1033" s="279" t="e">
        <f>O1032-K1032</f>
        <v>#REF!</v>
      </c>
      <c r="P1033" s="157" t="e">
        <f>(O1032-K1032)/K1032</f>
        <v>#REF!</v>
      </c>
      <c r="Q1033" s="141"/>
      <c r="R1033" s="141"/>
      <c r="S1033" s="141"/>
      <c r="T1033" s="141"/>
      <c r="U1033" s="11"/>
      <c r="V1033" s="11"/>
      <c r="W1033" s="11"/>
      <c r="X1033" s="11"/>
      <c r="Y1033" s="11"/>
      <c r="Z1033" s="11"/>
      <c r="AA1033" s="11"/>
      <c r="AB1033" s="11"/>
      <c r="AC1033" s="11"/>
    </row>
    <row r="1034" spans="1:29">
      <c r="A1034" s="166"/>
      <c r="B1034" s="176"/>
      <c r="C1034" s="308"/>
      <c r="D1034" s="308"/>
      <c r="E1034" s="309"/>
      <c r="F1034" s="2"/>
      <c r="G1034" s="2"/>
      <c r="H1034" s="2"/>
      <c r="I1034" s="309"/>
      <c r="J1034" s="166"/>
      <c r="K1034" s="2"/>
      <c r="M1034" s="11"/>
      <c r="N1034" s="11"/>
      <c r="O1034" s="38"/>
      <c r="P1034" s="38"/>
      <c r="Q1034" s="11"/>
      <c r="R1034" s="11"/>
      <c r="S1034" s="11"/>
      <c r="T1034" s="11"/>
      <c r="U1034" s="11"/>
      <c r="V1034" s="11"/>
      <c r="W1034" s="11"/>
      <c r="X1034" s="11"/>
    </row>
    <row r="1035" spans="1:29" s="4" customFormat="1" ht="19.899999999999999" customHeight="1" thickBot="1">
      <c r="A1035" s="310" t="s">
        <v>319</v>
      </c>
      <c r="B1035" s="311"/>
      <c r="C1035" s="312" t="e">
        <f>C27+C91+C176+C474+C508+C627+C760+C787+C925+C936+C947+C995+C1032</f>
        <v>#REF!</v>
      </c>
      <c r="D1035" s="312" t="e">
        <f>D27+D91+D176+D474+D508+D627+D760+D787+D925+D936+D947+D995+D1032</f>
        <v>#REF!</v>
      </c>
      <c r="E1035" s="313"/>
      <c r="F1035" s="314"/>
      <c r="G1035" s="314" t="e">
        <f>G27+G91+G176+G474+G508+G627+G760+G787+G925+G936+G947+G995+G1032</f>
        <v>#REF!</v>
      </c>
      <c r="H1035" s="314" t="e">
        <f>H27+H91+H176+H474+H508+H627+H760+H787+H925+H936+H947+H995+H1032</f>
        <v>#REF!</v>
      </c>
      <c r="I1035" s="313"/>
      <c r="J1035" s="314"/>
      <c r="K1035" s="314" t="e">
        <f>K27+K91+K176+K474+K508+K627+K760+K787+K925+K936+K947+K995+K1032</f>
        <v>#REF!</v>
      </c>
      <c r="M1035" s="11"/>
      <c r="N1035" s="6" t="s">
        <v>213</v>
      </c>
      <c r="O1035" s="321" t="e">
        <f>O27+O91+O176+O508+O627+O815+O898+O925+O936+O947+O995+O1032</f>
        <v>#REF!</v>
      </c>
      <c r="P1035" s="38"/>
      <c r="Q1035" s="6"/>
      <c r="R1035" s="6"/>
      <c r="S1035" s="6"/>
      <c r="T1035" s="6"/>
      <c r="U1035" s="6"/>
      <c r="V1035" s="6"/>
      <c r="W1035" s="6"/>
      <c r="X1035" s="6"/>
    </row>
    <row r="1036" spans="1:29" ht="16.5" thickTop="1">
      <c r="A1036" s="1"/>
      <c r="B1036" s="176"/>
      <c r="C1036" s="12"/>
      <c r="D1036" s="12"/>
      <c r="E1036" s="200"/>
      <c r="F1036" s="2"/>
      <c r="G1036" s="2"/>
      <c r="H1036" s="2"/>
      <c r="I1036" s="216" t="s">
        <v>13</v>
      </c>
      <c r="J1036" s="1"/>
      <c r="K1036" s="2" t="s">
        <v>13</v>
      </c>
      <c r="M1036" s="11"/>
      <c r="N1036" s="11" t="s">
        <v>114</v>
      </c>
      <c r="O1036" s="38" t="e">
        <f>O1035-K1035</f>
        <v>#REF!</v>
      </c>
      <c r="P1036" s="177" t="e">
        <f>(O1035-K1038)/K1038</f>
        <v>#REF!</v>
      </c>
      <c r="Q1036" s="11"/>
      <c r="R1036" s="11"/>
      <c r="S1036" s="11"/>
      <c r="T1036" s="11"/>
      <c r="U1036" s="11"/>
      <c r="V1036" s="11"/>
      <c r="W1036" s="11"/>
      <c r="X1036" s="11"/>
    </row>
    <row r="1037" spans="1:29">
      <c r="A1037" s="1" t="s">
        <v>14</v>
      </c>
      <c r="B1037" s="176"/>
      <c r="C1037" s="316"/>
      <c r="D1037" s="316"/>
      <c r="E1037" s="317"/>
      <c r="F1037" s="318"/>
      <c r="G1037" s="318" t="e">
        <f>#REF!+#REF!+#REF!+#REF!+#REF!</f>
        <v>#REF!</v>
      </c>
      <c r="H1037" s="318">
        <v>311006.74</v>
      </c>
      <c r="I1037" s="319"/>
      <c r="J1037" s="320"/>
      <c r="K1037" s="318" t="e">
        <f>G1037</f>
        <v>#REF!</v>
      </c>
      <c r="M1037" s="11"/>
      <c r="Q1037" s="11"/>
      <c r="R1037" s="11"/>
      <c r="S1037" s="11"/>
      <c r="T1037" s="11"/>
      <c r="U1037" s="11"/>
      <c r="V1037" s="11"/>
      <c r="W1037" s="11"/>
      <c r="X1037" s="11"/>
    </row>
    <row r="1038" spans="1:29" s="4" customFormat="1" ht="19.899999999999999" customHeight="1" thickBot="1">
      <c r="A1038" s="322" t="s">
        <v>320</v>
      </c>
      <c r="B1038" s="323"/>
      <c r="C1038" s="324" t="e">
        <f>C1035+C1037</f>
        <v>#REF!</v>
      </c>
      <c r="D1038" s="324" t="e">
        <f>D1035+D1037</f>
        <v>#REF!</v>
      </c>
      <c r="E1038" s="325"/>
      <c r="F1038" s="326"/>
      <c r="G1038" s="327" t="e">
        <f>G1035+G1037</f>
        <v>#REF!</v>
      </c>
      <c r="H1038" s="342" t="e">
        <f>H1035+H1037</f>
        <v>#REF!</v>
      </c>
      <c r="I1038" s="328"/>
      <c r="J1038" s="326"/>
      <c r="K1038" s="342" t="e">
        <f>K1035+K1037</f>
        <v>#REF!</v>
      </c>
      <c r="M1038" s="6"/>
      <c r="Q1038" s="6"/>
      <c r="R1038" s="6"/>
      <c r="S1038" s="6"/>
      <c r="T1038" s="6"/>
      <c r="U1038" s="6"/>
      <c r="V1038" s="6"/>
      <c r="W1038" s="6"/>
      <c r="X1038" s="6"/>
    </row>
    <row r="1039" spans="1:29" ht="16.5" thickTop="1">
      <c r="A1039" s="1"/>
      <c r="B1039" s="176"/>
      <c r="C1039" s="12"/>
      <c r="D1039" s="12"/>
      <c r="E1039" s="329" t="s">
        <v>13</v>
      </c>
      <c r="F1039" s="2"/>
      <c r="G1039" s="2" t="s">
        <v>13</v>
      </c>
      <c r="H1039" s="2" t="s">
        <v>13</v>
      </c>
      <c r="I1039" s="200"/>
      <c r="J1039" s="1"/>
      <c r="K1039" s="2"/>
      <c r="M1039" s="11"/>
      <c r="N1039" s="11"/>
      <c r="O1039" s="38"/>
      <c r="P1039" s="38"/>
      <c r="Q1039" s="11"/>
      <c r="R1039" s="11"/>
      <c r="S1039" s="11"/>
      <c r="T1039" s="11"/>
      <c r="U1039" s="11"/>
      <c r="V1039" s="11"/>
      <c r="W1039" s="11"/>
      <c r="X1039" s="11"/>
    </row>
    <row r="1040" spans="1:29">
      <c r="C1040" s="330"/>
      <c r="D1040" s="330"/>
      <c r="E1040" s="133"/>
      <c r="H1040" s="331"/>
      <c r="K1040" s="127"/>
      <c r="M1040" s="11"/>
      <c r="N1040" s="11"/>
      <c r="O1040" s="38"/>
      <c r="P1040" s="38"/>
      <c r="Q1040" s="11"/>
      <c r="R1040" s="11"/>
      <c r="S1040" s="11"/>
      <c r="T1040" s="11"/>
      <c r="U1040" s="11"/>
      <c r="V1040" s="11"/>
      <c r="W1040" s="11"/>
      <c r="X1040" s="11"/>
    </row>
    <row r="1041" spans="1:24">
      <c r="A1041" s="332"/>
      <c r="M1041" s="11"/>
      <c r="N1041" s="11"/>
      <c r="O1041" s="38"/>
      <c r="P1041" s="38"/>
      <c r="Q1041" s="11"/>
      <c r="R1041" s="11"/>
      <c r="S1041" s="11"/>
      <c r="T1041" s="11"/>
      <c r="U1041" s="11"/>
      <c r="V1041" s="11"/>
      <c r="W1041" s="11"/>
      <c r="X1041" s="11"/>
    </row>
    <row r="1042" spans="1:24">
      <c r="A1042" s="1" t="s">
        <v>71</v>
      </c>
      <c r="B1042" s="3" t="s">
        <v>321</v>
      </c>
      <c r="C1042" s="127" t="e">
        <f>#REF!</f>
        <v>#REF!</v>
      </c>
      <c r="D1042" s="127">
        <v>4081125563.3743143</v>
      </c>
      <c r="G1042" s="42" t="e">
        <f>#REF!</f>
        <v>#REF!</v>
      </c>
      <c r="H1042" s="42">
        <v>239244616.27999997</v>
      </c>
      <c r="M1042" s="11"/>
      <c r="N1042" s="11"/>
      <c r="O1042" s="38"/>
      <c r="P1042" s="38"/>
      <c r="Q1042" s="11"/>
      <c r="R1042" s="11"/>
      <c r="S1042" s="11"/>
      <c r="T1042" s="11"/>
      <c r="U1042" s="11"/>
      <c r="V1042" s="11"/>
      <c r="W1042" s="11"/>
      <c r="X1042" s="11"/>
    </row>
    <row r="1043" spans="1:24">
      <c r="B1043" s="3" t="s">
        <v>322</v>
      </c>
      <c r="C1043" s="127" t="e">
        <f>#REF!</f>
        <v>#REF!</v>
      </c>
      <c r="D1043" s="127">
        <v>4081125563.3743143</v>
      </c>
      <c r="G1043" s="42" t="e">
        <f>#REF!</f>
        <v>#REF!</v>
      </c>
      <c r="H1043" s="42">
        <v>239244616.27999997</v>
      </c>
      <c r="M1043" s="11"/>
      <c r="N1043" s="11"/>
      <c r="O1043" s="38"/>
      <c r="P1043" s="38"/>
      <c r="Q1043" s="11"/>
      <c r="R1043" s="11"/>
      <c r="S1043" s="11"/>
      <c r="T1043" s="11"/>
      <c r="U1043" s="11"/>
      <c r="V1043" s="11"/>
      <c r="W1043" s="11"/>
      <c r="X1043" s="11"/>
    </row>
    <row r="1044" spans="1:24">
      <c r="M1044" s="11"/>
      <c r="N1044" s="11"/>
      <c r="O1044" s="38"/>
      <c r="P1044" s="38"/>
      <c r="Q1044" s="11"/>
      <c r="R1044" s="11"/>
      <c r="S1044" s="11"/>
      <c r="T1044" s="11"/>
      <c r="U1044" s="11"/>
      <c r="V1044" s="11"/>
      <c r="W1044" s="11"/>
      <c r="X1044" s="11"/>
    </row>
    <row r="1045" spans="1:24">
      <c r="B1045" s="3" t="s">
        <v>111</v>
      </c>
      <c r="C1045" s="127" t="e">
        <f>C1038-C1043</f>
        <v>#REF!</v>
      </c>
      <c r="D1045" s="127" t="e">
        <f>D1038-D1043</f>
        <v>#REF!</v>
      </c>
      <c r="G1045" s="127" t="e">
        <f>G1038-G1043</f>
        <v>#REF!</v>
      </c>
      <c r="H1045" s="127" t="e">
        <f>H1038-H1043</f>
        <v>#REF!</v>
      </c>
      <c r="M1045" s="11"/>
      <c r="N1045" s="11"/>
      <c r="O1045" s="38"/>
      <c r="P1045" s="38"/>
      <c r="Q1045" s="11"/>
      <c r="R1045" s="11"/>
      <c r="S1045" s="11"/>
      <c r="T1045" s="11"/>
      <c r="U1045" s="11"/>
      <c r="V1045" s="11"/>
      <c r="W1045" s="11"/>
      <c r="X1045" s="11"/>
    </row>
    <row r="1046" spans="1:24">
      <c r="M1046" s="11"/>
      <c r="N1046" s="11"/>
      <c r="O1046" s="38"/>
      <c r="P1046" s="38"/>
      <c r="Q1046" s="11"/>
      <c r="R1046" s="11"/>
      <c r="S1046" s="11"/>
      <c r="T1046" s="11"/>
      <c r="U1046" s="11"/>
      <c r="V1046" s="11"/>
      <c r="W1046" s="11"/>
      <c r="X1046" s="11"/>
    </row>
    <row r="1048" spans="1:24">
      <c r="B1048" s="3" t="s">
        <v>323</v>
      </c>
      <c r="C1048" s="127">
        <f>C24+C83+C157+C483+C587+C737+C768+C922+C933+C944+C991+C1029</f>
        <v>1499468</v>
      </c>
      <c r="D1048" s="127">
        <f>D24+D83+D157+D483+D587+D737+D768+D922+D933+D944+D991+D1029</f>
        <v>1458185.8409090908</v>
      </c>
    </row>
    <row r="1049" spans="1:24">
      <c r="B1049" s="3" t="s">
        <v>18</v>
      </c>
      <c r="C1049" s="127">
        <f>((C83+C186+C271+C483+C737+C768+C922+C933+C944+C991+C1029)/12)+C358+C587+C24</f>
        <v>160240.41666666669</v>
      </c>
      <c r="D1049" s="127">
        <f>((D83+D186+D271+D483+D737+D768+D922+D933+D944+D991+D1029)/12)+D358+D587+D24</f>
        <v>129032.00757575758</v>
      </c>
    </row>
    <row r="1051" spans="1:24">
      <c r="B1051" s="3" t="s">
        <v>111</v>
      </c>
      <c r="C1051" s="127">
        <v>-31827.666666666672</v>
      </c>
      <c r="D1051" s="127">
        <v>706.2424242424313</v>
      </c>
    </row>
  </sheetData>
  <mergeCells count="4">
    <mergeCell ref="A2:G2"/>
    <mergeCell ref="A3:G3"/>
    <mergeCell ref="A4:G4"/>
    <mergeCell ref="A5:G5"/>
  </mergeCells>
  <phoneticPr fontId="0" type="noConversion"/>
  <printOptions horizontalCentered="1"/>
  <pageMargins left="0.5" right="0.5" top="0.5" bottom="0.55000000000000004" header="0.5" footer="0.25"/>
  <pageSetup scale="52" fitToHeight="17" orientation="portrait" r:id="rId1"/>
  <headerFooter alignWithMargins="0">
    <oddFooter>&amp;LPrepared by Pricing &amp;D&amp;CPage &amp;P of &amp;N&amp;R&amp;F&amp;A</oddFooter>
  </headerFooter>
  <rowBreaks count="4" manualBreakCount="4">
    <brk id="177" max="10" man="1"/>
    <brk id="577" max="10" man="1"/>
    <brk id="761" max="10" man="1"/>
    <brk id="99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transitionEvaluation="1" transitionEntry="1" codeName="Sheet10">
    <tabColor indexed="13"/>
  </sheetPr>
  <dimension ref="A1:AE1022"/>
  <sheetViews>
    <sheetView workbookViewId="0"/>
  </sheetViews>
  <sheetFormatPr defaultColWidth="10.25" defaultRowHeight="15.75"/>
  <cols>
    <col min="1" max="1" width="21.625" style="3" customWidth="1"/>
    <col min="2" max="2" width="15.625" style="3" customWidth="1"/>
    <col min="3" max="3" width="16.625" style="3" hidden="1" customWidth="1"/>
    <col min="4" max="4" width="16.625" style="3" customWidth="1"/>
    <col min="5" max="5" width="14.875" style="3" customWidth="1"/>
    <col min="6" max="6" width="2.125" style="3" bestFit="1" customWidth="1"/>
    <col min="7" max="7" width="16.875" style="3" hidden="1" customWidth="1"/>
    <col min="8" max="8" width="16.875" style="3" customWidth="1"/>
    <col min="9" max="9" width="12.625" style="3" customWidth="1"/>
    <col min="10" max="10" width="2.125" style="3" bestFit="1" customWidth="1"/>
    <col min="11" max="11" width="17.875" style="3" customWidth="1"/>
    <col min="12" max="12" width="1.25" style="3" customWidth="1"/>
    <col min="13" max="14" width="16.5" style="3" customWidth="1"/>
    <col min="15" max="15" width="15" style="33" customWidth="1"/>
    <col min="16" max="16" width="11.75" style="33" customWidth="1"/>
    <col min="17" max="17" width="13.5" style="3" customWidth="1"/>
    <col min="18" max="18" width="15" style="3" customWidth="1"/>
    <col min="19" max="19" width="15.375" style="3" customWidth="1"/>
    <col min="20" max="20" width="15.25" style="3" customWidth="1"/>
    <col min="21" max="21" width="14.125" style="3" customWidth="1"/>
    <col min="22" max="22" width="13.75" style="3" customWidth="1"/>
    <col min="23" max="23" width="13.125" style="3" customWidth="1"/>
    <col min="24" max="24" width="14.875" style="3" customWidth="1"/>
    <col min="25" max="25" width="10.75" style="3" customWidth="1"/>
    <col min="26" max="16384" width="10.25" style="3"/>
  </cols>
  <sheetData>
    <row r="1" spans="1:31" ht="18">
      <c r="A1" s="109" t="s">
        <v>13</v>
      </c>
      <c r="B1" s="110"/>
      <c r="C1" s="110"/>
      <c r="D1" s="110"/>
      <c r="E1" s="111"/>
      <c r="F1" s="111"/>
      <c r="G1" s="110"/>
      <c r="H1" s="110"/>
      <c r="I1" s="111"/>
      <c r="J1" s="110"/>
      <c r="K1" s="110"/>
    </row>
    <row r="2" spans="1:31" ht="18">
      <c r="A2" s="109" t="s">
        <v>73</v>
      </c>
      <c r="B2" s="110"/>
      <c r="C2" s="110"/>
      <c r="D2" s="110"/>
      <c r="E2" s="111"/>
      <c r="F2" s="111"/>
      <c r="G2" s="110"/>
      <c r="H2" s="110"/>
      <c r="I2" s="111"/>
      <c r="J2" s="110"/>
      <c r="K2" s="110"/>
    </row>
    <row r="3" spans="1:31" ht="18">
      <c r="A3" s="109" t="s">
        <v>150</v>
      </c>
      <c r="B3" s="110"/>
      <c r="C3" s="110"/>
      <c r="D3" s="110"/>
      <c r="E3" s="111"/>
      <c r="F3" s="111"/>
      <c r="G3" s="110"/>
      <c r="H3" s="110"/>
      <c r="I3" s="111"/>
      <c r="J3" s="110"/>
      <c r="K3" s="110"/>
    </row>
    <row r="4" spans="1:31">
      <c r="A4" s="112" t="s">
        <v>118</v>
      </c>
      <c r="B4" s="113"/>
      <c r="C4" s="113"/>
      <c r="D4" s="113"/>
      <c r="E4" s="114"/>
      <c r="F4" s="114"/>
      <c r="G4" s="113"/>
      <c r="H4" s="113"/>
      <c r="I4" s="114"/>
      <c r="J4" s="113"/>
      <c r="K4" s="113"/>
    </row>
    <row r="5" spans="1:31">
      <c r="A5" s="115" t="s">
        <v>151</v>
      </c>
      <c r="B5" s="113"/>
      <c r="C5" s="113"/>
      <c r="D5" s="113"/>
      <c r="E5" s="114"/>
      <c r="F5" s="114"/>
      <c r="G5" s="113"/>
      <c r="H5" s="113"/>
      <c r="I5" s="114"/>
      <c r="J5" s="113"/>
      <c r="K5" s="113"/>
    </row>
    <row r="6" spans="1:31">
      <c r="A6" s="115"/>
      <c r="B6" s="113"/>
      <c r="C6" s="113"/>
      <c r="D6" s="113"/>
      <c r="E6" s="114"/>
      <c r="F6" s="114"/>
      <c r="G6" s="113"/>
      <c r="H6" s="113"/>
      <c r="I6" s="114"/>
      <c r="J6" s="113"/>
      <c r="K6" s="113"/>
    </row>
    <row r="7" spans="1:31">
      <c r="A7" s="115"/>
      <c r="B7" s="113"/>
      <c r="C7" s="113"/>
      <c r="D7" s="113"/>
      <c r="E7" s="114"/>
      <c r="F7" s="114"/>
      <c r="G7" s="113"/>
      <c r="H7" s="113"/>
      <c r="I7" s="114"/>
      <c r="J7" s="113"/>
      <c r="K7" s="113"/>
    </row>
    <row r="8" spans="1:31">
      <c r="A8" s="113"/>
      <c r="B8" s="113"/>
      <c r="C8" s="113"/>
      <c r="D8" s="113"/>
      <c r="E8" s="114"/>
      <c r="F8" s="114"/>
      <c r="G8" s="113"/>
      <c r="H8" s="113"/>
      <c r="I8" s="114"/>
      <c r="J8" s="113"/>
      <c r="K8" s="113"/>
    </row>
    <row r="9" spans="1:31">
      <c r="A9" s="116"/>
      <c r="B9" s="116"/>
      <c r="C9" s="117"/>
      <c r="D9" s="117"/>
      <c r="E9" s="118"/>
      <c r="F9" s="118"/>
      <c r="G9" s="119" t="s">
        <v>85</v>
      </c>
      <c r="H9" s="120"/>
      <c r="I9" s="118"/>
      <c r="J9" s="119"/>
      <c r="K9" s="119"/>
    </row>
    <row r="10" spans="1:31">
      <c r="A10" s="116"/>
      <c r="B10" s="116"/>
      <c r="C10" s="117" t="s">
        <v>152</v>
      </c>
      <c r="D10" s="117"/>
      <c r="E10" s="119" t="s">
        <v>85</v>
      </c>
      <c r="F10" s="118"/>
      <c r="G10" s="121" t="s">
        <v>153</v>
      </c>
      <c r="H10" s="120" t="s">
        <v>85</v>
      </c>
      <c r="I10" s="119" t="s">
        <v>120</v>
      </c>
      <c r="J10" s="117"/>
      <c r="K10" s="119" t="s">
        <v>120</v>
      </c>
    </row>
    <row r="11" spans="1:31">
      <c r="A11" s="116"/>
      <c r="B11" s="116"/>
      <c r="C11" s="122" t="s">
        <v>119</v>
      </c>
      <c r="D11" s="117" t="s">
        <v>152</v>
      </c>
      <c r="E11" s="123" t="s">
        <v>4</v>
      </c>
      <c r="F11" s="124"/>
      <c r="G11" s="123" t="s">
        <v>119</v>
      </c>
      <c r="H11" s="119" t="s">
        <v>153</v>
      </c>
      <c r="I11" s="123" t="s">
        <v>4</v>
      </c>
      <c r="J11" s="123"/>
      <c r="K11" s="123" t="s">
        <v>153</v>
      </c>
      <c r="M11" s="121" t="s">
        <v>154</v>
      </c>
    </row>
    <row r="12" spans="1:31">
      <c r="A12" s="125" t="s">
        <v>155</v>
      </c>
      <c r="G12" s="126"/>
      <c r="H12" s="126"/>
    </row>
    <row r="13" spans="1:31">
      <c r="A13" s="3" t="s">
        <v>156</v>
      </c>
      <c r="G13" s="126"/>
      <c r="H13" s="126"/>
    </row>
    <row r="14" spans="1:31">
      <c r="G14" s="126"/>
      <c r="H14" s="126"/>
    </row>
    <row r="15" spans="1:31">
      <c r="A15" s="3" t="s">
        <v>157</v>
      </c>
      <c r="G15" s="126"/>
      <c r="H15" s="126"/>
    </row>
    <row r="16" spans="1:31">
      <c r="A16" s="3" t="s">
        <v>158</v>
      </c>
      <c r="C16" s="127">
        <f t="shared" ref="C16:D18" si="0">C33+C50+C67</f>
        <v>30615</v>
      </c>
      <c r="D16" s="127">
        <f t="shared" si="0"/>
        <v>30989</v>
      </c>
      <c r="E16" s="128">
        <v>9.6</v>
      </c>
      <c r="G16" s="2">
        <f t="shared" ref="G16:H18" si="1">G33+G50+G67</f>
        <v>293904</v>
      </c>
      <c r="H16" s="2">
        <f t="shared" si="1"/>
        <v>297494</v>
      </c>
      <c r="I16" s="128">
        <v>9.6</v>
      </c>
      <c r="K16" s="2">
        <f>K33+K50+K67</f>
        <v>297494</v>
      </c>
      <c r="M16" s="42">
        <f>I16*D16</f>
        <v>297494.39999999997</v>
      </c>
      <c r="N16" s="3">
        <v>76</v>
      </c>
      <c r="O16" s="48">
        <f>N16*D16</f>
        <v>2355164</v>
      </c>
      <c r="P16" s="129">
        <f>N16*$O$25</f>
        <v>-2.3212565360957803E-15</v>
      </c>
      <c r="Q16" s="129">
        <f>C16*P16</f>
        <v>-7.1065268852572319E-11</v>
      </c>
      <c r="R16" s="130">
        <f>ROUND(E16+P16,2)</f>
        <v>9.6</v>
      </c>
      <c r="AE16" s="42"/>
    </row>
    <row r="17" spans="1:31">
      <c r="A17" s="3" t="s">
        <v>159</v>
      </c>
      <c r="C17" s="127">
        <f t="shared" si="0"/>
        <v>4904</v>
      </c>
      <c r="D17" s="127">
        <f t="shared" si="0"/>
        <v>5043</v>
      </c>
      <c r="E17" s="128">
        <v>18.28</v>
      </c>
      <c r="G17" s="2">
        <f t="shared" si="1"/>
        <v>89645</v>
      </c>
      <c r="H17" s="2">
        <f t="shared" si="1"/>
        <v>92186</v>
      </c>
      <c r="I17" s="128">
        <v>18.28</v>
      </c>
      <c r="K17" s="2">
        <f>K34+K51+K68</f>
        <v>92186</v>
      </c>
      <c r="M17" s="42">
        <f>I17*D17</f>
        <v>92186.040000000008</v>
      </c>
      <c r="N17" s="3">
        <v>172</v>
      </c>
      <c r="O17" s="48">
        <f>N17*D17</f>
        <v>867396</v>
      </c>
      <c r="P17" s="129">
        <f>N17*$O$25</f>
        <v>-5.2533700553746604E-15</v>
      </c>
      <c r="Q17" s="129">
        <f>C17*P17</f>
        <v>-2.5762526751557335E-11</v>
      </c>
      <c r="R17" s="130">
        <f>ROUND(E17+P17,2)</f>
        <v>18.28</v>
      </c>
      <c r="AE17" s="42"/>
    </row>
    <row r="18" spans="1:31">
      <c r="A18" s="3" t="s">
        <v>160</v>
      </c>
      <c r="C18" s="127">
        <f t="shared" si="0"/>
        <v>657</v>
      </c>
      <c r="D18" s="127">
        <f t="shared" si="0"/>
        <v>677</v>
      </c>
      <c r="E18" s="128">
        <v>37.82</v>
      </c>
      <c r="G18" s="2">
        <f t="shared" si="1"/>
        <v>24848</v>
      </c>
      <c r="H18" s="2">
        <f t="shared" si="1"/>
        <v>25605</v>
      </c>
      <c r="I18" s="128">
        <v>37.82</v>
      </c>
      <c r="K18" s="2">
        <f>K35+K52+K69</f>
        <v>25605</v>
      </c>
      <c r="M18" s="42">
        <f>I18*D18</f>
        <v>25604.14</v>
      </c>
      <c r="N18" s="3">
        <v>412</v>
      </c>
      <c r="O18" s="48">
        <f>N18*D18</f>
        <v>278924</v>
      </c>
      <c r="P18" s="129">
        <f>N18*$O$25</f>
        <v>-1.2583653853571861E-14</v>
      </c>
      <c r="Q18" s="129">
        <f>C18*P18</f>
        <v>-8.2674605817967132E-12</v>
      </c>
      <c r="R18" s="130">
        <f>ROUND(E18+P18,2)</f>
        <v>37.82</v>
      </c>
      <c r="AE18" s="42"/>
    </row>
    <row r="19" spans="1:31">
      <c r="A19" s="3" t="s">
        <v>161</v>
      </c>
      <c r="C19" s="127"/>
      <c r="D19" s="127"/>
      <c r="E19" s="128"/>
      <c r="G19" s="2"/>
      <c r="H19" s="2"/>
      <c r="I19" s="128"/>
      <c r="K19" s="2"/>
      <c r="M19" s="42"/>
      <c r="O19" s="3"/>
      <c r="P19" s="129"/>
      <c r="Q19" s="129"/>
      <c r="R19" s="131"/>
      <c r="AE19" s="42"/>
    </row>
    <row r="20" spans="1:31">
      <c r="A20" s="3" t="s">
        <v>162</v>
      </c>
      <c r="C20" s="127">
        <f t="shared" ref="C20:D25" si="2">C37+C54+C71</f>
        <v>2070</v>
      </c>
      <c r="D20" s="127">
        <f t="shared" si="2"/>
        <v>2097</v>
      </c>
      <c r="E20" s="128">
        <v>10.92</v>
      </c>
      <c r="G20" s="2">
        <f t="shared" ref="G20:H23" si="3">G37+G54+G71</f>
        <v>22604</v>
      </c>
      <c r="H20" s="2">
        <f t="shared" si="3"/>
        <v>22899</v>
      </c>
      <c r="I20" s="128">
        <v>10.92</v>
      </c>
      <c r="K20" s="2">
        <f>K37+K54+K71</f>
        <v>22899</v>
      </c>
      <c r="M20" s="42">
        <f>I20*D20</f>
        <v>22899.24</v>
      </c>
      <c r="N20" s="3">
        <v>31</v>
      </c>
      <c r="O20" s="48">
        <f>N20*D20</f>
        <v>65007</v>
      </c>
      <c r="P20" s="129">
        <f>N20*$O$25</f>
        <v>-9.4682832393380513E-16</v>
      </c>
      <c r="Q20" s="129">
        <f>C20*P20</f>
        <v>-1.9599346305429768E-12</v>
      </c>
      <c r="R20" s="130">
        <f>ROUND(E20+P20,2)</f>
        <v>10.92</v>
      </c>
      <c r="AE20" s="42"/>
    </row>
    <row r="21" spans="1:31">
      <c r="A21" s="3" t="s">
        <v>163</v>
      </c>
      <c r="C21" s="127">
        <f t="shared" si="2"/>
        <v>1813</v>
      </c>
      <c r="D21" s="127">
        <f t="shared" si="2"/>
        <v>1858</v>
      </c>
      <c r="E21" s="128">
        <v>16.04</v>
      </c>
      <c r="G21" s="2">
        <f t="shared" si="3"/>
        <v>29080</v>
      </c>
      <c r="H21" s="2">
        <f t="shared" si="3"/>
        <v>29802</v>
      </c>
      <c r="I21" s="128">
        <v>16.04</v>
      </c>
      <c r="K21" s="2">
        <f>K38+K55+K72</f>
        <v>29802</v>
      </c>
      <c r="M21" s="42">
        <f>I21*D21</f>
        <v>29802.32</v>
      </c>
      <c r="N21" s="3">
        <v>85</v>
      </c>
      <c r="O21" s="48">
        <f>N21*D21</f>
        <v>157930</v>
      </c>
      <c r="P21" s="129">
        <f>N21*$O$25</f>
        <v>-2.5961421785281753E-15</v>
      </c>
      <c r="Q21" s="129">
        <f>C21*P21</f>
        <v>-4.7068057696715822E-12</v>
      </c>
      <c r="R21" s="130">
        <f>ROUND(E21+P21,2)</f>
        <v>16.04</v>
      </c>
      <c r="AE21" s="42"/>
    </row>
    <row r="22" spans="1:31">
      <c r="A22" s="3" t="s">
        <v>164</v>
      </c>
      <c r="C22" s="127">
        <f t="shared" si="2"/>
        <v>481</v>
      </c>
      <c r="D22" s="127">
        <f t="shared" si="2"/>
        <v>495</v>
      </c>
      <c r="E22" s="128">
        <v>25.88</v>
      </c>
      <c r="G22" s="2">
        <f t="shared" si="3"/>
        <v>12449</v>
      </c>
      <c r="H22" s="2">
        <f t="shared" si="3"/>
        <v>12811</v>
      </c>
      <c r="I22" s="128">
        <v>25.88</v>
      </c>
      <c r="K22" s="2">
        <f>K39+K56+K73</f>
        <v>12811</v>
      </c>
      <c r="M22" s="42">
        <f>I22*D22</f>
        <v>12810.6</v>
      </c>
      <c r="N22" s="3">
        <v>176</v>
      </c>
      <c r="O22" s="48">
        <f>N22*D22</f>
        <v>87120</v>
      </c>
      <c r="P22" s="129">
        <f>N22*$O$25</f>
        <v>-5.3755414520112801E-15</v>
      </c>
      <c r="Q22" s="129">
        <f>C22*P22</f>
        <v>-2.5856354384174258E-12</v>
      </c>
      <c r="R22" s="130">
        <f>ROUND(E22+P22,2)</f>
        <v>25.88</v>
      </c>
      <c r="AE22" s="42"/>
    </row>
    <row r="23" spans="1:31">
      <c r="A23" s="3" t="s">
        <v>165</v>
      </c>
      <c r="C23" s="127">
        <f t="shared" si="2"/>
        <v>632</v>
      </c>
      <c r="D23" s="127">
        <f t="shared" si="2"/>
        <v>647</v>
      </c>
      <c r="E23" s="132">
        <v>1</v>
      </c>
      <c r="F23" s="11"/>
      <c r="G23" s="2">
        <f t="shared" si="3"/>
        <v>632</v>
      </c>
      <c r="H23" s="2">
        <f t="shared" si="3"/>
        <v>647</v>
      </c>
      <c r="I23" s="132">
        <v>1</v>
      </c>
      <c r="J23" s="11"/>
      <c r="K23" s="2">
        <f>K40+K57+K74</f>
        <v>647</v>
      </c>
      <c r="M23" s="42">
        <f>I23*D23</f>
        <v>647</v>
      </c>
      <c r="O23" s="48">
        <f>SUM(O16:O22)</f>
        <v>3811541</v>
      </c>
      <c r="P23" s="3"/>
      <c r="Q23" s="129">
        <f>SUM(Q16:Q22)</f>
        <v>-1.1434763202455836E-10</v>
      </c>
      <c r="AE23" s="42"/>
    </row>
    <row r="24" spans="1:31">
      <c r="A24" s="3" t="s">
        <v>166</v>
      </c>
      <c r="C24" s="127">
        <f t="shared" si="2"/>
        <v>2828</v>
      </c>
      <c r="D24" s="127">
        <f t="shared" si="2"/>
        <v>2797.0833333333335</v>
      </c>
      <c r="E24" s="128"/>
      <c r="G24" s="2"/>
      <c r="H24" s="2"/>
      <c r="I24" s="128"/>
      <c r="K24" s="2"/>
      <c r="M24" s="42"/>
      <c r="O24" s="42">
        <v>-1.1641532182693481E-10</v>
      </c>
      <c r="P24" s="3"/>
      <c r="AE24" s="42"/>
    </row>
    <row r="25" spans="1:31">
      <c r="A25" s="3" t="s">
        <v>15</v>
      </c>
      <c r="C25" s="127">
        <f t="shared" si="2"/>
        <v>3727613.5</v>
      </c>
      <c r="D25" s="127">
        <f t="shared" si="2"/>
        <v>3794904.7279999279</v>
      </c>
      <c r="E25" s="132"/>
      <c r="F25" s="11"/>
      <c r="G25" s="2">
        <f>G42+G59+G76</f>
        <v>473162</v>
      </c>
      <c r="H25" s="2">
        <f>H42+H59+H76</f>
        <v>481444</v>
      </c>
      <c r="I25" s="132"/>
      <c r="J25" s="11"/>
      <c r="K25" s="133">
        <f>K42+K59+K76</f>
        <v>481444</v>
      </c>
      <c r="M25" s="42">
        <f>SUM(M16:M24)</f>
        <v>481443.73999999993</v>
      </c>
      <c r="O25" s="134">
        <f>O24/O23</f>
        <v>-3.0542849159155002E-17</v>
      </c>
      <c r="P25" s="3"/>
      <c r="AE25" s="42"/>
    </row>
    <row r="26" spans="1:31">
      <c r="A26" s="3" t="s">
        <v>167</v>
      </c>
      <c r="C26" s="127">
        <f>C43+C60+C77</f>
        <v>7475.3644456641432</v>
      </c>
      <c r="D26" s="127">
        <v>0</v>
      </c>
      <c r="E26" s="132"/>
      <c r="F26" s="11"/>
      <c r="G26" s="135">
        <f>G43+G60+G77</f>
        <v>758.26673033638372</v>
      </c>
      <c r="H26" s="135">
        <v>0</v>
      </c>
      <c r="I26" s="132"/>
      <c r="J26" s="11"/>
      <c r="K26" s="135">
        <f>K43+K60+K77</f>
        <v>0</v>
      </c>
      <c r="AE26" s="42"/>
    </row>
    <row r="27" spans="1:31" ht="16.5" thickBot="1">
      <c r="A27" s="3" t="s">
        <v>1</v>
      </c>
      <c r="C27" s="136">
        <f>C25+C26</f>
        <v>3735088.864445664</v>
      </c>
      <c r="D27" s="136">
        <f>D25+D26</f>
        <v>3794904.7279999279</v>
      </c>
      <c r="E27" s="137"/>
      <c r="F27" s="137"/>
      <c r="G27" s="137">
        <f>G25+G26</f>
        <v>473920.26673033636</v>
      </c>
      <c r="H27" s="137">
        <f>H25+H26</f>
        <v>481444</v>
      </c>
      <c r="I27" s="137"/>
      <c r="J27" s="137"/>
      <c r="K27" s="137">
        <f>K25+K26</f>
        <v>481444</v>
      </c>
      <c r="N27" s="3" t="s">
        <v>168</v>
      </c>
      <c r="O27" s="33" t="e">
        <f>#REF!*1000</f>
        <v>#REF!</v>
      </c>
      <c r="Q27" s="8"/>
      <c r="AE27" s="42"/>
    </row>
    <row r="28" spans="1:31" ht="16.5" thickTop="1">
      <c r="C28" s="138"/>
      <c r="D28" s="138"/>
      <c r="E28" s="138"/>
      <c r="F28" s="138"/>
      <c r="G28" s="126"/>
      <c r="H28" s="126"/>
      <c r="I28" s="1" t="s">
        <v>13</v>
      </c>
      <c r="J28" s="138"/>
      <c r="K28" s="2" t="s">
        <v>13</v>
      </c>
      <c r="N28" s="3" t="s">
        <v>114</v>
      </c>
      <c r="O28" s="33" t="e">
        <f>O27-K27</f>
        <v>#REF!</v>
      </c>
      <c r="P28" s="8" t="e">
        <f>(O27-K27)/K27</f>
        <v>#REF!</v>
      </c>
      <c r="Q28" s="8"/>
      <c r="AE28" s="42"/>
    </row>
    <row r="29" spans="1:31">
      <c r="A29" s="125" t="s">
        <v>155</v>
      </c>
      <c r="G29" s="126"/>
      <c r="H29" s="126"/>
      <c r="O29" s="139" t="e">
        <f>O28/(K16+K17+K18+K20+K21+K22)</f>
        <v>#REF!</v>
      </c>
      <c r="P29" s="3"/>
      <c r="AE29" s="42"/>
    </row>
    <row r="30" spans="1:31">
      <c r="A30" s="3" t="s">
        <v>169</v>
      </c>
      <c r="G30" s="126"/>
      <c r="H30" s="126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AE30" s="42"/>
    </row>
    <row r="31" spans="1:31">
      <c r="E31" s="127"/>
      <c r="G31" s="126"/>
      <c r="H31" s="126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0"/>
      <c r="AE31" s="42"/>
    </row>
    <row r="32" spans="1:31">
      <c r="A32" s="3" t="s">
        <v>157</v>
      </c>
      <c r="G32" s="126"/>
      <c r="H32" s="126"/>
      <c r="M32" s="141"/>
      <c r="N32" s="141"/>
      <c r="O32" s="141"/>
      <c r="P32" s="38"/>
      <c r="Q32" s="142"/>
      <c r="R32" s="143"/>
      <c r="S32" s="144"/>
      <c r="T32" s="145"/>
      <c r="U32" s="141"/>
      <c r="V32" s="141"/>
      <c r="W32" s="141"/>
      <c r="X32" s="140"/>
      <c r="AE32" s="42"/>
    </row>
    <row r="33" spans="1:31">
      <c r="A33" s="3" t="s">
        <v>158</v>
      </c>
      <c r="C33" s="127">
        <f>14258+124</f>
        <v>14382</v>
      </c>
      <c r="D33" s="127">
        <f>ROUND(C33*($D$42/$C$42),0)</f>
        <v>14272</v>
      </c>
      <c r="E33" s="128">
        <v>9.6</v>
      </c>
      <c r="G33" s="2">
        <f>ROUND(E33*$C33,0)</f>
        <v>138067</v>
      </c>
      <c r="H33" s="2">
        <f>ROUND(E33*$D33,0)</f>
        <v>137011</v>
      </c>
      <c r="I33" s="128">
        <f>$I$16</f>
        <v>9.6</v>
      </c>
      <c r="K33" s="2">
        <f>ROUND(I33*$D33,0)</f>
        <v>137011</v>
      </c>
      <c r="M33" s="11"/>
      <c r="N33" s="11"/>
      <c r="O33" s="144"/>
      <c r="P33" s="38"/>
      <c r="Q33" s="141"/>
      <c r="R33" s="146"/>
      <c r="S33" s="147"/>
      <c r="T33" s="141"/>
      <c r="U33" s="144"/>
      <c r="V33" s="144"/>
      <c r="W33" s="148"/>
      <c r="X33" s="149"/>
      <c r="AE33" s="42"/>
    </row>
    <row r="34" spans="1:31">
      <c r="A34" s="3" t="s">
        <v>159</v>
      </c>
      <c r="C34" s="127">
        <f>262+12</f>
        <v>274</v>
      </c>
      <c r="D34" s="127">
        <f>ROUND(C34*($D$42/$C$42),0)</f>
        <v>272</v>
      </c>
      <c r="E34" s="128">
        <v>18.28</v>
      </c>
      <c r="G34" s="2">
        <f>ROUND(E34*$C34,0)</f>
        <v>5009</v>
      </c>
      <c r="H34" s="2">
        <f>ROUND(E34*$D34,0)</f>
        <v>4972</v>
      </c>
      <c r="I34" s="128">
        <f>$I$17</f>
        <v>18.28</v>
      </c>
      <c r="K34" s="2">
        <f>ROUND(I34*$D34,0)</f>
        <v>4972</v>
      </c>
      <c r="M34" s="11"/>
      <c r="N34" s="11"/>
      <c r="O34" s="144"/>
      <c r="P34" s="38"/>
      <c r="Q34" s="11"/>
      <c r="R34" s="150"/>
      <c r="S34" s="141"/>
      <c r="T34" s="141"/>
      <c r="U34" s="144"/>
      <c r="V34" s="144"/>
      <c r="W34" s="148"/>
      <c r="X34" s="149"/>
      <c r="AE34" s="42"/>
    </row>
    <row r="35" spans="1:31">
      <c r="A35" s="3" t="s">
        <v>160</v>
      </c>
      <c r="C35" s="127">
        <f>2</f>
        <v>2</v>
      </c>
      <c r="D35" s="127">
        <f>ROUND(C35*($D$42/$C$42),0)</f>
        <v>2</v>
      </c>
      <c r="E35" s="128">
        <v>37.82</v>
      </c>
      <c r="G35" s="2">
        <f>ROUND(E35*$C35,0)</f>
        <v>76</v>
      </c>
      <c r="H35" s="2">
        <f>ROUND(E35*$D35,0)</f>
        <v>76</v>
      </c>
      <c r="I35" s="128">
        <f>$I$18</f>
        <v>37.82</v>
      </c>
      <c r="K35" s="2">
        <f>ROUND(I35*$D35,0)</f>
        <v>76</v>
      </c>
      <c r="M35" s="11"/>
      <c r="N35" s="11"/>
      <c r="O35" s="144"/>
      <c r="P35" s="38"/>
      <c r="Q35" s="11"/>
      <c r="R35" s="150"/>
      <c r="S35" s="141"/>
      <c r="T35" s="141"/>
      <c r="U35" s="144"/>
      <c r="V35" s="144"/>
      <c r="W35" s="148"/>
      <c r="X35" s="149"/>
      <c r="AE35" s="42"/>
    </row>
    <row r="36" spans="1:31">
      <c r="A36" s="3" t="s">
        <v>161</v>
      </c>
      <c r="C36" s="127"/>
      <c r="D36" s="127"/>
      <c r="E36" s="128"/>
      <c r="G36" s="2"/>
      <c r="H36" s="2"/>
      <c r="I36" s="128"/>
      <c r="K36" s="2"/>
      <c r="M36" s="11"/>
      <c r="N36" s="11"/>
      <c r="O36" s="144"/>
      <c r="P36" s="38"/>
      <c r="Q36" s="11"/>
      <c r="R36" s="150"/>
      <c r="S36" s="141"/>
      <c r="T36" s="141"/>
      <c r="U36" s="144"/>
      <c r="V36" s="144"/>
      <c r="W36" s="148"/>
      <c r="X36" s="149"/>
      <c r="AE36" s="42"/>
    </row>
    <row r="37" spans="1:31">
      <c r="A37" s="3" t="s">
        <v>162</v>
      </c>
      <c r="C37" s="127">
        <f>921</f>
        <v>921</v>
      </c>
      <c r="D37" s="127">
        <f>ROUND(C37*($D$42/$C$42),0)</f>
        <v>914</v>
      </c>
      <c r="E37" s="128">
        <v>10.92</v>
      </c>
      <c r="G37" s="2">
        <f>ROUND(E37*$C37,0)</f>
        <v>10057</v>
      </c>
      <c r="H37" s="2">
        <f>ROUND(E37*$D37,0)</f>
        <v>9981</v>
      </c>
      <c r="I37" s="128">
        <f>$I$20</f>
        <v>10.92</v>
      </c>
      <c r="K37" s="2">
        <f>ROUND(I37*$D37,0)</f>
        <v>9981</v>
      </c>
      <c r="M37" s="11"/>
      <c r="N37" s="11"/>
      <c r="O37" s="144"/>
      <c r="P37" s="38"/>
      <c r="Q37" s="11"/>
      <c r="R37" s="150"/>
      <c r="S37" s="141"/>
      <c r="T37" s="141"/>
      <c r="U37" s="144"/>
      <c r="V37" s="144"/>
      <c r="W37" s="148"/>
      <c r="X37" s="149"/>
      <c r="AE37" s="42"/>
    </row>
    <row r="38" spans="1:31">
      <c r="A38" s="3" t="s">
        <v>163</v>
      </c>
      <c r="C38" s="127">
        <f>234</f>
        <v>234</v>
      </c>
      <c r="D38" s="127">
        <f>ROUND(C38*($D$42/$C$42),0)</f>
        <v>232</v>
      </c>
      <c r="E38" s="128">
        <v>16.04</v>
      </c>
      <c r="G38" s="2">
        <f>ROUND(E38*$C38,0)</f>
        <v>3753</v>
      </c>
      <c r="H38" s="2">
        <f>ROUND(E38*$D38,0)</f>
        <v>3721</v>
      </c>
      <c r="I38" s="128">
        <f>$I$21</f>
        <v>16.04</v>
      </c>
      <c r="K38" s="2">
        <f>ROUND(I38*$D38,0)</f>
        <v>3721</v>
      </c>
      <c r="M38" s="11"/>
      <c r="N38" s="11"/>
      <c r="O38" s="144"/>
      <c r="P38" s="38"/>
      <c r="Q38" s="11"/>
      <c r="R38" s="150"/>
      <c r="S38" s="141"/>
      <c r="T38" s="141"/>
      <c r="U38" s="144"/>
      <c r="V38" s="144"/>
      <c r="W38" s="148"/>
      <c r="X38" s="149"/>
      <c r="AE38" s="42"/>
    </row>
    <row r="39" spans="1:31">
      <c r="A39" s="3" t="s">
        <v>164</v>
      </c>
      <c r="C39" s="127">
        <f>12</f>
        <v>12</v>
      </c>
      <c r="D39" s="127">
        <f>ROUND(C39*($D$42/$C$42),0)</f>
        <v>12</v>
      </c>
      <c r="E39" s="128">
        <v>25.88</v>
      </c>
      <c r="G39" s="2">
        <f>ROUND(E39*$C39,0)</f>
        <v>311</v>
      </c>
      <c r="H39" s="2">
        <f>ROUND(E39*$D39,0)</f>
        <v>311</v>
      </c>
      <c r="I39" s="128">
        <f>$I$22</f>
        <v>25.88</v>
      </c>
      <c r="K39" s="2">
        <f>ROUND(I39*$D39,0)</f>
        <v>311</v>
      </c>
      <c r="M39" s="11"/>
      <c r="N39" s="11"/>
      <c r="O39" s="144"/>
      <c r="P39" s="38"/>
      <c r="Q39" s="11"/>
      <c r="R39" s="150"/>
      <c r="S39" s="141"/>
      <c r="T39" s="141"/>
      <c r="U39" s="144"/>
      <c r="V39" s="144"/>
      <c r="W39" s="148"/>
      <c r="X39" s="149"/>
      <c r="AE39" s="42"/>
    </row>
    <row r="40" spans="1:31">
      <c r="A40" s="3" t="s">
        <v>165</v>
      </c>
      <c r="C40" s="127">
        <f>125+12+2</f>
        <v>139</v>
      </c>
      <c r="D40" s="127">
        <f>ROUND(C40*($D$42/$C$42),0)</f>
        <v>138</v>
      </c>
      <c r="E40" s="132">
        <v>1</v>
      </c>
      <c r="F40" s="11"/>
      <c r="G40" s="135">
        <f>ROUND(E40*$C40,0)</f>
        <v>139</v>
      </c>
      <c r="H40" s="135">
        <f>ROUND(E40*$D40,0)</f>
        <v>138</v>
      </c>
      <c r="I40" s="132">
        <f>$I$23</f>
        <v>1</v>
      </c>
      <c r="J40" s="11"/>
      <c r="K40" s="135">
        <f>ROUND(I40*$D40,0)</f>
        <v>138</v>
      </c>
      <c r="M40" s="141"/>
      <c r="N40" s="141"/>
      <c r="O40" s="144"/>
      <c r="P40" s="38"/>
      <c r="Q40" s="11"/>
      <c r="R40" s="141"/>
      <c r="S40" s="141"/>
      <c r="T40" s="141"/>
      <c r="U40" s="144"/>
      <c r="V40" s="144"/>
      <c r="W40" s="144"/>
      <c r="X40" s="149"/>
      <c r="AE40" s="42"/>
    </row>
    <row r="41" spans="1:31">
      <c r="A41" s="3" t="s">
        <v>166</v>
      </c>
      <c r="C41" s="127">
        <v>1293</v>
      </c>
      <c r="D41" s="127">
        <v>1276.1666666666667</v>
      </c>
      <c r="E41" s="128"/>
      <c r="G41" s="2"/>
      <c r="H41" s="2"/>
      <c r="I41" s="128"/>
      <c r="K41" s="2"/>
      <c r="M41" s="141"/>
      <c r="N41" s="141"/>
      <c r="O41" s="141"/>
      <c r="P41" s="141"/>
      <c r="Q41" s="141"/>
      <c r="R41" s="141"/>
      <c r="S41" s="141"/>
      <c r="T41" s="141"/>
      <c r="U41" s="151"/>
      <c r="V41" s="141"/>
      <c r="W41" s="141"/>
      <c r="X41" s="140"/>
      <c r="AE41" s="42"/>
    </row>
    <row r="42" spans="1:31">
      <c r="A42" s="3" t="s">
        <v>15</v>
      </c>
      <c r="C42" s="127">
        <v>1187224</v>
      </c>
      <c r="D42" s="127">
        <v>1178171.795773752</v>
      </c>
      <c r="E42" s="132"/>
      <c r="F42" s="11"/>
      <c r="G42" s="135">
        <f>SUM(G33:G40)</f>
        <v>157412</v>
      </c>
      <c r="H42" s="135">
        <f>SUM(H33:H40)</f>
        <v>156210</v>
      </c>
      <c r="I42" s="132"/>
      <c r="J42" s="11"/>
      <c r="K42" s="135">
        <f>SUM(K33:K40)</f>
        <v>156210</v>
      </c>
      <c r="M42" s="141"/>
      <c r="N42" s="141"/>
      <c r="O42" s="150"/>
      <c r="P42" s="141"/>
      <c r="Q42" s="11"/>
      <c r="R42" s="11"/>
      <c r="S42" s="11"/>
      <c r="T42" s="141"/>
      <c r="U42" s="141"/>
      <c r="V42" s="141"/>
      <c r="W42" s="141"/>
      <c r="X42" s="140"/>
      <c r="AE42" s="42"/>
    </row>
    <row r="43" spans="1:31">
      <c r="A43" s="3" t="s">
        <v>167</v>
      </c>
      <c r="C43" s="127">
        <v>718.56078337023234</v>
      </c>
      <c r="D43" s="127">
        <v>0</v>
      </c>
      <c r="E43" s="132"/>
      <c r="F43" s="11"/>
      <c r="G43" s="135">
        <v>42.574697195479054</v>
      </c>
      <c r="H43" s="135">
        <v>0</v>
      </c>
      <c r="I43" s="132"/>
      <c r="J43" s="11"/>
      <c r="K43" s="135">
        <v>0</v>
      </c>
      <c r="M43" s="152"/>
      <c r="N43" s="152"/>
      <c r="O43" s="153"/>
      <c r="P43" s="140"/>
      <c r="Q43" s="140"/>
      <c r="R43" s="146"/>
      <c r="S43" s="144"/>
      <c r="T43" s="141"/>
      <c r="U43" s="140"/>
      <c r="V43" s="140"/>
      <c r="W43" s="140"/>
      <c r="X43" s="140"/>
      <c r="AE43" s="42"/>
    </row>
    <row r="44" spans="1:31" ht="16.5" thickBot="1">
      <c r="A44" s="3" t="s">
        <v>1</v>
      </c>
      <c r="C44" s="136">
        <f>C42+C43</f>
        <v>1187942.5607833702</v>
      </c>
      <c r="D44" s="136">
        <f>SUM(D42:D43)</f>
        <v>1178171.795773752</v>
      </c>
      <c r="E44" s="137"/>
      <c r="F44" s="137"/>
      <c r="G44" s="137">
        <f>G42+G43</f>
        <v>157454.57469719546</v>
      </c>
      <c r="H44" s="137">
        <f>H42+H43</f>
        <v>156210</v>
      </c>
      <c r="I44" s="137"/>
      <c r="J44" s="137"/>
      <c r="K44" s="137">
        <f>K42+K43</f>
        <v>156210</v>
      </c>
      <c r="M44" s="154"/>
      <c r="N44" s="154"/>
      <c r="O44" s="155"/>
      <c r="P44" s="140"/>
      <c r="Q44" s="140"/>
      <c r="R44" s="141"/>
      <c r="S44" s="141"/>
      <c r="T44" s="141"/>
      <c r="U44" s="140"/>
      <c r="V44" s="140"/>
      <c r="W44" s="140"/>
      <c r="X44" s="140"/>
      <c r="AE44" s="42"/>
    </row>
    <row r="45" spans="1:31" ht="16.5" thickTop="1">
      <c r="C45" s="138"/>
      <c r="D45" s="138"/>
      <c r="E45" s="138"/>
      <c r="F45" s="138"/>
      <c r="G45" s="126"/>
      <c r="H45" s="126"/>
      <c r="I45" s="1" t="s">
        <v>13</v>
      </c>
      <c r="J45" s="138"/>
      <c r="K45" s="2" t="s">
        <v>13</v>
      </c>
      <c r="P45" s="38"/>
      <c r="Q45" s="11"/>
      <c r="R45" s="11"/>
      <c r="S45" s="11"/>
      <c r="T45" s="141"/>
      <c r="U45" s="141"/>
      <c r="V45" s="141"/>
      <c r="W45" s="141"/>
      <c r="X45" s="141"/>
      <c r="Y45" s="11"/>
      <c r="Z45" s="11"/>
      <c r="AE45" s="42"/>
    </row>
    <row r="46" spans="1:31">
      <c r="A46" s="125" t="s">
        <v>155</v>
      </c>
      <c r="G46" s="126"/>
      <c r="H46" s="126"/>
      <c r="P46" s="38"/>
      <c r="Q46" s="11"/>
      <c r="R46" s="11"/>
      <c r="S46" s="11"/>
      <c r="T46" s="141"/>
      <c r="U46" s="141"/>
      <c r="V46" s="141"/>
      <c r="W46" s="141"/>
      <c r="X46" s="141"/>
      <c r="Y46" s="11"/>
      <c r="Z46" s="11"/>
      <c r="AE46" s="42"/>
    </row>
    <row r="47" spans="1:31">
      <c r="A47" s="3" t="s">
        <v>170</v>
      </c>
      <c r="G47" s="126"/>
      <c r="H47" s="126"/>
      <c r="M47" s="140"/>
      <c r="N47" s="140"/>
      <c r="O47" s="140"/>
      <c r="P47" s="141"/>
      <c r="Q47" s="141"/>
      <c r="R47" s="141"/>
      <c r="S47" s="141"/>
      <c r="T47" s="141"/>
      <c r="U47" s="141"/>
      <c r="V47" s="141"/>
      <c r="W47" s="141"/>
      <c r="X47" s="141"/>
      <c r="Y47" s="11"/>
      <c r="Z47" s="11"/>
      <c r="AE47" s="42"/>
    </row>
    <row r="48" spans="1:31">
      <c r="G48" s="126"/>
      <c r="H48" s="126"/>
      <c r="M48" s="140"/>
      <c r="N48" s="140"/>
      <c r="O48" s="140"/>
      <c r="P48" s="141"/>
      <c r="Q48" s="141"/>
      <c r="R48" s="141"/>
      <c r="S48" s="141"/>
      <c r="T48" s="141"/>
      <c r="U48" s="141"/>
      <c r="V48" s="141"/>
      <c r="W48" s="141"/>
      <c r="X48" s="141"/>
      <c r="Y48" s="11"/>
      <c r="Z48" s="11"/>
      <c r="AE48" s="42"/>
    </row>
    <row r="49" spans="1:31">
      <c r="A49" s="3" t="s">
        <v>157</v>
      </c>
      <c r="G49" s="126"/>
      <c r="H49" s="126"/>
      <c r="M49" s="140"/>
      <c r="N49" s="140"/>
      <c r="O49" s="140"/>
      <c r="P49" s="38"/>
      <c r="Q49" s="142"/>
      <c r="R49" s="143"/>
      <c r="S49" s="144"/>
      <c r="T49" s="145"/>
      <c r="U49" s="141"/>
      <c r="V49" s="141"/>
      <c r="W49" s="141"/>
      <c r="X49" s="141"/>
      <c r="Y49" s="11"/>
      <c r="Z49" s="11"/>
      <c r="AE49" s="42"/>
    </row>
    <row r="50" spans="1:31">
      <c r="A50" s="3" t="s">
        <v>158</v>
      </c>
      <c r="C50" s="127">
        <f>8661+12+6864+36</f>
        <v>15573</v>
      </c>
      <c r="D50" s="127">
        <f>ROUND(C50*($D$59/$C$59),0)</f>
        <v>16032</v>
      </c>
      <c r="E50" s="128">
        <v>9.6</v>
      </c>
      <c r="G50" s="2">
        <f>ROUND(E50*$C50,0)</f>
        <v>149501</v>
      </c>
      <c r="H50" s="2">
        <f>ROUND(E50*$D50,0)</f>
        <v>153907</v>
      </c>
      <c r="I50" s="128">
        <f>$I$16</f>
        <v>9.6</v>
      </c>
      <c r="K50" s="2">
        <f>ROUND(I50*$D50,0)</f>
        <v>153907</v>
      </c>
      <c r="O50" s="149"/>
      <c r="P50" s="38"/>
      <c r="Q50" s="141"/>
      <c r="R50" s="146"/>
      <c r="S50" s="147"/>
      <c r="T50" s="141"/>
      <c r="U50" s="144"/>
      <c r="V50" s="144"/>
      <c r="W50" s="148"/>
      <c r="X50" s="144"/>
      <c r="Y50" s="11"/>
      <c r="Z50" s="11"/>
      <c r="AE50" s="42"/>
    </row>
    <row r="51" spans="1:31">
      <c r="A51" s="3" t="s">
        <v>159</v>
      </c>
      <c r="C51" s="127">
        <f>3458+252+477</f>
        <v>4187</v>
      </c>
      <c r="D51" s="127">
        <f>ROUND(C51*($D$59/$C$59),0)</f>
        <v>4311</v>
      </c>
      <c r="E51" s="128">
        <v>18.28</v>
      </c>
      <c r="G51" s="2">
        <f>ROUND(E51*$C51,0)</f>
        <v>76538</v>
      </c>
      <c r="H51" s="2">
        <f>ROUND(E51*$D51,0)</f>
        <v>78805</v>
      </c>
      <c r="I51" s="128">
        <f>$I$17</f>
        <v>18.28</v>
      </c>
      <c r="K51" s="2">
        <f>ROUND(I51*$D51,0)</f>
        <v>78805</v>
      </c>
      <c r="O51" s="149"/>
      <c r="P51" s="38"/>
      <c r="Q51" s="11"/>
      <c r="R51" s="150"/>
      <c r="S51" s="141"/>
      <c r="T51" s="141"/>
      <c r="U51" s="144"/>
      <c r="V51" s="144"/>
      <c r="W51" s="148"/>
      <c r="X51" s="144"/>
      <c r="Y51" s="11"/>
      <c r="Z51" s="11"/>
      <c r="AE51" s="42"/>
    </row>
    <row r="52" spans="1:31">
      <c r="A52" s="3" t="s">
        <v>160</v>
      </c>
      <c r="C52" s="127">
        <f>511+48+36+12</f>
        <v>607</v>
      </c>
      <c r="D52" s="127">
        <f>ROUND(C52*($D$59/$C$59),0)</f>
        <v>625</v>
      </c>
      <c r="E52" s="128">
        <v>37.82</v>
      </c>
      <c r="G52" s="2">
        <f>ROUND(E52*$C52,0)</f>
        <v>22957</v>
      </c>
      <c r="H52" s="2">
        <f>ROUND(E52*$D52,0)</f>
        <v>23638</v>
      </c>
      <c r="I52" s="128">
        <f>$I$18</f>
        <v>37.82</v>
      </c>
      <c r="K52" s="2">
        <f>ROUND(I52*$D52,0)</f>
        <v>23638</v>
      </c>
      <c r="O52" s="149"/>
      <c r="P52" s="38"/>
      <c r="Q52" s="11"/>
      <c r="R52" s="150"/>
      <c r="S52" s="141"/>
      <c r="T52" s="141"/>
      <c r="U52" s="144"/>
      <c r="V52" s="144"/>
      <c r="W52" s="148"/>
      <c r="X52" s="144"/>
      <c r="Y52" s="11"/>
      <c r="Z52" s="11"/>
      <c r="AE52" s="42"/>
    </row>
    <row r="53" spans="1:31">
      <c r="A53" s="3" t="s">
        <v>161</v>
      </c>
      <c r="C53" s="127"/>
      <c r="D53" s="127"/>
      <c r="E53" s="128"/>
      <c r="G53" s="2"/>
      <c r="H53" s="2"/>
      <c r="I53" s="128"/>
      <c r="K53" s="2"/>
      <c r="O53" s="149"/>
      <c r="P53" s="38"/>
      <c r="Q53" s="11"/>
      <c r="R53" s="150"/>
      <c r="S53" s="141"/>
      <c r="T53" s="141"/>
      <c r="U53" s="144"/>
      <c r="V53" s="144"/>
      <c r="W53" s="148"/>
      <c r="X53" s="144"/>
      <c r="Y53" s="11"/>
      <c r="Z53" s="11"/>
      <c r="AE53" s="42"/>
    </row>
    <row r="54" spans="1:31">
      <c r="A54" s="3" t="s">
        <v>162</v>
      </c>
      <c r="C54" s="127">
        <f>634+503</f>
        <v>1137</v>
      </c>
      <c r="D54" s="127">
        <f>ROUND(C54*($D$59/$C$59),0)</f>
        <v>1171</v>
      </c>
      <c r="E54" s="128">
        <v>10.92</v>
      </c>
      <c r="G54" s="2">
        <f>ROUND(E54*$C54,0)</f>
        <v>12416</v>
      </c>
      <c r="H54" s="2">
        <f>ROUND(E54*$D54,0)</f>
        <v>12787</v>
      </c>
      <c r="I54" s="128">
        <f>$I$20</f>
        <v>10.92</v>
      </c>
      <c r="K54" s="2">
        <f>ROUND(I54*$D54,0)</f>
        <v>12787</v>
      </c>
      <c r="O54" s="149"/>
      <c r="P54" s="38"/>
      <c r="Q54" s="11"/>
      <c r="R54" s="150"/>
      <c r="S54" s="141"/>
      <c r="T54" s="141"/>
      <c r="U54" s="144"/>
      <c r="V54" s="144"/>
      <c r="W54" s="148"/>
      <c r="X54" s="144"/>
      <c r="Y54" s="11"/>
      <c r="Z54" s="11"/>
      <c r="AE54" s="42"/>
    </row>
    <row r="55" spans="1:31">
      <c r="A55" s="3" t="s">
        <v>163</v>
      </c>
      <c r="C55" s="127">
        <f>1234+237</f>
        <v>1471</v>
      </c>
      <c r="D55" s="127">
        <f>ROUND(C55*($D$59/$C$59),0)</f>
        <v>1514</v>
      </c>
      <c r="E55" s="128">
        <v>16.04</v>
      </c>
      <c r="G55" s="2">
        <f>ROUND(E55*$C55,0)</f>
        <v>23595</v>
      </c>
      <c r="H55" s="2">
        <f>ROUND(E55*$D55,0)</f>
        <v>24285</v>
      </c>
      <c r="I55" s="128">
        <f>$I$21</f>
        <v>16.04</v>
      </c>
      <c r="K55" s="2">
        <f>ROUND(I55*$D55,0)</f>
        <v>24285</v>
      </c>
      <c r="O55" s="149"/>
      <c r="P55" s="38"/>
      <c r="Q55" s="11"/>
      <c r="R55" s="150"/>
      <c r="S55" s="141"/>
      <c r="T55" s="141"/>
      <c r="U55" s="144"/>
      <c r="V55" s="144"/>
      <c r="W55" s="148"/>
      <c r="X55" s="144"/>
      <c r="Y55" s="11"/>
      <c r="Z55" s="11"/>
      <c r="AE55" s="42"/>
    </row>
    <row r="56" spans="1:31">
      <c r="A56" s="3" t="s">
        <v>164</v>
      </c>
      <c r="C56" s="127">
        <f>385+48</f>
        <v>433</v>
      </c>
      <c r="D56" s="127">
        <f>ROUND(C56*($D$59/$C$59),0)</f>
        <v>446</v>
      </c>
      <c r="E56" s="128">
        <v>25.88</v>
      </c>
      <c r="G56" s="2">
        <f>ROUND(E56*$C56,0)</f>
        <v>11206</v>
      </c>
      <c r="H56" s="2">
        <f>ROUND(E56*$D56,0)</f>
        <v>11542</v>
      </c>
      <c r="I56" s="128">
        <f>$I$22</f>
        <v>25.88</v>
      </c>
      <c r="K56" s="2">
        <f>ROUND(I56*$D56,0)</f>
        <v>11542</v>
      </c>
      <c r="O56" s="149"/>
      <c r="P56" s="38"/>
      <c r="Q56" s="11"/>
      <c r="R56" s="150"/>
      <c r="S56" s="141"/>
      <c r="T56" s="141"/>
      <c r="U56" s="144"/>
      <c r="V56" s="144"/>
      <c r="W56" s="148"/>
      <c r="X56" s="144"/>
      <c r="Y56" s="11"/>
      <c r="Z56" s="11"/>
      <c r="AE56" s="42"/>
    </row>
    <row r="57" spans="1:31">
      <c r="A57" s="3" t="s">
        <v>165</v>
      </c>
      <c r="C57" s="127">
        <f>12+252+48+36+12</f>
        <v>360</v>
      </c>
      <c r="D57" s="127">
        <f>ROUND(C57*($D$59/$C$59),0)</f>
        <v>371</v>
      </c>
      <c r="E57" s="132">
        <v>1</v>
      </c>
      <c r="F57" s="11"/>
      <c r="G57" s="135">
        <f>ROUND(E57*$C57,0)</f>
        <v>360</v>
      </c>
      <c r="H57" s="135">
        <f>ROUND(E57*$D57,0)</f>
        <v>371</v>
      </c>
      <c r="I57" s="132">
        <f>$I$23</f>
        <v>1</v>
      </c>
      <c r="J57" s="11"/>
      <c r="K57" s="135">
        <f>ROUND(I57*$D57,0)</f>
        <v>371</v>
      </c>
      <c r="M57" s="140"/>
      <c r="N57" s="140"/>
      <c r="O57" s="144"/>
      <c r="P57" s="38"/>
      <c r="Q57" s="11"/>
      <c r="R57" s="141"/>
      <c r="S57" s="141"/>
      <c r="T57" s="141"/>
      <c r="U57" s="144"/>
      <c r="V57" s="144"/>
      <c r="W57" s="144"/>
      <c r="X57" s="144"/>
      <c r="Y57" s="11"/>
      <c r="Z57" s="11"/>
      <c r="AE57" s="42"/>
    </row>
    <row r="58" spans="1:31">
      <c r="A58" s="3" t="s">
        <v>166</v>
      </c>
      <c r="C58" s="127">
        <v>1470</v>
      </c>
      <c r="D58" s="127">
        <v>1459</v>
      </c>
      <c r="E58" s="128"/>
      <c r="G58" s="2"/>
      <c r="H58" s="2"/>
      <c r="I58" s="128"/>
      <c r="K58" s="2"/>
      <c r="M58" s="140"/>
      <c r="N58" s="140"/>
      <c r="O58" s="140"/>
      <c r="P58" s="141"/>
      <c r="Q58" s="141"/>
      <c r="R58" s="141"/>
      <c r="S58" s="141"/>
      <c r="T58" s="141"/>
      <c r="U58" s="151"/>
      <c r="V58" s="141"/>
      <c r="W58" s="141"/>
      <c r="X58" s="141"/>
      <c r="Y58" s="11"/>
      <c r="Z58" s="11"/>
      <c r="AE58" s="42"/>
    </row>
    <row r="59" spans="1:31">
      <c r="A59" s="3" t="s">
        <v>15</v>
      </c>
      <c r="C59" s="127">
        <v>2378799.5</v>
      </c>
      <c r="D59" s="127">
        <v>2448984.1343942713</v>
      </c>
      <c r="E59" s="132"/>
      <c r="F59" s="11"/>
      <c r="G59" s="135">
        <f>SUM(G50:G57)</f>
        <v>296573</v>
      </c>
      <c r="H59" s="135">
        <f>SUM(H50:H57)</f>
        <v>305335</v>
      </c>
      <c r="I59" s="132"/>
      <c r="J59" s="11"/>
      <c r="K59" s="135">
        <f>SUM(K50:K57)</f>
        <v>305335</v>
      </c>
      <c r="M59" s="140"/>
      <c r="N59" s="140"/>
      <c r="O59" s="153"/>
      <c r="P59" s="141"/>
      <c r="Q59" s="11"/>
      <c r="R59" s="11"/>
      <c r="S59" s="11"/>
      <c r="T59" s="141"/>
      <c r="U59" s="141"/>
      <c r="V59" s="141"/>
      <c r="W59" s="141"/>
      <c r="X59" s="141"/>
      <c r="Y59" s="11"/>
      <c r="Z59" s="11"/>
      <c r="AE59" s="42"/>
    </row>
    <row r="60" spans="1:31">
      <c r="A60" s="3" t="s">
        <v>167</v>
      </c>
      <c r="C60" s="127">
        <v>10407.99096753577</v>
      </c>
      <c r="D60" s="127">
        <v>0</v>
      </c>
      <c r="E60" s="132"/>
      <c r="F60" s="11"/>
      <c r="G60" s="135">
        <v>1073.2189733021287</v>
      </c>
      <c r="H60" s="135">
        <v>0</v>
      </c>
      <c r="I60" s="132"/>
      <c r="J60" s="11"/>
      <c r="K60" s="135">
        <v>0</v>
      </c>
      <c r="M60" s="152"/>
      <c r="N60" s="152"/>
      <c r="O60" s="153"/>
      <c r="P60" s="141"/>
      <c r="Q60" s="141"/>
      <c r="R60" s="146"/>
      <c r="S60" s="144"/>
      <c r="T60" s="141"/>
      <c r="U60" s="141"/>
      <c r="V60" s="141"/>
      <c r="W60" s="141"/>
      <c r="X60" s="141"/>
      <c r="Y60" s="11"/>
      <c r="Z60" s="11"/>
      <c r="AE60" s="42"/>
    </row>
    <row r="61" spans="1:31" ht="16.5" thickBot="1">
      <c r="A61" s="3" t="s">
        <v>1</v>
      </c>
      <c r="C61" s="136">
        <f>C59+C60</f>
        <v>2389207.4909675359</v>
      </c>
      <c r="D61" s="136">
        <f>SUM(D59:D60)</f>
        <v>2448984.1343942713</v>
      </c>
      <c r="E61" s="137"/>
      <c r="F61" s="137"/>
      <c r="G61" s="137">
        <f>G59+G60</f>
        <v>297646.21897330211</v>
      </c>
      <c r="H61" s="137">
        <f>H59+H60</f>
        <v>305335</v>
      </c>
      <c r="I61" s="137"/>
      <c r="J61" s="137"/>
      <c r="K61" s="137">
        <f>K59+K60</f>
        <v>305335</v>
      </c>
      <c r="M61" s="154"/>
      <c r="N61" s="154"/>
      <c r="O61" s="155"/>
      <c r="P61" s="141"/>
      <c r="Q61" s="141"/>
      <c r="R61" s="141"/>
      <c r="S61" s="141"/>
      <c r="T61" s="141"/>
      <c r="U61" s="141"/>
      <c r="V61" s="141"/>
      <c r="W61" s="141"/>
      <c r="X61" s="141"/>
      <c r="Y61" s="11"/>
      <c r="Z61" s="11"/>
      <c r="AE61" s="42"/>
    </row>
    <row r="62" spans="1:31" ht="16.5" thickTop="1">
      <c r="C62" s="138"/>
      <c r="D62" s="138"/>
      <c r="E62" s="138"/>
      <c r="F62" s="138"/>
      <c r="G62" s="126"/>
      <c r="H62" s="126"/>
      <c r="I62" s="1" t="s">
        <v>13</v>
      </c>
      <c r="J62" s="138"/>
      <c r="K62" s="2" t="s">
        <v>13</v>
      </c>
      <c r="AE62" s="42"/>
    </row>
    <row r="63" spans="1:31">
      <c r="A63" s="125" t="s">
        <v>155</v>
      </c>
      <c r="G63" s="126"/>
      <c r="H63" s="126"/>
      <c r="AE63" s="42"/>
    </row>
    <row r="64" spans="1:31">
      <c r="A64" s="3" t="s">
        <v>171</v>
      </c>
      <c r="G64" s="126"/>
      <c r="H64" s="126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AE64" s="42"/>
    </row>
    <row r="65" spans="1:31">
      <c r="G65" s="126"/>
      <c r="H65" s="126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1"/>
      <c r="AE65" s="42"/>
    </row>
    <row r="66" spans="1:31">
      <c r="A66" s="3" t="s">
        <v>157</v>
      </c>
      <c r="G66" s="126"/>
      <c r="H66" s="126"/>
      <c r="M66" s="141"/>
      <c r="N66" s="141"/>
      <c r="O66" s="141"/>
      <c r="P66" s="38"/>
      <c r="Q66" s="142"/>
      <c r="R66" s="143"/>
      <c r="S66" s="144"/>
      <c r="T66" s="145"/>
      <c r="U66" s="141"/>
      <c r="V66" s="141"/>
      <c r="W66" s="141"/>
      <c r="X66" s="141"/>
      <c r="Y66" s="11"/>
      <c r="AE66" s="42"/>
    </row>
    <row r="67" spans="1:31">
      <c r="A67" s="3" t="s">
        <v>158</v>
      </c>
      <c r="C67" s="127">
        <f>336+192+132</f>
        <v>660</v>
      </c>
      <c r="D67" s="127">
        <f>ROUND(C67*($D$76/$C$76),0)</f>
        <v>685</v>
      </c>
      <c r="E67" s="128">
        <v>9.6</v>
      </c>
      <c r="G67" s="2">
        <f>ROUND(E67*$C67,0)</f>
        <v>6336</v>
      </c>
      <c r="H67" s="2">
        <f>ROUND(E67*$D67,0)</f>
        <v>6576</v>
      </c>
      <c r="I67" s="128">
        <f>$I$16</f>
        <v>9.6</v>
      </c>
      <c r="K67" s="2">
        <f>ROUND(I67*$D67,0)</f>
        <v>6576</v>
      </c>
      <c r="M67" s="11"/>
      <c r="N67" s="11"/>
      <c r="O67" s="144"/>
      <c r="P67" s="38"/>
      <c r="Q67" s="141"/>
      <c r="R67" s="146"/>
      <c r="S67" s="147"/>
      <c r="T67" s="141"/>
      <c r="U67" s="144"/>
      <c r="V67" s="144"/>
      <c r="W67" s="148"/>
      <c r="X67" s="144"/>
      <c r="Y67" s="11"/>
      <c r="AE67" s="42"/>
    </row>
    <row r="68" spans="1:31">
      <c r="A68" s="3" t="s">
        <v>159</v>
      </c>
      <c r="C68" s="127">
        <f>407+36</f>
        <v>443</v>
      </c>
      <c r="D68" s="127">
        <f>ROUND(C68*($D$76/$C$76),0)</f>
        <v>460</v>
      </c>
      <c r="E68" s="128">
        <v>18.28</v>
      </c>
      <c r="G68" s="2">
        <f>ROUND(E68*$C68,0)</f>
        <v>8098</v>
      </c>
      <c r="H68" s="2">
        <f>ROUND(E68*$D68,0)</f>
        <v>8409</v>
      </c>
      <c r="I68" s="128">
        <f>$I$17</f>
        <v>18.28</v>
      </c>
      <c r="K68" s="2">
        <f>ROUND(I68*$D68,0)</f>
        <v>8409</v>
      </c>
      <c r="M68" s="11"/>
      <c r="N68" s="11"/>
      <c r="O68" s="144"/>
      <c r="P68" s="38"/>
      <c r="Q68" s="11"/>
      <c r="R68" s="150"/>
      <c r="S68" s="141"/>
      <c r="T68" s="141"/>
      <c r="U68" s="144"/>
      <c r="V68" s="144"/>
      <c r="W68" s="148"/>
      <c r="X68" s="144"/>
      <c r="Y68" s="11"/>
      <c r="AE68" s="42"/>
    </row>
    <row r="69" spans="1:31">
      <c r="A69" s="3" t="s">
        <v>160</v>
      </c>
      <c r="C69" s="127">
        <f>48</f>
        <v>48</v>
      </c>
      <c r="D69" s="127">
        <f>ROUND(C69*($D$76/$C$76),0)</f>
        <v>50</v>
      </c>
      <c r="E69" s="128">
        <v>37.82</v>
      </c>
      <c r="G69" s="2">
        <f>ROUND(E69*$C69,0)</f>
        <v>1815</v>
      </c>
      <c r="H69" s="2">
        <f>ROUND(E69*$D69,0)</f>
        <v>1891</v>
      </c>
      <c r="I69" s="128">
        <f>$I$18</f>
        <v>37.82</v>
      </c>
      <c r="K69" s="2">
        <f>ROUND(I69*$D69,0)</f>
        <v>1891</v>
      </c>
      <c r="M69" s="11"/>
      <c r="N69" s="11"/>
      <c r="O69" s="144"/>
      <c r="P69" s="38"/>
      <c r="Q69" s="11"/>
      <c r="R69" s="150"/>
      <c r="S69" s="141"/>
      <c r="T69" s="141"/>
      <c r="U69" s="144"/>
      <c r="V69" s="144"/>
      <c r="W69" s="148"/>
      <c r="X69" s="144"/>
      <c r="Y69" s="11"/>
      <c r="AE69" s="42"/>
    </row>
    <row r="70" spans="1:31">
      <c r="A70" s="3" t="s">
        <v>161</v>
      </c>
      <c r="C70" s="127"/>
      <c r="D70" s="127"/>
      <c r="E70" s="128"/>
      <c r="G70" s="2"/>
      <c r="H70" s="2"/>
      <c r="I70" s="128"/>
      <c r="K70" s="2"/>
      <c r="M70" s="11"/>
      <c r="N70" s="11"/>
      <c r="O70" s="144"/>
      <c r="P70" s="38"/>
      <c r="Q70" s="11"/>
      <c r="R70" s="150"/>
      <c r="S70" s="141"/>
      <c r="T70" s="141"/>
      <c r="U70" s="144"/>
      <c r="V70" s="144"/>
      <c r="W70" s="148"/>
      <c r="X70" s="144"/>
      <c r="Y70" s="11"/>
      <c r="AE70" s="42"/>
    </row>
    <row r="71" spans="1:31">
      <c r="A71" s="3" t="s">
        <v>162</v>
      </c>
      <c r="C71" s="127">
        <f>12</f>
        <v>12</v>
      </c>
      <c r="D71" s="127">
        <f>ROUND(C71*($D$76/$C$76),0)</f>
        <v>12</v>
      </c>
      <c r="E71" s="128">
        <v>10.92</v>
      </c>
      <c r="G71" s="2">
        <f>ROUND(E71*$C71,0)</f>
        <v>131</v>
      </c>
      <c r="H71" s="2">
        <f>ROUND(E71*$D71,0)</f>
        <v>131</v>
      </c>
      <c r="I71" s="128">
        <f>$I$20</f>
        <v>10.92</v>
      </c>
      <c r="K71" s="2">
        <f>ROUND(I71*$D71,0)</f>
        <v>131</v>
      </c>
      <c r="M71" s="11"/>
      <c r="N71" s="11"/>
      <c r="O71" s="144"/>
      <c r="P71" s="38"/>
      <c r="Q71" s="11"/>
      <c r="R71" s="150"/>
      <c r="S71" s="141"/>
      <c r="T71" s="141"/>
      <c r="U71" s="144"/>
      <c r="V71" s="144"/>
      <c r="W71" s="148"/>
      <c r="X71" s="144"/>
      <c r="Y71" s="11"/>
      <c r="AE71" s="42"/>
    </row>
    <row r="72" spans="1:31">
      <c r="A72" s="3" t="s">
        <v>163</v>
      </c>
      <c r="C72" s="127">
        <f>96+12</f>
        <v>108</v>
      </c>
      <c r="D72" s="127">
        <f>ROUND(C72*($D$76/$C$76),0)</f>
        <v>112</v>
      </c>
      <c r="E72" s="128">
        <v>16.04</v>
      </c>
      <c r="G72" s="2">
        <f>ROUND(E72*$C72,0)</f>
        <v>1732</v>
      </c>
      <c r="H72" s="2">
        <f>ROUND(E72*$D72,0)</f>
        <v>1796</v>
      </c>
      <c r="I72" s="128">
        <f>$I$21</f>
        <v>16.04</v>
      </c>
      <c r="K72" s="2">
        <f>ROUND(I72*$D72,0)</f>
        <v>1796</v>
      </c>
      <c r="M72" s="11"/>
      <c r="N72" s="11"/>
      <c r="O72" s="144"/>
      <c r="P72" s="38"/>
      <c r="Q72" s="11"/>
      <c r="R72" s="150"/>
      <c r="S72" s="141"/>
      <c r="T72" s="141"/>
      <c r="U72" s="144"/>
      <c r="V72" s="144"/>
      <c r="W72" s="148"/>
      <c r="X72" s="144"/>
      <c r="Y72" s="11"/>
      <c r="AE72" s="42"/>
    </row>
    <row r="73" spans="1:31">
      <c r="A73" s="3" t="s">
        <v>164</v>
      </c>
      <c r="C73" s="127">
        <f>36</f>
        <v>36</v>
      </c>
      <c r="D73" s="127">
        <f>ROUND(C73*($D$76/$C$76),0)</f>
        <v>37</v>
      </c>
      <c r="E73" s="128">
        <v>25.88</v>
      </c>
      <c r="G73" s="2">
        <f>ROUND(E73*$C73,0)</f>
        <v>932</v>
      </c>
      <c r="H73" s="2">
        <f>ROUND(E73*$D73,0)</f>
        <v>958</v>
      </c>
      <c r="I73" s="128">
        <f>$I$22</f>
        <v>25.88</v>
      </c>
      <c r="K73" s="2">
        <f>ROUND(I73*$D73,0)</f>
        <v>958</v>
      </c>
      <c r="M73" s="11"/>
      <c r="N73" s="11"/>
      <c r="O73" s="144"/>
      <c r="P73" s="38"/>
      <c r="Q73" s="11"/>
      <c r="R73" s="150"/>
      <c r="S73" s="141"/>
      <c r="T73" s="141"/>
      <c r="U73" s="144"/>
      <c r="V73" s="144"/>
      <c r="W73" s="148"/>
      <c r="X73" s="144"/>
      <c r="Y73" s="11"/>
      <c r="AE73" s="42"/>
    </row>
    <row r="74" spans="1:31">
      <c r="A74" s="3" t="s">
        <v>165</v>
      </c>
      <c r="C74" s="127">
        <f>133</f>
        <v>133</v>
      </c>
      <c r="D74" s="127">
        <f>ROUND(C74*($D$76/$C$76),0)</f>
        <v>138</v>
      </c>
      <c r="E74" s="132">
        <v>1</v>
      </c>
      <c r="F74" s="11"/>
      <c r="G74" s="135">
        <f>ROUND(E74*$C74,0)</f>
        <v>133</v>
      </c>
      <c r="H74" s="135">
        <f>ROUND(E74*$D74,0)</f>
        <v>138</v>
      </c>
      <c r="I74" s="132">
        <f>$I$23</f>
        <v>1</v>
      </c>
      <c r="J74" s="11"/>
      <c r="K74" s="135">
        <f>ROUND(I74*$D74,0)</f>
        <v>138</v>
      </c>
      <c r="M74" s="141"/>
      <c r="N74" s="141"/>
      <c r="O74" s="144"/>
      <c r="P74" s="38"/>
      <c r="Q74" s="11"/>
      <c r="R74" s="141"/>
      <c r="S74" s="141"/>
      <c r="T74" s="141"/>
      <c r="U74" s="144"/>
      <c r="V74" s="144"/>
      <c r="W74" s="144"/>
      <c r="X74" s="144"/>
      <c r="Y74" s="11"/>
      <c r="AE74" s="42"/>
    </row>
    <row r="75" spans="1:31">
      <c r="A75" s="3" t="s">
        <v>166</v>
      </c>
      <c r="C75" s="127">
        <f>20+45</f>
        <v>65</v>
      </c>
      <c r="D75" s="127">
        <v>61.916666666666664</v>
      </c>
      <c r="E75" s="128"/>
      <c r="G75" s="2"/>
      <c r="H75" s="2"/>
      <c r="I75" s="128"/>
      <c r="K75" s="2"/>
      <c r="M75" s="141"/>
      <c r="N75" s="141"/>
      <c r="O75" s="141"/>
      <c r="P75" s="141"/>
      <c r="Q75" s="141"/>
      <c r="R75" s="141"/>
      <c r="S75" s="141"/>
      <c r="T75" s="141"/>
      <c r="U75" s="151"/>
      <c r="V75" s="141"/>
      <c r="W75" s="141"/>
      <c r="X75" s="141"/>
      <c r="Y75" s="11"/>
      <c r="AE75" s="42"/>
    </row>
    <row r="76" spans="1:31">
      <c r="A76" s="3" t="s">
        <v>15</v>
      </c>
      <c r="C76" s="127">
        <v>161590</v>
      </c>
      <c r="D76" s="127">
        <v>167748.79783190461</v>
      </c>
      <c r="E76" s="132"/>
      <c r="F76" s="11"/>
      <c r="G76" s="135">
        <f>SUM(G67:G74)</f>
        <v>19177</v>
      </c>
      <c r="H76" s="135">
        <f>SUM(H67:H74)</f>
        <v>19899</v>
      </c>
      <c r="I76" s="132"/>
      <c r="J76" s="11"/>
      <c r="K76" s="135">
        <f>SUM(K67:K74)</f>
        <v>19899</v>
      </c>
      <c r="M76" s="141"/>
      <c r="N76" s="141"/>
      <c r="O76" s="150"/>
      <c r="P76" s="141"/>
      <c r="Q76" s="11"/>
      <c r="R76" s="11"/>
      <c r="S76" s="11"/>
      <c r="T76" s="141"/>
      <c r="U76" s="141"/>
      <c r="V76" s="141"/>
      <c r="W76" s="141"/>
      <c r="X76" s="141"/>
      <c r="Y76" s="11"/>
      <c r="AE76" s="42"/>
    </row>
    <row r="77" spans="1:31">
      <c r="A77" s="3" t="s">
        <v>167</v>
      </c>
      <c r="C77" s="127">
        <v>-3651.1873052418596</v>
      </c>
      <c r="D77" s="127">
        <v>0</v>
      </c>
      <c r="E77" s="132"/>
      <c r="F77" s="11"/>
      <c r="G77" s="135">
        <v>-357.5269401612241</v>
      </c>
      <c r="H77" s="135">
        <v>0</v>
      </c>
      <c r="I77" s="132"/>
      <c r="J77" s="11"/>
      <c r="K77" s="135">
        <v>0</v>
      </c>
      <c r="M77" s="152"/>
      <c r="N77" s="152"/>
      <c r="O77" s="153"/>
      <c r="P77" s="141"/>
      <c r="Q77" s="141"/>
      <c r="R77" s="146"/>
      <c r="S77" s="144"/>
      <c r="T77" s="141"/>
      <c r="U77" s="140"/>
      <c r="V77" s="140"/>
      <c r="W77" s="140"/>
      <c r="X77" s="140"/>
      <c r="AE77" s="42"/>
    </row>
    <row r="78" spans="1:31" ht="16.5" thickBot="1">
      <c r="A78" s="3" t="s">
        <v>1</v>
      </c>
      <c r="C78" s="136">
        <f>C76+C77</f>
        <v>157938.81269475815</v>
      </c>
      <c r="D78" s="136">
        <f>SUM(D76:D77)</f>
        <v>167748.79783190461</v>
      </c>
      <c r="E78" s="137"/>
      <c r="F78" s="137"/>
      <c r="G78" s="137">
        <f>G76+G77</f>
        <v>18819.473059838776</v>
      </c>
      <c r="H78" s="137">
        <f>H76+H77</f>
        <v>19899</v>
      </c>
      <c r="I78" s="137"/>
      <c r="J78" s="137"/>
      <c r="K78" s="137">
        <f>K76+K77</f>
        <v>19899</v>
      </c>
      <c r="M78" s="154"/>
      <c r="N78" s="154"/>
      <c r="O78" s="155"/>
      <c r="P78" s="141"/>
      <c r="Q78" s="141"/>
      <c r="R78" s="141"/>
      <c r="S78" s="141"/>
      <c r="T78" s="141"/>
      <c r="U78" s="140"/>
      <c r="V78" s="140"/>
      <c r="W78" s="140"/>
      <c r="X78" s="140"/>
      <c r="AE78" s="42"/>
    </row>
    <row r="79" spans="1:31" ht="16.5" thickTop="1">
      <c r="C79" s="138"/>
      <c r="D79" s="138"/>
      <c r="E79" s="138"/>
      <c r="F79" s="138"/>
      <c r="G79" s="126"/>
      <c r="H79" s="126"/>
      <c r="I79" s="1" t="s">
        <v>13</v>
      </c>
      <c r="J79" s="138"/>
      <c r="K79" s="2" t="s">
        <v>13</v>
      </c>
      <c r="P79" s="38"/>
      <c r="Q79" s="11"/>
      <c r="R79" s="11"/>
      <c r="S79" s="11"/>
      <c r="T79" s="11"/>
      <c r="AE79" s="42"/>
    </row>
    <row r="80" spans="1:31">
      <c r="A80" s="156" t="s">
        <v>172</v>
      </c>
      <c r="B80" s="1"/>
      <c r="C80" s="1"/>
      <c r="D80" s="1"/>
      <c r="E80" s="12"/>
      <c r="F80" s="12"/>
      <c r="G80" s="1"/>
      <c r="H80" s="1"/>
      <c r="I80" s="12"/>
      <c r="J80" s="1"/>
      <c r="K80" s="1"/>
      <c r="M80" s="3">
        <f>K91/(D84+D85)</f>
        <v>7.0647540513858201E-2</v>
      </c>
      <c r="N80" s="157"/>
      <c r="R80" s="3" t="s">
        <v>13</v>
      </c>
      <c r="AE80" s="42"/>
    </row>
    <row r="81" spans="1:31">
      <c r="A81" s="1" t="s">
        <v>173</v>
      </c>
      <c r="B81" s="1"/>
      <c r="C81" s="1"/>
      <c r="D81" s="1"/>
      <c r="E81" s="12"/>
      <c r="F81" s="12"/>
      <c r="G81" s="1"/>
      <c r="H81" s="1"/>
      <c r="I81" s="12"/>
      <c r="J81" s="1"/>
      <c r="K81" s="1"/>
      <c r="M81" s="158"/>
      <c r="N81" s="159">
        <f>SUM(D84:D85)/SUM(D83)</f>
        <v>1285.9851569999828</v>
      </c>
      <c r="AE81" s="42"/>
    </row>
    <row r="82" spans="1:31">
      <c r="A82" s="160"/>
      <c r="B82" s="1"/>
      <c r="C82" s="1"/>
      <c r="D82" s="1"/>
      <c r="E82" s="12"/>
      <c r="F82" s="12"/>
      <c r="G82" s="1"/>
      <c r="H82" s="1"/>
      <c r="I82" s="12"/>
      <c r="J82" s="1"/>
      <c r="K82" s="1"/>
      <c r="O82" s="33" t="s">
        <v>13</v>
      </c>
      <c r="P82" s="33" t="s">
        <v>13</v>
      </c>
      <c r="AE82" s="42"/>
    </row>
    <row r="83" spans="1:31">
      <c r="A83" s="1" t="s">
        <v>174</v>
      </c>
      <c r="B83" s="1"/>
      <c r="C83" s="12">
        <f t="shared" ref="C83:D90" si="4">C96+C109+C122+C135</f>
        <v>1216043</v>
      </c>
      <c r="D83" s="12">
        <f t="shared" si="4"/>
        <v>1229864</v>
      </c>
      <c r="E83" s="161">
        <v>5.25</v>
      </c>
      <c r="F83" s="1"/>
      <c r="G83" s="2">
        <f t="shared" ref="G83:H90" si="5">G96+G109+G122+G135</f>
        <v>6384226</v>
      </c>
      <c r="H83" s="2">
        <f t="shared" si="5"/>
        <v>6456787</v>
      </c>
      <c r="I83" s="161">
        <v>6</v>
      </c>
      <c r="J83" s="1"/>
      <c r="K83" s="2">
        <f t="shared" ref="K83:K90" si="6">K96+K109+K122+K135</f>
        <v>7379184</v>
      </c>
      <c r="M83" s="42">
        <f>I83*D83</f>
        <v>7379184</v>
      </c>
      <c r="O83" s="8">
        <f t="shared" ref="O83:O88" si="7">(I83-E83)/E83</f>
        <v>0.14285714285714285</v>
      </c>
      <c r="T83" s="3" t="s">
        <v>175</v>
      </c>
      <c r="U83" s="3" t="s">
        <v>120</v>
      </c>
      <c r="V83" s="3" t="s">
        <v>176</v>
      </c>
      <c r="W83" s="3" t="s">
        <v>126</v>
      </c>
      <c r="AE83" s="42"/>
    </row>
    <row r="84" spans="1:31">
      <c r="A84" s="1" t="s">
        <v>177</v>
      </c>
      <c r="B84" s="1"/>
      <c r="C84" s="12">
        <f t="shared" si="4"/>
        <v>638137013.30924332</v>
      </c>
      <c r="D84" s="12">
        <f t="shared" si="4"/>
        <v>643146746.60466242</v>
      </c>
      <c r="E84" s="162">
        <v>4.569</v>
      </c>
      <c r="F84" s="1" t="s">
        <v>178</v>
      </c>
      <c r="G84" s="2">
        <f t="shared" si="5"/>
        <v>29156479</v>
      </c>
      <c r="H84" s="2">
        <f t="shared" si="5"/>
        <v>29385375</v>
      </c>
      <c r="I84" s="162">
        <v>4.9139999999999997</v>
      </c>
      <c r="J84" s="1" t="s">
        <v>178</v>
      </c>
      <c r="K84" s="2">
        <f t="shared" si="6"/>
        <v>31604232</v>
      </c>
      <c r="M84" s="42">
        <f>(I84/100)*D84</f>
        <v>31604231.128153108</v>
      </c>
      <c r="O84" s="8">
        <f t="shared" si="7"/>
        <v>7.55088640840446E-2</v>
      </c>
      <c r="Q84" s="101">
        <f>(E85-E84)/E84</f>
        <v>0.57758809367476482</v>
      </c>
      <c r="S84" s="3" t="s">
        <v>7</v>
      </c>
      <c r="T84" s="42">
        <f>H83</f>
        <v>6456787</v>
      </c>
      <c r="U84" s="42">
        <f>K83</f>
        <v>7379184</v>
      </c>
      <c r="V84" s="49">
        <v>10560201.731189568</v>
      </c>
      <c r="W84" s="101">
        <f>U84/V84</f>
        <v>0.69877301474322895</v>
      </c>
      <c r="AE84" s="42"/>
    </row>
    <row r="85" spans="1:31">
      <c r="A85" s="1" t="s">
        <v>179</v>
      </c>
      <c r="B85" s="1"/>
      <c r="C85" s="12">
        <f t="shared" si="4"/>
        <v>930810309.69075668</v>
      </c>
      <c r="D85" s="12">
        <f t="shared" si="4"/>
        <v>938440102.52396452</v>
      </c>
      <c r="E85" s="162">
        <v>7.2080000000000002</v>
      </c>
      <c r="F85" s="1" t="s">
        <v>178</v>
      </c>
      <c r="G85" s="2">
        <f t="shared" si="5"/>
        <v>67092808</v>
      </c>
      <c r="H85" s="2">
        <f t="shared" si="5"/>
        <v>67642762</v>
      </c>
      <c r="I85" s="162">
        <v>7.7510000000000003</v>
      </c>
      <c r="J85" s="1" t="s">
        <v>178</v>
      </c>
      <c r="K85" s="2">
        <f t="shared" si="6"/>
        <v>72738492</v>
      </c>
      <c r="M85" s="42">
        <f>(I85/100)*D85</f>
        <v>72738492.346632496</v>
      </c>
      <c r="N85" s="163"/>
      <c r="O85" s="8">
        <f t="shared" si="7"/>
        <v>7.533296337402888E-2</v>
      </c>
      <c r="Q85" s="101">
        <f>(I85-I84)/I84</f>
        <v>0.57733007733007746</v>
      </c>
      <c r="S85" s="3" t="s">
        <v>180</v>
      </c>
      <c r="T85" s="49">
        <f>E84*(D84+D85)/100</f>
        <v>72262703.136686951</v>
      </c>
      <c r="U85" s="49">
        <f>I84*(D84+D85)/100</f>
        <v>77719177.766180709</v>
      </c>
      <c r="V85" s="49">
        <v>74901422.706720337</v>
      </c>
      <c r="W85" s="101">
        <f>U85/V85</f>
        <v>1.0376195131899351</v>
      </c>
      <c r="AE85" s="42"/>
    </row>
    <row r="86" spans="1:31">
      <c r="A86" s="1" t="s">
        <v>181</v>
      </c>
      <c r="B86" s="1"/>
      <c r="C86" s="12">
        <f t="shared" si="4"/>
        <v>6129</v>
      </c>
      <c r="D86" s="12">
        <f t="shared" si="4"/>
        <v>6540.0468369807459</v>
      </c>
      <c r="E86" s="164">
        <v>1.55</v>
      </c>
      <c r="F86" s="1"/>
      <c r="G86" s="2">
        <f t="shared" si="5"/>
        <v>9500</v>
      </c>
      <c r="H86" s="2">
        <f t="shared" si="5"/>
        <v>10137</v>
      </c>
      <c r="I86" s="164">
        <v>1.55</v>
      </c>
      <c r="J86" s="1"/>
      <c r="K86" s="2">
        <f t="shared" si="6"/>
        <v>10137</v>
      </c>
      <c r="M86" s="42">
        <f>I86*D86</f>
        <v>10137.072597320157</v>
      </c>
      <c r="N86" s="165"/>
      <c r="O86" s="8">
        <f t="shared" si="7"/>
        <v>0</v>
      </c>
      <c r="S86" s="3" t="s">
        <v>182</v>
      </c>
      <c r="T86" s="42">
        <f>H84+H85-T85</f>
        <v>24765433.863313049</v>
      </c>
      <c r="U86" s="42">
        <f>K84+K85-U85</f>
        <v>26623546.233819291</v>
      </c>
      <c r="V86" s="49">
        <v>33130328.65840701</v>
      </c>
      <c r="W86" s="101">
        <f>U86/V86</f>
        <v>0.80360042631401463</v>
      </c>
      <c r="AE86" s="42"/>
    </row>
    <row r="87" spans="1:31">
      <c r="A87" s="166" t="s">
        <v>183</v>
      </c>
      <c r="B87" s="166"/>
      <c r="C87" s="12">
        <f t="shared" si="4"/>
        <v>1017</v>
      </c>
      <c r="D87" s="12">
        <f t="shared" si="4"/>
        <v>1085.8002596400945</v>
      </c>
      <c r="E87" s="164">
        <v>3</v>
      </c>
      <c r="F87" s="166"/>
      <c r="G87" s="2">
        <f t="shared" si="5"/>
        <v>3051</v>
      </c>
      <c r="H87" s="2">
        <f t="shared" si="5"/>
        <v>3258</v>
      </c>
      <c r="I87" s="164">
        <v>3</v>
      </c>
      <c r="J87" s="166"/>
      <c r="K87" s="2">
        <f t="shared" si="6"/>
        <v>3258</v>
      </c>
      <c r="M87" s="42">
        <f>I87*D87</f>
        <v>3257.4007789202833</v>
      </c>
      <c r="O87" s="8">
        <f t="shared" si="7"/>
        <v>0</v>
      </c>
      <c r="AE87" s="42"/>
    </row>
    <row r="88" spans="1:31">
      <c r="A88" s="166" t="s">
        <v>184</v>
      </c>
      <c r="B88" s="166"/>
      <c r="C88" s="12">
        <f t="shared" si="4"/>
        <v>50</v>
      </c>
      <c r="D88" s="12">
        <f t="shared" si="4"/>
        <v>53.081237721216993</v>
      </c>
      <c r="E88" s="167">
        <f>-E86</f>
        <v>-1.55</v>
      </c>
      <c r="F88" s="166"/>
      <c r="G88" s="2">
        <f t="shared" si="5"/>
        <v>-77</v>
      </c>
      <c r="H88" s="2">
        <f t="shared" si="5"/>
        <v>-82</v>
      </c>
      <c r="I88" s="167">
        <f>-I86</f>
        <v>-1.55</v>
      </c>
      <c r="J88" s="166"/>
      <c r="K88" s="2">
        <f t="shared" si="6"/>
        <v>-82</v>
      </c>
      <c r="M88" s="42">
        <f>I88*D88</f>
        <v>-82.275918467886342</v>
      </c>
      <c r="O88" s="8">
        <f t="shared" si="7"/>
        <v>0</v>
      </c>
      <c r="AE88" s="42"/>
    </row>
    <row r="89" spans="1:31">
      <c r="A89" s="1" t="s">
        <v>185</v>
      </c>
      <c r="B89" s="168"/>
      <c r="C89" s="12">
        <f t="shared" si="4"/>
        <v>1568947323</v>
      </c>
      <c r="D89" s="12">
        <f t="shared" si="4"/>
        <v>1581586849.1286268</v>
      </c>
      <c r="E89" s="169"/>
      <c r="F89" s="2"/>
      <c r="G89" s="2">
        <f t="shared" si="5"/>
        <v>102645987</v>
      </c>
      <c r="H89" s="2">
        <f t="shared" si="5"/>
        <v>103498237</v>
      </c>
      <c r="I89" s="2"/>
      <c r="J89" s="2"/>
      <c r="K89" s="2">
        <f t="shared" si="6"/>
        <v>111735221</v>
      </c>
      <c r="M89" s="42">
        <f>SUM(M83:M88)</f>
        <v>111735219.67224337</v>
      </c>
      <c r="O89" s="8"/>
      <c r="AE89" s="42"/>
    </row>
    <row r="90" spans="1:31">
      <c r="A90" s="1" t="s">
        <v>167</v>
      </c>
      <c r="B90" s="170"/>
      <c r="C90" s="171">
        <f t="shared" si="4"/>
        <v>991281.43921662425</v>
      </c>
      <c r="D90" s="171">
        <f t="shared" si="4"/>
        <v>0</v>
      </c>
      <c r="E90" s="172"/>
      <c r="F90" s="172"/>
      <c r="G90" s="173">
        <f t="shared" si="5"/>
        <v>26957.425302805033</v>
      </c>
      <c r="H90" s="173">
        <f t="shared" si="5"/>
        <v>0</v>
      </c>
      <c r="I90" s="172"/>
      <c r="J90" s="172"/>
      <c r="K90" s="173">
        <f t="shared" si="6"/>
        <v>0</v>
      </c>
      <c r="AE90" s="42"/>
    </row>
    <row r="91" spans="1:31" ht="16.5" thickBot="1">
      <c r="A91" s="1" t="s">
        <v>186</v>
      </c>
      <c r="B91" s="1"/>
      <c r="C91" s="174">
        <f>C89+C90</f>
        <v>1569938604.4392166</v>
      </c>
      <c r="D91" s="174">
        <f>D84+D85+D90</f>
        <v>1581586849.1286268</v>
      </c>
      <c r="E91" s="175"/>
      <c r="F91" s="175"/>
      <c r="G91" s="175">
        <f>G89+G90</f>
        <v>102672944.4253028</v>
      </c>
      <c r="H91" s="175">
        <f>H89+H90</f>
        <v>103498237</v>
      </c>
      <c r="I91" s="175"/>
      <c r="J91" s="175"/>
      <c r="K91" s="175">
        <f>K89+K90</f>
        <v>111735221</v>
      </c>
      <c r="N91" s="3" t="s">
        <v>168</v>
      </c>
      <c r="O91" s="33" t="e">
        <f>#REF!*1000</f>
        <v>#REF!</v>
      </c>
      <c r="AE91" s="42"/>
    </row>
    <row r="92" spans="1:31" ht="16.5" thickTop="1">
      <c r="A92" s="1"/>
      <c r="B92" s="176"/>
      <c r="C92" s="12"/>
      <c r="D92" s="12"/>
      <c r="E92" s="12"/>
      <c r="F92" s="12"/>
      <c r="I92" s="1" t="s">
        <v>13</v>
      </c>
      <c r="J92" s="1"/>
      <c r="K92" s="2" t="s">
        <v>13</v>
      </c>
      <c r="N92" s="3" t="s">
        <v>114</v>
      </c>
      <c r="O92" s="33" t="e">
        <f>O91-K91</f>
        <v>#REF!</v>
      </c>
      <c r="P92" s="177" t="e">
        <f>(O91-K91)/K91</f>
        <v>#REF!</v>
      </c>
      <c r="AE92" s="42"/>
    </row>
    <row r="93" spans="1:31">
      <c r="A93" s="156" t="s">
        <v>187</v>
      </c>
      <c r="B93" s="1"/>
      <c r="C93" s="1" t="s">
        <v>13</v>
      </c>
      <c r="D93" s="1"/>
      <c r="E93" s="12"/>
      <c r="F93" s="12"/>
      <c r="G93" s="1"/>
      <c r="H93" s="1"/>
      <c r="I93" s="12"/>
      <c r="J93" s="1"/>
      <c r="K93" s="1"/>
      <c r="O93" s="178"/>
      <c r="AE93" s="42"/>
    </row>
    <row r="94" spans="1:31">
      <c r="A94" s="1" t="s">
        <v>135</v>
      </c>
      <c r="B94" s="1"/>
      <c r="C94" s="1"/>
      <c r="D94" s="12"/>
      <c r="E94" s="12"/>
      <c r="F94" s="12"/>
      <c r="G94" s="1"/>
      <c r="H94" s="1"/>
      <c r="I94" s="12"/>
      <c r="J94" s="1"/>
      <c r="K94" s="1"/>
      <c r="N94" s="101"/>
      <c r="AE94" s="42"/>
    </row>
    <row r="95" spans="1:31">
      <c r="A95" s="160"/>
      <c r="B95" s="1"/>
      <c r="C95" s="1"/>
      <c r="D95" s="1"/>
      <c r="E95" s="12"/>
      <c r="F95" s="12"/>
      <c r="G95" s="1"/>
      <c r="H95" s="1"/>
      <c r="I95" s="12"/>
      <c r="J95" s="1"/>
      <c r="K95" s="1"/>
      <c r="N95" s="179"/>
      <c r="AE95" s="42"/>
    </row>
    <row r="96" spans="1:31">
      <c r="A96" s="1" t="s">
        <v>174</v>
      </c>
      <c r="B96" s="1"/>
      <c r="C96" s="12">
        <f>1188818+6</f>
        <v>1188824</v>
      </c>
      <c r="D96" s="12">
        <v>1199595</v>
      </c>
      <c r="E96" s="161">
        <v>5.25</v>
      </c>
      <c r="F96" s="1"/>
      <c r="G96" s="2">
        <f>ROUND(E96*$C96,0)</f>
        <v>6241326</v>
      </c>
      <c r="H96" s="2">
        <f>ROUND(E96*$D96,0)</f>
        <v>6297874</v>
      </c>
      <c r="I96" s="161">
        <f>$I$83</f>
        <v>6</v>
      </c>
      <c r="J96" s="1"/>
      <c r="K96" s="2">
        <f>ROUND(I96*$D96,0)</f>
        <v>7197570</v>
      </c>
      <c r="N96" s="157"/>
      <c r="AE96" s="42"/>
    </row>
    <row r="97" spans="1:31">
      <c r="A97" s="1" t="s">
        <v>177</v>
      </c>
      <c r="B97" s="1"/>
      <c r="C97" s="12">
        <v>622442746.97882807</v>
      </c>
      <c r="D97" s="12">
        <v>626418721.88361442</v>
      </c>
      <c r="E97" s="162">
        <v>4.569</v>
      </c>
      <c r="F97" s="1" t="s">
        <v>178</v>
      </c>
      <c r="G97" s="2">
        <f>ROUND(E97*$C97/100,0)</f>
        <v>28439409</v>
      </c>
      <c r="H97" s="2">
        <f>ROUND(E97*$D97/100,0)</f>
        <v>28621071</v>
      </c>
      <c r="I97" s="162">
        <f>$I$84</f>
        <v>4.9139999999999997</v>
      </c>
      <c r="J97" s="1" t="s">
        <v>178</v>
      </c>
      <c r="K97" s="2">
        <f>ROUND(I97*$D97/100,0)</f>
        <v>30782216</v>
      </c>
      <c r="AE97" s="42"/>
    </row>
    <row r="98" spans="1:31">
      <c r="A98" s="1" t="s">
        <v>179</v>
      </c>
      <c r="B98" s="12"/>
      <c r="C98" s="12">
        <v>902512979.02117193</v>
      </c>
      <c r="D98" s="12">
        <v>908277957.36375713</v>
      </c>
      <c r="E98" s="162">
        <v>7.2080000000000002</v>
      </c>
      <c r="F98" s="1" t="s">
        <v>178</v>
      </c>
      <c r="G98" s="2">
        <f>ROUND(E98*$C98/100,0)</f>
        <v>65053136</v>
      </c>
      <c r="H98" s="2">
        <f>ROUND(E98*$D98/100,0)</f>
        <v>65468675</v>
      </c>
      <c r="I98" s="162">
        <f>$I$85</f>
        <v>7.7510000000000003</v>
      </c>
      <c r="J98" s="1" t="s">
        <v>178</v>
      </c>
      <c r="K98" s="2">
        <f>ROUND(I98*$D98/100,0)</f>
        <v>70400624</v>
      </c>
      <c r="AE98" s="42"/>
    </row>
    <row r="99" spans="1:31">
      <c r="A99" s="1" t="s">
        <v>181</v>
      </c>
      <c r="B99" s="1"/>
      <c r="C99" s="12">
        <v>0</v>
      </c>
      <c r="D99" s="12">
        <v>0</v>
      </c>
      <c r="E99" s="164">
        <v>1.55</v>
      </c>
      <c r="F99" s="1"/>
      <c r="G99" s="2">
        <f>ROUND(E99*$C99,0)</f>
        <v>0</v>
      </c>
      <c r="H99" s="2">
        <v>0</v>
      </c>
      <c r="I99" s="164">
        <f>$I$86</f>
        <v>1.55</v>
      </c>
      <c r="J99" s="1"/>
      <c r="K99" s="2">
        <f>ROUND(I99*$D99,0)</f>
        <v>0</v>
      </c>
      <c r="AE99" s="42"/>
    </row>
    <row r="100" spans="1:31">
      <c r="A100" s="166" t="s">
        <v>183</v>
      </c>
      <c r="B100" s="166"/>
      <c r="C100" s="12">
        <v>0</v>
      </c>
      <c r="D100" s="12">
        <v>0</v>
      </c>
      <c r="E100" s="164">
        <v>3</v>
      </c>
      <c r="F100" s="166"/>
      <c r="G100" s="2">
        <f>ROUND(E100*$C100,0)</f>
        <v>0</v>
      </c>
      <c r="H100" s="2">
        <v>0</v>
      </c>
      <c r="I100" s="164">
        <f>$I$87</f>
        <v>3</v>
      </c>
      <c r="J100" s="166"/>
      <c r="K100" s="2">
        <f>ROUND(I100*$D100,0)</f>
        <v>0</v>
      </c>
      <c r="AE100" s="42"/>
    </row>
    <row r="101" spans="1:31">
      <c r="A101" s="166" t="s">
        <v>184</v>
      </c>
      <c r="B101" s="166"/>
      <c r="C101" s="12">
        <v>0</v>
      </c>
      <c r="D101" s="12">
        <v>0</v>
      </c>
      <c r="E101" s="167">
        <f>-E99</f>
        <v>-1.55</v>
      </c>
      <c r="F101" s="166"/>
      <c r="G101" s="2">
        <f>ROUND(E101*$C101,0)</f>
        <v>0</v>
      </c>
      <c r="H101" s="2">
        <v>0</v>
      </c>
      <c r="I101" s="167">
        <f>$I$88</f>
        <v>-1.55</v>
      </c>
      <c r="J101" s="166"/>
      <c r="K101" s="2">
        <f>ROUND(I101*$D101,0)</f>
        <v>0</v>
      </c>
      <c r="AE101" s="42"/>
    </row>
    <row r="102" spans="1:31">
      <c r="A102" s="1" t="s">
        <v>185</v>
      </c>
      <c r="B102" s="168"/>
      <c r="C102" s="12">
        <f>SUM(C97:C98)</f>
        <v>1524955726</v>
      </c>
      <c r="D102" s="12">
        <v>1534696679.2473714</v>
      </c>
      <c r="E102" s="169"/>
      <c r="F102" s="2"/>
      <c r="G102" s="2">
        <f>SUM(G96:G101)</f>
        <v>99733871</v>
      </c>
      <c r="H102" s="2">
        <f>SUM(H96:H101)</f>
        <v>100387620</v>
      </c>
      <c r="I102" s="2"/>
      <c r="J102" s="2"/>
      <c r="K102" s="2">
        <f>SUM(K96:K101)</f>
        <v>108380410</v>
      </c>
      <c r="O102" s="2"/>
      <c r="AE102" s="42"/>
    </row>
    <row r="103" spans="1:31">
      <c r="A103" s="1" t="s">
        <v>167</v>
      </c>
      <c r="B103" s="170"/>
      <c r="C103" s="180">
        <v>964615.15824767202</v>
      </c>
      <c r="D103" s="171">
        <v>0</v>
      </c>
      <c r="E103" s="172"/>
      <c r="F103" s="172"/>
      <c r="G103" s="173">
        <v>26215.646474169334</v>
      </c>
      <c r="H103" s="171">
        <v>0</v>
      </c>
      <c r="I103" s="172"/>
      <c r="J103" s="172"/>
      <c r="K103" s="173">
        <v>0</v>
      </c>
      <c r="M103" s="152"/>
      <c r="N103" s="152"/>
      <c r="O103" s="153"/>
      <c r="AE103" s="42"/>
    </row>
    <row r="104" spans="1:31" ht="16.5" thickBot="1">
      <c r="A104" s="1" t="s">
        <v>186</v>
      </c>
      <c r="B104" s="1"/>
      <c r="C104" s="174">
        <f>C102+C103</f>
        <v>1525920341.1582477</v>
      </c>
      <c r="D104" s="174">
        <f>SUM(D102:D103)</f>
        <v>1534696679.2473714</v>
      </c>
      <c r="E104" s="175"/>
      <c r="F104" s="175"/>
      <c r="G104" s="175">
        <f>G102+G103</f>
        <v>99760086.646474168</v>
      </c>
      <c r="H104" s="181">
        <f>SUM(H102:H103)</f>
        <v>100387620</v>
      </c>
      <c r="I104" s="175"/>
      <c r="J104" s="175"/>
      <c r="K104" s="175">
        <f>K102+K103</f>
        <v>108380410</v>
      </c>
      <c r="M104" s="154"/>
      <c r="N104" s="154"/>
      <c r="O104" s="155"/>
      <c r="AE104" s="42"/>
    </row>
    <row r="105" spans="1:31" ht="16.5" thickTop="1">
      <c r="A105" s="1"/>
      <c r="B105" s="176"/>
      <c r="C105" s="12"/>
      <c r="D105" s="12"/>
      <c r="E105" s="12"/>
      <c r="F105" s="12"/>
      <c r="I105" s="1" t="s">
        <v>13</v>
      </c>
      <c r="J105" s="1"/>
      <c r="K105" s="2" t="s">
        <v>13</v>
      </c>
      <c r="AE105" s="42"/>
    </row>
    <row r="106" spans="1:31">
      <c r="A106" s="156" t="s">
        <v>188</v>
      </c>
      <c r="B106" s="1"/>
      <c r="C106" s="1"/>
      <c r="D106" s="1"/>
      <c r="E106" s="12"/>
      <c r="F106" s="12"/>
      <c r="G106" s="1"/>
      <c r="H106" s="1"/>
      <c r="I106" s="12"/>
      <c r="J106" s="1"/>
      <c r="K106" s="1"/>
      <c r="AE106" s="42"/>
    </row>
    <row r="107" spans="1:31">
      <c r="A107" s="1" t="s">
        <v>135</v>
      </c>
      <c r="B107" s="1"/>
      <c r="C107" s="1"/>
      <c r="D107" s="1"/>
      <c r="E107" s="12"/>
      <c r="F107" s="12"/>
      <c r="G107" s="1"/>
      <c r="H107" s="1"/>
      <c r="I107" s="12"/>
      <c r="J107" s="1"/>
      <c r="K107" s="1"/>
      <c r="AE107" s="42"/>
    </row>
    <row r="108" spans="1:31">
      <c r="A108" s="160"/>
      <c r="B108" s="1"/>
      <c r="C108" s="1"/>
      <c r="D108" s="1"/>
      <c r="E108" s="12"/>
      <c r="F108" s="12"/>
      <c r="G108" s="1"/>
      <c r="H108" s="1"/>
      <c r="I108" s="12"/>
      <c r="J108" s="1"/>
      <c r="K108" s="1"/>
      <c r="AE108" s="42"/>
    </row>
    <row r="109" spans="1:31">
      <c r="A109" s="1" t="s">
        <v>174</v>
      </c>
      <c r="B109" s="1"/>
      <c r="C109" s="12">
        <v>25712</v>
      </c>
      <c r="D109" s="12">
        <v>28799</v>
      </c>
      <c r="E109" s="161">
        <v>5.25</v>
      </c>
      <c r="F109" s="1"/>
      <c r="G109" s="2">
        <f>ROUND(E109*$C109,0)</f>
        <v>134988</v>
      </c>
      <c r="H109" s="2">
        <f>ROUND(E109*$D109,0)</f>
        <v>151195</v>
      </c>
      <c r="I109" s="161">
        <f>$I$83</f>
        <v>6</v>
      </c>
      <c r="J109" s="1"/>
      <c r="K109" s="2">
        <f>ROUND(I109*$D109,0)</f>
        <v>172794</v>
      </c>
      <c r="AE109" s="42"/>
    </row>
    <row r="110" spans="1:31">
      <c r="A110" s="1" t="s">
        <v>177</v>
      </c>
      <c r="B110" s="1"/>
      <c r="C110" s="12">
        <v>14933585</v>
      </c>
      <c r="D110" s="12">
        <v>15919403.902441863</v>
      </c>
      <c r="E110" s="162">
        <v>4.569</v>
      </c>
      <c r="F110" s="1" t="s">
        <v>178</v>
      </c>
      <c r="G110" s="2">
        <f>ROUND(E110*$C110/100,0)</f>
        <v>682315</v>
      </c>
      <c r="H110" s="2">
        <f>ROUND(E110*$D110/100,0)</f>
        <v>727358</v>
      </c>
      <c r="I110" s="162">
        <f>$I$84</f>
        <v>4.9139999999999997</v>
      </c>
      <c r="J110" s="1" t="s">
        <v>178</v>
      </c>
      <c r="K110" s="2">
        <f>ROUND(I110*$D110/100,0)</f>
        <v>782280</v>
      </c>
      <c r="AE110" s="42"/>
    </row>
    <row r="111" spans="1:31">
      <c r="A111" s="1" t="s">
        <v>179</v>
      </c>
      <c r="B111" s="1"/>
      <c r="C111" s="12">
        <f>40608391-C110</f>
        <v>25674806</v>
      </c>
      <c r="D111" s="12">
        <v>27369690.990531594</v>
      </c>
      <c r="E111" s="162">
        <v>7.2080000000000002</v>
      </c>
      <c r="F111" s="1" t="s">
        <v>178</v>
      </c>
      <c r="G111" s="2">
        <f>ROUND(E111*$C111/100,0)</f>
        <v>1850640</v>
      </c>
      <c r="H111" s="2">
        <f>ROUND(E111*$D111/100,0)</f>
        <v>1972807</v>
      </c>
      <c r="I111" s="162">
        <f>$I$85</f>
        <v>7.7510000000000003</v>
      </c>
      <c r="J111" s="1" t="s">
        <v>178</v>
      </c>
      <c r="K111" s="2">
        <f>ROUND(I111*$D111/100,0)</f>
        <v>2121425</v>
      </c>
      <c r="AE111" s="42"/>
    </row>
    <row r="112" spans="1:31">
      <c r="A112" s="1" t="s">
        <v>181</v>
      </c>
      <c r="B112" s="1"/>
      <c r="C112" s="12">
        <v>0</v>
      </c>
      <c r="D112" s="12">
        <v>0</v>
      </c>
      <c r="E112" s="164">
        <v>1.55</v>
      </c>
      <c r="F112" s="1"/>
      <c r="G112" s="2">
        <f>ROUND(E112*$C112,0)</f>
        <v>0</v>
      </c>
      <c r="H112" s="2">
        <v>0</v>
      </c>
      <c r="I112" s="164">
        <f>$I$86</f>
        <v>1.55</v>
      </c>
      <c r="J112" s="1"/>
      <c r="K112" s="2">
        <f>ROUND(I112*$D112,0)</f>
        <v>0</v>
      </c>
      <c r="AE112" s="42"/>
    </row>
    <row r="113" spans="1:31">
      <c r="A113" s="166" t="s">
        <v>183</v>
      </c>
      <c r="B113" s="166"/>
      <c r="C113" s="12">
        <v>0</v>
      </c>
      <c r="D113" s="12">
        <v>0</v>
      </c>
      <c r="E113" s="164">
        <v>3</v>
      </c>
      <c r="F113" s="166"/>
      <c r="G113" s="2">
        <f>ROUND(E113*$C113,0)</f>
        <v>0</v>
      </c>
      <c r="H113" s="2">
        <v>0</v>
      </c>
      <c r="I113" s="164">
        <f>$I$87</f>
        <v>3</v>
      </c>
      <c r="J113" s="166"/>
      <c r="K113" s="2">
        <f>ROUND(I113*$D113,0)</f>
        <v>0</v>
      </c>
      <c r="AE113" s="42"/>
    </row>
    <row r="114" spans="1:31">
      <c r="A114" s="166" t="s">
        <v>184</v>
      </c>
      <c r="B114" s="166"/>
      <c r="C114" s="12">
        <v>0</v>
      </c>
      <c r="D114" s="12">
        <v>0</v>
      </c>
      <c r="E114" s="167">
        <f>-E112</f>
        <v>-1.55</v>
      </c>
      <c r="F114" s="166"/>
      <c r="G114" s="2">
        <f>ROUND(E114*$C114,0)</f>
        <v>0</v>
      </c>
      <c r="H114" s="2">
        <v>0</v>
      </c>
      <c r="I114" s="167">
        <f>$I$88</f>
        <v>-1.55</v>
      </c>
      <c r="J114" s="166"/>
      <c r="K114" s="2">
        <f>ROUND(I114*$D114,0)</f>
        <v>0</v>
      </c>
      <c r="AE114" s="42"/>
    </row>
    <row r="115" spans="1:31">
      <c r="A115" s="1" t="s">
        <v>185</v>
      </c>
      <c r="B115" s="1"/>
      <c r="C115" s="12">
        <f>SUM(C110:C111)</f>
        <v>40608391</v>
      </c>
      <c r="D115" s="12">
        <v>43289094.892973453</v>
      </c>
      <c r="E115" s="169"/>
      <c r="F115" s="2"/>
      <c r="G115" s="2">
        <f>SUM(G109:G114)</f>
        <v>2667943</v>
      </c>
      <c r="H115" s="2">
        <f>SUM(H109:H114)</f>
        <v>2851360</v>
      </c>
      <c r="I115" s="2"/>
      <c r="J115" s="2"/>
      <c r="K115" s="2">
        <f>SUM(K109:K114)</f>
        <v>3076499</v>
      </c>
      <c r="AE115" s="42"/>
    </row>
    <row r="116" spans="1:31">
      <c r="A116" s="1" t="s">
        <v>167</v>
      </c>
      <c r="B116" s="1"/>
      <c r="C116" s="180">
        <v>24510.980258357216</v>
      </c>
      <c r="D116" s="171">
        <v>0</v>
      </c>
      <c r="E116" s="172"/>
      <c r="F116" s="172"/>
      <c r="G116" s="173">
        <v>676.32035447932685</v>
      </c>
      <c r="H116" s="171">
        <v>0</v>
      </c>
      <c r="I116" s="172"/>
      <c r="J116" s="172"/>
      <c r="K116" s="173">
        <v>0</v>
      </c>
      <c r="M116" s="152"/>
      <c r="N116" s="152"/>
      <c r="O116" s="153"/>
      <c r="AE116" s="42"/>
    </row>
    <row r="117" spans="1:31" ht="16.5" thickBot="1">
      <c r="A117" s="1" t="s">
        <v>186</v>
      </c>
      <c r="B117" s="1"/>
      <c r="C117" s="174">
        <f>C115+C116</f>
        <v>40632901.980258361</v>
      </c>
      <c r="D117" s="174">
        <f>SUM(D115:D116)</f>
        <v>43289094.892973453</v>
      </c>
      <c r="E117" s="175"/>
      <c r="F117" s="175"/>
      <c r="G117" s="175">
        <f>G115+G116</f>
        <v>2668619.3203544794</v>
      </c>
      <c r="H117" s="181">
        <f>SUM(H115:H116)</f>
        <v>2851360</v>
      </c>
      <c r="I117" s="175"/>
      <c r="J117" s="175"/>
      <c r="K117" s="175">
        <f>K115+K116</f>
        <v>3076499</v>
      </c>
      <c r="M117" s="154"/>
      <c r="N117" s="154"/>
      <c r="O117" s="155"/>
      <c r="AE117" s="42"/>
    </row>
    <row r="118" spans="1:31" ht="16.5" thickTop="1">
      <c r="A118" s="1"/>
      <c r="B118" s="176"/>
      <c r="C118" s="12"/>
      <c r="D118" s="12"/>
      <c r="E118" s="12"/>
      <c r="F118" s="12"/>
      <c r="I118" s="1" t="s">
        <v>13</v>
      </c>
      <c r="J118" s="1"/>
      <c r="K118" s="2" t="s">
        <v>13</v>
      </c>
      <c r="AE118" s="42"/>
    </row>
    <row r="119" spans="1:31">
      <c r="A119" s="156" t="s">
        <v>189</v>
      </c>
      <c r="B119" s="1"/>
      <c r="C119" s="1"/>
      <c r="D119" s="1"/>
      <c r="E119" s="12"/>
      <c r="F119" s="12"/>
      <c r="G119" s="1"/>
      <c r="H119" s="1"/>
      <c r="I119" s="12"/>
      <c r="J119" s="1"/>
      <c r="K119" s="1"/>
      <c r="AE119" s="42"/>
    </row>
    <row r="120" spans="1:31">
      <c r="A120" s="1" t="s">
        <v>135</v>
      </c>
      <c r="B120" s="1"/>
      <c r="C120" s="1"/>
      <c r="D120" s="1"/>
      <c r="E120" s="12"/>
      <c r="F120" s="12"/>
      <c r="G120" s="1"/>
      <c r="H120" s="1"/>
      <c r="I120" s="12"/>
      <c r="J120" s="1"/>
      <c r="K120" s="1"/>
      <c r="AE120" s="42"/>
    </row>
    <row r="121" spans="1:31">
      <c r="A121" s="160"/>
      <c r="B121" s="1"/>
      <c r="C121" s="1"/>
      <c r="D121" s="1"/>
      <c r="E121" s="12"/>
      <c r="F121" s="12"/>
      <c r="G121" s="1"/>
      <c r="H121" s="1"/>
      <c r="I121" s="12"/>
      <c r="J121" s="1"/>
      <c r="K121" s="1"/>
      <c r="AE121" s="42"/>
    </row>
    <row r="122" spans="1:31">
      <c r="A122" s="1" t="s">
        <v>174</v>
      </c>
      <c r="B122" s="1"/>
      <c r="C122" s="12">
        <v>1191</v>
      </c>
      <c r="D122" s="12">
        <v>1155</v>
      </c>
      <c r="E122" s="161">
        <v>5.25</v>
      </c>
      <c r="F122" s="1"/>
      <c r="G122" s="2">
        <f>ROUND(E122*$C122,0)</f>
        <v>6253</v>
      </c>
      <c r="H122" s="2">
        <f>ROUND(E122*$D122,0)</f>
        <v>6064</v>
      </c>
      <c r="I122" s="161">
        <f>$I$83</f>
        <v>6</v>
      </c>
      <c r="J122" s="1"/>
      <c r="K122" s="2">
        <f>ROUND(I122*$D122,0)</f>
        <v>6930</v>
      </c>
      <c r="AE122" s="42"/>
    </row>
    <row r="123" spans="1:31">
      <c r="A123" s="1" t="s">
        <v>177</v>
      </c>
      <c r="B123" s="1"/>
      <c r="C123" s="12">
        <v>577197.33041522116</v>
      </c>
      <c r="D123" s="12">
        <v>623924.69816689566</v>
      </c>
      <c r="E123" s="162">
        <v>4.569</v>
      </c>
      <c r="F123" s="1" t="s">
        <v>178</v>
      </c>
      <c r="G123" s="2">
        <f>ROUND(E123*$C123/100,0)</f>
        <v>26372</v>
      </c>
      <c r="H123" s="2">
        <f>ROUND(E123*$D123/100,0)</f>
        <v>28507</v>
      </c>
      <c r="I123" s="162">
        <f>$I$84</f>
        <v>4.9139999999999997</v>
      </c>
      <c r="J123" s="1" t="s">
        <v>178</v>
      </c>
      <c r="K123" s="2">
        <f>ROUND(I123*$D123/100,0)</f>
        <v>30660</v>
      </c>
      <c r="AE123" s="42"/>
    </row>
    <row r="124" spans="1:31">
      <c r="A124" s="1" t="s">
        <v>179</v>
      </c>
      <c r="B124" s="1"/>
      <c r="C124" s="12">
        <v>2052532.6695847788</v>
      </c>
      <c r="D124" s="12">
        <v>2218696.7244410608</v>
      </c>
      <c r="E124" s="162">
        <v>7.2080000000000002</v>
      </c>
      <c r="F124" s="1" t="s">
        <v>178</v>
      </c>
      <c r="G124" s="2">
        <f>ROUND(E124*$C124/100,0)</f>
        <v>147947</v>
      </c>
      <c r="H124" s="2">
        <f>ROUND(E124*$D124/100,0)</f>
        <v>159924</v>
      </c>
      <c r="I124" s="162">
        <f>$I$85</f>
        <v>7.7510000000000003</v>
      </c>
      <c r="J124" s="1" t="s">
        <v>178</v>
      </c>
      <c r="K124" s="2">
        <f>ROUND(I124*$D124/100,0)</f>
        <v>171971</v>
      </c>
      <c r="AE124" s="42"/>
    </row>
    <row r="125" spans="1:31">
      <c r="A125" s="1" t="s">
        <v>181</v>
      </c>
      <c r="B125" s="1"/>
      <c r="C125" s="12">
        <v>4984</v>
      </c>
      <c r="D125" s="12">
        <v>5387.4828101280564</v>
      </c>
      <c r="E125" s="164">
        <v>1.55</v>
      </c>
      <c r="F125" s="1"/>
      <c r="G125" s="2">
        <f>ROUND(E125*$C125,0)</f>
        <v>7725</v>
      </c>
      <c r="H125" s="2">
        <f>ROUND(E125*$D125,0)</f>
        <v>8351</v>
      </c>
      <c r="I125" s="164">
        <f>$I$86</f>
        <v>1.55</v>
      </c>
      <c r="J125" s="1"/>
      <c r="K125" s="2">
        <f>ROUND(I125*$D125,0)</f>
        <v>8351</v>
      </c>
      <c r="AE125" s="42"/>
    </row>
    <row r="126" spans="1:31">
      <c r="A126" s="166" t="s">
        <v>183</v>
      </c>
      <c r="B126" s="166"/>
      <c r="C126" s="12">
        <v>835</v>
      </c>
      <c r="D126" s="12">
        <v>902.59794270805128</v>
      </c>
      <c r="E126" s="164">
        <v>3</v>
      </c>
      <c r="F126" s="166"/>
      <c r="G126" s="2">
        <f>ROUND(E126*$C126,0)</f>
        <v>2505</v>
      </c>
      <c r="H126" s="2">
        <f>ROUND(E126*$D126,0)</f>
        <v>2708</v>
      </c>
      <c r="I126" s="164">
        <f>$I$87</f>
        <v>3</v>
      </c>
      <c r="J126" s="166"/>
      <c r="K126" s="2">
        <f>ROUND(I126*$D126,0)</f>
        <v>2708</v>
      </c>
      <c r="AE126" s="42"/>
    </row>
    <row r="127" spans="1:31">
      <c r="A127" s="166" t="s">
        <v>184</v>
      </c>
      <c r="B127" s="166"/>
      <c r="C127" s="12">
        <v>37</v>
      </c>
      <c r="D127" s="12">
        <v>39.995357940356762</v>
      </c>
      <c r="E127" s="167">
        <f>-E125</f>
        <v>-1.55</v>
      </c>
      <c r="F127" s="166"/>
      <c r="G127" s="2">
        <f>ROUND(E127*$C127,0)</f>
        <v>-57</v>
      </c>
      <c r="H127" s="2">
        <f>ROUND(E127*$D127,0)</f>
        <v>-62</v>
      </c>
      <c r="I127" s="167">
        <f>$I$88</f>
        <v>-1.55</v>
      </c>
      <c r="J127" s="166"/>
      <c r="K127" s="2">
        <f>ROUND(I127*$D127,0)</f>
        <v>-62</v>
      </c>
      <c r="AE127" s="42"/>
    </row>
    <row r="128" spans="1:31">
      <c r="A128" s="1" t="s">
        <v>185</v>
      </c>
      <c r="B128" s="168"/>
      <c r="C128" s="12">
        <f>SUM(C123:C124)</f>
        <v>2629730</v>
      </c>
      <c r="D128" s="12">
        <v>2842621.4226079565</v>
      </c>
      <c r="E128" s="169"/>
      <c r="F128" s="2"/>
      <c r="G128" s="2">
        <f>SUM(G122:G127)</f>
        <v>190745</v>
      </c>
      <c r="H128" s="2">
        <f>SUM(H122:H127)</f>
        <v>205492</v>
      </c>
      <c r="I128" s="2"/>
      <c r="J128" s="2"/>
      <c r="K128" s="2">
        <f>SUM(K122:K127)</f>
        <v>220558</v>
      </c>
      <c r="AE128" s="42"/>
    </row>
    <row r="129" spans="1:31">
      <c r="A129" s="1" t="s">
        <v>167</v>
      </c>
      <c r="B129" s="15"/>
      <c r="C129" s="180">
        <v>1700.3066984208108</v>
      </c>
      <c r="D129" s="171">
        <v>0</v>
      </c>
      <c r="E129" s="172"/>
      <c r="F129" s="172"/>
      <c r="G129" s="173">
        <v>51.812730126847555</v>
      </c>
      <c r="H129" s="173">
        <v>0</v>
      </c>
      <c r="I129" s="172"/>
      <c r="J129" s="172"/>
      <c r="K129" s="173">
        <v>0</v>
      </c>
      <c r="M129" s="152"/>
      <c r="N129" s="152"/>
      <c r="O129" s="153"/>
      <c r="AE129" s="42"/>
    </row>
    <row r="130" spans="1:31" ht="16.5" thickBot="1">
      <c r="A130" s="1" t="s">
        <v>186</v>
      </c>
      <c r="B130" s="1"/>
      <c r="C130" s="174">
        <f>C128+C129</f>
        <v>2631430.306698421</v>
      </c>
      <c r="D130" s="174">
        <f>SUM(D128:D129)</f>
        <v>2842621.4226079565</v>
      </c>
      <c r="E130" s="175"/>
      <c r="F130" s="175"/>
      <c r="G130" s="175">
        <f>G128+G129</f>
        <v>190796.81273012684</v>
      </c>
      <c r="H130" s="175">
        <f>H128+H129</f>
        <v>205492</v>
      </c>
      <c r="I130" s="175"/>
      <c r="J130" s="175"/>
      <c r="K130" s="175">
        <f>K128+K129</f>
        <v>220558</v>
      </c>
      <c r="M130" s="154"/>
      <c r="N130" s="154"/>
      <c r="O130" s="155"/>
      <c r="AE130" s="42"/>
    </row>
    <row r="131" spans="1:31" ht="16.5" thickTop="1">
      <c r="A131" s="1"/>
      <c r="B131" s="176"/>
      <c r="C131" s="12"/>
      <c r="D131" s="12"/>
      <c r="E131" s="12"/>
      <c r="F131" s="12"/>
      <c r="I131" s="1" t="s">
        <v>13</v>
      </c>
      <c r="J131" s="1"/>
      <c r="K131" s="2" t="s">
        <v>13</v>
      </c>
      <c r="AE131" s="42"/>
    </row>
    <row r="132" spans="1:31">
      <c r="A132" s="156" t="s">
        <v>190</v>
      </c>
      <c r="B132" s="1"/>
      <c r="C132" s="1"/>
      <c r="D132" s="1"/>
      <c r="E132" s="12"/>
      <c r="F132" s="12"/>
      <c r="G132" s="1"/>
      <c r="H132" s="1"/>
      <c r="I132" s="12"/>
      <c r="J132" s="1"/>
      <c r="K132" s="1"/>
      <c r="AE132" s="42"/>
    </row>
    <row r="133" spans="1:31">
      <c r="A133" s="1" t="s">
        <v>135</v>
      </c>
      <c r="B133" s="1"/>
      <c r="C133" s="1"/>
      <c r="D133" s="12"/>
      <c r="E133" s="12"/>
      <c r="F133" s="12"/>
      <c r="G133" s="1"/>
      <c r="H133" s="1"/>
      <c r="I133" s="12"/>
      <c r="J133" s="1"/>
      <c r="K133" s="1"/>
      <c r="AE133" s="42"/>
    </row>
    <row r="134" spans="1:31">
      <c r="A134" s="160"/>
      <c r="B134" s="1"/>
      <c r="C134" s="1"/>
      <c r="D134" s="1"/>
      <c r="E134" s="12"/>
      <c r="F134" s="12"/>
      <c r="G134" s="1"/>
      <c r="H134" s="1"/>
      <c r="I134" s="12"/>
      <c r="J134" s="1"/>
      <c r="K134" s="1"/>
      <c r="AE134" s="42"/>
    </row>
    <row r="135" spans="1:31">
      <c r="A135" s="1" t="s">
        <v>174</v>
      </c>
      <c r="B135" s="1"/>
      <c r="C135" s="12">
        <v>316</v>
      </c>
      <c r="D135" s="12">
        <v>315</v>
      </c>
      <c r="E135" s="161">
        <v>5.25</v>
      </c>
      <c r="F135" s="1"/>
      <c r="G135" s="2">
        <f>ROUND(E135*$C135,0)</f>
        <v>1659</v>
      </c>
      <c r="H135" s="2">
        <f>ROUND(E135*$D135,0)</f>
        <v>1654</v>
      </c>
      <c r="I135" s="161">
        <f>$I$83</f>
        <v>6</v>
      </c>
      <c r="J135" s="1"/>
      <c r="K135" s="2">
        <f>ROUND(I135*$D135,0)</f>
        <v>1890</v>
      </c>
      <c r="AE135" s="42"/>
    </row>
    <row r="136" spans="1:31">
      <c r="A136" s="1" t="s">
        <v>177</v>
      </c>
      <c r="B136" s="1"/>
      <c r="C136" s="12">
        <v>183484</v>
      </c>
      <c r="D136" s="12">
        <v>184696.12043933535</v>
      </c>
      <c r="E136" s="162">
        <v>4.569</v>
      </c>
      <c r="F136" s="1" t="s">
        <v>178</v>
      </c>
      <c r="G136" s="2">
        <f>ROUND(E136*$C136/100,0)</f>
        <v>8383</v>
      </c>
      <c r="H136" s="2">
        <f>ROUND(E136*$D136/100,0)</f>
        <v>8439</v>
      </c>
      <c r="I136" s="162">
        <f>$I$84</f>
        <v>4.9139999999999997</v>
      </c>
      <c r="J136" s="1" t="s">
        <v>178</v>
      </c>
      <c r="K136" s="2">
        <f>ROUND(I136*$D136/100,0)</f>
        <v>9076</v>
      </c>
      <c r="AE136" s="42"/>
    </row>
    <row r="137" spans="1:31">
      <c r="A137" s="1" t="s">
        <v>179</v>
      </c>
      <c r="B137" s="1"/>
      <c r="C137" s="12">
        <f>753476-C136</f>
        <v>569992</v>
      </c>
      <c r="D137" s="12">
        <v>573757.44523477601</v>
      </c>
      <c r="E137" s="162">
        <v>7.2080000000000002</v>
      </c>
      <c r="F137" s="1" t="s">
        <v>178</v>
      </c>
      <c r="G137" s="2">
        <f>ROUND(E137*$C137/100,0)</f>
        <v>41085</v>
      </c>
      <c r="H137" s="2">
        <f>ROUND(E137*$D137/100,0)</f>
        <v>41356</v>
      </c>
      <c r="I137" s="162">
        <f>$I$85</f>
        <v>7.7510000000000003</v>
      </c>
      <c r="J137" s="1" t="s">
        <v>178</v>
      </c>
      <c r="K137" s="2">
        <f>ROUND(I137*$D137/100,0)</f>
        <v>44472</v>
      </c>
      <c r="AE137" s="42"/>
    </row>
    <row r="138" spans="1:31">
      <c r="A138" s="1" t="s">
        <v>181</v>
      </c>
      <c r="B138" s="1"/>
      <c r="C138" s="12">
        <v>1145</v>
      </c>
      <c r="D138" s="12">
        <v>1152.5640268526899</v>
      </c>
      <c r="E138" s="164">
        <v>1.55</v>
      </c>
      <c r="F138" s="1"/>
      <c r="G138" s="2">
        <f>ROUND(E138*$C138,0)</f>
        <v>1775</v>
      </c>
      <c r="H138" s="2">
        <f>ROUND(E138*$D138,0)</f>
        <v>1786</v>
      </c>
      <c r="I138" s="164">
        <f>$I$86</f>
        <v>1.55</v>
      </c>
      <c r="J138" s="1"/>
      <c r="K138" s="2">
        <f>ROUND(I138*$D138,0)</f>
        <v>1786</v>
      </c>
      <c r="AE138" s="42"/>
    </row>
    <row r="139" spans="1:31">
      <c r="A139" s="166" t="s">
        <v>183</v>
      </c>
      <c r="B139" s="166"/>
      <c r="C139" s="12">
        <v>182</v>
      </c>
      <c r="D139" s="12">
        <v>183.20231693204332</v>
      </c>
      <c r="E139" s="164">
        <v>3</v>
      </c>
      <c r="F139" s="166"/>
      <c r="G139" s="2">
        <f>ROUND(E139*$C139,0)</f>
        <v>546</v>
      </c>
      <c r="H139" s="2">
        <f>ROUND(E139*$D139,0)</f>
        <v>550</v>
      </c>
      <c r="I139" s="164">
        <f>$I$87</f>
        <v>3</v>
      </c>
      <c r="J139" s="166"/>
      <c r="K139" s="2">
        <f>ROUND(I139*$D139,0)</f>
        <v>550</v>
      </c>
      <c r="AE139" s="42"/>
    </row>
    <row r="140" spans="1:31">
      <c r="A140" s="166" t="s">
        <v>184</v>
      </c>
      <c r="B140" s="166"/>
      <c r="C140" s="12">
        <v>13</v>
      </c>
      <c r="D140" s="12">
        <v>13.085879780860235</v>
      </c>
      <c r="E140" s="167">
        <f>-E138</f>
        <v>-1.55</v>
      </c>
      <c r="F140" s="166"/>
      <c r="G140" s="2">
        <f>ROUND(E140*$C140,0)</f>
        <v>-20</v>
      </c>
      <c r="H140" s="2">
        <f>ROUND(E140*$D140,0)</f>
        <v>-20</v>
      </c>
      <c r="I140" s="167">
        <f>$I$88</f>
        <v>-1.55</v>
      </c>
      <c r="J140" s="166"/>
      <c r="K140" s="2">
        <f>ROUND(I140*$D140,0)</f>
        <v>-20</v>
      </c>
      <c r="AE140" s="42"/>
    </row>
    <row r="141" spans="1:31">
      <c r="A141" s="1" t="s">
        <v>185</v>
      </c>
      <c r="B141" s="1"/>
      <c r="C141" s="12">
        <f>SUM(C136:C137)</f>
        <v>753476</v>
      </c>
      <c r="D141" s="12">
        <v>758453.56567411136</v>
      </c>
      <c r="E141" s="169"/>
      <c r="F141" s="2"/>
      <c r="G141" s="2">
        <f>SUM(G135:G140)</f>
        <v>53428</v>
      </c>
      <c r="H141" s="2">
        <f>SUM(H135:H140)</f>
        <v>53765</v>
      </c>
      <c r="I141" s="2"/>
      <c r="J141" s="2"/>
      <c r="K141" s="2">
        <f>SUM(K135:K140)</f>
        <v>57754</v>
      </c>
      <c r="AE141" s="42"/>
    </row>
    <row r="142" spans="1:31">
      <c r="A142" s="1" t="s">
        <v>167</v>
      </c>
      <c r="B142" s="1"/>
      <c r="C142" s="180">
        <v>454.99401217422201</v>
      </c>
      <c r="D142" s="171">
        <v>0</v>
      </c>
      <c r="E142" s="172"/>
      <c r="F142" s="172"/>
      <c r="G142" s="173">
        <v>13.645744029524508</v>
      </c>
      <c r="H142" s="173">
        <v>0</v>
      </c>
      <c r="I142" s="172"/>
      <c r="J142" s="172"/>
      <c r="K142" s="173">
        <v>0</v>
      </c>
      <c r="M142" s="152"/>
      <c r="N142" s="152"/>
      <c r="O142" s="153"/>
      <c r="AE142" s="42"/>
    </row>
    <row r="143" spans="1:31" ht="16.5" thickBot="1">
      <c r="A143" s="1" t="s">
        <v>186</v>
      </c>
      <c r="B143" s="1"/>
      <c r="C143" s="174">
        <f>C141+C142</f>
        <v>753930.9940121742</v>
      </c>
      <c r="D143" s="174">
        <f>SUM(D141:D142)</f>
        <v>758453.56567411136</v>
      </c>
      <c r="E143" s="175"/>
      <c r="F143" s="175"/>
      <c r="G143" s="175">
        <f>G141+G142</f>
        <v>53441.645744029527</v>
      </c>
      <c r="H143" s="175">
        <f>H141+H142</f>
        <v>53765</v>
      </c>
      <c r="I143" s="175"/>
      <c r="J143" s="175"/>
      <c r="K143" s="175">
        <f>K141+K142</f>
        <v>57754</v>
      </c>
      <c r="M143" s="154"/>
      <c r="N143" s="154"/>
      <c r="O143" s="155"/>
      <c r="AE143" s="42"/>
    </row>
    <row r="144" spans="1:31" ht="16.5" thickTop="1">
      <c r="A144" s="1"/>
      <c r="B144" s="176"/>
      <c r="C144" s="12"/>
      <c r="D144" s="12"/>
      <c r="E144" s="12"/>
      <c r="F144" s="12"/>
      <c r="I144" s="1" t="s">
        <v>13</v>
      </c>
      <c r="J144" s="1"/>
      <c r="K144" s="2" t="s">
        <v>13</v>
      </c>
      <c r="AE144" s="42"/>
    </row>
    <row r="145" spans="1:31">
      <c r="A145" s="156" t="s">
        <v>191</v>
      </c>
      <c r="B145" s="1"/>
      <c r="C145" s="1"/>
      <c r="D145" s="1"/>
      <c r="E145" s="2"/>
      <c r="F145" s="2"/>
      <c r="G145" s="1" t="s">
        <v>13</v>
      </c>
      <c r="H145" s="1"/>
      <c r="I145" s="2"/>
      <c r="J145" s="1"/>
      <c r="K145" s="1"/>
      <c r="AE145" s="42"/>
    </row>
    <row r="146" spans="1:31">
      <c r="A146" s="1" t="s">
        <v>192</v>
      </c>
      <c r="B146" s="1"/>
      <c r="C146" s="1"/>
      <c r="D146" s="1"/>
      <c r="E146" s="2"/>
      <c r="F146" s="2"/>
      <c r="G146" s="1"/>
      <c r="H146" s="1"/>
      <c r="I146" s="2"/>
      <c r="J146" s="1"/>
      <c r="K146" s="1"/>
      <c r="AE146" s="42"/>
    </row>
    <row r="147" spans="1:31">
      <c r="A147" s="1"/>
      <c r="B147" s="1"/>
      <c r="C147" s="1"/>
      <c r="D147" s="1"/>
      <c r="E147" s="2"/>
      <c r="F147" s="2"/>
      <c r="G147" s="1"/>
      <c r="H147" s="1"/>
      <c r="I147" s="2"/>
      <c r="J147" s="1"/>
      <c r="K147" s="1"/>
      <c r="AE147" s="42"/>
    </row>
    <row r="148" spans="1:31">
      <c r="A148" s="1" t="s">
        <v>193</v>
      </c>
      <c r="B148" s="1"/>
      <c r="C148" s="1"/>
      <c r="D148" s="1"/>
      <c r="E148" s="2"/>
      <c r="F148" s="2"/>
      <c r="G148" s="1"/>
      <c r="H148" s="1"/>
      <c r="I148" s="2"/>
      <c r="J148" s="1"/>
      <c r="K148" s="1"/>
      <c r="AE148" s="42"/>
    </row>
    <row r="149" spans="1:31">
      <c r="A149" s="1" t="s">
        <v>194</v>
      </c>
      <c r="B149" s="1"/>
      <c r="C149" s="12">
        <f>C384</f>
        <v>1</v>
      </c>
      <c r="D149" s="12">
        <f>D384</f>
        <v>1</v>
      </c>
      <c r="E149" s="161">
        <f>E153*12</f>
        <v>84</v>
      </c>
      <c r="F149" s="2"/>
      <c r="G149" s="2">
        <f t="shared" ref="G149:H151" si="8">G355</f>
        <v>84</v>
      </c>
      <c r="H149" s="2">
        <f t="shared" si="8"/>
        <v>84</v>
      </c>
      <c r="I149" s="161">
        <f>I153*12</f>
        <v>90.36</v>
      </c>
      <c r="J149" s="1"/>
      <c r="K149" s="2">
        <f>K355</f>
        <v>90</v>
      </c>
      <c r="M149" s="42">
        <f>I149*D149</f>
        <v>90.36</v>
      </c>
      <c r="O149" s="8">
        <f>(I149-E149)/E149</f>
        <v>7.5714285714285706E-2</v>
      </c>
      <c r="P149" s="8"/>
      <c r="AE149" s="42"/>
    </row>
    <row r="150" spans="1:31">
      <c r="A150" s="1" t="s">
        <v>195</v>
      </c>
      <c r="B150" s="1"/>
      <c r="C150" s="12">
        <f>C356</f>
        <v>112</v>
      </c>
      <c r="D150" s="12">
        <f>D356</f>
        <v>109</v>
      </c>
      <c r="E150" s="161">
        <v>124.8</v>
      </c>
      <c r="F150" s="2"/>
      <c r="G150" s="2">
        <f t="shared" si="8"/>
        <v>13978</v>
      </c>
      <c r="H150" s="2">
        <f t="shared" si="8"/>
        <v>13603</v>
      </c>
      <c r="I150" s="161">
        <f>I154*12</f>
        <v>134.16</v>
      </c>
      <c r="J150" s="1"/>
      <c r="K150" s="2">
        <f>K356</f>
        <v>14623</v>
      </c>
      <c r="M150" s="42">
        <f>I150*D150</f>
        <v>14623.44</v>
      </c>
      <c r="N150" s="42"/>
      <c r="O150" s="8">
        <f>(I150-E150)/E150</f>
        <v>7.4999999999999997E-2</v>
      </c>
      <c r="P150" s="8"/>
      <c r="AE150" s="42"/>
    </row>
    <row r="151" spans="1:31">
      <c r="A151" s="1" t="s">
        <v>196</v>
      </c>
      <c r="B151" s="1"/>
      <c r="C151" s="12">
        <f>C357</f>
        <v>4566</v>
      </c>
      <c r="D151" s="12">
        <f>D357</f>
        <v>3312</v>
      </c>
      <c r="E151" s="161">
        <v>8.2799999999999994</v>
      </c>
      <c r="F151" s="2"/>
      <c r="G151" s="2">
        <f t="shared" si="8"/>
        <v>37806</v>
      </c>
      <c r="H151" s="2">
        <f t="shared" si="8"/>
        <v>27423</v>
      </c>
      <c r="I151" s="161">
        <v>9.36</v>
      </c>
      <c r="J151" s="1"/>
      <c r="K151" s="2">
        <f>K357</f>
        <v>31000</v>
      </c>
      <c r="M151" s="42">
        <f>I151*D151</f>
        <v>31000.32</v>
      </c>
      <c r="O151" s="8">
        <f>(I151-E151)/E151</f>
        <v>0.13043478260869568</v>
      </c>
      <c r="P151" s="8"/>
      <c r="R151" s="3" t="s">
        <v>13</v>
      </c>
      <c r="AE151" s="42"/>
    </row>
    <row r="152" spans="1:31">
      <c r="A152" s="1" t="s">
        <v>197</v>
      </c>
      <c r="B152" s="1"/>
      <c r="C152" s="182"/>
      <c r="D152" s="182"/>
      <c r="E152" s="2"/>
      <c r="F152" s="2"/>
      <c r="G152" s="1"/>
      <c r="H152" s="1"/>
      <c r="I152" s="2"/>
      <c r="J152" s="1"/>
      <c r="K152" s="1"/>
      <c r="O152" s="183"/>
      <c r="AE152" s="42"/>
    </row>
    <row r="153" spans="1:31">
      <c r="A153" s="1" t="s">
        <v>194</v>
      </c>
      <c r="B153" s="1"/>
      <c r="C153" s="182">
        <f t="shared" ref="C153:D155" si="9">C183+C267</f>
        <v>150723</v>
      </c>
      <c r="D153" s="182">
        <f t="shared" si="9"/>
        <v>152395</v>
      </c>
      <c r="E153" s="161">
        <v>7</v>
      </c>
      <c r="F153" s="184"/>
      <c r="G153" s="185">
        <f t="shared" ref="G153:H155" si="10">G183+G267</f>
        <v>1055061</v>
      </c>
      <c r="H153" s="185">
        <f t="shared" si="10"/>
        <v>1066765</v>
      </c>
      <c r="I153" s="161">
        <v>7.53</v>
      </c>
      <c r="J153" s="186"/>
      <c r="K153" s="185">
        <f>K183+K267</f>
        <v>1147534</v>
      </c>
      <c r="M153" s="42">
        <f>I153*D153</f>
        <v>1147534.3500000001</v>
      </c>
      <c r="O153" s="8">
        <f>(I153-E153)/E153</f>
        <v>7.5714285714285748E-2</v>
      </c>
      <c r="P153" s="8">
        <v>7.2866321118088731E-2</v>
      </c>
      <c r="AE153" s="42"/>
    </row>
    <row r="154" spans="1:31">
      <c r="A154" s="1" t="s">
        <v>195</v>
      </c>
      <c r="B154" s="1"/>
      <c r="C154" s="182">
        <f t="shared" si="9"/>
        <v>58994</v>
      </c>
      <c r="D154" s="182">
        <f t="shared" si="9"/>
        <v>59583</v>
      </c>
      <c r="E154" s="161">
        <v>10.4</v>
      </c>
      <c r="F154" s="187"/>
      <c r="G154" s="185">
        <f t="shared" si="10"/>
        <v>613538</v>
      </c>
      <c r="H154" s="185">
        <f t="shared" si="10"/>
        <v>619663</v>
      </c>
      <c r="I154" s="161">
        <v>11.18</v>
      </c>
      <c r="J154" s="188"/>
      <c r="K154" s="185">
        <f>K184+K268</f>
        <v>666138</v>
      </c>
      <c r="M154" s="42">
        <f>I154*D154</f>
        <v>666137.93999999994</v>
      </c>
      <c r="O154" s="8">
        <f>(I154-E154)/E154</f>
        <v>7.4999999999999942E-2</v>
      </c>
      <c r="P154" s="8">
        <v>7.1815364563500975E-2</v>
      </c>
      <c r="Q154" s="42"/>
      <c r="AE154" s="42"/>
    </row>
    <row r="155" spans="1:31">
      <c r="A155" s="1" t="s">
        <v>196</v>
      </c>
      <c r="B155" s="1"/>
      <c r="C155" s="182">
        <f t="shared" si="9"/>
        <v>1172685</v>
      </c>
      <c r="D155" s="182">
        <f t="shared" si="9"/>
        <v>1215298</v>
      </c>
      <c r="E155" s="161">
        <v>0.69</v>
      </c>
      <c r="F155" s="187"/>
      <c r="G155" s="185">
        <f t="shared" si="10"/>
        <v>809153</v>
      </c>
      <c r="H155" s="185">
        <f t="shared" si="10"/>
        <v>838556</v>
      </c>
      <c r="I155" s="161">
        <v>0.78</v>
      </c>
      <c r="J155" s="188"/>
      <c r="K155" s="185">
        <f>K185+K269</f>
        <v>947933</v>
      </c>
      <c r="M155" s="42">
        <f>I155*D155</f>
        <v>947932.44000000006</v>
      </c>
      <c r="O155" s="8">
        <f>(I155-E155)/E155</f>
        <v>0.13043478260869579</v>
      </c>
      <c r="P155" s="8">
        <v>0.132004204924074</v>
      </c>
      <c r="R155" s="9"/>
      <c r="S155" s="9"/>
      <c r="AE155" s="42"/>
    </row>
    <row r="156" spans="1:31">
      <c r="A156" s="1" t="s">
        <v>198</v>
      </c>
      <c r="B156" s="1"/>
      <c r="C156" s="182">
        <f>SUM(C153:C154)</f>
        <v>209717</v>
      </c>
      <c r="D156" s="182">
        <f>SUM(D153:D154)</f>
        <v>211978</v>
      </c>
      <c r="E156" s="161"/>
      <c r="F156" s="184"/>
      <c r="G156" s="185"/>
      <c r="H156" s="185"/>
      <c r="I156" s="161"/>
      <c r="J156" s="186"/>
      <c r="K156" s="185"/>
      <c r="O156" s="183"/>
      <c r="AE156" s="42"/>
    </row>
    <row r="157" spans="1:31">
      <c r="A157" s="1" t="s">
        <v>166</v>
      </c>
      <c r="B157" s="1"/>
      <c r="C157" s="182">
        <f>C186+C271+C358</f>
        <v>206434</v>
      </c>
      <c r="D157" s="182">
        <f>D186+D271+D358</f>
        <v>208713.75</v>
      </c>
      <c r="E157" s="161"/>
      <c r="F157" s="184"/>
      <c r="G157" s="185"/>
      <c r="H157" s="185"/>
      <c r="I157" s="161"/>
      <c r="J157" s="186"/>
      <c r="K157" s="185"/>
      <c r="O157" s="183"/>
      <c r="AE157" s="42"/>
    </row>
    <row r="158" spans="1:31">
      <c r="A158" s="1" t="s">
        <v>199</v>
      </c>
      <c r="B158" s="1"/>
      <c r="C158" s="182">
        <f t="shared" ref="C158:D162" si="11">C187+C272+C360</f>
        <v>773776</v>
      </c>
      <c r="D158" s="182">
        <f t="shared" si="11"/>
        <v>798223</v>
      </c>
      <c r="E158" s="189">
        <v>2.81</v>
      </c>
      <c r="F158" s="186"/>
      <c r="G158" s="185">
        <f t="shared" ref="G158:H162" si="12">G187+G272+G360</f>
        <v>2174311</v>
      </c>
      <c r="H158" s="185">
        <f t="shared" si="12"/>
        <v>2243006</v>
      </c>
      <c r="I158" s="161">
        <v>2.88</v>
      </c>
      <c r="J158" s="186"/>
      <c r="K158" s="185">
        <f>K187+K272+K360</f>
        <v>2298883</v>
      </c>
      <c r="M158" s="42">
        <f>I158*D158</f>
        <v>2298882.2399999998</v>
      </c>
      <c r="O158" s="8">
        <f>(I158-E158)/E158</f>
        <v>2.4911032028469695E-2</v>
      </c>
      <c r="P158" s="8">
        <v>2.5931075130992472E-2</v>
      </c>
      <c r="Q158" s="3" t="s">
        <v>200</v>
      </c>
      <c r="AE158" s="42"/>
    </row>
    <row r="159" spans="1:31">
      <c r="A159" s="1" t="s">
        <v>201</v>
      </c>
      <c r="B159" s="1"/>
      <c r="C159" s="182">
        <f t="shared" si="11"/>
        <v>122073149.22139926</v>
      </c>
      <c r="D159" s="182">
        <f t="shared" si="11"/>
        <v>126408223</v>
      </c>
      <c r="E159" s="162">
        <v>7.5869999999999997</v>
      </c>
      <c r="F159" s="186" t="s">
        <v>178</v>
      </c>
      <c r="G159" s="185">
        <f t="shared" si="12"/>
        <v>9261689</v>
      </c>
      <c r="H159" s="185">
        <f t="shared" si="12"/>
        <v>9590592</v>
      </c>
      <c r="I159" s="190">
        <v>8.0890000000000004</v>
      </c>
      <c r="J159" s="186" t="s">
        <v>178</v>
      </c>
      <c r="K159" s="185">
        <f>K188+K273+K361</f>
        <v>10225160</v>
      </c>
      <c r="M159" s="42">
        <f>(I159/100)*D159</f>
        <v>10225161.158470001</v>
      </c>
      <c r="O159" s="8">
        <f>(I159-E159)/E159</f>
        <v>6.6165809938052017E-2</v>
      </c>
      <c r="P159" s="8">
        <v>6.6628456933799998E-2</v>
      </c>
      <c r="Q159" s="100">
        <f>H159+H160-(D159+D160)*E161/100</f>
        <v>5928502.7547500022</v>
      </c>
      <c r="R159" s="100">
        <f>K159+K160-(D159+D160)*I161/100</f>
        <v>6328709.5074999966</v>
      </c>
      <c r="AE159" s="42"/>
    </row>
    <row r="160" spans="1:31">
      <c r="A160" s="1" t="s">
        <v>202</v>
      </c>
      <c r="B160" s="1"/>
      <c r="C160" s="182">
        <f t="shared" si="11"/>
        <v>272356025.57318687</v>
      </c>
      <c r="D160" s="182">
        <f t="shared" si="11"/>
        <v>282142702</v>
      </c>
      <c r="E160" s="162">
        <v>5.2370000000000001</v>
      </c>
      <c r="F160" s="186" t="s">
        <v>178</v>
      </c>
      <c r="G160" s="185">
        <f t="shared" si="12"/>
        <v>14263286</v>
      </c>
      <c r="H160" s="185">
        <f t="shared" si="12"/>
        <v>14775814</v>
      </c>
      <c r="I160" s="191">
        <f>ROUND((E160/E159)*I159,3)</f>
        <v>5.5839999999999996</v>
      </c>
      <c r="J160" s="186" t="s">
        <v>178</v>
      </c>
      <c r="K160" s="185">
        <f>K189+K274+K362</f>
        <v>15754849</v>
      </c>
      <c r="M160" s="42">
        <f>(I160/100)*D160</f>
        <v>15754848.479679998</v>
      </c>
      <c r="N160" s="192"/>
      <c r="O160" s="8">
        <f>(I160-E160)/E160</f>
        <v>6.6259308764559766E-2</v>
      </c>
      <c r="P160" s="8">
        <v>6.6612089431516142E-2</v>
      </c>
      <c r="AE160" s="42"/>
    </row>
    <row r="161" spans="1:31">
      <c r="A161" s="1" t="s">
        <v>203</v>
      </c>
      <c r="B161" s="1"/>
      <c r="C161" s="182">
        <f t="shared" si="11"/>
        <v>116874017.20541383</v>
      </c>
      <c r="D161" s="182">
        <f t="shared" si="11"/>
        <v>121112284</v>
      </c>
      <c r="E161" s="162">
        <v>4.5129999999999999</v>
      </c>
      <c r="F161" s="186" t="s">
        <v>178</v>
      </c>
      <c r="G161" s="185">
        <f t="shared" si="12"/>
        <v>5274524</v>
      </c>
      <c r="H161" s="185">
        <f t="shared" si="12"/>
        <v>5465798</v>
      </c>
      <c r="I161" s="162">
        <f>ROUND((E161/E160)*I160,3)-0.002</f>
        <v>4.8100000000000005</v>
      </c>
      <c r="J161" s="186" t="s">
        <v>178</v>
      </c>
      <c r="K161" s="185">
        <f>K190+K275+K363</f>
        <v>5825501</v>
      </c>
      <c r="M161" s="42">
        <f>(I161/100)*D161</f>
        <v>5825500.8604000006</v>
      </c>
      <c r="N161" s="163"/>
      <c r="O161" s="8">
        <f>(I161-E161)/E161</f>
        <v>6.5809882561489161E-2</v>
      </c>
      <c r="P161" s="8">
        <v>6.6601722714849612E-2</v>
      </c>
      <c r="Q161" s="42">
        <f>K159+K160+K161-R159</f>
        <v>25476800.492500003</v>
      </c>
      <c r="AE161" s="42"/>
    </row>
    <row r="162" spans="1:31">
      <c r="A162" s="1" t="s">
        <v>204</v>
      </c>
      <c r="B162" s="1"/>
      <c r="C162" s="182">
        <f t="shared" si="11"/>
        <v>89833</v>
      </c>
      <c r="D162" s="182">
        <f t="shared" si="11"/>
        <v>92605</v>
      </c>
      <c r="E162" s="193">
        <v>45</v>
      </c>
      <c r="F162" s="184" t="s">
        <v>178</v>
      </c>
      <c r="G162" s="185">
        <f t="shared" si="12"/>
        <v>40425</v>
      </c>
      <c r="H162" s="185">
        <f t="shared" si="12"/>
        <v>41673</v>
      </c>
      <c r="I162" s="193">
        <v>45</v>
      </c>
      <c r="J162" s="186" t="s">
        <v>178</v>
      </c>
      <c r="K162" s="185">
        <f>K191+K276+K364</f>
        <v>41673</v>
      </c>
      <c r="M162" s="42">
        <f>(I162/100)*D162</f>
        <v>41672.25</v>
      </c>
      <c r="O162" s="8">
        <f>(I162-E162)/E162</f>
        <v>0</v>
      </c>
      <c r="P162" s="8"/>
      <c r="AE162" s="42"/>
    </row>
    <row r="163" spans="1:31">
      <c r="A163" s="194" t="s">
        <v>205</v>
      </c>
      <c r="B163" s="1"/>
      <c r="C163" s="182"/>
      <c r="D163" s="182"/>
      <c r="E163" s="195">
        <v>-0.01</v>
      </c>
      <c r="F163" s="184"/>
      <c r="G163" s="185"/>
      <c r="H163" s="185"/>
      <c r="I163" s="195">
        <v>-0.01</v>
      </c>
      <c r="J163" s="186"/>
      <c r="K163" s="185"/>
      <c r="O163" s="196"/>
      <c r="AE163" s="42"/>
    </row>
    <row r="164" spans="1:31">
      <c r="A164" s="1" t="s">
        <v>194</v>
      </c>
      <c r="B164" s="1"/>
      <c r="C164" s="182">
        <f t="shared" ref="C164:D175" si="13">C193+C278+C366</f>
        <v>48</v>
      </c>
      <c r="D164" s="182">
        <f t="shared" si="13"/>
        <v>49</v>
      </c>
      <c r="E164" s="197">
        <f>E153</f>
        <v>7</v>
      </c>
      <c r="F164" s="184"/>
      <c r="G164" s="185">
        <f t="shared" ref="G164:H175" si="14">G193+G278+G366</f>
        <v>-3</v>
      </c>
      <c r="H164" s="185">
        <f t="shared" si="14"/>
        <v>-3</v>
      </c>
      <c r="I164" s="197">
        <f>I153</f>
        <v>7.53</v>
      </c>
      <c r="J164" s="184"/>
      <c r="K164" s="185">
        <f t="shared" ref="K164:K175" si="15">K193+K278+K366</f>
        <v>-4</v>
      </c>
      <c r="M164" s="42">
        <f>-(I164/100)*D164</f>
        <v>-3.6897000000000002</v>
      </c>
      <c r="AE164" s="42"/>
    </row>
    <row r="165" spans="1:31">
      <c r="A165" s="1" t="s">
        <v>195</v>
      </c>
      <c r="B165" s="1"/>
      <c r="C165" s="182">
        <f t="shared" si="13"/>
        <v>88</v>
      </c>
      <c r="D165" s="182">
        <f t="shared" si="13"/>
        <v>89</v>
      </c>
      <c r="E165" s="197">
        <f>E154</f>
        <v>10.4</v>
      </c>
      <c r="F165" s="184"/>
      <c r="G165" s="185">
        <f t="shared" si="14"/>
        <v>-9</v>
      </c>
      <c r="H165" s="185">
        <f t="shared" si="14"/>
        <v>-9</v>
      </c>
      <c r="I165" s="197">
        <f>I154</f>
        <v>11.18</v>
      </c>
      <c r="J165" s="184"/>
      <c r="K165" s="185">
        <f t="shared" si="15"/>
        <v>-10</v>
      </c>
      <c r="M165" s="42">
        <f>-(I165/100)*D165</f>
        <v>-9.9501999999999988</v>
      </c>
      <c r="R165" s="3" t="s">
        <v>175</v>
      </c>
      <c r="S165" s="3" t="s">
        <v>120</v>
      </c>
      <c r="T165" s="3" t="s">
        <v>176</v>
      </c>
      <c r="U165" s="3" t="s">
        <v>126</v>
      </c>
      <c r="AE165" s="42"/>
    </row>
    <row r="166" spans="1:31">
      <c r="A166" s="1" t="s">
        <v>206</v>
      </c>
      <c r="B166" s="1"/>
      <c r="C166" s="182">
        <f t="shared" si="13"/>
        <v>1730</v>
      </c>
      <c r="D166" s="182">
        <f t="shared" si="13"/>
        <v>1792</v>
      </c>
      <c r="E166" s="197">
        <f>E155</f>
        <v>0.69</v>
      </c>
      <c r="F166" s="184"/>
      <c r="G166" s="185">
        <f t="shared" si="14"/>
        <v>-12</v>
      </c>
      <c r="H166" s="185">
        <f t="shared" si="14"/>
        <v>-12</v>
      </c>
      <c r="I166" s="197">
        <f>I155</f>
        <v>0.78</v>
      </c>
      <c r="J166" s="184"/>
      <c r="K166" s="185">
        <f t="shared" si="15"/>
        <v>-14</v>
      </c>
      <c r="M166" s="42">
        <f>-(I166/100)*D166</f>
        <v>-13.977600000000001</v>
      </c>
      <c r="Q166" s="3" t="s">
        <v>7</v>
      </c>
      <c r="R166" s="42">
        <f>H149+H150+H153+H154</f>
        <v>1700115</v>
      </c>
      <c r="S166" s="42">
        <f>K149+K150+K153+K154</f>
        <v>1828385</v>
      </c>
      <c r="T166" s="49">
        <v>1916638.7857408486</v>
      </c>
      <c r="U166" s="101">
        <f>S166/T166</f>
        <v>0.9539538767568374</v>
      </c>
      <c r="AE166" s="42"/>
    </row>
    <row r="167" spans="1:31">
      <c r="A167" s="1" t="s">
        <v>207</v>
      </c>
      <c r="B167" s="1"/>
      <c r="C167" s="182">
        <f t="shared" si="13"/>
        <v>696</v>
      </c>
      <c r="D167" s="182">
        <f t="shared" si="13"/>
        <v>721</v>
      </c>
      <c r="E167" s="197">
        <f>E158</f>
        <v>2.81</v>
      </c>
      <c r="F167" s="186"/>
      <c r="G167" s="185">
        <f t="shared" si="14"/>
        <v>-20</v>
      </c>
      <c r="H167" s="185">
        <f t="shared" si="14"/>
        <v>-20</v>
      </c>
      <c r="I167" s="197">
        <f>I158</f>
        <v>2.88</v>
      </c>
      <c r="J167" s="186"/>
      <c r="K167" s="185">
        <f t="shared" si="15"/>
        <v>-21</v>
      </c>
      <c r="M167" s="42">
        <f>-(I167/100)*D167</f>
        <v>-20.764800000000001</v>
      </c>
      <c r="Q167" s="3" t="s">
        <v>208</v>
      </c>
      <c r="R167" s="42">
        <f>H155</f>
        <v>838556</v>
      </c>
      <c r="S167" s="42">
        <f>K155</f>
        <v>947933</v>
      </c>
      <c r="T167" s="49">
        <v>5367292.197431691</v>
      </c>
      <c r="U167" s="101">
        <f>S167/T167</f>
        <v>0.17661289252215417</v>
      </c>
      <c r="AE167" s="42"/>
    </row>
    <row r="168" spans="1:31">
      <c r="A168" s="1" t="s">
        <v>209</v>
      </c>
      <c r="B168" s="1"/>
      <c r="C168" s="182">
        <f t="shared" si="13"/>
        <v>80560</v>
      </c>
      <c r="D168" s="182">
        <f t="shared" si="13"/>
        <v>83451</v>
      </c>
      <c r="E168" s="198">
        <f>E159</f>
        <v>7.5869999999999997</v>
      </c>
      <c r="F168" s="186" t="s">
        <v>178</v>
      </c>
      <c r="G168" s="185">
        <f t="shared" si="14"/>
        <v>-61</v>
      </c>
      <c r="H168" s="185">
        <f t="shared" si="14"/>
        <v>-63</v>
      </c>
      <c r="I168" s="198">
        <f>I159</f>
        <v>8.0890000000000004</v>
      </c>
      <c r="J168" s="186" t="s">
        <v>178</v>
      </c>
      <c r="K168" s="185">
        <f t="shared" si="15"/>
        <v>-68</v>
      </c>
      <c r="M168" s="42">
        <f>-((I168/100)*D168)/100</f>
        <v>-67.503513900000002</v>
      </c>
      <c r="Q168" s="3" t="s">
        <v>180</v>
      </c>
      <c r="R168" s="42">
        <f>SUM(H159:H161)-Q159</f>
        <v>23903701.245249998</v>
      </c>
      <c r="S168" s="42">
        <f>SUM(K159:K161)-R159</f>
        <v>25476800.492500003</v>
      </c>
      <c r="T168" s="49">
        <v>26743743.576655678</v>
      </c>
      <c r="U168" s="101">
        <f>S168/T168</f>
        <v>0.95262656177792637</v>
      </c>
      <c r="AE168" s="42"/>
    </row>
    <row r="169" spans="1:31">
      <c r="A169" s="1" t="s">
        <v>202</v>
      </c>
      <c r="B169" s="1"/>
      <c r="C169" s="182">
        <f t="shared" si="13"/>
        <v>247430</v>
      </c>
      <c r="D169" s="182">
        <f t="shared" si="13"/>
        <v>256310</v>
      </c>
      <c r="E169" s="198">
        <f>E160</f>
        <v>5.2370000000000001</v>
      </c>
      <c r="F169" s="186" t="s">
        <v>178</v>
      </c>
      <c r="G169" s="185">
        <f t="shared" si="14"/>
        <v>-130</v>
      </c>
      <c r="H169" s="185">
        <f t="shared" si="14"/>
        <v>-134</v>
      </c>
      <c r="I169" s="198">
        <f>I160</f>
        <v>5.5839999999999996</v>
      </c>
      <c r="J169" s="186" t="s">
        <v>178</v>
      </c>
      <c r="K169" s="185">
        <f t="shared" si="15"/>
        <v>-143</v>
      </c>
      <c r="M169" s="42">
        <f>-((I169/100)*D169)/100</f>
        <v>-143.12350399999997</v>
      </c>
      <c r="Q169" s="3" t="s">
        <v>210</v>
      </c>
      <c r="R169" s="42">
        <f>H158+Q159</f>
        <v>8171508.7547500022</v>
      </c>
      <c r="S169" s="42">
        <f>K158+R159</f>
        <v>8627592.5074999966</v>
      </c>
      <c r="T169" s="49">
        <v>4454867.4522770187</v>
      </c>
      <c r="U169" s="101">
        <f>S169/T169</f>
        <v>1.9366664889412526</v>
      </c>
      <c r="AE169" s="42"/>
    </row>
    <row r="170" spans="1:31">
      <c r="A170" s="1" t="s">
        <v>203</v>
      </c>
      <c r="B170" s="1"/>
      <c r="C170" s="182">
        <f t="shared" si="13"/>
        <v>46700</v>
      </c>
      <c r="D170" s="182">
        <f t="shared" si="13"/>
        <v>48376</v>
      </c>
      <c r="E170" s="198">
        <f>E161</f>
        <v>4.5129999999999999</v>
      </c>
      <c r="F170" s="186" t="s">
        <v>178</v>
      </c>
      <c r="G170" s="185">
        <f t="shared" si="14"/>
        <v>-21</v>
      </c>
      <c r="H170" s="185">
        <f t="shared" si="14"/>
        <v>-22</v>
      </c>
      <c r="I170" s="198">
        <f>I161</f>
        <v>4.8100000000000005</v>
      </c>
      <c r="J170" s="186" t="s">
        <v>178</v>
      </c>
      <c r="K170" s="185">
        <f t="shared" si="15"/>
        <v>-23</v>
      </c>
      <c r="M170" s="42">
        <f>-((I170/100)*D170)/100</f>
        <v>-23.268856</v>
      </c>
      <c r="AE170" s="42"/>
    </row>
    <row r="171" spans="1:31">
      <c r="A171" s="1" t="s">
        <v>204</v>
      </c>
      <c r="B171" s="1"/>
      <c r="C171" s="182">
        <f t="shared" si="13"/>
        <v>2329</v>
      </c>
      <c r="D171" s="182">
        <f t="shared" si="13"/>
        <v>2413</v>
      </c>
      <c r="E171" s="199">
        <f>E162</f>
        <v>45</v>
      </c>
      <c r="F171" s="186" t="s">
        <v>178</v>
      </c>
      <c r="G171" s="185">
        <f t="shared" si="14"/>
        <v>-10</v>
      </c>
      <c r="H171" s="185">
        <f t="shared" si="14"/>
        <v>-11</v>
      </c>
      <c r="I171" s="199">
        <f>I162</f>
        <v>45</v>
      </c>
      <c r="J171" s="186" t="s">
        <v>178</v>
      </c>
      <c r="K171" s="185">
        <f t="shared" si="15"/>
        <v>-11</v>
      </c>
      <c r="M171" s="42">
        <f>-((I171/100)*D171)/100</f>
        <v>-10.858500000000001</v>
      </c>
      <c r="AE171" s="42"/>
    </row>
    <row r="172" spans="1:31">
      <c r="A172" s="1" t="s">
        <v>211</v>
      </c>
      <c r="B172" s="1"/>
      <c r="C172" s="182">
        <f t="shared" si="13"/>
        <v>103</v>
      </c>
      <c r="D172" s="182">
        <f t="shared" si="13"/>
        <v>107</v>
      </c>
      <c r="E172" s="200">
        <v>60</v>
      </c>
      <c r="F172" s="184"/>
      <c r="G172" s="185">
        <f t="shared" si="14"/>
        <v>6180</v>
      </c>
      <c r="H172" s="185">
        <f t="shared" si="14"/>
        <v>6420</v>
      </c>
      <c r="I172" s="200">
        <v>60</v>
      </c>
      <c r="J172" s="186"/>
      <c r="K172" s="185">
        <f t="shared" si="15"/>
        <v>6420</v>
      </c>
      <c r="M172" s="42">
        <f>I172*D172</f>
        <v>6420</v>
      </c>
      <c r="O172" s="201"/>
      <c r="AE172" s="42"/>
    </row>
    <row r="173" spans="1:31">
      <c r="A173" s="1" t="s">
        <v>212</v>
      </c>
      <c r="B173" s="1"/>
      <c r="C173" s="182">
        <f t="shared" si="13"/>
        <v>2204</v>
      </c>
      <c r="D173" s="182">
        <f t="shared" si="13"/>
        <v>2283</v>
      </c>
      <c r="E173" s="202">
        <v>-30</v>
      </c>
      <c r="F173" s="184" t="s">
        <v>178</v>
      </c>
      <c r="G173" s="185">
        <f t="shared" si="14"/>
        <v>-661</v>
      </c>
      <c r="H173" s="185">
        <f t="shared" si="14"/>
        <v>-685</v>
      </c>
      <c r="I173" s="202">
        <v>-30</v>
      </c>
      <c r="J173" s="186" t="s">
        <v>178</v>
      </c>
      <c r="K173" s="185">
        <f t="shared" si="15"/>
        <v>-685</v>
      </c>
      <c r="M173" s="42">
        <f>(I173/100)*D173</f>
        <v>-684.9</v>
      </c>
      <c r="O173" s="157"/>
      <c r="Q173" s="157"/>
      <c r="AE173" s="42"/>
    </row>
    <row r="174" spans="1:31">
      <c r="A174" s="1" t="s">
        <v>185</v>
      </c>
      <c r="B174" s="127"/>
      <c r="C174" s="182">
        <f t="shared" si="13"/>
        <v>511303192</v>
      </c>
      <c r="D174" s="182">
        <f t="shared" si="13"/>
        <v>529663208.81107259</v>
      </c>
      <c r="E174" s="193"/>
      <c r="F174" s="2"/>
      <c r="G174" s="185">
        <f t="shared" si="14"/>
        <v>33549108</v>
      </c>
      <c r="H174" s="185">
        <f t="shared" si="14"/>
        <v>34688438</v>
      </c>
      <c r="I174" s="193"/>
      <c r="J174" s="186"/>
      <c r="K174" s="185">
        <f t="shared" si="15"/>
        <v>36958825</v>
      </c>
      <c r="M174" s="42">
        <f>SUM(M149:M173)</f>
        <v>36958825.801876113</v>
      </c>
      <c r="O174" s="157"/>
      <c r="AE174" s="42"/>
    </row>
    <row r="175" spans="1:31">
      <c r="A175" s="1" t="s">
        <v>167</v>
      </c>
      <c r="B175" s="15"/>
      <c r="C175" s="203">
        <f t="shared" si="13"/>
        <v>1738550.1352391352</v>
      </c>
      <c r="D175" s="203">
        <f t="shared" si="13"/>
        <v>0</v>
      </c>
      <c r="E175" s="172"/>
      <c r="F175" s="172"/>
      <c r="G175" s="204">
        <f t="shared" si="14"/>
        <v>98538.251191607749</v>
      </c>
      <c r="H175" s="204">
        <f t="shared" si="14"/>
        <v>0</v>
      </c>
      <c r="I175" s="172"/>
      <c r="J175" s="172"/>
      <c r="K175" s="204">
        <f t="shared" si="15"/>
        <v>0</v>
      </c>
      <c r="M175" s="152"/>
      <c r="AE175" s="42"/>
    </row>
    <row r="176" spans="1:31" ht="16.5" thickBot="1">
      <c r="A176" s="1" t="s">
        <v>186</v>
      </c>
      <c r="B176" s="1"/>
      <c r="C176" s="174">
        <f>SUM(C174:C175)</f>
        <v>513041742.13523912</v>
      </c>
      <c r="D176" s="174">
        <f>SUM(D174:D175)</f>
        <v>529663208.81107259</v>
      </c>
      <c r="E176" s="205"/>
      <c r="F176" s="206"/>
      <c r="G176" s="207">
        <f>G174+G175</f>
        <v>33647646.251191609</v>
      </c>
      <c r="H176" s="207">
        <f>H174+H175</f>
        <v>34688438</v>
      </c>
      <c r="I176" s="205"/>
      <c r="J176" s="208"/>
      <c r="K176" s="207">
        <f>K174+K175</f>
        <v>36958825</v>
      </c>
      <c r="M176" s="154"/>
      <c r="N176" s="3" t="s">
        <v>213</v>
      </c>
      <c r="O176" s="42" t="e">
        <f>#REF!*1000</f>
        <v>#REF!</v>
      </c>
      <c r="P176" s="8"/>
      <c r="AE176" s="42"/>
    </row>
    <row r="177" spans="1:31" ht="16.5" thickTop="1">
      <c r="A177" s="1"/>
      <c r="B177" s="1"/>
      <c r="C177" s="12"/>
      <c r="D177" s="12"/>
      <c r="E177" s="200"/>
      <c r="F177" s="2"/>
      <c r="G177" s="2"/>
      <c r="H177" s="2"/>
      <c r="I177" s="200"/>
      <c r="J177" s="1"/>
      <c r="K177" s="2" t="s">
        <v>13</v>
      </c>
      <c r="N177" s="3" t="s">
        <v>114</v>
      </c>
      <c r="O177" s="42" t="e">
        <f>O176-K176</f>
        <v>#REF!</v>
      </c>
      <c r="P177" s="139" t="e">
        <f>(O176-K176)/K176</f>
        <v>#REF!</v>
      </c>
      <c r="AE177" s="42"/>
    </row>
    <row r="178" spans="1:31">
      <c r="A178" s="1"/>
      <c r="B178" s="1"/>
      <c r="C178" s="12"/>
      <c r="D178" s="12"/>
      <c r="E178" s="200"/>
      <c r="F178" s="2"/>
      <c r="G178" s="2"/>
      <c r="H178" s="2"/>
      <c r="I178" s="200"/>
      <c r="J178" s="1"/>
      <c r="AE178" s="42"/>
    </row>
    <row r="179" spans="1:31">
      <c r="A179" s="156" t="s">
        <v>191</v>
      </c>
      <c r="B179" s="1"/>
      <c r="C179" s="1"/>
      <c r="D179" s="1"/>
      <c r="E179" s="2"/>
      <c r="F179" s="2"/>
      <c r="G179" s="1" t="s">
        <v>13</v>
      </c>
      <c r="H179" s="1"/>
      <c r="I179" s="2"/>
      <c r="J179" s="1"/>
      <c r="K179" s="1"/>
      <c r="M179" s="42">
        <f>K176-H176</f>
        <v>2270387</v>
      </c>
      <c r="O179" s="209"/>
      <c r="P179" s="8"/>
      <c r="AE179" s="42"/>
    </row>
    <row r="180" spans="1:31">
      <c r="A180" s="1" t="s">
        <v>214</v>
      </c>
      <c r="B180" s="1"/>
      <c r="C180" s="1"/>
      <c r="D180" s="1"/>
      <c r="E180" s="2"/>
      <c r="F180" s="2"/>
      <c r="G180" s="1"/>
      <c r="H180" s="1"/>
      <c r="I180" s="2"/>
      <c r="J180" s="1"/>
      <c r="K180" s="1"/>
      <c r="M180" s="42"/>
      <c r="N180" s="101">
        <v>0.91082901397610971</v>
      </c>
      <c r="AE180" s="42"/>
    </row>
    <row r="181" spans="1:31">
      <c r="A181" s="1"/>
      <c r="B181" s="1"/>
      <c r="C181" s="1"/>
      <c r="D181" s="1"/>
      <c r="E181" s="2"/>
      <c r="F181" s="2"/>
      <c r="G181" s="1"/>
      <c r="H181" s="1"/>
      <c r="I181" s="2"/>
      <c r="J181" s="1"/>
      <c r="K181" s="1"/>
      <c r="M181" s="42"/>
      <c r="N181" s="42"/>
      <c r="AE181" s="42"/>
    </row>
    <row r="182" spans="1:31">
      <c r="A182" s="1" t="s">
        <v>197</v>
      </c>
      <c r="B182" s="1"/>
      <c r="C182" s="182"/>
      <c r="D182" s="182"/>
      <c r="E182" s="2"/>
      <c r="F182" s="2"/>
      <c r="G182" s="1"/>
      <c r="H182" s="1"/>
      <c r="I182" s="2"/>
      <c r="J182" s="1"/>
      <c r="K182" s="1"/>
      <c r="AE182" s="42"/>
    </row>
    <row r="183" spans="1:31">
      <c r="A183" s="1" t="s">
        <v>194</v>
      </c>
      <c r="B183" s="1"/>
      <c r="C183" s="182">
        <f t="shared" ref="C183:D185" si="16">C211+C239</f>
        <v>145698</v>
      </c>
      <c r="D183" s="182">
        <f t="shared" si="16"/>
        <v>147404</v>
      </c>
      <c r="E183" s="161">
        <v>7</v>
      </c>
      <c r="F183" s="184"/>
      <c r="G183" s="2">
        <f t="shared" ref="G183:H185" si="17">G211+G239</f>
        <v>1019886</v>
      </c>
      <c r="H183" s="2">
        <f t="shared" si="17"/>
        <v>1031828</v>
      </c>
      <c r="I183" s="161">
        <f>$I$153</f>
        <v>7.53</v>
      </c>
      <c r="J183" s="186"/>
      <c r="K183" s="2">
        <f>K211+K239</f>
        <v>1109952</v>
      </c>
      <c r="AE183" s="42"/>
    </row>
    <row r="184" spans="1:31">
      <c r="A184" s="1" t="s">
        <v>195</v>
      </c>
      <c r="B184" s="1"/>
      <c r="C184" s="182">
        <f t="shared" si="16"/>
        <v>58994</v>
      </c>
      <c r="D184" s="182">
        <f t="shared" si="16"/>
        <v>59583</v>
      </c>
      <c r="E184" s="161">
        <v>10.4</v>
      </c>
      <c r="F184" s="187"/>
      <c r="G184" s="2">
        <f t="shared" si="17"/>
        <v>613538</v>
      </c>
      <c r="H184" s="2">
        <f t="shared" si="17"/>
        <v>619663</v>
      </c>
      <c r="I184" s="161">
        <f>$I$154</f>
        <v>11.18</v>
      </c>
      <c r="J184" s="188"/>
      <c r="K184" s="2">
        <f>K212+K240</f>
        <v>666138</v>
      </c>
      <c r="AE184" s="42"/>
    </row>
    <row r="185" spans="1:31">
      <c r="A185" s="1" t="s">
        <v>196</v>
      </c>
      <c r="B185" s="1"/>
      <c r="C185" s="182">
        <f t="shared" si="16"/>
        <v>1172685</v>
      </c>
      <c r="D185" s="182">
        <f t="shared" si="16"/>
        <v>1215298</v>
      </c>
      <c r="E185" s="161">
        <v>0.69</v>
      </c>
      <c r="F185" s="187"/>
      <c r="G185" s="2">
        <f t="shared" si="17"/>
        <v>809153</v>
      </c>
      <c r="H185" s="2">
        <f t="shared" si="17"/>
        <v>838556</v>
      </c>
      <c r="I185" s="161">
        <f>$I$155</f>
        <v>0.78</v>
      </c>
      <c r="J185" s="188"/>
      <c r="K185" s="2">
        <f>K213+K241</f>
        <v>947933</v>
      </c>
      <c r="AE185" s="42"/>
    </row>
    <row r="186" spans="1:31">
      <c r="A186" s="1" t="s">
        <v>198</v>
      </c>
      <c r="B186" s="1"/>
      <c r="C186" s="182">
        <f>SUM(C183:C184)</f>
        <v>204692</v>
      </c>
      <c r="D186" s="182">
        <f>SUM(D183:D184)</f>
        <v>206987</v>
      </c>
      <c r="E186" s="161"/>
      <c r="F186" s="184"/>
      <c r="G186" s="2"/>
      <c r="H186" s="2"/>
      <c r="I186" s="161"/>
      <c r="J186" s="186"/>
      <c r="K186" s="2"/>
      <c r="AE186" s="42"/>
    </row>
    <row r="187" spans="1:31">
      <c r="A187" s="1" t="s">
        <v>199</v>
      </c>
      <c r="B187" s="1"/>
      <c r="C187" s="182">
        <f t="shared" ref="C187:D191" si="18">C215+C243</f>
        <v>760902</v>
      </c>
      <c r="D187" s="182">
        <f t="shared" si="18"/>
        <v>788525</v>
      </c>
      <c r="E187" s="189">
        <v>2.81</v>
      </c>
      <c r="F187" s="186"/>
      <c r="G187" s="2">
        <f t="shared" ref="G187:H191" si="19">G215+G243</f>
        <v>2138135</v>
      </c>
      <c r="H187" s="2">
        <f t="shared" si="19"/>
        <v>2215755</v>
      </c>
      <c r="I187" s="189">
        <f>$I$158</f>
        <v>2.88</v>
      </c>
      <c r="J187" s="186"/>
      <c r="K187" s="2">
        <f>K215+K243</f>
        <v>2270952</v>
      </c>
      <c r="AE187" s="42"/>
    </row>
    <row r="188" spans="1:31">
      <c r="A188" s="1" t="s">
        <v>201</v>
      </c>
      <c r="B188" s="1"/>
      <c r="C188" s="182">
        <f t="shared" si="18"/>
        <v>120473825.22139926</v>
      </c>
      <c r="D188" s="182">
        <f t="shared" si="18"/>
        <v>124824731</v>
      </c>
      <c r="E188" s="162">
        <v>7.5869999999999997</v>
      </c>
      <c r="F188" s="186" t="s">
        <v>178</v>
      </c>
      <c r="G188" s="2">
        <f t="shared" si="19"/>
        <v>9140349</v>
      </c>
      <c r="H188" s="2">
        <f t="shared" si="19"/>
        <v>9470452</v>
      </c>
      <c r="I188" s="162">
        <f>$I$159</f>
        <v>8.0890000000000004</v>
      </c>
      <c r="J188" s="186" t="s">
        <v>178</v>
      </c>
      <c r="K188" s="2">
        <f>K216+K244</f>
        <v>10097072</v>
      </c>
      <c r="AE188" s="42"/>
    </row>
    <row r="189" spans="1:31">
      <c r="A189" s="1" t="s">
        <v>202</v>
      </c>
      <c r="B189" s="1"/>
      <c r="C189" s="182">
        <f t="shared" si="18"/>
        <v>272066960.57318687</v>
      </c>
      <c r="D189" s="182">
        <f t="shared" si="18"/>
        <v>281913580</v>
      </c>
      <c r="E189" s="162">
        <v>5.2370000000000001</v>
      </c>
      <c r="F189" s="186" t="s">
        <v>178</v>
      </c>
      <c r="G189" s="2">
        <f t="shared" si="19"/>
        <v>14248147</v>
      </c>
      <c r="H189" s="2">
        <f t="shared" si="19"/>
        <v>14763814</v>
      </c>
      <c r="I189" s="162">
        <f>$I$160</f>
        <v>5.5839999999999996</v>
      </c>
      <c r="J189" s="186" t="s">
        <v>178</v>
      </c>
      <c r="K189" s="2">
        <f>K217+K245</f>
        <v>15742054</v>
      </c>
      <c r="AE189" s="42"/>
    </row>
    <row r="190" spans="1:31">
      <c r="A190" s="1" t="s">
        <v>203</v>
      </c>
      <c r="B190" s="1"/>
      <c r="C190" s="182">
        <f t="shared" si="18"/>
        <v>116874017.20541383</v>
      </c>
      <c r="D190" s="182">
        <f t="shared" si="18"/>
        <v>121112284</v>
      </c>
      <c r="E190" s="162">
        <v>4.5129999999999999</v>
      </c>
      <c r="F190" s="186" t="s">
        <v>178</v>
      </c>
      <c r="G190" s="2">
        <f t="shared" si="19"/>
        <v>5274524</v>
      </c>
      <c r="H190" s="2">
        <f t="shared" si="19"/>
        <v>5465798</v>
      </c>
      <c r="I190" s="162">
        <f>$I$161</f>
        <v>4.8100000000000005</v>
      </c>
      <c r="J190" s="186" t="s">
        <v>178</v>
      </c>
      <c r="K190" s="2">
        <f>K218+K246</f>
        <v>5825501</v>
      </c>
      <c r="AE190" s="42"/>
    </row>
    <row r="191" spans="1:31">
      <c r="A191" s="1" t="s">
        <v>204</v>
      </c>
      <c r="B191" s="1"/>
      <c r="C191" s="182">
        <f t="shared" si="18"/>
        <v>88035</v>
      </c>
      <c r="D191" s="182">
        <f t="shared" si="18"/>
        <v>91301</v>
      </c>
      <c r="E191" s="193">
        <v>45</v>
      </c>
      <c r="F191" s="184" t="s">
        <v>178</v>
      </c>
      <c r="G191" s="2">
        <f t="shared" si="19"/>
        <v>39616</v>
      </c>
      <c r="H191" s="2">
        <f t="shared" si="19"/>
        <v>41086</v>
      </c>
      <c r="I191" s="193">
        <f>$I$162</f>
        <v>45</v>
      </c>
      <c r="J191" s="186" t="s">
        <v>178</v>
      </c>
      <c r="K191" s="2">
        <f>K219+K247</f>
        <v>41086</v>
      </c>
      <c r="AE191" s="42"/>
    </row>
    <row r="192" spans="1:31">
      <c r="A192" s="194" t="s">
        <v>205</v>
      </c>
      <c r="B192" s="1"/>
      <c r="C192" s="182"/>
      <c r="D192" s="182"/>
      <c r="E192" s="195">
        <v>-0.01</v>
      </c>
      <c r="F192" s="184"/>
      <c r="G192" s="2"/>
      <c r="H192" s="2"/>
      <c r="I192" s="195">
        <f>$I$163</f>
        <v>-0.01</v>
      </c>
      <c r="J192" s="186"/>
      <c r="K192" s="2"/>
      <c r="AE192" s="42"/>
    </row>
    <row r="193" spans="1:31">
      <c r="A193" s="1" t="s">
        <v>194</v>
      </c>
      <c r="B193" s="1"/>
      <c r="C193" s="182">
        <f t="shared" ref="C193:D204" si="20">C221+C249</f>
        <v>48</v>
      </c>
      <c r="D193" s="182">
        <f t="shared" si="20"/>
        <v>49</v>
      </c>
      <c r="E193" s="197">
        <f>E183</f>
        <v>7</v>
      </c>
      <c r="F193" s="184"/>
      <c r="G193" s="2">
        <f t="shared" ref="G193:H204" si="21">G221+G249</f>
        <v>-3</v>
      </c>
      <c r="H193" s="2">
        <f t="shared" si="21"/>
        <v>-3</v>
      </c>
      <c r="I193" s="197">
        <f>I183</f>
        <v>7.53</v>
      </c>
      <c r="J193" s="184"/>
      <c r="K193" s="2">
        <f t="shared" ref="K193:K204" si="22">K221+K249</f>
        <v>-4</v>
      </c>
      <c r="AE193" s="42"/>
    </row>
    <row r="194" spans="1:31">
      <c r="A194" s="1" t="s">
        <v>195</v>
      </c>
      <c r="B194" s="1"/>
      <c r="C194" s="182">
        <f t="shared" si="20"/>
        <v>88</v>
      </c>
      <c r="D194" s="182">
        <f t="shared" si="20"/>
        <v>89</v>
      </c>
      <c r="E194" s="197">
        <f>E184</f>
        <v>10.4</v>
      </c>
      <c r="F194" s="184"/>
      <c r="G194" s="2">
        <f t="shared" si="21"/>
        <v>-9</v>
      </c>
      <c r="H194" s="2">
        <f t="shared" si="21"/>
        <v>-9</v>
      </c>
      <c r="I194" s="197">
        <f>I184</f>
        <v>11.18</v>
      </c>
      <c r="J194" s="184"/>
      <c r="K194" s="2">
        <f t="shared" si="22"/>
        <v>-10</v>
      </c>
      <c r="AE194" s="42"/>
    </row>
    <row r="195" spans="1:31">
      <c r="A195" s="1" t="s">
        <v>206</v>
      </c>
      <c r="B195" s="1"/>
      <c r="C195" s="182">
        <f t="shared" si="20"/>
        <v>1730</v>
      </c>
      <c r="D195" s="182">
        <f t="shared" si="20"/>
        <v>1792</v>
      </c>
      <c r="E195" s="197">
        <f>E185</f>
        <v>0.69</v>
      </c>
      <c r="F195" s="184"/>
      <c r="G195" s="2">
        <f t="shared" si="21"/>
        <v>-12</v>
      </c>
      <c r="H195" s="2">
        <f t="shared" si="21"/>
        <v>-12</v>
      </c>
      <c r="I195" s="197">
        <f>I185</f>
        <v>0.78</v>
      </c>
      <c r="J195" s="184"/>
      <c r="K195" s="2">
        <f t="shared" si="22"/>
        <v>-14</v>
      </c>
      <c r="AE195" s="42"/>
    </row>
    <row r="196" spans="1:31">
      <c r="A196" s="1" t="s">
        <v>207</v>
      </c>
      <c r="B196" s="1"/>
      <c r="C196" s="182">
        <f t="shared" si="20"/>
        <v>696</v>
      </c>
      <c r="D196" s="182">
        <f t="shared" si="20"/>
        <v>721</v>
      </c>
      <c r="E196" s="197">
        <f>E187</f>
        <v>2.81</v>
      </c>
      <c r="F196" s="186"/>
      <c r="G196" s="2">
        <f t="shared" si="21"/>
        <v>-20</v>
      </c>
      <c r="H196" s="2">
        <f t="shared" si="21"/>
        <v>-20</v>
      </c>
      <c r="I196" s="197">
        <f>I187</f>
        <v>2.88</v>
      </c>
      <c r="J196" s="186"/>
      <c r="K196" s="2">
        <f t="shared" si="22"/>
        <v>-21</v>
      </c>
      <c r="AE196" s="42"/>
    </row>
    <row r="197" spans="1:31">
      <c r="A197" s="1" t="s">
        <v>209</v>
      </c>
      <c r="B197" s="1"/>
      <c r="C197" s="182">
        <f t="shared" si="20"/>
        <v>80560</v>
      </c>
      <c r="D197" s="182">
        <f t="shared" si="20"/>
        <v>83451</v>
      </c>
      <c r="E197" s="198">
        <f>E188</f>
        <v>7.5869999999999997</v>
      </c>
      <c r="F197" s="186" t="s">
        <v>178</v>
      </c>
      <c r="G197" s="2">
        <f t="shared" si="21"/>
        <v>-61</v>
      </c>
      <c r="H197" s="2">
        <f t="shared" si="21"/>
        <v>-63</v>
      </c>
      <c r="I197" s="198">
        <f>I188</f>
        <v>8.0890000000000004</v>
      </c>
      <c r="J197" s="186" t="s">
        <v>178</v>
      </c>
      <c r="K197" s="2">
        <f t="shared" si="22"/>
        <v>-68</v>
      </c>
      <c r="AE197" s="42"/>
    </row>
    <row r="198" spans="1:31">
      <c r="A198" s="1" t="s">
        <v>202</v>
      </c>
      <c r="B198" s="1"/>
      <c r="C198" s="182">
        <f t="shared" si="20"/>
        <v>247430</v>
      </c>
      <c r="D198" s="182">
        <f t="shared" si="20"/>
        <v>256310</v>
      </c>
      <c r="E198" s="198">
        <f>E189</f>
        <v>5.2370000000000001</v>
      </c>
      <c r="F198" s="186" t="s">
        <v>178</v>
      </c>
      <c r="G198" s="2">
        <f t="shared" si="21"/>
        <v>-130</v>
      </c>
      <c r="H198" s="2">
        <f t="shared" si="21"/>
        <v>-134</v>
      </c>
      <c r="I198" s="198">
        <f>I189</f>
        <v>5.5839999999999996</v>
      </c>
      <c r="J198" s="186" t="s">
        <v>178</v>
      </c>
      <c r="K198" s="2">
        <f t="shared" si="22"/>
        <v>-143</v>
      </c>
      <c r="AE198" s="42"/>
    </row>
    <row r="199" spans="1:31">
      <c r="A199" s="1" t="s">
        <v>203</v>
      </c>
      <c r="B199" s="1"/>
      <c r="C199" s="182">
        <f t="shared" si="20"/>
        <v>46700</v>
      </c>
      <c r="D199" s="182">
        <f t="shared" si="20"/>
        <v>48376</v>
      </c>
      <c r="E199" s="198">
        <f>E190</f>
        <v>4.5129999999999999</v>
      </c>
      <c r="F199" s="186" t="s">
        <v>178</v>
      </c>
      <c r="G199" s="2">
        <f t="shared" si="21"/>
        <v>-21</v>
      </c>
      <c r="H199" s="2">
        <f t="shared" si="21"/>
        <v>-22</v>
      </c>
      <c r="I199" s="198">
        <f>I190</f>
        <v>4.8100000000000005</v>
      </c>
      <c r="J199" s="186" t="s">
        <v>178</v>
      </c>
      <c r="K199" s="2">
        <f t="shared" si="22"/>
        <v>-23</v>
      </c>
      <c r="AE199" s="42"/>
    </row>
    <row r="200" spans="1:31">
      <c r="A200" s="1" t="s">
        <v>204</v>
      </c>
      <c r="B200" s="1"/>
      <c r="C200" s="182">
        <f t="shared" si="20"/>
        <v>2329</v>
      </c>
      <c r="D200" s="182">
        <f t="shared" si="20"/>
        <v>2413</v>
      </c>
      <c r="E200" s="199">
        <f>E191</f>
        <v>45</v>
      </c>
      <c r="F200" s="186" t="s">
        <v>178</v>
      </c>
      <c r="G200" s="2">
        <f t="shared" si="21"/>
        <v>-10</v>
      </c>
      <c r="H200" s="2">
        <f t="shared" si="21"/>
        <v>-11</v>
      </c>
      <c r="I200" s="199">
        <f>I191</f>
        <v>45</v>
      </c>
      <c r="J200" s="186" t="s">
        <v>178</v>
      </c>
      <c r="K200" s="2">
        <f t="shared" si="22"/>
        <v>-11</v>
      </c>
      <c r="AE200" s="42"/>
    </row>
    <row r="201" spans="1:31">
      <c r="A201" s="1" t="s">
        <v>211</v>
      </c>
      <c r="B201" s="1"/>
      <c r="C201" s="182">
        <f t="shared" si="20"/>
        <v>103</v>
      </c>
      <c r="D201" s="182">
        <f t="shared" si="20"/>
        <v>107</v>
      </c>
      <c r="E201" s="200">
        <v>60</v>
      </c>
      <c r="F201" s="184"/>
      <c r="G201" s="2">
        <f t="shared" si="21"/>
        <v>6180</v>
      </c>
      <c r="H201" s="2">
        <f t="shared" si="21"/>
        <v>6420</v>
      </c>
      <c r="I201" s="200">
        <f>$I$172</f>
        <v>60</v>
      </c>
      <c r="J201" s="186"/>
      <c r="K201" s="2">
        <f t="shared" si="22"/>
        <v>6420</v>
      </c>
      <c r="AE201" s="42"/>
    </row>
    <row r="202" spans="1:31">
      <c r="A202" s="1" t="s">
        <v>212</v>
      </c>
      <c r="B202" s="1"/>
      <c r="C202" s="182">
        <f t="shared" si="20"/>
        <v>2204</v>
      </c>
      <c r="D202" s="182">
        <f t="shared" si="20"/>
        <v>2283</v>
      </c>
      <c r="E202" s="202">
        <v>-30</v>
      </c>
      <c r="F202" s="184" t="s">
        <v>178</v>
      </c>
      <c r="G202" s="2">
        <f t="shared" si="21"/>
        <v>-661</v>
      </c>
      <c r="H202" s="2">
        <f t="shared" si="21"/>
        <v>-685</v>
      </c>
      <c r="I202" s="202">
        <f>$I$173</f>
        <v>-30</v>
      </c>
      <c r="J202" s="186" t="s">
        <v>178</v>
      </c>
      <c r="K202" s="2">
        <f t="shared" si="22"/>
        <v>-685</v>
      </c>
      <c r="AE202" s="42"/>
    </row>
    <row r="203" spans="1:31">
      <c r="A203" s="1" t="s">
        <v>185</v>
      </c>
      <c r="B203" s="127"/>
      <c r="C203" s="182">
        <f t="shared" si="20"/>
        <v>509414803</v>
      </c>
      <c r="D203" s="182">
        <f t="shared" si="20"/>
        <v>527850595.24192303</v>
      </c>
      <c r="E203" s="193"/>
      <c r="F203" s="2"/>
      <c r="G203" s="2">
        <f t="shared" si="21"/>
        <v>33288601</v>
      </c>
      <c r="H203" s="2">
        <f t="shared" si="21"/>
        <v>34452413</v>
      </c>
      <c r="I203" s="193"/>
      <c r="J203" s="186"/>
      <c r="K203" s="2">
        <f t="shared" si="22"/>
        <v>36706129</v>
      </c>
      <c r="AE203" s="42"/>
    </row>
    <row r="204" spans="1:31">
      <c r="A204" s="1" t="s">
        <v>167</v>
      </c>
      <c r="B204" s="210"/>
      <c r="C204" s="203">
        <f t="shared" si="20"/>
        <v>1731204.4322117302</v>
      </c>
      <c r="D204" s="203">
        <f t="shared" si="20"/>
        <v>0</v>
      </c>
      <c r="E204" s="172"/>
      <c r="F204" s="172"/>
      <c r="G204" s="204">
        <f t="shared" si="21"/>
        <v>97782.266337401146</v>
      </c>
      <c r="H204" s="204">
        <f t="shared" si="21"/>
        <v>0</v>
      </c>
      <c r="I204" s="172"/>
      <c r="J204" s="172"/>
      <c r="K204" s="204">
        <f t="shared" si="22"/>
        <v>0</v>
      </c>
      <c r="M204" s="152"/>
      <c r="N204" s="152"/>
      <c r="O204" s="153"/>
      <c r="AE204" s="42"/>
    </row>
    <row r="205" spans="1:31" ht="16.5" thickBot="1">
      <c r="A205" s="1" t="s">
        <v>186</v>
      </c>
      <c r="B205" s="1"/>
      <c r="C205" s="174">
        <f>SUM(C203:C204)</f>
        <v>511146007.43221176</v>
      </c>
      <c r="D205" s="174">
        <f>SUM(D203:D204)</f>
        <v>527850595.24192303</v>
      </c>
      <c r="E205" s="205"/>
      <c r="F205" s="206"/>
      <c r="G205" s="207">
        <f>G203+G204</f>
        <v>33386383.266337402</v>
      </c>
      <c r="H205" s="207">
        <f>H203+H204</f>
        <v>34452413</v>
      </c>
      <c r="I205" s="205"/>
      <c r="J205" s="208"/>
      <c r="K205" s="207">
        <f>K203+K204</f>
        <v>36706129</v>
      </c>
      <c r="M205" s="154"/>
      <c r="N205" s="154"/>
      <c r="O205" s="155"/>
      <c r="AE205" s="42"/>
    </row>
    <row r="206" spans="1:31" ht="16.5" thickTop="1">
      <c r="A206" s="1"/>
      <c r="B206" s="1"/>
      <c r="C206" s="12"/>
      <c r="D206" s="12"/>
      <c r="E206" s="200"/>
      <c r="F206" s="2"/>
      <c r="G206" s="2"/>
      <c r="H206" s="2"/>
      <c r="I206" s="200"/>
      <c r="J206" s="1"/>
      <c r="K206" s="2" t="s">
        <v>13</v>
      </c>
      <c r="AE206" s="42"/>
    </row>
    <row r="207" spans="1:31">
      <c r="A207" s="156" t="s">
        <v>191</v>
      </c>
      <c r="B207" s="1"/>
      <c r="C207" s="1"/>
      <c r="D207" s="1"/>
      <c r="E207" s="2"/>
      <c r="F207" s="2"/>
      <c r="G207" s="1" t="s">
        <v>13</v>
      </c>
      <c r="H207" s="1"/>
      <c r="I207" s="2"/>
      <c r="J207" s="1"/>
      <c r="K207" s="1"/>
      <c r="AE207" s="42"/>
    </row>
    <row r="208" spans="1:31">
      <c r="A208" s="1" t="s">
        <v>215</v>
      </c>
      <c r="B208" s="1"/>
      <c r="C208" s="1"/>
      <c r="D208" s="12"/>
      <c r="E208" s="2"/>
      <c r="F208" s="2"/>
      <c r="G208" s="1"/>
      <c r="H208" s="1"/>
      <c r="I208" s="2"/>
      <c r="J208" s="1"/>
      <c r="K208" s="1"/>
      <c r="AE208" s="42"/>
    </row>
    <row r="209" spans="1:31">
      <c r="A209" s="211" t="s">
        <v>216</v>
      </c>
      <c r="B209" s="1"/>
      <c r="C209" s="12"/>
      <c r="D209" s="12"/>
      <c r="E209" s="2"/>
      <c r="F209" s="2"/>
      <c r="G209" s="1"/>
      <c r="H209" s="1"/>
      <c r="I209" s="2"/>
      <c r="J209" s="1"/>
      <c r="K209" s="1"/>
      <c r="AE209" s="42"/>
    </row>
    <row r="210" spans="1:31">
      <c r="A210" s="1" t="s">
        <v>197</v>
      </c>
      <c r="B210" s="1"/>
      <c r="C210" s="182"/>
      <c r="D210" s="182"/>
      <c r="E210" s="2"/>
      <c r="F210" s="2"/>
      <c r="G210" s="1"/>
      <c r="H210" s="1"/>
      <c r="I210" s="2"/>
      <c r="J210" s="1"/>
      <c r="K210" s="1"/>
      <c r="AE210" s="42"/>
    </row>
    <row r="211" spans="1:31">
      <c r="A211" s="1" t="s">
        <v>194</v>
      </c>
      <c r="B211" s="1"/>
      <c r="C211" s="182">
        <f>31554+48+111709+1+8+12</f>
        <v>143332</v>
      </c>
      <c r="D211" s="182">
        <v>145099</v>
      </c>
      <c r="E211" s="161">
        <v>7</v>
      </c>
      <c r="F211" s="184"/>
      <c r="G211" s="2">
        <f>ROUND(E211*$C211,0)</f>
        <v>1003324</v>
      </c>
      <c r="H211" s="2">
        <f>ROUND(E211*$D211,0)</f>
        <v>1015693</v>
      </c>
      <c r="I211" s="161">
        <f>$I$153</f>
        <v>7.53</v>
      </c>
      <c r="J211" s="186"/>
      <c r="K211" s="2">
        <f>ROUND(I211*$D211,0)</f>
        <v>1092595</v>
      </c>
      <c r="AE211" s="42"/>
    </row>
    <row r="212" spans="1:31">
      <c r="A212" s="1" t="s">
        <v>195</v>
      </c>
      <c r="B212" s="1"/>
      <c r="C212" s="182">
        <f>12+7315+28+33+55+48042</f>
        <v>55485</v>
      </c>
      <c r="D212" s="182">
        <v>56165</v>
      </c>
      <c r="E212" s="161">
        <v>10.4</v>
      </c>
      <c r="F212" s="187"/>
      <c r="G212" s="2">
        <f>ROUND(E212*$C212,0)</f>
        <v>577044</v>
      </c>
      <c r="H212" s="2">
        <f>ROUND(E212*$D212,0)</f>
        <v>584116</v>
      </c>
      <c r="I212" s="161">
        <f>$I$154</f>
        <v>11.18</v>
      </c>
      <c r="J212" s="188"/>
      <c r="K212" s="2">
        <f>ROUND(I212*$D212,0)</f>
        <v>627925</v>
      </c>
      <c r="AE212" s="42"/>
    </row>
    <row r="213" spans="1:31">
      <c r="A213" s="1" t="s">
        <v>196</v>
      </c>
      <c r="B213" s="1"/>
      <c r="C213" s="182">
        <f>19153+70113+126+247835+559+301+676+759372</f>
        <v>1098135</v>
      </c>
      <c r="D213" s="182">
        <f>ROUND(($D$231/'Blocking - detail'!$C$231)*C213,0)</f>
        <v>1137546</v>
      </c>
      <c r="E213" s="161">
        <v>0.69</v>
      </c>
      <c r="F213" s="187"/>
      <c r="G213" s="2">
        <f>ROUND(E213*$C213,0)</f>
        <v>757713</v>
      </c>
      <c r="H213" s="2">
        <f>ROUND(E213*$D213,0)</f>
        <v>784907</v>
      </c>
      <c r="I213" s="161">
        <f>$I$155</f>
        <v>0.78</v>
      </c>
      <c r="J213" s="188"/>
      <c r="K213" s="2">
        <f>ROUND(I213*$D213,0)</f>
        <v>887286</v>
      </c>
      <c r="AE213" s="42"/>
    </row>
    <row r="214" spans="1:31">
      <c r="A214" s="1" t="s">
        <v>198</v>
      </c>
      <c r="B214" s="1"/>
      <c r="C214" s="182">
        <f>SUM(C211:C212)</f>
        <v>198817</v>
      </c>
      <c r="D214" s="182">
        <f>SUM(D211:D212)</f>
        <v>201264</v>
      </c>
      <c r="E214" s="161"/>
      <c r="F214" s="184"/>
      <c r="G214" s="2"/>
      <c r="H214" s="2"/>
      <c r="I214" s="161"/>
      <c r="J214" s="186"/>
      <c r="K214" s="2"/>
      <c r="AE214" s="42"/>
    </row>
    <row r="215" spans="1:31">
      <c r="A215" s="1" t="s">
        <v>199</v>
      </c>
      <c r="B215" s="1"/>
      <c r="C215" s="182">
        <f>11734+41601+80+143199+253+241+375+518943</f>
        <v>716426</v>
      </c>
      <c r="D215" s="182">
        <f>ROUND(($D$231/'Blocking - detail'!$C$231)*C215,0)</f>
        <v>742138</v>
      </c>
      <c r="E215" s="189">
        <v>2.81</v>
      </c>
      <c r="F215" s="186"/>
      <c r="G215" s="2">
        <f>ROUND(E215*$C215,0)</f>
        <v>2013157</v>
      </c>
      <c r="H215" s="2">
        <f>ROUND(E215*$D215,0)</f>
        <v>2085408</v>
      </c>
      <c r="I215" s="189">
        <f>$I$158</f>
        <v>2.88</v>
      </c>
      <c r="J215" s="186"/>
      <c r="K215" s="2">
        <f>ROUND(I215*$D215,0)</f>
        <v>2137357</v>
      </c>
      <c r="AE215" s="42"/>
    </row>
    <row r="216" spans="1:31">
      <c r="A216" s="1" t="s">
        <v>201</v>
      </c>
      <c r="B216" s="182"/>
      <c r="C216" s="182">
        <v>116624011.22139926</v>
      </c>
      <c r="D216" s="182">
        <f>ROUND(($D$231/$C$231)*C216,0)</f>
        <v>120809544</v>
      </c>
      <c r="E216" s="162">
        <v>7.5869999999999997</v>
      </c>
      <c r="F216" s="186" t="s">
        <v>178</v>
      </c>
      <c r="G216" s="2">
        <f>ROUND(E216*$C216/100,0)</f>
        <v>8848264</v>
      </c>
      <c r="H216" s="2">
        <f>ROUND(E216*$D216/100,0)</f>
        <v>9165820</v>
      </c>
      <c r="I216" s="162">
        <f>$I$159</f>
        <v>8.0890000000000004</v>
      </c>
      <c r="J216" s="186" t="s">
        <v>178</v>
      </c>
      <c r="K216" s="2">
        <f>ROUND(I216*$D216/100,0)</f>
        <v>9772284</v>
      </c>
      <c r="M216" s="48"/>
      <c r="N216" s="48"/>
      <c r="AE216" s="42"/>
    </row>
    <row r="217" spans="1:31">
      <c r="A217" s="1" t="s">
        <v>202</v>
      </c>
      <c r="B217" s="182"/>
      <c r="C217" s="182">
        <v>260410667.5731869</v>
      </c>
      <c r="D217" s="182">
        <f>ROUND(($D$231/'Blocking - detail'!$C$231)*C217,0)</f>
        <v>269756577</v>
      </c>
      <c r="E217" s="162">
        <v>5.2370000000000001</v>
      </c>
      <c r="F217" s="186" t="s">
        <v>178</v>
      </c>
      <c r="G217" s="2">
        <f>ROUND(E217*$C217/100,0)</f>
        <v>13637707</v>
      </c>
      <c r="H217" s="2">
        <f>ROUND(E217*$D217/100,0)</f>
        <v>14127152</v>
      </c>
      <c r="I217" s="162">
        <f>$I$160</f>
        <v>5.5839999999999996</v>
      </c>
      <c r="J217" s="186" t="s">
        <v>178</v>
      </c>
      <c r="K217" s="2">
        <f>ROUND(I217*$D217/100,0)</f>
        <v>15063207</v>
      </c>
      <c r="M217" s="48"/>
      <c r="N217" s="48"/>
      <c r="AE217" s="42"/>
    </row>
    <row r="218" spans="1:31">
      <c r="A218" s="1" t="s">
        <v>203</v>
      </c>
      <c r="B218" s="182"/>
      <c r="C218" s="182">
        <v>110681660.20541383</v>
      </c>
      <c r="D218" s="182">
        <f>ROUND(($D$231/'Blocking - detail'!$C$231)*C218,0)</f>
        <v>114653927</v>
      </c>
      <c r="E218" s="162">
        <v>4.5129999999999999</v>
      </c>
      <c r="F218" s="186" t="s">
        <v>178</v>
      </c>
      <c r="G218" s="2">
        <f>ROUND(E218*$C218/100,0)</f>
        <v>4995063</v>
      </c>
      <c r="H218" s="2">
        <f>ROUND(E218*$D218/100,0)</f>
        <v>5174332</v>
      </c>
      <c r="I218" s="162">
        <f>$I$161</f>
        <v>4.8100000000000005</v>
      </c>
      <c r="J218" s="186" t="s">
        <v>178</v>
      </c>
      <c r="K218" s="2">
        <f>ROUND(I218*$D218/100,0)</f>
        <v>5514854</v>
      </c>
      <c r="M218" s="48"/>
      <c r="N218" s="48"/>
      <c r="AE218" s="42"/>
    </row>
    <row r="219" spans="1:31">
      <c r="A219" s="1" t="s">
        <v>204</v>
      </c>
      <c r="B219" s="12"/>
      <c r="C219" s="182">
        <f>1+8573+480+2+1+2328+61584</f>
        <v>72969</v>
      </c>
      <c r="D219" s="182">
        <f>ROUND(($D$231/'Blocking - detail'!$C$231)*C219,0)</f>
        <v>75588</v>
      </c>
      <c r="E219" s="193">
        <v>45</v>
      </c>
      <c r="F219" s="184" t="s">
        <v>178</v>
      </c>
      <c r="G219" s="2">
        <f>ROUND(E219*$C219/100,0)</f>
        <v>32836</v>
      </c>
      <c r="H219" s="2">
        <f>ROUND(E219*$D219/100,0)</f>
        <v>34015</v>
      </c>
      <c r="I219" s="193">
        <f>$I$162</f>
        <v>45</v>
      </c>
      <c r="J219" s="186" t="s">
        <v>178</v>
      </c>
      <c r="K219" s="2">
        <f>ROUND(I219*$D219/100,0)</f>
        <v>34015</v>
      </c>
      <c r="AE219" s="42"/>
    </row>
    <row r="220" spans="1:31">
      <c r="A220" s="194" t="s">
        <v>205</v>
      </c>
      <c r="B220" s="12"/>
      <c r="C220" s="182"/>
      <c r="D220" s="182"/>
      <c r="E220" s="195">
        <v>-0.01</v>
      </c>
      <c r="F220" s="184"/>
      <c r="G220" s="2"/>
      <c r="H220" s="2"/>
      <c r="I220" s="195">
        <f>$I$163</f>
        <v>-0.01</v>
      </c>
      <c r="J220" s="186"/>
      <c r="K220" s="2"/>
      <c r="AE220" s="42"/>
    </row>
    <row r="221" spans="1:31">
      <c r="A221" s="1" t="s">
        <v>194</v>
      </c>
      <c r="B221" s="1"/>
      <c r="C221" s="182">
        <f>48</f>
        <v>48</v>
      </c>
      <c r="D221" s="182">
        <v>49</v>
      </c>
      <c r="E221" s="197">
        <f>E211</f>
        <v>7</v>
      </c>
      <c r="F221" s="184"/>
      <c r="G221" s="2">
        <f>-ROUND(E221*$C221/100,0)</f>
        <v>-3</v>
      </c>
      <c r="H221" s="2">
        <f>-ROUND(E221*$D221/100,0)</f>
        <v>-3</v>
      </c>
      <c r="I221" s="197">
        <f>I211</f>
        <v>7.53</v>
      </c>
      <c r="J221" s="184"/>
      <c r="K221" s="2">
        <f>-ROUND(I221*$D221/100,0)</f>
        <v>-4</v>
      </c>
      <c r="AE221" s="42"/>
    </row>
    <row r="222" spans="1:31">
      <c r="A222" s="1" t="s">
        <v>195</v>
      </c>
      <c r="B222" s="1"/>
      <c r="C222" s="182">
        <f>33+55</f>
        <v>88</v>
      </c>
      <c r="D222" s="182">
        <v>89</v>
      </c>
      <c r="E222" s="197">
        <f>E212</f>
        <v>10.4</v>
      </c>
      <c r="F222" s="184"/>
      <c r="G222" s="2">
        <f>-ROUND(E222*$C222/100,0)</f>
        <v>-9</v>
      </c>
      <c r="H222" s="2">
        <f>-ROUND(E222*$D222/100,0)</f>
        <v>-9</v>
      </c>
      <c r="I222" s="197">
        <f>I212</f>
        <v>11.18</v>
      </c>
      <c r="J222" s="184"/>
      <c r="K222" s="2">
        <f>-ROUND(I222*$D222/100,0)</f>
        <v>-10</v>
      </c>
      <c r="AE222" s="42"/>
    </row>
    <row r="223" spans="1:31">
      <c r="A223" s="1" t="s">
        <v>206</v>
      </c>
      <c r="B223" s="1"/>
      <c r="C223" s="182">
        <f>465+347+918</f>
        <v>1730</v>
      </c>
      <c r="D223" s="182">
        <f>ROUND(($D$231/'Blocking - detail'!$C$231)*C223,0)</f>
        <v>1792</v>
      </c>
      <c r="E223" s="197">
        <f>E213</f>
        <v>0.69</v>
      </c>
      <c r="F223" s="184"/>
      <c r="G223" s="2">
        <f>-ROUND(E223*$C223/100,0)</f>
        <v>-12</v>
      </c>
      <c r="H223" s="2">
        <f>-ROUND(E223*$D223/100,0)</f>
        <v>-12</v>
      </c>
      <c r="I223" s="197">
        <f>I213</f>
        <v>0.78</v>
      </c>
      <c r="J223" s="184"/>
      <c r="K223" s="2">
        <f>-ROUND(I223*$D223/100,0)</f>
        <v>-14</v>
      </c>
      <c r="AE223" s="42"/>
    </row>
    <row r="224" spans="1:31">
      <c r="A224" s="1" t="s">
        <v>217</v>
      </c>
      <c r="B224" s="1"/>
      <c r="C224" s="182">
        <f>80+241+375</f>
        <v>696</v>
      </c>
      <c r="D224" s="182">
        <f>ROUND(($D$231/'Blocking - detail'!$C$231)*C224,0)</f>
        <v>721</v>
      </c>
      <c r="E224" s="197">
        <f>E215</f>
        <v>2.81</v>
      </c>
      <c r="F224" s="186"/>
      <c r="G224" s="2">
        <f>-ROUND(E224*$C224/100,0)</f>
        <v>-20</v>
      </c>
      <c r="H224" s="2">
        <f>-ROUND(E224*$D224/100,0)</f>
        <v>-20</v>
      </c>
      <c r="I224" s="197">
        <f>I215</f>
        <v>2.88</v>
      </c>
      <c r="J224" s="186"/>
      <c r="K224" s="2">
        <f>-ROUND(I224*$D224/100,0)</f>
        <v>-21</v>
      </c>
      <c r="AE224" s="42"/>
    </row>
    <row r="225" spans="1:31">
      <c r="A225" s="1" t="s">
        <v>209</v>
      </c>
      <c r="B225" s="1"/>
      <c r="C225" s="182">
        <f>48100+13460+19000</f>
        <v>80560</v>
      </c>
      <c r="D225" s="182">
        <f>ROUND(($D$231/'Blocking - detail'!$C$231)*C225,0)</f>
        <v>83451</v>
      </c>
      <c r="E225" s="198">
        <f>E216</f>
        <v>7.5869999999999997</v>
      </c>
      <c r="F225" s="186" t="s">
        <v>178</v>
      </c>
      <c r="G225" s="2">
        <f>ROUND(E225*$C225/100*E220,0)</f>
        <v>-61</v>
      </c>
      <c r="H225" s="2">
        <f>ROUND(E225*$D225/100*E220,0)</f>
        <v>-63</v>
      </c>
      <c r="I225" s="198">
        <f>I216</f>
        <v>8.0890000000000004</v>
      </c>
      <c r="J225" s="186" t="s">
        <v>178</v>
      </c>
      <c r="K225" s="2">
        <f>ROUND(I225*$D225/100*I220,0)</f>
        <v>-68</v>
      </c>
      <c r="AE225" s="42"/>
    </row>
    <row r="226" spans="1:31">
      <c r="A226" s="1" t="s">
        <v>202</v>
      </c>
      <c r="B226" s="1"/>
      <c r="C226" s="182">
        <f>90010+71720+85700</f>
        <v>247430</v>
      </c>
      <c r="D226" s="182">
        <f>ROUND(($D$231/'Blocking - detail'!$C$231)*C226,0)</f>
        <v>256310</v>
      </c>
      <c r="E226" s="198">
        <f>E217</f>
        <v>5.2370000000000001</v>
      </c>
      <c r="F226" s="186" t="s">
        <v>178</v>
      </c>
      <c r="G226" s="2">
        <f>ROUND(E226*$C226/100*E220,0)</f>
        <v>-130</v>
      </c>
      <c r="H226" s="2">
        <f>ROUND(E226*$D226/100*E220,0)</f>
        <v>-134</v>
      </c>
      <c r="I226" s="198">
        <f>I217</f>
        <v>5.5839999999999996</v>
      </c>
      <c r="J226" s="186" t="s">
        <v>178</v>
      </c>
      <c r="K226" s="2">
        <f>ROUND(I226*$D226/100*I220,0)</f>
        <v>-143</v>
      </c>
      <c r="N226" s="3" t="s">
        <v>13</v>
      </c>
      <c r="AE226" s="42"/>
    </row>
    <row r="227" spans="1:31">
      <c r="A227" s="1" t="s">
        <v>203</v>
      </c>
      <c r="B227" s="1"/>
      <c r="C227" s="182">
        <f>138110+124140+112440-C225-C226</f>
        <v>46700</v>
      </c>
      <c r="D227" s="182">
        <f>ROUND(($D$231/'Blocking - detail'!$C$231)*C227,0)</f>
        <v>48376</v>
      </c>
      <c r="E227" s="198">
        <f>E218</f>
        <v>4.5129999999999999</v>
      </c>
      <c r="F227" s="186" t="s">
        <v>178</v>
      </c>
      <c r="G227" s="2">
        <f>ROUND(E227*$C227/100*E220,0)</f>
        <v>-21</v>
      </c>
      <c r="H227" s="2">
        <f>ROUND(E227*$D227/100*E220,0)</f>
        <v>-22</v>
      </c>
      <c r="I227" s="198">
        <f>I218</f>
        <v>4.8100000000000005</v>
      </c>
      <c r="J227" s="186" t="s">
        <v>178</v>
      </c>
      <c r="K227" s="2">
        <f>ROUND(I227*$D227/100*I220,0)</f>
        <v>-23</v>
      </c>
      <c r="AE227" s="42"/>
    </row>
    <row r="228" spans="1:31">
      <c r="A228" s="1" t="s">
        <v>204</v>
      </c>
      <c r="B228" s="1"/>
      <c r="C228" s="182">
        <f>1+2328</f>
        <v>2329</v>
      </c>
      <c r="D228" s="182">
        <f>ROUND(($D$231/'Blocking - detail'!$C$231)*C228,0)</f>
        <v>2413</v>
      </c>
      <c r="E228" s="199">
        <f>E219</f>
        <v>45</v>
      </c>
      <c r="F228" s="186" t="s">
        <v>178</v>
      </c>
      <c r="G228" s="2">
        <f>ROUND(E228*$C228/100*E220,0)</f>
        <v>-10</v>
      </c>
      <c r="H228" s="2">
        <f>ROUND(E228*$D228/100*E220,0)</f>
        <v>-11</v>
      </c>
      <c r="I228" s="199">
        <f>I219</f>
        <v>45</v>
      </c>
      <c r="J228" s="186" t="s">
        <v>178</v>
      </c>
      <c r="K228" s="2">
        <f>ROUND(I228*$D228/100*I220,0)</f>
        <v>-11</v>
      </c>
      <c r="AE228" s="42"/>
    </row>
    <row r="229" spans="1:31">
      <c r="A229" s="1" t="s">
        <v>211</v>
      </c>
      <c r="B229" s="1"/>
      <c r="C229" s="182">
        <f>48+55</f>
        <v>103</v>
      </c>
      <c r="D229" s="182">
        <f>ROUND(($D$231/'Blocking - detail'!$C$231)*C229,0)</f>
        <v>107</v>
      </c>
      <c r="E229" s="200">
        <v>60</v>
      </c>
      <c r="F229" s="184"/>
      <c r="G229" s="2">
        <f>ROUND(E229*$C229,0)</f>
        <v>6180</v>
      </c>
      <c r="H229" s="2">
        <f>ROUND(E229*$D229,0)</f>
        <v>6420</v>
      </c>
      <c r="I229" s="200">
        <f>$I$172</f>
        <v>60</v>
      </c>
      <c r="J229" s="186"/>
      <c r="K229" s="2">
        <f>ROUND(I229*$D229,0)</f>
        <v>6420</v>
      </c>
      <c r="AE229" s="42"/>
    </row>
    <row r="230" spans="1:31">
      <c r="A230" s="1" t="s">
        <v>212</v>
      </c>
      <c r="B230" s="1"/>
      <c r="C230" s="182">
        <f>84+465+737+918</f>
        <v>2204</v>
      </c>
      <c r="D230" s="182">
        <f>ROUND(($D$231/'Blocking - detail'!$C$231)*C230,0)</f>
        <v>2283</v>
      </c>
      <c r="E230" s="202">
        <v>-30</v>
      </c>
      <c r="F230" s="184" t="s">
        <v>178</v>
      </c>
      <c r="G230" s="2">
        <f>ROUND(E230*$C230/100,0)</f>
        <v>-661</v>
      </c>
      <c r="H230" s="2">
        <f>ROUND(E230*$D230/100,0)</f>
        <v>-685</v>
      </c>
      <c r="I230" s="202">
        <f>$I$173</f>
        <v>-30</v>
      </c>
      <c r="J230" s="186" t="s">
        <v>178</v>
      </c>
      <c r="K230" s="2">
        <f>ROUND(I230*$D230/100,0)</f>
        <v>-685</v>
      </c>
      <c r="AE230" s="42"/>
    </row>
    <row r="231" spans="1:31">
      <c r="A231" s="1" t="s">
        <v>185</v>
      </c>
      <c r="B231" s="170"/>
      <c r="C231" s="182">
        <f>SUM(C216:C218)</f>
        <v>487716339</v>
      </c>
      <c r="D231" s="182">
        <v>505220047.82638693</v>
      </c>
      <c r="E231" s="193"/>
      <c r="F231" s="2"/>
      <c r="G231" s="2">
        <f>SUM(G211:G230)</f>
        <v>31870361</v>
      </c>
      <c r="H231" s="2">
        <f>SUM(H211:H230)</f>
        <v>32976904</v>
      </c>
      <c r="I231" s="193"/>
      <c r="J231" s="186"/>
      <c r="K231" s="2">
        <f>SUM(K211:K230)</f>
        <v>35134964</v>
      </c>
      <c r="M231" s="42"/>
      <c r="N231" s="42"/>
      <c r="AE231" s="42"/>
    </row>
    <row r="232" spans="1:31">
      <c r="A232" s="1" t="s">
        <v>167</v>
      </c>
      <c r="B232" s="1"/>
      <c r="C232" s="212">
        <v>2221504.1418108731</v>
      </c>
      <c r="D232" s="203">
        <v>0</v>
      </c>
      <c r="E232" s="172"/>
      <c r="F232" s="172"/>
      <c r="G232" s="204">
        <v>124957.07854881753</v>
      </c>
      <c r="H232" s="204">
        <v>0</v>
      </c>
      <c r="I232" s="172"/>
      <c r="J232" s="172"/>
      <c r="K232" s="204">
        <v>0</v>
      </c>
      <c r="M232" s="152"/>
      <c r="N232" s="152"/>
      <c r="O232" s="153"/>
      <c r="AE232" s="42"/>
    </row>
    <row r="233" spans="1:31" ht="16.5" thickBot="1">
      <c r="A233" s="1" t="s">
        <v>186</v>
      </c>
      <c r="B233" s="1"/>
      <c r="C233" s="174">
        <f>SUM(C231:C232)</f>
        <v>489937843.14181089</v>
      </c>
      <c r="D233" s="174">
        <f>SUM(D231:D232)</f>
        <v>505220047.82638693</v>
      </c>
      <c r="E233" s="205"/>
      <c r="F233" s="206"/>
      <c r="G233" s="207">
        <f>G231+G232</f>
        <v>31995318.078548819</v>
      </c>
      <c r="H233" s="207">
        <f>H231+H232</f>
        <v>32976904</v>
      </c>
      <c r="I233" s="205"/>
      <c r="J233" s="208"/>
      <c r="K233" s="207">
        <f>K231+K232</f>
        <v>35134964</v>
      </c>
      <c r="M233" s="154"/>
      <c r="N233" s="154"/>
      <c r="O233" s="155"/>
      <c r="AE233" s="42"/>
    </row>
    <row r="234" spans="1:31" ht="16.5" thickTop="1">
      <c r="A234" s="1"/>
      <c r="B234" s="1"/>
      <c r="C234" s="12"/>
      <c r="D234" s="12"/>
      <c r="E234" s="200"/>
      <c r="F234" s="2"/>
      <c r="G234" s="2"/>
      <c r="H234" s="2"/>
      <c r="I234" s="200"/>
      <c r="J234" s="1"/>
      <c r="K234" s="2" t="s">
        <v>13</v>
      </c>
      <c r="AE234" s="42"/>
    </row>
    <row r="235" spans="1:31">
      <c r="A235" s="156" t="s">
        <v>191</v>
      </c>
      <c r="B235" s="1"/>
      <c r="C235" s="1"/>
      <c r="D235" s="1"/>
      <c r="E235" s="2"/>
      <c r="F235" s="2"/>
      <c r="G235" s="1" t="s">
        <v>13</v>
      </c>
      <c r="H235" s="1"/>
      <c r="I235" s="2"/>
      <c r="J235" s="1"/>
      <c r="K235" s="1"/>
      <c r="AE235" s="42"/>
    </row>
    <row r="236" spans="1:31">
      <c r="A236" s="1" t="s">
        <v>218</v>
      </c>
      <c r="B236" s="1"/>
      <c r="C236" s="12"/>
      <c r="D236" s="1"/>
      <c r="E236" s="2"/>
      <c r="F236" s="2"/>
      <c r="G236" s="1"/>
      <c r="H236" s="1"/>
      <c r="I236" s="2"/>
      <c r="J236" s="1"/>
      <c r="K236" s="1"/>
      <c r="AE236" s="42"/>
    </row>
    <row r="237" spans="1:31">
      <c r="A237" s="1"/>
      <c r="B237" s="1"/>
      <c r="C237" s="1"/>
      <c r="D237" s="1"/>
      <c r="E237" s="2"/>
      <c r="F237" s="2"/>
      <c r="G237" s="1"/>
      <c r="H237" s="1"/>
      <c r="I237" s="2"/>
      <c r="J237" s="1"/>
      <c r="K237" s="1"/>
      <c r="AE237" s="42"/>
    </row>
    <row r="238" spans="1:31">
      <c r="A238" s="1" t="s">
        <v>197</v>
      </c>
      <c r="B238" s="1"/>
      <c r="C238" s="182"/>
      <c r="D238" s="182"/>
      <c r="E238" s="2"/>
      <c r="F238" s="2"/>
      <c r="G238" s="1"/>
      <c r="H238" s="1"/>
      <c r="I238" s="2"/>
      <c r="J238" s="1"/>
      <c r="K238" s="1"/>
      <c r="AE238" s="42"/>
    </row>
    <row r="239" spans="1:31">
      <c r="A239" s="1" t="s">
        <v>194</v>
      </c>
      <c r="B239" s="1"/>
      <c r="C239" s="182">
        <f>596+1770</f>
        <v>2366</v>
      </c>
      <c r="D239" s="182">
        <f>ROUND(($D$242/'Blocking - detail'!$C$242)*C239,0)</f>
        <v>2305</v>
      </c>
      <c r="E239" s="161">
        <v>7</v>
      </c>
      <c r="F239" s="184"/>
      <c r="G239" s="2">
        <f>ROUND(E239*$C239,0)</f>
        <v>16562</v>
      </c>
      <c r="H239" s="2">
        <f>ROUND(E239*$D239,0)</f>
        <v>16135</v>
      </c>
      <c r="I239" s="161">
        <f>$I$153</f>
        <v>7.53</v>
      </c>
      <c r="J239" s="186"/>
      <c r="K239" s="2">
        <f>ROUND(I239*$D239,0)</f>
        <v>17357</v>
      </c>
      <c r="AE239" s="42"/>
    </row>
    <row r="240" spans="1:31">
      <c r="A240" s="1" t="s">
        <v>195</v>
      </c>
      <c r="B240" s="1"/>
      <c r="C240" s="182">
        <f>740+2769</f>
        <v>3509</v>
      </c>
      <c r="D240" s="182">
        <f>ROUND(($D$242/'Blocking - detail'!$C$242)*C240,0)</f>
        <v>3418</v>
      </c>
      <c r="E240" s="161">
        <v>10.4</v>
      </c>
      <c r="F240" s="187"/>
      <c r="G240" s="2">
        <f>ROUND(E240*$C240,0)</f>
        <v>36494</v>
      </c>
      <c r="H240" s="2">
        <f>ROUND(E240*$D240,0)</f>
        <v>35547</v>
      </c>
      <c r="I240" s="161">
        <f>$I$154</f>
        <v>11.18</v>
      </c>
      <c r="J240" s="188"/>
      <c r="K240" s="2">
        <f>ROUND(I240*$D240,0)</f>
        <v>38213</v>
      </c>
      <c r="AE240" s="42"/>
    </row>
    <row r="241" spans="1:31">
      <c r="A241" s="1" t="s">
        <v>196</v>
      </c>
      <c r="B241" s="1"/>
      <c r="C241" s="182">
        <f>920+13828+3166+56636</f>
        <v>74550</v>
      </c>
      <c r="D241" s="182">
        <f>ROUND(($D$259/$C$259)*C241,0)</f>
        <v>77752</v>
      </c>
      <c r="E241" s="161">
        <v>0.69</v>
      </c>
      <c r="F241" s="187"/>
      <c r="G241" s="2">
        <f>ROUND(E241*$C241,0)</f>
        <v>51440</v>
      </c>
      <c r="H241" s="2">
        <f>ROUND(E241*$D241,0)</f>
        <v>53649</v>
      </c>
      <c r="I241" s="161">
        <f>$I$155</f>
        <v>0.78</v>
      </c>
      <c r="J241" s="188"/>
      <c r="K241" s="2">
        <f>ROUND(I241*$D241,0)</f>
        <v>60647</v>
      </c>
      <c r="AE241" s="42"/>
    </row>
    <row r="242" spans="1:31">
      <c r="A242" s="1" t="s">
        <v>198</v>
      </c>
      <c r="B242" s="1"/>
      <c r="C242" s="182">
        <f>SUM(C239:C240)</f>
        <v>5875</v>
      </c>
      <c r="D242" s="182">
        <v>5723</v>
      </c>
      <c r="E242" s="161"/>
      <c r="F242" s="184"/>
      <c r="G242" s="2"/>
      <c r="H242" s="2"/>
      <c r="I242" s="161"/>
      <c r="J242" s="186"/>
      <c r="K242" s="2"/>
      <c r="AE242" s="42"/>
    </row>
    <row r="243" spans="1:31">
      <c r="A243" s="1" t="s">
        <v>199</v>
      </c>
      <c r="B243" s="1"/>
      <c r="C243" s="182">
        <f>556+5026+1612+37282</f>
        <v>44476</v>
      </c>
      <c r="D243" s="182">
        <f>ROUND(($D$259/$C$259)*C243,0)</f>
        <v>46387</v>
      </c>
      <c r="E243" s="189">
        <v>2.81</v>
      </c>
      <c r="F243" s="186"/>
      <c r="G243" s="2">
        <f>ROUND(E243*$C243,0)</f>
        <v>124978</v>
      </c>
      <c r="H243" s="2">
        <f>ROUND(E243*$D243,0)</f>
        <v>130347</v>
      </c>
      <c r="I243" s="189">
        <f>$I$158</f>
        <v>2.88</v>
      </c>
      <c r="J243" s="186"/>
      <c r="K243" s="2">
        <f>ROUND(I243*$D243,0)</f>
        <v>133595</v>
      </c>
      <c r="AE243" s="42"/>
    </row>
    <row r="244" spans="1:31">
      <c r="A244" s="1" t="s">
        <v>201</v>
      </c>
      <c r="B244" s="1"/>
      <c r="C244" s="182">
        <f>224214+423982+989891+2211727</f>
        <v>3849814</v>
      </c>
      <c r="D244" s="182">
        <f>ROUND(($D$259/$C$259)*C244,0)</f>
        <v>4015187</v>
      </c>
      <c r="E244" s="162">
        <v>7.5869999999999997</v>
      </c>
      <c r="F244" s="186" t="s">
        <v>178</v>
      </c>
      <c r="G244" s="2">
        <f>ROUND(E244*$C244/100,0)</f>
        <v>292085</v>
      </c>
      <c r="H244" s="2">
        <f>ROUND(E244*$D244/100,0)</f>
        <v>304632</v>
      </c>
      <c r="I244" s="162">
        <f>$I$159</f>
        <v>8.0890000000000004</v>
      </c>
      <c r="J244" s="186" t="s">
        <v>178</v>
      </c>
      <c r="K244" s="2">
        <f>ROUND(I244*$D244/100,0)</f>
        <v>324788</v>
      </c>
      <c r="AE244" s="42"/>
    </row>
    <row r="245" spans="1:31">
      <c r="A245" s="1" t="s">
        <v>202</v>
      </c>
      <c r="B245" s="1"/>
      <c r="C245" s="182">
        <f>333291+1119888+1597472+8605642</f>
        <v>11656293</v>
      </c>
      <c r="D245" s="182">
        <f>ROUND(($D$259/$C$259)*C245,0)</f>
        <v>12157003</v>
      </c>
      <c r="E245" s="162">
        <v>5.2370000000000001</v>
      </c>
      <c r="F245" s="186" t="s">
        <v>178</v>
      </c>
      <c r="G245" s="2">
        <f>ROUND(E245*$C245/100,0)</f>
        <v>610440</v>
      </c>
      <c r="H245" s="2">
        <f>ROUND(E245*$D245/100,0)</f>
        <v>636662</v>
      </c>
      <c r="I245" s="162">
        <f>$I$160</f>
        <v>5.5839999999999996</v>
      </c>
      <c r="J245" s="186" t="s">
        <v>178</v>
      </c>
      <c r="K245" s="2">
        <f>ROUND(I245*$D245/100,0)</f>
        <v>678847</v>
      </c>
      <c r="AE245" s="42"/>
    </row>
    <row r="246" spans="1:31">
      <c r="A246" s="1" t="s">
        <v>203</v>
      </c>
      <c r="B246" s="1"/>
      <c r="C246" s="182">
        <f>622235+2212640+2732130+16131459-C244-C245</f>
        <v>6192357</v>
      </c>
      <c r="D246" s="182">
        <f>ROUND(($D$259/$C$259)*C246,0)</f>
        <v>6458357</v>
      </c>
      <c r="E246" s="162">
        <v>4.5129999999999999</v>
      </c>
      <c r="F246" s="186" t="s">
        <v>178</v>
      </c>
      <c r="G246" s="2">
        <f>ROUND(E246*$C246/100,0)</f>
        <v>279461</v>
      </c>
      <c r="H246" s="2">
        <f>ROUND(E246*$D246/100,0)</f>
        <v>291466</v>
      </c>
      <c r="I246" s="162">
        <f>$I$161</f>
        <v>4.8100000000000005</v>
      </c>
      <c r="J246" s="186" t="s">
        <v>178</v>
      </c>
      <c r="K246" s="2">
        <f>ROUND(I246*$D246/100,0)</f>
        <v>310647</v>
      </c>
      <c r="AE246" s="42"/>
    </row>
    <row r="247" spans="1:31">
      <c r="A247" s="1" t="s">
        <v>204</v>
      </c>
      <c r="B247" s="1"/>
      <c r="C247" s="182">
        <f>2718+12348</f>
        <v>15066</v>
      </c>
      <c r="D247" s="182">
        <f>ROUND(($D$259/$C$259)*C247,0)</f>
        <v>15713</v>
      </c>
      <c r="E247" s="193">
        <v>45</v>
      </c>
      <c r="F247" s="184" t="s">
        <v>178</v>
      </c>
      <c r="G247" s="2">
        <f>ROUND(E247*$C247/100,0)</f>
        <v>6780</v>
      </c>
      <c r="H247" s="2">
        <f>ROUND(E247*$D247/100,0)</f>
        <v>7071</v>
      </c>
      <c r="I247" s="193">
        <f>$I$162</f>
        <v>45</v>
      </c>
      <c r="J247" s="186" t="s">
        <v>178</v>
      </c>
      <c r="K247" s="2">
        <f>ROUND(I247*$D247/100,0)</f>
        <v>7071</v>
      </c>
      <c r="AE247" s="42"/>
    </row>
    <row r="248" spans="1:31">
      <c r="A248" s="194" t="s">
        <v>205</v>
      </c>
      <c r="B248" s="1"/>
      <c r="C248" s="182"/>
      <c r="D248" s="182"/>
      <c r="E248" s="195">
        <v>-0.01</v>
      </c>
      <c r="F248" s="184"/>
      <c r="G248" s="2"/>
      <c r="H248" s="2"/>
      <c r="I248" s="195">
        <f>$I$163</f>
        <v>-0.01</v>
      </c>
      <c r="J248" s="186"/>
      <c r="K248" s="2"/>
      <c r="AE248" s="42"/>
    </row>
    <row r="249" spans="1:31">
      <c r="A249" s="1" t="s">
        <v>194</v>
      </c>
      <c r="B249" s="1"/>
      <c r="C249" s="182">
        <v>0</v>
      </c>
      <c r="D249" s="182">
        <f t="shared" ref="D249:D258" si="23">ROUND(($D$259/$C$259)*C249,0)</f>
        <v>0</v>
      </c>
      <c r="E249" s="197">
        <f>E239</f>
        <v>7</v>
      </c>
      <c r="F249" s="184"/>
      <c r="G249" s="2">
        <f>-ROUND(E249*$C249/100,0)</f>
        <v>0</v>
      </c>
      <c r="H249" s="2">
        <f>-ROUND(E249*$D249/100,0)</f>
        <v>0</v>
      </c>
      <c r="I249" s="197">
        <f>I239</f>
        <v>7.53</v>
      </c>
      <c r="J249" s="184"/>
      <c r="K249" s="2">
        <f>-ROUND(I249*$D249/100,0)</f>
        <v>0</v>
      </c>
      <c r="AE249" s="42"/>
    </row>
    <row r="250" spans="1:31">
      <c r="A250" s="1" t="s">
        <v>195</v>
      </c>
      <c r="B250" s="1"/>
      <c r="C250" s="182">
        <v>0</v>
      </c>
      <c r="D250" s="182">
        <f t="shared" si="23"/>
        <v>0</v>
      </c>
      <c r="E250" s="197">
        <f>E240</f>
        <v>10.4</v>
      </c>
      <c r="F250" s="184"/>
      <c r="G250" s="2">
        <f>-ROUND(E250*$C250/100,0)</f>
        <v>0</v>
      </c>
      <c r="H250" s="2">
        <f>-ROUND(E250*$D250/100,0)</f>
        <v>0</v>
      </c>
      <c r="I250" s="197">
        <f>I240</f>
        <v>11.18</v>
      </c>
      <c r="J250" s="184"/>
      <c r="K250" s="2">
        <f>-ROUND(I250*$D250/100,0)</f>
        <v>0</v>
      </c>
      <c r="AE250" s="42"/>
    </row>
    <row r="251" spans="1:31">
      <c r="A251" s="1" t="s">
        <v>206</v>
      </c>
      <c r="B251" s="1"/>
      <c r="C251" s="182">
        <v>0</v>
      </c>
      <c r="D251" s="182">
        <f t="shared" si="23"/>
        <v>0</v>
      </c>
      <c r="E251" s="197">
        <f>E241</f>
        <v>0.69</v>
      </c>
      <c r="F251" s="184"/>
      <c r="G251" s="2">
        <f>-ROUND(E251*$C251/100,0)</f>
        <v>0</v>
      </c>
      <c r="H251" s="2">
        <f>-ROUND(E251*$D251/100,0)</f>
        <v>0</v>
      </c>
      <c r="I251" s="197">
        <f>I241</f>
        <v>0.78</v>
      </c>
      <c r="J251" s="184"/>
      <c r="K251" s="2">
        <f>-ROUND(I251*$D251/100,0)</f>
        <v>0</v>
      </c>
      <c r="AE251" s="42"/>
    </row>
    <row r="252" spans="1:31">
      <c r="A252" s="1" t="s">
        <v>207</v>
      </c>
      <c r="B252" s="1"/>
      <c r="C252" s="182">
        <v>0</v>
      </c>
      <c r="D252" s="182">
        <f t="shared" si="23"/>
        <v>0</v>
      </c>
      <c r="E252" s="197">
        <f>E243</f>
        <v>2.81</v>
      </c>
      <c r="F252" s="186"/>
      <c r="G252" s="2">
        <f>-ROUND(E252*$C252/100,0)</f>
        <v>0</v>
      </c>
      <c r="H252" s="2">
        <f>-ROUND(E252*$D252/100,0)</f>
        <v>0</v>
      </c>
      <c r="I252" s="197">
        <f>I243</f>
        <v>2.88</v>
      </c>
      <c r="J252" s="186"/>
      <c r="K252" s="2">
        <f>-ROUND(I252*$D252/100,0)</f>
        <v>0</v>
      </c>
      <c r="AE252" s="42"/>
    </row>
    <row r="253" spans="1:31">
      <c r="A253" s="1" t="s">
        <v>209</v>
      </c>
      <c r="B253" s="1"/>
      <c r="C253" s="182">
        <v>0</v>
      </c>
      <c r="D253" s="182">
        <f t="shared" si="23"/>
        <v>0</v>
      </c>
      <c r="E253" s="198">
        <f>E244</f>
        <v>7.5869999999999997</v>
      </c>
      <c r="F253" s="186" t="s">
        <v>178</v>
      </c>
      <c r="G253" s="2">
        <f>ROUND(E253*$C253/100*E248,0)</f>
        <v>0</v>
      </c>
      <c r="H253" s="2">
        <f>ROUND(E253*$D253/100*E248,0)</f>
        <v>0</v>
      </c>
      <c r="I253" s="198">
        <f>I244</f>
        <v>8.0890000000000004</v>
      </c>
      <c r="J253" s="186" t="s">
        <v>178</v>
      </c>
      <c r="K253" s="2">
        <f>ROUND(I253*$D253/100*I248,0)</f>
        <v>0</v>
      </c>
      <c r="AE253" s="42"/>
    </row>
    <row r="254" spans="1:31">
      <c r="A254" s="1" t="s">
        <v>202</v>
      </c>
      <c r="B254" s="1"/>
      <c r="C254" s="182">
        <v>0</v>
      </c>
      <c r="D254" s="182">
        <f t="shared" si="23"/>
        <v>0</v>
      </c>
      <c r="E254" s="198">
        <f>E245</f>
        <v>5.2370000000000001</v>
      </c>
      <c r="F254" s="186" t="s">
        <v>178</v>
      </c>
      <c r="G254" s="2">
        <f>ROUND(E254*$C254/100*E248,0)</f>
        <v>0</v>
      </c>
      <c r="H254" s="2">
        <f>ROUND(E254*$D254/100*E248,0)</f>
        <v>0</v>
      </c>
      <c r="I254" s="198">
        <f>I245</f>
        <v>5.5839999999999996</v>
      </c>
      <c r="J254" s="186" t="s">
        <v>178</v>
      </c>
      <c r="K254" s="2">
        <f>ROUND(I254*$D254/100*I248,0)</f>
        <v>0</v>
      </c>
      <c r="AE254" s="42"/>
    </row>
    <row r="255" spans="1:31">
      <c r="A255" s="1" t="s">
        <v>203</v>
      </c>
      <c r="B255" s="1"/>
      <c r="C255" s="182">
        <v>0</v>
      </c>
      <c r="D255" s="182">
        <f t="shared" si="23"/>
        <v>0</v>
      </c>
      <c r="E255" s="198">
        <f>E246</f>
        <v>4.5129999999999999</v>
      </c>
      <c r="F255" s="186" t="s">
        <v>178</v>
      </c>
      <c r="G255" s="2">
        <f>ROUND(E255*$C255/100*E248,0)</f>
        <v>0</v>
      </c>
      <c r="H255" s="2">
        <f>ROUND(E255*$D255/100*E248,0)</f>
        <v>0</v>
      </c>
      <c r="I255" s="198">
        <f>I246</f>
        <v>4.8100000000000005</v>
      </c>
      <c r="J255" s="186" t="s">
        <v>178</v>
      </c>
      <c r="K255" s="2">
        <f>ROUND(I255*$D255/100*I248,0)</f>
        <v>0</v>
      </c>
      <c r="AE255" s="42"/>
    </row>
    <row r="256" spans="1:31">
      <c r="A256" s="1" t="s">
        <v>204</v>
      </c>
      <c r="B256" s="1"/>
      <c r="C256" s="182">
        <v>0</v>
      </c>
      <c r="D256" s="182">
        <f t="shared" si="23"/>
        <v>0</v>
      </c>
      <c r="E256" s="199">
        <f>E247</f>
        <v>45</v>
      </c>
      <c r="F256" s="186" t="s">
        <v>178</v>
      </c>
      <c r="G256" s="2">
        <f>ROUND(E256*$C256/100*E248,0)</f>
        <v>0</v>
      </c>
      <c r="H256" s="2">
        <f>ROUND(E256*$D256/100*E248,0)</f>
        <v>0</v>
      </c>
      <c r="I256" s="199">
        <f>I247</f>
        <v>45</v>
      </c>
      <c r="J256" s="186" t="s">
        <v>178</v>
      </c>
      <c r="K256" s="2">
        <f>ROUND(I256*$D256/100*I248,0)</f>
        <v>0</v>
      </c>
      <c r="AE256" s="42"/>
    </row>
    <row r="257" spans="1:31">
      <c r="A257" s="1" t="s">
        <v>211</v>
      </c>
      <c r="B257" s="1"/>
      <c r="C257" s="182">
        <v>0</v>
      </c>
      <c r="D257" s="182">
        <f t="shared" si="23"/>
        <v>0</v>
      </c>
      <c r="E257" s="200">
        <v>60</v>
      </c>
      <c r="F257" s="184"/>
      <c r="G257" s="2">
        <f>ROUND(E257*$C257,0)</f>
        <v>0</v>
      </c>
      <c r="H257" s="2">
        <f>ROUND(E257*$D257,0)</f>
        <v>0</v>
      </c>
      <c r="I257" s="200">
        <f>$I$172</f>
        <v>60</v>
      </c>
      <c r="J257" s="186"/>
      <c r="K257" s="2">
        <f>ROUND(I257*$D257,0)</f>
        <v>0</v>
      </c>
      <c r="AE257" s="42"/>
    </row>
    <row r="258" spans="1:31">
      <c r="A258" s="1" t="s">
        <v>212</v>
      </c>
      <c r="B258" s="1"/>
      <c r="C258" s="182">
        <v>0</v>
      </c>
      <c r="D258" s="182">
        <f t="shared" si="23"/>
        <v>0</v>
      </c>
      <c r="E258" s="202">
        <v>-30</v>
      </c>
      <c r="F258" s="184" t="s">
        <v>178</v>
      </c>
      <c r="G258" s="2">
        <f>ROUND(E258*$C258/100,0)</f>
        <v>0</v>
      </c>
      <c r="H258" s="2">
        <f>ROUND(E258*$D258/100,0)</f>
        <v>0</v>
      </c>
      <c r="I258" s="202">
        <f>$I$173</f>
        <v>-30</v>
      </c>
      <c r="J258" s="186" t="s">
        <v>178</v>
      </c>
      <c r="K258" s="2">
        <f>ROUND(I258*$D258/100,0)</f>
        <v>0</v>
      </c>
      <c r="AE258" s="42"/>
    </row>
    <row r="259" spans="1:31">
      <c r="A259" s="1" t="s">
        <v>185</v>
      </c>
      <c r="B259" s="1"/>
      <c r="C259" s="182">
        <f>SUM(C244:C246)</f>
        <v>21698464</v>
      </c>
      <c r="D259" s="182">
        <v>22630547.415536091</v>
      </c>
      <c r="E259" s="193"/>
      <c r="F259" s="2"/>
      <c r="G259" s="2">
        <f>SUM(G239:G258)</f>
        <v>1418240</v>
      </c>
      <c r="H259" s="2">
        <f>SUM(H239:H258)</f>
        <v>1475509</v>
      </c>
      <c r="I259" s="193"/>
      <c r="J259" s="186"/>
      <c r="K259" s="2">
        <f>SUM(K239:K258)</f>
        <v>1571165</v>
      </c>
      <c r="AE259" s="42"/>
    </row>
    <row r="260" spans="1:31">
      <c r="A260" s="1" t="s">
        <v>167</v>
      </c>
      <c r="B260" s="1"/>
      <c r="C260" s="212">
        <v>-490299.70959914278</v>
      </c>
      <c r="D260" s="203">
        <v>0</v>
      </c>
      <c r="E260" s="172"/>
      <c r="F260" s="172"/>
      <c r="G260" s="204">
        <v>-27174.812211416385</v>
      </c>
      <c r="H260" s="204">
        <v>0</v>
      </c>
      <c r="I260" s="172"/>
      <c r="J260" s="172"/>
      <c r="K260" s="204">
        <v>0</v>
      </c>
      <c r="M260" s="152"/>
      <c r="N260" s="152"/>
      <c r="O260" s="153"/>
      <c r="AE260" s="42"/>
    </row>
    <row r="261" spans="1:31" ht="16.5" thickBot="1">
      <c r="A261" s="1" t="s">
        <v>186</v>
      </c>
      <c r="B261" s="1"/>
      <c r="C261" s="174">
        <f>SUM(C259:C260)</f>
        <v>21208164.290400859</v>
      </c>
      <c r="D261" s="174">
        <f>SUM(D259:D260)</f>
        <v>22630547.415536091</v>
      </c>
      <c r="E261" s="205"/>
      <c r="F261" s="206"/>
      <c r="G261" s="207">
        <f>G259+G260</f>
        <v>1391065.1877885836</v>
      </c>
      <c r="H261" s="207">
        <f>H259+H260</f>
        <v>1475509</v>
      </c>
      <c r="I261" s="205"/>
      <c r="J261" s="208"/>
      <c r="K261" s="207">
        <f>K259+K260</f>
        <v>1571165</v>
      </c>
      <c r="M261" s="154"/>
      <c r="N261" s="154"/>
      <c r="O261" s="155"/>
      <c r="AE261" s="42"/>
    </row>
    <row r="262" spans="1:31" ht="16.5" thickTop="1">
      <c r="A262" s="1"/>
      <c r="B262" s="1"/>
      <c r="C262" s="213"/>
      <c r="D262" s="213"/>
      <c r="E262" s="214"/>
      <c r="F262" s="215"/>
      <c r="G262" s="185"/>
      <c r="H262" s="185"/>
      <c r="I262" s="214"/>
      <c r="J262" s="14"/>
      <c r="K262" s="185"/>
      <c r="AE262" s="42"/>
    </row>
    <row r="263" spans="1:31">
      <c r="A263" s="156" t="s">
        <v>219</v>
      </c>
      <c r="B263" s="1"/>
      <c r="C263" s="1"/>
      <c r="D263" s="1"/>
      <c r="E263" s="2"/>
      <c r="F263" s="2"/>
      <c r="G263" s="1" t="s">
        <v>13</v>
      </c>
      <c r="H263" s="1"/>
      <c r="I263" s="2"/>
      <c r="J263" s="1"/>
      <c r="K263" s="1"/>
      <c r="AE263" s="42"/>
    </row>
    <row r="264" spans="1:31">
      <c r="A264" s="1" t="s">
        <v>214</v>
      </c>
      <c r="B264" s="1"/>
      <c r="C264" s="1"/>
      <c r="D264" s="1"/>
      <c r="E264" s="2"/>
      <c r="F264" s="2"/>
      <c r="G264" s="1"/>
      <c r="H264" s="1"/>
      <c r="I264" s="2"/>
      <c r="J264" s="1"/>
      <c r="K264" s="1"/>
      <c r="AE264" s="42"/>
    </row>
    <row r="265" spans="1:31">
      <c r="A265" s="1"/>
      <c r="B265" s="1"/>
      <c r="C265" s="1"/>
      <c r="D265" s="1"/>
      <c r="E265" s="2"/>
      <c r="F265" s="2"/>
      <c r="G265" s="1"/>
      <c r="H265" s="1"/>
      <c r="I265" s="2"/>
      <c r="J265" s="1"/>
      <c r="K265" s="1"/>
      <c r="AE265" s="42"/>
    </row>
    <row r="266" spans="1:31">
      <c r="A266" s="1" t="s">
        <v>197</v>
      </c>
      <c r="B266" s="1"/>
      <c r="C266" s="182"/>
      <c r="D266" s="182"/>
      <c r="E266" s="2"/>
      <c r="F266" s="2"/>
      <c r="G266" s="1"/>
      <c r="H266" s="1"/>
      <c r="I266" s="2"/>
      <c r="J266" s="1"/>
      <c r="K266" s="1"/>
      <c r="AE266" s="42"/>
    </row>
    <row r="267" spans="1:31">
      <c r="A267" s="1" t="s">
        <v>220</v>
      </c>
      <c r="B267" s="1"/>
      <c r="C267" s="182">
        <f t="shared" ref="C267:D269" si="24">C296+C325</f>
        <v>5025</v>
      </c>
      <c r="D267" s="182">
        <f t="shared" si="24"/>
        <v>4991</v>
      </c>
      <c r="E267" s="161">
        <v>7</v>
      </c>
      <c r="F267" s="184"/>
      <c r="G267" s="2">
        <f t="shared" ref="G267:H269" si="25">G296+G325</f>
        <v>35175</v>
      </c>
      <c r="H267" s="2">
        <f t="shared" si="25"/>
        <v>34937</v>
      </c>
      <c r="I267" s="161">
        <f>$I$153</f>
        <v>7.53</v>
      </c>
      <c r="J267" s="186"/>
      <c r="K267" s="2">
        <f>K296+K325</f>
        <v>37582</v>
      </c>
      <c r="AE267" s="42"/>
    </row>
    <row r="268" spans="1:31">
      <c r="A268" s="1" t="s">
        <v>195</v>
      </c>
      <c r="B268" s="1"/>
      <c r="C268" s="182">
        <f t="shared" si="24"/>
        <v>0</v>
      </c>
      <c r="D268" s="182">
        <f t="shared" si="24"/>
        <v>0</v>
      </c>
      <c r="E268" s="161">
        <v>10.4</v>
      </c>
      <c r="F268" s="187"/>
      <c r="G268" s="2">
        <f t="shared" si="25"/>
        <v>0</v>
      </c>
      <c r="H268" s="2">
        <f t="shared" si="25"/>
        <v>0</v>
      </c>
      <c r="I268" s="161">
        <f>$I$154</f>
        <v>11.18</v>
      </c>
      <c r="J268" s="188"/>
      <c r="K268" s="2">
        <f>K297+K326</f>
        <v>0</v>
      </c>
      <c r="AE268" s="42"/>
    </row>
    <row r="269" spans="1:31">
      <c r="A269" s="1" t="s">
        <v>196</v>
      </c>
      <c r="B269" s="1"/>
      <c r="C269" s="182">
        <f t="shared" si="24"/>
        <v>0</v>
      </c>
      <c r="D269" s="182">
        <f t="shared" si="24"/>
        <v>0</v>
      </c>
      <c r="E269" s="161">
        <v>0.69</v>
      </c>
      <c r="F269" s="187"/>
      <c r="G269" s="2">
        <f t="shared" si="25"/>
        <v>0</v>
      </c>
      <c r="H269" s="2">
        <f t="shared" si="25"/>
        <v>0</v>
      </c>
      <c r="I269" s="161">
        <f>$I$155</f>
        <v>0.78</v>
      </c>
      <c r="J269" s="188"/>
      <c r="K269" s="2">
        <f>K298+K327</f>
        <v>0</v>
      </c>
      <c r="AE269" s="42"/>
    </row>
    <row r="270" spans="1:31">
      <c r="A270" s="1" t="s">
        <v>198</v>
      </c>
      <c r="B270" s="1"/>
      <c r="C270" s="182">
        <f>SUM(C267:C268)</f>
        <v>5025</v>
      </c>
      <c r="D270" s="182">
        <f>SUM(D267:D268)</f>
        <v>4991</v>
      </c>
      <c r="E270" s="161"/>
      <c r="F270" s="184"/>
      <c r="G270" s="2"/>
      <c r="H270" s="2"/>
      <c r="I270" s="161"/>
      <c r="J270" s="186"/>
      <c r="K270" s="2"/>
      <c r="AE270" s="42"/>
    </row>
    <row r="271" spans="1:31">
      <c r="A271" s="1" t="s">
        <v>166</v>
      </c>
      <c r="B271" s="1"/>
      <c r="C271" s="182">
        <f t="shared" ref="C271:D276" si="26">C300+C329</f>
        <v>1629</v>
      </c>
      <c r="D271" s="182">
        <f t="shared" si="26"/>
        <v>1617</v>
      </c>
      <c r="E271" s="161"/>
      <c r="F271" s="184"/>
      <c r="G271" s="2"/>
      <c r="H271" s="2"/>
      <c r="I271" s="161"/>
      <c r="J271" s="186"/>
      <c r="K271" s="2"/>
      <c r="AE271" s="42"/>
    </row>
    <row r="272" spans="1:31">
      <c r="A272" s="1" t="s">
        <v>199</v>
      </c>
      <c r="B272" s="1"/>
      <c r="C272" s="182">
        <f t="shared" si="26"/>
        <v>0</v>
      </c>
      <c r="D272" s="182">
        <f t="shared" si="26"/>
        <v>0</v>
      </c>
      <c r="E272" s="189">
        <v>2.81</v>
      </c>
      <c r="F272" s="186"/>
      <c r="G272" s="2">
        <f t="shared" ref="G272:H276" si="27">G301+G330</f>
        <v>0</v>
      </c>
      <c r="H272" s="2">
        <f t="shared" si="27"/>
        <v>0</v>
      </c>
      <c r="I272" s="189">
        <f>$I$158</f>
        <v>2.88</v>
      </c>
      <c r="J272" s="186"/>
      <c r="K272" s="2">
        <f>K301+K330</f>
        <v>0</v>
      </c>
      <c r="AE272" s="42"/>
    </row>
    <row r="273" spans="1:31">
      <c r="A273" s="1" t="s">
        <v>201</v>
      </c>
      <c r="B273" s="1"/>
      <c r="C273" s="182">
        <f t="shared" si="26"/>
        <v>1414918</v>
      </c>
      <c r="D273" s="182">
        <f t="shared" si="26"/>
        <v>1446455</v>
      </c>
      <c r="E273" s="162">
        <v>7.5869999999999997</v>
      </c>
      <c r="F273" s="186" t="s">
        <v>178</v>
      </c>
      <c r="G273" s="2">
        <f t="shared" si="27"/>
        <v>107349</v>
      </c>
      <c r="H273" s="2">
        <f t="shared" si="27"/>
        <v>109743</v>
      </c>
      <c r="I273" s="162">
        <f>$I$159</f>
        <v>8.0890000000000004</v>
      </c>
      <c r="J273" s="186" t="s">
        <v>178</v>
      </c>
      <c r="K273" s="2">
        <f>K302+K331</f>
        <v>117003</v>
      </c>
      <c r="AE273" s="42"/>
    </row>
    <row r="274" spans="1:31">
      <c r="A274" s="1" t="s">
        <v>202</v>
      </c>
      <c r="B274" s="1"/>
      <c r="C274" s="182">
        <f t="shared" si="26"/>
        <v>64806</v>
      </c>
      <c r="D274" s="182">
        <f t="shared" si="26"/>
        <v>66040</v>
      </c>
      <c r="E274" s="162">
        <v>5.2370000000000001</v>
      </c>
      <c r="F274" s="186" t="s">
        <v>178</v>
      </c>
      <c r="G274" s="2">
        <f t="shared" si="27"/>
        <v>3394</v>
      </c>
      <c r="H274" s="2">
        <f t="shared" si="27"/>
        <v>3459</v>
      </c>
      <c r="I274" s="162">
        <f>$I$160</f>
        <v>5.5839999999999996</v>
      </c>
      <c r="J274" s="186" t="s">
        <v>178</v>
      </c>
      <c r="K274" s="2">
        <f>K303+K332</f>
        <v>3688</v>
      </c>
      <c r="AE274" s="42"/>
    </row>
    <row r="275" spans="1:31">
      <c r="A275" s="1" t="s">
        <v>203</v>
      </c>
      <c r="B275" s="1"/>
      <c r="C275" s="182">
        <f t="shared" si="26"/>
        <v>0</v>
      </c>
      <c r="D275" s="182">
        <f t="shared" si="26"/>
        <v>0</v>
      </c>
      <c r="E275" s="162">
        <v>4.5129999999999999</v>
      </c>
      <c r="F275" s="186" t="s">
        <v>178</v>
      </c>
      <c r="G275" s="2">
        <f t="shared" si="27"/>
        <v>0</v>
      </c>
      <c r="H275" s="2">
        <f t="shared" si="27"/>
        <v>0</v>
      </c>
      <c r="I275" s="162">
        <f>$I$161</f>
        <v>4.8100000000000005</v>
      </c>
      <c r="J275" s="186" t="s">
        <v>178</v>
      </c>
      <c r="K275" s="2">
        <f>K304+K333</f>
        <v>0</v>
      </c>
      <c r="AE275" s="42"/>
    </row>
    <row r="276" spans="1:31">
      <c r="A276" s="1" t="s">
        <v>204</v>
      </c>
      <c r="B276" s="1"/>
      <c r="C276" s="182">
        <f t="shared" si="26"/>
        <v>0</v>
      </c>
      <c r="D276" s="182">
        <f t="shared" si="26"/>
        <v>0</v>
      </c>
      <c r="E276" s="193">
        <v>45</v>
      </c>
      <c r="F276" s="184" t="s">
        <v>178</v>
      </c>
      <c r="G276" s="2">
        <f t="shared" si="27"/>
        <v>0</v>
      </c>
      <c r="H276" s="2">
        <f t="shared" si="27"/>
        <v>0</v>
      </c>
      <c r="I276" s="193">
        <f>$I$162</f>
        <v>45</v>
      </c>
      <c r="J276" s="186" t="s">
        <v>178</v>
      </c>
      <c r="K276" s="2">
        <f>K305+K334</f>
        <v>0</v>
      </c>
      <c r="AE276" s="42"/>
    </row>
    <row r="277" spans="1:31">
      <c r="A277" s="194" t="s">
        <v>205</v>
      </c>
      <c r="B277" s="1"/>
      <c r="C277" s="182"/>
      <c r="D277" s="182"/>
      <c r="E277" s="195">
        <v>-0.01</v>
      </c>
      <c r="F277" s="184"/>
      <c r="G277" s="2"/>
      <c r="H277" s="2"/>
      <c r="I277" s="195">
        <f>$I$163</f>
        <v>-0.01</v>
      </c>
      <c r="J277" s="186"/>
      <c r="K277" s="2"/>
      <c r="AE277" s="42"/>
    </row>
    <row r="278" spans="1:31">
      <c r="A278" s="1" t="s">
        <v>194</v>
      </c>
      <c r="B278" s="1"/>
      <c r="C278" s="182">
        <v>0</v>
      </c>
      <c r="D278" s="182">
        <v>0</v>
      </c>
      <c r="E278" s="197">
        <f>E267</f>
        <v>7</v>
      </c>
      <c r="F278" s="184"/>
      <c r="G278" s="2">
        <f t="shared" ref="G278:H289" si="28">G307+G336</f>
        <v>0</v>
      </c>
      <c r="H278" s="2">
        <f t="shared" si="28"/>
        <v>0</v>
      </c>
      <c r="I278" s="197">
        <f>I268</f>
        <v>11.18</v>
      </c>
      <c r="J278" s="184"/>
      <c r="K278" s="2">
        <f t="shared" ref="K278:K289" si="29">K307+K336</f>
        <v>0</v>
      </c>
      <c r="AE278" s="42"/>
    </row>
    <row r="279" spans="1:31">
      <c r="A279" s="1" t="s">
        <v>195</v>
      </c>
      <c r="B279" s="1"/>
      <c r="C279" s="182">
        <v>0</v>
      </c>
      <c r="D279" s="182">
        <v>0</v>
      </c>
      <c r="E279" s="197">
        <f>E268</f>
        <v>10.4</v>
      </c>
      <c r="F279" s="184"/>
      <c r="G279" s="2">
        <f t="shared" si="28"/>
        <v>0</v>
      </c>
      <c r="H279" s="2">
        <f t="shared" si="28"/>
        <v>0</v>
      </c>
      <c r="I279" s="197">
        <f>I269</f>
        <v>0.78</v>
      </c>
      <c r="J279" s="184"/>
      <c r="K279" s="2">
        <f t="shared" si="29"/>
        <v>0</v>
      </c>
      <c r="AE279" s="42"/>
    </row>
    <row r="280" spans="1:31">
      <c r="A280" s="1" t="s">
        <v>206</v>
      </c>
      <c r="B280" s="1"/>
      <c r="C280" s="182">
        <v>0</v>
      </c>
      <c r="D280" s="182">
        <v>0</v>
      </c>
      <c r="E280" s="197">
        <f>E269</f>
        <v>0.69</v>
      </c>
      <c r="F280" s="184"/>
      <c r="G280" s="2">
        <f t="shared" si="28"/>
        <v>0</v>
      </c>
      <c r="H280" s="2">
        <f t="shared" si="28"/>
        <v>0</v>
      </c>
      <c r="I280" s="197">
        <f>I270</f>
        <v>0</v>
      </c>
      <c r="J280" s="184"/>
      <c r="K280" s="2">
        <f t="shared" si="29"/>
        <v>0</v>
      </c>
      <c r="AE280" s="42"/>
    </row>
    <row r="281" spans="1:31">
      <c r="A281" s="1" t="s">
        <v>207</v>
      </c>
      <c r="B281" s="1"/>
      <c r="C281" s="182">
        <v>0</v>
      </c>
      <c r="D281" s="182">
        <v>0</v>
      </c>
      <c r="E281" s="197">
        <f>E272</f>
        <v>2.81</v>
      </c>
      <c r="F281" s="186"/>
      <c r="G281" s="2">
        <f t="shared" si="28"/>
        <v>0</v>
      </c>
      <c r="H281" s="2">
        <f t="shared" si="28"/>
        <v>0</v>
      </c>
      <c r="I281" s="197">
        <f>I272</f>
        <v>2.88</v>
      </c>
      <c r="J281" s="186"/>
      <c r="K281" s="2">
        <f t="shared" si="29"/>
        <v>0</v>
      </c>
      <c r="AE281" s="42"/>
    </row>
    <row r="282" spans="1:31">
      <c r="A282" s="1" t="s">
        <v>209</v>
      </c>
      <c r="B282" s="1"/>
      <c r="C282" s="182">
        <v>0</v>
      </c>
      <c r="D282" s="182">
        <v>0</v>
      </c>
      <c r="E282" s="198">
        <f>E273</f>
        <v>7.5869999999999997</v>
      </c>
      <c r="F282" s="186" t="s">
        <v>178</v>
      </c>
      <c r="G282" s="2">
        <f t="shared" si="28"/>
        <v>0</v>
      </c>
      <c r="H282" s="2">
        <f t="shared" si="28"/>
        <v>0</v>
      </c>
      <c r="I282" s="198">
        <f>I273</f>
        <v>8.0890000000000004</v>
      </c>
      <c r="J282" s="186" t="s">
        <v>178</v>
      </c>
      <c r="K282" s="2">
        <f t="shared" si="29"/>
        <v>0</v>
      </c>
      <c r="AE282" s="42"/>
    </row>
    <row r="283" spans="1:31">
      <c r="A283" s="1" t="s">
        <v>202</v>
      </c>
      <c r="B283" s="1"/>
      <c r="C283" s="182">
        <v>0</v>
      </c>
      <c r="D283" s="182">
        <v>0</v>
      </c>
      <c r="E283" s="198">
        <f>E274</f>
        <v>5.2370000000000001</v>
      </c>
      <c r="F283" s="186" t="s">
        <v>178</v>
      </c>
      <c r="G283" s="2">
        <f t="shared" si="28"/>
        <v>0</v>
      </c>
      <c r="H283" s="2">
        <f t="shared" si="28"/>
        <v>0</v>
      </c>
      <c r="I283" s="198">
        <f>I274</f>
        <v>5.5839999999999996</v>
      </c>
      <c r="J283" s="186" t="s">
        <v>178</v>
      </c>
      <c r="K283" s="2">
        <f t="shared" si="29"/>
        <v>0</v>
      </c>
      <c r="AE283" s="42"/>
    </row>
    <row r="284" spans="1:31">
      <c r="A284" s="1" t="s">
        <v>203</v>
      </c>
      <c r="B284" s="1"/>
      <c r="C284" s="182">
        <v>0</v>
      </c>
      <c r="D284" s="182">
        <v>0</v>
      </c>
      <c r="E284" s="198">
        <f>E275</f>
        <v>4.5129999999999999</v>
      </c>
      <c r="F284" s="186" t="s">
        <v>178</v>
      </c>
      <c r="G284" s="2">
        <f t="shared" si="28"/>
        <v>0</v>
      </c>
      <c r="H284" s="2">
        <f t="shared" si="28"/>
        <v>0</v>
      </c>
      <c r="I284" s="198">
        <f>I275</f>
        <v>4.8100000000000005</v>
      </c>
      <c r="J284" s="186" t="s">
        <v>178</v>
      </c>
      <c r="K284" s="2">
        <f t="shared" si="29"/>
        <v>0</v>
      </c>
      <c r="AE284" s="42"/>
    </row>
    <row r="285" spans="1:31">
      <c r="A285" s="1" t="s">
        <v>204</v>
      </c>
      <c r="B285" s="1"/>
      <c r="C285" s="182">
        <v>0</v>
      </c>
      <c r="D285" s="182">
        <v>0</v>
      </c>
      <c r="E285" s="199">
        <f>E276</f>
        <v>45</v>
      </c>
      <c r="F285" s="186" t="s">
        <v>178</v>
      </c>
      <c r="G285" s="2">
        <f t="shared" si="28"/>
        <v>0</v>
      </c>
      <c r="H285" s="2">
        <f t="shared" si="28"/>
        <v>0</v>
      </c>
      <c r="I285" s="199">
        <f>I276</f>
        <v>45</v>
      </c>
      <c r="J285" s="186" t="s">
        <v>178</v>
      </c>
      <c r="K285" s="2">
        <f t="shared" si="29"/>
        <v>0</v>
      </c>
      <c r="AE285" s="42"/>
    </row>
    <row r="286" spans="1:31">
      <c r="A286" s="1" t="s">
        <v>211</v>
      </c>
      <c r="B286" s="1"/>
      <c r="C286" s="182">
        <v>0</v>
      </c>
      <c r="D286" s="182">
        <v>0</v>
      </c>
      <c r="E286" s="200">
        <v>60</v>
      </c>
      <c r="F286" s="184"/>
      <c r="G286" s="2">
        <f t="shared" si="28"/>
        <v>0</v>
      </c>
      <c r="H286" s="2">
        <f t="shared" si="28"/>
        <v>0</v>
      </c>
      <c r="I286" s="200">
        <f>$I$172</f>
        <v>60</v>
      </c>
      <c r="J286" s="186"/>
      <c r="K286" s="2">
        <f t="shared" si="29"/>
        <v>0</v>
      </c>
      <c r="AE286" s="42"/>
    </row>
    <row r="287" spans="1:31">
      <c r="A287" s="1" t="s">
        <v>212</v>
      </c>
      <c r="B287" s="1"/>
      <c r="C287" s="182">
        <v>0</v>
      </c>
      <c r="D287" s="182">
        <v>0</v>
      </c>
      <c r="E287" s="202">
        <v>-30</v>
      </c>
      <c r="F287" s="184" t="s">
        <v>178</v>
      </c>
      <c r="G287" s="2">
        <f t="shared" si="28"/>
        <v>0</v>
      </c>
      <c r="H287" s="2">
        <f t="shared" si="28"/>
        <v>0</v>
      </c>
      <c r="I287" s="202">
        <f>$I$173</f>
        <v>-30</v>
      </c>
      <c r="J287" s="186" t="s">
        <v>178</v>
      </c>
      <c r="K287" s="2">
        <f t="shared" si="29"/>
        <v>0</v>
      </c>
      <c r="AE287" s="42"/>
    </row>
    <row r="288" spans="1:31">
      <c r="A288" s="1" t="s">
        <v>185</v>
      </c>
      <c r="B288" s="1"/>
      <c r="C288" s="182">
        <f>C317+C346</f>
        <v>1479724</v>
      </c>
      <c r="D288" s="182">
        <f>D317+D346</f>
        <v>1512494.9193898283</v>
      </c>
      <c r="E288" s="193"/>
      <c r="F288" s="2"/>
      <c r="G288" s="2">
        <f t="shared" si="28"/>
        <v>145918</v>
      </c>
      <c r="H288" s="2">
        <f t="shared" si="28"/>
        <v>148139</v>
      </c>
      <c r="I288" s="193"/>
      <c r="J288" s="186"/>
      <c r="K288" s="2">
        <f t="shared" si="29"/>
        <v>158273</v>
      </c>
      <c r="AE288" s="42"/>
    </row>
    <row r="289" spans="1:31">
      <c r="A289" s="1" t="s">
        <v>167</v>
      </c>
      <c r="B289" s="1"/>
      <c r="C289" s="203">
        <f>C318+C347</f>
        <v>5637.1439953097415</v>
      </c>
      <c r="D289" s="203">
        <f>D318+D347</f>
        <v>0</v>
      </c>
      <c r="E289" s="172"/>
      <c r="F289" s="172"/>
      <c r="G289" s="204">
        <f t="shared" si="28"/>
        <v>415.97676418055232</v>
      </c>
      <c r="H289" s="204">
        <f t="shared" si="28"/>
        <v>0</v>
      </c>
      <c r="I289" s="172"/>
      <c r="J289" s="172"/>
      <c r="K289" s="204">
        <f t="shared" si="29"/>
        <v>0</v>
      </c>
      <c r="M289" s="152"/>
      <c r="N289" s="152"/>
      <c r="O289" s="153"/>
      <c r="AE289" s="42"/>
    </row>
    <row r="290" spans="1:31" ht="16.5" thickBot="1">
      <c r="A290" s="1" t="s">
        <v>186</v>
      </c>
      <c r="B290" s="1"/>
      <c r="C290" s="174">
        <f>SUM(C288:C289)</f>
        <v>1485361.1439953097</v>
      </c>
      <c r="D290" s="174">
        <f>SUM(D288:D289)</f>
        <v>1512494.9193898283</v>
      </c>
      <c r="E290" s="205"/>
      <c r="F290" s="206"/>
      <c r="G290" s="207">
        <f>G288+G289</f>
        <v>146333.97676418055</v>
      </c>
      <c r="H290" s="207">
        <f>H288+H289</f>
        <v>148139</v>
      </c>
      <c r="I290" s="205"/>
      <c r="J290" s="208"/>
      <c r="K290" s="207">
        <f>K288+K289</f>
        <v>158273</v>
      </c>
      <c r="M290" s="154"/>
      <c r="N290" s="154"/>
      <c r="O290" s="155"/>
      <c r="AE290" s="42"/>
    </row>
    <row r="291" spans="1:31" ht="16.5" thickTop="1">
      <c r="A291" s="1"/>
      <c r="B291" s="1"/>
      <c r="C291" s="12"/>
      <c r="D291" s="12"/>
      <c r="E291" s="200"/>
      <c r="F291" s="2"/>
      <c r="G291" s="2"/>
      <c r="H291" s="2"/>
      <c r="I291" s="200"/>
      <c r="J291" s="1"/>
      <c r="K291" s="2" t="s">
        <v>13</v>
      </c>
      <c r="AE291" s="42"/>
    </row>
    <row r="292" spans="1:31">
      <c r="A292" s="156" t="s">
        <v>219</v>
      </c>
      <c r="B292" s="1"/>
      <c r="C292" s="1"/>
      <c r="D292" s="1"/>
      <c r="E292" s="2"/>
      <c r="F292" s="2"/>
      <c r="G292" s="1" t="s">
        <v>13</v>
      </c>
      <c r="H292" s="1"/>
      <c r="I292" s="2"/>
      <c r="J292" s="1"/>
      <c r="K292" s="1"/>
      <c r="AE292" s="42"/>
    </row>
    <row r="293" spans="1:31">
      <c r="A293" s="1" t="s">
        <v>215</v>
      </c>
      <c r="B293" s="1"/>
      <c r="C293" s="1"/>
      <c r="D293" s="1"/>
      <c r="E293" s="2"/>
      <c r="F293" s="2"/>
      <c r="G293" s="1"/>
      <c r="H293" s="1"/>
      <c r="I293" s="2"/>
      <c r="J293" s="1"/>
      <c r="K293" s="1"/>
      <c r="AE293" s="42"/>
    </row>
    <row r="294" spans="1:31">
      <c r="A294" s="1"/>
      <c r="B294" s="1"/>
      <c r="C294" s="1"/>
      <c r="D294" s="1"/>
      <c r="E294" s="2"/>
      <c r="F294" s="2"/>
      <c r="G294" s="1"/>
      <c r="H294" s="1"/>
      <c r="I294" s="2"/>
      <c r="J294" s="1"/>
      <c r="K294" s="1"/>
      <c r="AE294" s="42"/>
    </row>
    <row r="295" spans="1:31">
      <c r="A295" s="1" t="s">
        <v>197</v>
      </c>
      <c r="B295" s="1"/>
      <c r="C295" s="182"/>
      <c r="D295" s="182"/>
      <c r="E295" s="2"/>
      <c r="F295" s="2"/>
      <c r="G295" s="1"/>
      <c r="H295" s="1"/>
      <c r="I295" s="2"/>
      <c r="J295" s="1"/>
      <c r="K295" s="1"/>
      <c r="AE295" s="42"/>
    </row>
    <row r="296" spans="1:31">
      <c r="A296" s="1" t="s">
        <v>220</v>
      </c>
      <c r="B296" s="1"/>
      <c r="C296" s="182">
        <f>3955+554</f>
        <v>4509</v>
      </c>
      <c r="D296" s="182">
        <f>ROUND((D300/C300)*C296,0)</f>
        <v>4475</v>
      </c>
      <c r="E296" s="161">
        <v>7</v>
      </c>
      <c r="F296" s="184"/>
      <c r="G296" s="2">
        <f>ROUND(E296*$C296,0)</f>
        <v>31563</v>
      </c>
      <c r="H296" s="2">
        <f>ROUND(E296*$D296,0)</f>
        <v>31325</v>
      </c>
      <c r="I296" s="161">
        <f>$I$153</f>
        <v>7.53</v>
      </c>
      <c r="J296" s="186"/>
      <c r="K296" s="2">
        <f>ROUND(I296*$D296,0)</f>
        <v>33697</v>
      </c>
      <c r="AE296" s="42"/>
    </row>
    <row r="297" spans="1:31">
      <c r="A297" s="1" t="s">
        <v>195</v>
      </c>
      <c r="B297" s="1"/>
      <c r="C297" s="182">
        <v>0</v>
      </c>
      <c r="D297" s="182">
        <v>0</v>
      </c>
      <c r="E297" s="161">
        <v>10.4</v>
      </c>
      <c r="F297" s="187"/>
      <c r="G297" s="2">
        <f>ROUND(E297*$C297,0)</f>
        <v>0</v>
      </c>
      <c r="H297" s="2">
        <f>ROUND(E297*$D297,0)</f>
        <v>0</v>
      </c>
      <c r="I297" s="161">
        <f>$I$154</f>
        <v>11.18</v>
      </c>
      <c r="J297" s="188"/>
      <c r="K297" s="2">
        <f>ROUND(I297*$D297,0)</f>
        <v>0</v>
      </c>
      <c r="AE297" s="42"/>
    </row>
    <row r="298" spans="1:31">
      <c r="A298" s="1" t="s">
        <v>196</v>
      </c>
      <c r="B298" s="1"/>
      <c r="C298" s="182">
        <v>0</v>
      </c>
      <c r="D298" s="182">
        <v>0</v>
      </c>
      <c r="E298" s="161">
        <v>0.69</v>
      </c>
      <c r="F298" s="187"/>
      <c r="G298" s="2">
        <f>ROUND(E298*$C298,0)</f>
        <v>0</v>
      </c>
      <c r="H298" s="2">
        <f>ROUND(E298*$D298,0)</f>
        <v>0</v>
      </c>
      <c r="I298" s="161">
        <f>$I$155</f>
        <v>0.78</v>
      </c>
      <c r="J298" s="188"/>
      <c r="K298" s="2">
        <f>ROUND(I298*$D298,0)</f>
        <v>0</v>
      </c>
      <c r="AE298" s="42"/>
    </row>
    <row r="299" spans="1:31">
      <c r="A299" s="1" t="s">
        <v>198</v>
      </c>
      <c r="B299" s="1"/>
      <c r="C299" s="182">
        <f>SUM(C296:C297)</f>
        <v>4509</v>
      </c>
      <c r="D299" s="182">
        <f>ROUND((D300/C300)*C299,0)</f>
        <v>4475</v>
      </c>
      <c r="E299" s="161"/>
      <c r="F299" s="184"/>
      <c r="G299" s="2"/>
      <c r="H299" s="2"/>
      <c r="I299" s="161"/>
      <c r="J299" s="186"/>
      <c r="K299" s="2"/>
      <c r="AE299" s="42"/>
    </row>
    <row r="300" spans="1:31">
      <c r="A300" s="1" t="s">
        <v>166</v>
      </c>
      <c r="B300" s="1"/>
      <c r="C300" s="182">
        <f>118+1463</f>
        <v>1581</v>
      </c>
      <c r="D300" s="182">
        <v>1569</v>
      </c>
      <c r="E300" s="161"/>
      <c r="F300" s="184"/>
      <c r="G300" s="2"/>
      <c r="H300" s="2"/>
      <c r="I300" s="161"/>
      <c r="J300" s="186"/>
      <c r="K300" s="2"/>
      <c r="AE300" s="42"/>
    </row>
    <row r="301" spans="1:31">
      <c r="A301" s="1" t="s">
        <v>199</v>
      </c>
      <c r="B301" s="1"/>
      <c r="C301" s="182">
        <v>0</v>
      </c>
      <c r="D301" s="182">
        <v>0</v>
      </c>
      <c r="E301" s="189">
        <v>2.81</v>
      </c>
      <c r="F301" s="186"/>
      <c r="G301" s="2">
        <f>ROUND(E301*$C301,0)</f>
        <v>0</v>
      </c>
      <c r="H301" s="2">
        <f>ROUND(E301*$D301,0)</f>
        <v>0</v>
      </c>
      <c r="I301" s="189">
        <f>$I$158</f>
        <v>2.88</v>
      </c>
      <c r="J301" s="186"/>
      <c r="K301" s="2">
        <f>ROUND(I301*$D301,0)</f>
        <v>0</v>
      </c>
      <c r="AE301" s="42"/>
    </row>
    <row r="302" spans="1:31">
      <c r="A302" s="1" t="s">
        <v>201</v>
      </c>
      <c r="B302" s="1"/>
      <c r="C302" s="182">
        <f>36756+1134799+210050</f>
        <v>1381605</v>
      </c>
      <c r="D302" s="182">
        <f>ROUND(($D$317/'Blocking - detail'!$C$317)*C302,0)</f>
        <v>1407918</v>
      </c>
      <c r="E302" s="162">
        <v>7.5869999999999997</v>
      </c>
      <c r="F302" s="186" t="s">
        <v>178</v>
      </c>
      <c r="G302" s="2">
        <f>ROUND(E302*$C302/100,0)</f>
        <v>104822</v>
      </c>
      <c r="H302" s="2">
        <f>ROUND(E302*$D302/100,0)</f>
        <v>106819</v>
      </c>
      <c r="I302" s="162">
        <f>$I$159</f>
        <v>8.0890000000000004</v>
      </c>
      <c r="J302" s="186" t="s">
        <v>178</v>
      </c>
      <c r="K302" s="2">
        <f>ROUND(I302*$D302/100,0)</f>
        <v>113886</v>
      </c>
      <c r="AE302" s="42"/>
    </row>
    <row r="303" spans="1:31">
      <c r="A303" s="1" t="s">
        <v>202</v>
      </c>
      <c r="B303" s="12"/>
      <c r="C303" s="182">
        <f>64806</f>
        <v>64806</v>
      </c>
      <c r="D303" s="182">
        <f>ROUND(($D$317/'Blocking - detail'!$C$317)*C303,0)</f>
        <v>66040</v>
      </c>
      <c r="E303" s="162">
        <v>5.2370000000000001</v>
      </c>
      <c r="F303" s="186" t="s">
        <v>178</v>
      </c>
      <c r="G303" s="2">
        <f>ROUND(E303*$C303/100,0)</f>
        <v>3394</v>
      </c>
      <c r="H303" s="2">
        <f>ROUND(E303*$D303/100,0)</f>
        <v>3459</v>
      </c>
      <c r="I303" s="162">
        <f>$I$160</f>
        <v>5.5839999999999996</v>
      </c>
      <c r="J303" s="186" t="s">
        <v>178</v>
      </c>
      <c r="K303" s="2">
        <f>ROUND(I303*$D303/100,0)</f>
        <v>3688</v>
      </c>
      <c r="AE303" s="42"/>
    </row>
    <row r="304" spans="1:31">
      <c r="A304" s="1" t="s">
        <v>203</v>
      </c>
      <c r="B304" s="1"/>
      <c r="C304" s="182">
        <f>36756+1199605+210050-C302-C303</f>
        <v>0</v>
      </c>
      <c r="D304" s="182">
        <f>ROUND(($D$317/'Blocking - detail'!$C$317)*C304,0)</f>
        <v>0</v>
      </c>
      <c r="E304" s="162">
        <v>4.5129999999999999</v>
      </c>
      <c r="F304" s="186" t="s">
        <v>178</v>
      </c>
      <c r="G304" s="2">
        <f>ROUND(E304*$C304/100,0)</f>
        <v>0</v>
      </c>
      <c r="H304" s="2">
        <f>ROUND(E304*$D304/100,0)</f>
        <v>0</v>
      </c>
      <c r="I304" s="162">
        <f>$I$161</f>
        <v>4.8100000000000005</v>
      </c>
      <c r="J304" s="186" t="s">
        <v>178</v>
      </c>
      <c r="K304" s="2">
        <f>ROUND(I304*$D304/100,0)</f>
        <v>0</v>
      </c>
      <c r="AE304" s="42"/>
    </row>
    <row r="305" spans="1:31">
      <c r="A305" s="1" t="s">
        <v>204</v>
      </c>
      <c r="B305" s="1"/>
      <c r="C305" s="182">
        <v>0</v>
      </c>
      <c r="D305" s="182">
        <f>ROUND(($D$317/'Blocking - detail'!$C$317)*C305,0)</f>
        <v>0</v>
      </c>
      <c r="E305" s="193">
        <v>45</v>
      </c>
      <c r="F305" s="184" t="s">
        <v>178</v>
      </c>
      <c r="G305" s="2">
        <f>ROUND(E305*$C305/100,0)</f>
        <v>0</v>
      </c>
      <c r="H305" s="2">
        <f>ROUND(E305*$D305/100,0)</f>
        <v>0</v>
      </c>
      <c r="I305" s="193">
        <f>$I$162</f>
        <v>45</v>
      </c>
      <c r="J305" s="186" t="s">
        <v>178</v>
      </c>
      <c r="K305" s="2">
        <f>ROUND(I305*$D305/100,0)</f>
        <v>0</v>
      </c>
      <c r="AE305" s="42"/>
    </row>
    <row r="306" spans="1:31">
      <c r="A306" s="194" t="s">
        <v>205</v>
      </c>
      <c r="B306" s="1"/>
      <c r="C306" s="182"/>
      <c r="D306" s="182"/>
      <c r="E306" s="195">
        <v>-0.01</v>
      </c>
      <c r="F306" s="184"/>
      <c r="G306" s="2"/>
      <c r="H306" s="2"/>
      <c r="I306" s="195">
        <f>$I$163</f>
        <v>-0.01</v>
      </c>
      <c r="J306" s="186"/>
      <c r="K306" s="2"/>
      <c r="AE306" s="42"/>
    </row>
    <row r="307" spans="1:31">
      <c r="A307" s="1" t="s">
        <v>194</v>
      </c>
      <c r="B307" s="1"/>
      <c r="C307" s="182">
        <v>0</v>
      </c>
      <c r="D307" s="182">
        <v>0</v>
      </c>
      <c r="E307" s="197">
        <f>E296</f>
        <v>7</v>
      </c>
      <c r="F307" s="184"/>
      <c r="G307" s="2">
        <f>-ROUND(E307*$C307/100,0)</f>
        <v>0</v>
      </c>
      <c r="H307" s="2">
        <f t="shared" ref="H307:H316" si="30">-ROUND(E307*$D307/100,0)</f>
        <v>0</v>
      </c>
      <c r="I307" s="197">
        <f>I297</f>
        <v>11.18</v>
      </c>
      <c r="J307" s="184"/>
      <c r="K307" s="2">
        <f>-ROUND(I307*$D307/100,0)</f>
        <v>0</v>
      </c>
      <c r="AE307" s="42"/>
    </row>
    <row r="308" spans="1:31">
      <c r="A308" s="1" t="s">
        <v>195</v>
      </c>
      <c r="B308" s="1"/>
      <c r="C308" s="182">
        <v>0</v>
      </c>
      <c r="D308" s="182">
        <v>0</v>
      </c>
      <c r="E308" s="197">
        <f>E297</f>
        <v>10.4</v>
      </c>
      <c r="F308" s="184"/>
      <c r="G308" s="2">
        <f>-ROUND(E308*$C308/100,0)</f>
        <v>0</v>
      </c>
      <c r="H308" s="2">
        <f t="shared" si="30"/>
        <v>0</v>
      </c>
      <c r="I308" s="197">
        <f>I298</f>
        <v>0.78</v>
      </c>
      <c r="J308" s="184"/>
      <c r="K308" s="2">
        <f>-ROUND(I308*$D308/100,0)</f>
        <v>0</v>
      </c>
      <c r="AE308" s="42"/>
    </row>
    <row r="309" spans="1:31">
      <c r="A309" s="1" t="s">
        <v>206</v>
      </c>
      <c r="B309" s="1"/>
      <c r="C309" s="182">
        <v>0</v>
      </c>
      <c r="D309" s="182">
        <f>ROUND(($D$317/'Blocking - detail'!$C$317)*C309,0)</f>
        <v>0</v>
      </c>
      <c r="E309" s="197">
        <f>E298</f>
        <v>0.69</v>
      </c>
      <c r="F309" s="184"/>
      <c r="G309" s="2">
        <f>-ROUND(E309*$C309/100,0)</f>
        <v>0</v>
      </c>
      <c r="H309" s="2">
        <f t="shared" si="30"/>
        <v>0</v>
      </c>
      <c r="I309" s="197">
        <f>I299</f>
        <v>0</v>
      </c>
      <c r="J309" s="184"/>
      <c r="K309" s="2">
        <f>-ROUND(I309*$D309/100,0)</f>
        <v>0</v>
      </c>
      <c r="AE309" s="42"/>
    </row>
    <row r="310" spans="1:31">
      <c r="A310" s="1" t="s">
        <v>207</v>
      </c>
      <c r="B310" s="1"/>
      <c r="C310" s="182">
        <v>0</v>
      </c>
      <c r="D310" s="182">
        <f>ROUND(($D$317/'Blocking - detail'!$C$317)*C310,0)</f>
        <v>0</v>
      </c>
      <c r="E310" s="197">
        <f>E301</f>
        <v>2.81</v>
      </c>
      <c r="F310" s="186"/>
      <c r="G310" s="2">
        <f>-ROUND(E310*$C310/100,0)</f>
        <v>0</v>
      </c>
      <c r="H310" s="2">
        <f t="shared" si="30"/>
        <v>0</v>
      </c>
      <c r="I310" s="197">
        <f>I301</f>
        <v>2.88</v>
      </c>
      <c r="J310" s="186"/>
      <c r="K310" s="2">
        <f>-ROUND(I310*$D310/100,0)</f>
        <v>0</v>
      </c>
      <c r="AE310" s="42"/>
    </row>
    <row r="311" spans="1:31">
      <c r="A311" s="1" t="s">
        <v>209</v>
      </c>
      <c r="B311" s="1"/>
      <c r="C311" s="182">
        <v>0</v>
      </c>
      <c r="D311" s="182">
        <f>ROUND(($D$317/'Blocking - detail'!$C$317)*C311,0)</f>
        <v>0</v>
      </c>
      <c r="E311" s="198">
        <f>E302</f>
        <v>7.5869999999999997</v>
      </c>
      <c r="F311" s="186" t="s">
        <v>178</v>
      </c>
      <c r="G311" s="2">
        <f>ROUND(E311*$C311/100*E306,0)</f>
        <v>0</v>
      </c>
      <c r="H311" s="2">
        <f t="shared" si="30"/>
        <v>0</v>
      </c>
      <c r="I311" s="198">
        <f>I302</f>
        <v>8.0890000000000004</v>
      </c>
      <c r="J311" s="186" t="s">
        <v>178</v>
      </c>
      <c r="K311" s="2">
        <f>ROUND(I311*$D311/100*I306,0)</f>
        <v>0</v>
      </c>
      <c r="AE311" s="42"/>
    </row>
    <row r="312" spans="1:31">
      <c r="A312" s="1" t="s">
        <v>202</v>
      </c>
      <c r="B312" s="1"/>
      <c r="C312" s="182">
        <v>0</v>
      </c>
      <c r="D312" s="182">
        <f>ROUND(($D$317/'Blocking - detail'!$C$317)*C312,0)</f>
        <v>0</v>
      </c>
      <c r="E312" s="198">
        <f>E303</f>
        <v>5.2370000000000001</v>
      </c>
      <c r="F312" s="186" t="s">
        <v>178</v>
      </c>
      <c r="G312" s="2">
        <f>ROUND(E312*$C312/100*E306,0)</f>
        <v>0</v>
      </c>
      <c r="H312" s="2">
        <f t="shared" si="30"/>
        <v>0</v>
      </c>
      <c r="I312" s="198">
        <f>I303</f>
        <v>5.5839999999999996</v>
      </c>
      <c r="J312" s="186" t="s">
        <v>178</v>
      </c>
      <c r="K312" s="2">
        <f>ROUND(I312*$D312/100*I306,0)</f>
        <v>0</v>
      </c>
      <c r="AE312" s="42"/>
    </row>
    <row r="313" spans="1:31">
      <c r="A313" s="1" t="s">
        <v>203</v>
      </c>
      <c r="B313" s="1"/>
      <c r="C313" s="182">
        <v>0</v>
      </c>
      <c r="D313" s="182">
        <f>ROUND(($D$317/'Blocking - detail'!$C$317)*C313,0)</f>
        <v>0</v>
      </c>
      <c r="E313" s="198">
        <f>E304</f>
        <v>4.5129999999999999</v>
      </c>
      <c r="F313" s="186" t="s">
        <v>178</v>
      </c>
      <c r="G313" s="2">
        <f>ROUND(E313*$C313/100*E306,0)</f>
        <v>0</v>
      </c>
      <c r="H313" s="2">
        <f t="shared" si="30"/>
        <v>0</v>
      </c>
      <c r="I313" s="198">
        <f>I304</f>
        <v>4.8100000000000005</v>
      </c>
      <c r="J313" s="186" t="s">
        <v>178</v>
      </c>
      <c r="K313" s="2">
        <f>ROUND(I313*$D313/100*I306,0)</f>
        <v>0</v>
      </c>
      <c r="AE313" s="42"/>
    </row>
    <row r="314" spans="1:31">
      <c r="A314" s="1" t="s">
        <v>204</v>
      </c>
      <c r="B314" s="1"/>
      <c r="C314" s="182">
        <v>0</v>
      </c>
      <c r="D314" s="182">
        <f>ROUND(($D$317/'Blocking - detail'!$C$317)*C314,0)</f>
        <v>0</v>
      </c>
      <c r="E314" s="199">
        <f>E305</f>
        <v>45</v>
      </c>
      <c r="F314" s="186" t="s">
        <v>178</v>
      </c>
      <c r="G314" s="2">
        <f>ROUND(E314*$C314/100*E306,0)</f>
        <v>0</v>
      </c>
      <c r="H314" s="2">
        <f t="shared" si="30"/>
        <v>0</v>
      </c>
      <c r="I314" s="199">
        <f>I305</f>
        <v>45</v>
      </c>
      <c r="J314" s="186" t="s">
        <v>178</v>
      </c>
      <c r="K314" s="2">
        <f>ROUND(I314*$D314/100*I306,0)</f>
        <v>0</v>
      </c>
      <c r="AE314" s="42"/>
    </row>
    <row r="315" spans="1:31">
      <c r="A315" s="1" t="s">
        <v>211</v>
      </c>
      <c r="B315" s="1"/>
      <c r="C315" s="182">
        <v>0</v>
      </c>
      <c r="D315" s="182">
        <f>ROUND(($D$317/'Blocking - detail'!$C$317)*C315,0)</f>
        <v>0</v>
      </c>
      <c r="E315" s="200">
        <v>60</v>
      </c>
      <c r="F315" s="184"/>
      <c r="G315" s="2">
        <f>ROUND(E315*$C315,0)</f>
        <v>0</v>
      </c>
      <c r="H315" s="2">
        <f t="shared" si="30"/>
        <v>0</v>
      </c>
      <c r="I315" s="200">
        <f>$I$172</f>
        <v>60</v>
      </c>
      <c r="J315" s="186"/>
      <c r="K315" s="2">
        <f>ROUND(I315*$D315,0)</f>
        <v>0</v>
      </c>
      <c r="AE315" s="42"/>
    </row>
    <row r="316" spans="1:31">
      <c r="A316" s="1" t="s">
        <v>212</v>
      </c>
      <c r="B316" s="1"/>
      <c r="C316" s="182">
        <v>0</v>
      </c>
      <c r="D316" s="182">
        <f>ROUND(($D$317/'Blocking - detail'!$C$317)*C316,0)</f>
        <v>0</v>
      </c>
      <c r="E316" s="202">
        <v>-30</v>
      </c>
      <c r="F316" s="184" t="s">
        <v>178</v>
      </c>
      <c r="G316" s="2">
        <f>ROUND(E316*$C316/100,0)</f>
        <v>0</v>
      </c>
      <c r="H316" s="2">
        <f t="shared" si="30"/>
        <v>0</v>
      </c>
      <c r="I316" s="202">
        <f>$I$173</f>
        <v>-30</v>
      </c>
      <c r="J316" s="186" t="s">
        <v>178</v>
      </c>
      <c r="K316" s="2">
        <f>ROUND(I316*$D316/100,0)</f>
        <v>0</v>
      </c>
      <c r="AE316" s="42"/>
    </row>
    <row r="317" spans="1:31">
      <c r="A317" s="1" t="s">
        <v>185</v>
      </c>
      <c r="B317" s="1"/>
      <c r="C317" s="182">
        <f>SUM(C302:C304)</f>
        <v>1446411</v>
      </c>
      <c r="D317" s="182">
        <v>1473957.9193898283</v>
      </c>
      <c r="E317" s="193"/>
      <c r="F317" s="2"/>
      <c r="G317" s="2">
        <f>SUM(G296:G316)</f>
        <v>139779</v>
      </c>
      <c r="H317" s="2">
        <f>SUM(H296:H316)</f>
        <v>141603</v>
      </c>
      <c r="I317" s="193"/>
      <c r="J317" s="186"/>
      <c r="K317" s="2">
        <f>SUM(K296:K316)</f>
        <v>151271</v>
      </c>
      <c r="AE317" s="42"/>
    </row>
    <row r="318" spans="1:31">
      <c r="A318" s="1" t="s">
        <v>167</v>
      </c>
      <c r="B318" s="1"/>
      <c r="C318" s="212">
        <v>6388.0237176284736</v>
      </c>
      <c r="D318" s="203">
        <v>0</v>
      </c>
      <c r="E318" s="172"/>
      <c r="F318" s="172"/>
      <c r="G318" s="204">
        <v>524.67537963993209</v>
      </c>
      <c r="H318" s="204">
        <v>0</v>
      </c>
      <c r="I318" s="172"/>
      <c r="J318" s="172"/>
      <c r="K318" s="204">
        <v>0</v>
      </c>
      <c r="M318" s="152"/>
      <c r="N318" s="152"/>
      <c r="O318" s="153"/>
      <c r="AE318" s="42"/>
    </row>
    <row r="319" spans="1:31" ht="16.5" thickBot="1">
      <c r="A319" s="1" t="s">
        <v>186</v>
      </c>
      <c r="B319" s="1"/>
      <c r="C319" s="174">
        <f>SUM(C317:C318)</f>
        <v>1452799.0237176286</v>
      </c>
      <c r="D319" s="174">
        <f>SUM(D317:D318)</f>
        <v>1473957.9193898283</v>
      </c>
      <c r="E319" s="205"/>
      <c r="F319" s="206"/>
      <c r="G319" s="207">
        <f>G317+G318</f>
        <v>140303.67537963993</v>
      </c>
      <c r="H319" s="207">
        <f>H317+H318</f>
        <v>141603</v>
      </c>
      <c r="I319" s="205"/>
      <c r="J319" s="208"/>
      <c r="K319" s="207">
        <f>K317+K318</f>
        <v>151271</v>
      </c>
      <c r="M319" s="154"/>
      <c r="N319" s="154"/>
      <c r="O319" s="155"/>
      <c r="AE319" s="42"/>
    </row>
    <row r="320" spans="1:31" ht="16.5" thickTop="1">
      <c r="A320" s="1"/>
      <c r="B320" s="1"/>
      <c r="C320" s="12"/>
      <c r="D320" s="12"/>
      <c r="E320" s="200"/>
      <c r="F320" s="2"/>
      <c r="G320" s="2"/>
      <c r="H320" s="2"/>
      <c r="I320" s="200"/>
      <c r="J320" s="1"/>
      <c r="K320" s="2" t="s">
        <v>13</v>
      </c>
      <c r="AE320" s="42"/>
    </row>
    <row r="321" spans="1:31">
      <c r="A321" s="156" t="s">
        <v>219</v>
      </c>
      <c r="B321" s="1"/>
      <c r="C321" s="1"/>
      <c r="D321" s="1"/>
      <c r="E321" s="2"/>
      <c r="F321" s="2"/>
      <c r="G321" s="1" t="s">
        <v>13</v>
      </c>
      <c r="H321" s="1"/>
      <c r="I321" s="2"/>
      <c r="J321" s="1"/>
      <c r="K321" s="1"/>
      <c r="AE321" s="42"/>
    </row>
    <row r="322" spans="1:31">
      <c r="A322" s="1" t="s">
        <v>218</v>
      </c>
      <c r="B322" s="1"/>
      <c r="C322" s="1"/>
      <c r="D322" s="1"/>
      <c r="E322" s="2"/>
      <c r="F322" s="2"/>
      <c r="G322" s="1"/>
      <c r="H322" s="1"/>
      <c r="I322" s="2"/>
      <c r="J322" s="1"/>
      <c r="K322" s="1"/>
      <c r="AE322" s="42"/>
    </row>
    <row r="323" spans="1:31">
      <c r="A323" s="1"/>
      <c r="B323" s="1"/>
      <c r="C323" s="1"/>
      <c r="D323" s="1"/>
      <c r="E323" s="2"/>
      <c r="F323" s="2"/>
      <c r="G323" s="1"/>
      <c r="H323" s="1"/>
      <c r="I323" s="2"/>
      <c r="J323" s="1"/>
      <c r="K323" s="1"/>
      <c r="AE323" s="42"/>
    </row>
    <row r="324" spans="1:31">
      <c r="A324" s="1" t="s">
        <v>197</v>
      </c>
      <c r="B324" s="1"/>
      <c r="C324" s="182"/>
      <c r="D324" s="182"/>
      <c r="E324" s="2"/>
      <c r="F324" s="2"/>
      <c r="G324" s="1"/>
      <c r="H324" s="1"/>
      <c r="I324" s="2"/>
      <c r="J324" s="1"/>
      <c r="K324" s="1"/>
      <c r="AE324" s="42"/>
    </row>
    <row r="325" spans="1:31">
      <c r="A325" s="1" t="s">
        <v>220</v>
      </c>
      <c r="B325" s="1"/>
      <c r="C325" s="182">
        <v>516</v>
      </c>
      <c r="D325" s="182">
        <f>ROUND((D329/C329)*C325,0)</f>
        <v>516</v>
      </c>
      <c r="E325" s="161">
        <v>7</v>
      </c>
      <c r="F325" s="184"/>
      <c r="G325" s="2">
        <f>ROUND(E325*$C325,0)</f>
        <v>3612</v>
      </c>
      <c r="H325" s="2">
        <f>ROUND(E325*$D325,0)</f>
        <v>3612</v>
      </c>
      <c r="I325" s="161">
        <f>$I$153</f>
        <v>7.53</v>
      </c>
      <c r="J325" s="186"/>
      <c r="K325" s="2">
        <f>ROUND(I325*$D325,0)</f>
        <v>3885</v>
      </c>
      <c r="AE325" s="42"/>
    </row>
    <row r="326" spans="1:31">
      <c r="A326" s="1" t="s">
        <v>195</v>
      </c>
      <c r="B326" s="1"/>
      <c r="C326" s="182">
        <v>0</v>
      </c>
      <c r="D326" s="182">
        <v>0</v>
      </c>
      <c r="E326" s="161">
        <v>10.4</v>
      </c>
      <c r="F326" s="187"/>
      <c r="G326" s="2">
        <f>ROUND(E326*$C326,0)</f>
        <v>0</v>
      </c>
      <c r="H326" s="2">
        <f>ROUND(E326*$D326,0)</f>
        <v>0</v>
      </c>
      <c r="I326" s="161">
        <f>$I$154</f>
        <v>11.18</v>
      </c>
      <c r="J326" s="188"/>
      <c r="K326" s="2">
        <f>ROUND(I326*$D326,0)</f>
        <v>0</v>
      </c>
      <c r="AE326" s="42"/>
    </row>
    <row r="327" spans="1:31">
      <c r="A327" s="1" t="s">
        <v>196</v>
      </c>
      <c r="B327" s="1"/>
      <c r="C327" s="182">
        <v>0</v>
      </c>
      <c r="D327" s="182">
        <v>0</v>
      </c>
      <c r="E327" s="161">
        <v>0.69</v>
      </c>
      <c r="F327" s="187"/>
      <c r="G327" s="2">
        <f>ROUND(E327*$C327,0)</f>
        <v>0</v>
      </c>
      <c r="H327" s="2">
        <f>ROUND(E327*$D327,0)</f>
        <v>0</v>
      </c>
      <c r="I327" s="161">
        <f>$I$155</f>
        <v>0.78</v>
      </c>
      <c r="J327" s="188"/>
      <c r="K327" s="2">
        <f>ROUND(I327*$D327,0)</f>
        <v>0</v>
      </c>
      <c r="AE327" s="42"/>
    </row>
    <row r="328" spans="1:31">
      <c r="A328" s="1" t="s">
        <v>198</v>
      </c>
      <c r="B328" s="1"/>
      <c r="C328" s="182">
        <f>SUM(C325:C326)</f>
        <v>516</v>
      </c>
      <c r="D328" s="182">
        <f>ROUND((D329/C329)*C328,0)</f>
        <v>516</v>
      </c>
      <c r="E328" s="161"/>
      <c r="F328" s="184"/>
      <c r="G328" s="2"/>
      <c r="H328" s="2"/>
      <c r="I328" s="161"/>
      <c r="J328" s="186"/>
      <c r="K328" s="2"/>
      <c r="AE328" s="42"/>
    </row>
    <row r="329" spans="1:31">
      <c r="A329" s="1" t="s">
        <v>166</v>
      </c>
      <c r="B329" s="1"/>
      <c r="C329" s="182">
        <v>48</v>
      </c>
      <c r="D329" s="182">
        <v>48</v>
      </c>
      <c r="E329" s="161"/>
      <c r="F329" s="184"/>
      <c r="G329" s="2"/>
      <c r="H329" s="2"/>
      <c r="I329" s="161"/>
      <c r="J329" s="186"/>
      <c r="K329" s="2"/>
      <c r="AE329" s="42"/>
    </row>
    <row r="330" spans="1:31">
      <c r="A330" s="1" t="s">
        <v>199</v>
      </c>
      <c r="B330" s="1"/>
      <c r="C330" s="182">
        <v>0</v>
      </c>
      <c r="D330" s="182">
        <v>0</v>
      </c>
      <c r="E330" s="189">
        <v>2.81</v>
      </c>
      <c r="F330" s="186"/>
      <c r="G330" s="2">
        <f>ROUND(E330*$C330,0)</f>
        <v>0</v>
      </c>
      <c r="H330" s="2">
        <f>ROUND(E330*$D330,0)</f>
        <v>0</v>
      </c>
      <c r="I330" s="189">
        <f>$I$158</f>
        <v>2.88</v>
      </c>
      <c r="J330" s="186"/>
      <c r="K330" s="2">
        <f>ROUND(I330*$D330,0)</f>
        <v>0</v>
      </c>
      <c r="AE330" s="42"/>
    </row>
    <row r="331" spans="1:31">
      <c r="A331" s="1" t="s">
        <v>201</v>
      </c>
      <c r="B331" s="1"/>
      <c r="C331" s="182">
        <f>33313</f>
        <v>33313</v>
      </c>
      <c r="D331" s="182">
        <f>ROUND(($D$346/'Blocking - detail'!$C$346)*C331,0)</f>
        <v>38537</v>
      </c>
      <c r="E331" s="162">
        <v>7.5869999999999997</v>
      </c>
      <c r="F331" s="186" t="s">
        <v>178</v>
      </c>
      <c r="G331" s="2">
        <f>ROUND(E331*$C331/100,0)</f>
        <v>2527</v>
      </c>
      <c r="H331" s="2">
        <f>ROUND(E331*$D331/100,0)</f>
        <v>2924</v>
      </c>
      <c r="I331" s="162">
        <f>$I$159</f>
        <v>8.0890000000000004</v>
      </c>
      <c r="J331" s="186" t="s">
        <v>178</v>
      </c>
      <c r="K331" s="2">
        <f>ROUND(I331*$D331/100,0)</f>
        <v>3117</v>
      </c>
      <c r="AE331" s="42"/>
    </row>
    <row r="332" spans="1:31">
      <c r="A332" s="1" t="s">
        <v>202</v>
      </c>
      <c r="B332" s="1"/>
      <c r="C332" s="182">
        <v>0</v>
      </c>
      <c r="D332" s="182">
        <v>0</v>
      </c>
      <c r="E332" s="162">
        <v>5.2370000000000001</v>
      </c>
      <c r="F332" s="186" t="s">
        <v>178</v>
      </c>
      <c r="G332" s="2">
        <f>ROUND(E332*$C332/100,0)</f>
        <v>0</v>
      </c>
      <c r="H332" s="2">
        <f>ROUND(E332*$D332/100,0)</f>
        <v>0</v>
      </c>
      <c r="I332" s="162">
        <f>$I$160</f>
        <v>5.5839999999999996</v>
      </c>
      <c r="J332" s="186" t="s">
        <v>178</v>
      </c>
      <c r="K332" s="2">
        <f>ROUND(I332*$D332/100,0)</f>
        <v>0</v>
      </c>
      <c r="AE332" s="42"/>
    </row>
    <row r="333" spans="1:31">
      <c r="A333" s="1" t="s">
        <v>203</v>
      </c>
      <c r="B333" s="1"/>
      <c r="C333" s="182">
        <f>33313-C331</f>
        <v>0</v>
      </c>
      <c r="D333" s="182">
        <v>0</v>
      </c>
      <c r="E333" s="162">
        <v>4.5129999999999999</v>
      </c>
      <c r="F333" s="186" t="s">
        <v>178</v>
      </c>
      <c r="G333" s="2">
        <f>ROUND(E333*$C333/100,0)</f>
        <v>0</v>
      </c>
      <c r="H333" s="2">
        <f>ROUND(E333*$D333/100,0)</f>
        <v>0</v>
      </c>
      <c r="I333" s="162">
        <f>$I$161</f>
        <v>4.8100000000000005</v>
      </c>
      <c r="J333" s="186" t="s">
        <v>178</v>
      </c>
      <c r="K333" s="2">
        <f>ROUND(I333*$D333/100,0)</f>
        <v>0</v>
      </c>
      <c r="AE333" s="42"/>
    </row>
    <row r="334" spans="1:31">
      <c r="A334" s="1" t="s">
        <v>204</v>
      </c>
      <c r="B334" s="1"/>
      <c r="C334" s="182">
        <v>0</v>
      </c>
      <c r="D334" s="182">
        <v>0</v>
      </c>
      <c r="E334" s="193">
        <v>45</v>
      </c>
      <c r="F334" s="184" t="s">
        <v>178</v>
      </c>
      <c r="G334" s="2">
        <f>ROUND(E334*$C334/100,0)</f>
        <v>0</v>
      </c>
      <c r="H334" s="2">
        <f>ROUND(E334*$D334/100,0)</f>
        <v>0</v>
      </c>
      <c r="I334" s="193">
        <f>$I$162</f>
        <v>45</v>
      </c>
      <c r="J334" s="186" t="s">
        <v>178</v>
      </c>
      <c r="K334" s="2">
        <f>ROUND(I334*$D334/100,0)</f>
        <v>0</v>
      </c>
      <c r="AE334" s="42"/>
    </row>
    <row r="335" spans="1:31">
      <c r="A335" s="194" t="s">
        <v>205</v>
      </c>
      <c r="B335" s="1"/>
      <c r="C335" s="182"/>
      <c r="D335" s="182"/>
      <c r="E335" s="195">
        <v>-0.01</v>
      </c>
      <c r="F335" s="184"/>
      <c r="G335" s="2"/>
      <c r="H335" s="2"/>
      <c r="I335" s="195">
        <f>$I$163</f>
        <v>-0.01</v>
      </c>
      <c r="J335" s="186"/>
      <c r="K335" s="2"/>
      <c r="AE335" s="42"/>
    </row>
    <row r="336" spans="1:31">
      <c r="A336" s="1" t="s">
        <v>194</v>
      </c>
      <c r="B336" s="1"/>
      <c r="C336" s="182">
        <v>0</v>
      </c>
      <c r="D336" s="182">
        <v>0</v>
      </c>
      <c r="E336" s="197">
        <f>E325</f>
        <v>7</v>
      </c>
      <c r="F336" s="184"/>
      <c r="G336" s="2">
        <f>-ROUND(E336*$C336/100,0)</f>
        <v>0</v>
      </c>
      <c r="H336" s="2">
        <f t="shared" ref="H336:H345" si="31">-ROUND(E336*$D336/100,0)</f>
        <v>0</v>
      </c>
      <c r="I336" s="197">
        <f>I326</f>
        <v>11.18</v>
      </c>
      <c r="J336" s="184"/>
      <c r="K336" s="2">
        <f>-ROUND(I336*$D336/100,0)</f>
        <v>0</v>
      </c>
      <c r="AE336" s="42"/>
    </row>
    <row r="337" spans="1:31">
      <c r="A337" s="1" t="s">
        <v>195</v>
      </c>
      <c r="B337" s="1"/>
      <c r="C337" s="182">
        <v>0</v>
      </c>
      <c r="D337" s="182">
        <v>0</v>
      </c>
      <c r="E337" s="197">
        <f>E326</f>
        <v>10.4</v>
      </c>
      <c r="F337" s="184"/>
      <c r="G337" s="2">
        <f>-ROUND(E337*$C337/100,0)</f>
        <v>0</v>
      </c>
      <c r="H337" s="2">
        <f t="shared" si="31"/>
        <v>0</v>
      </c>
      <c r="I337" s="197">
        <f>I327</f>
        <v>0.78</v>
      </c>
      <c r="J337" s="184"/>
      <c r="K337" s="2">
        <f>-ROUND(I337*$D337/100,0)</f>
        <v>0</v>
      </c>
      <c r="AE337" s="42"/>
    </row>
    <row r="338" spans="1:31">
      <c r="A338" s="1" t="s">
        <v>206</v>
      </c>
      <c r="B338" s="1"/>
      <c r="C338" s="182">
        <v>0</v>
      </c>
      <c r="D338" s="182">
        <v>0</v>
      </c>
      <c r="E338" s="197">
        <f>E327</f>
        <v>0.69</v>
      </c>
      <c r="F338" s="184"/>
      <c r="G338" s="2">
        <f>-ROUND(E338*$C338/100,0)</f>
        <v>0</v>
      </c>
      <c r="H338" s="2">
        <f t="shared" si="31"/>
        <v>0</v>
      </c>
      <c r="I338" s="197">
        <f>I328</f>
        <v>0</v>
      </c>
      <c r="J338" s="184"/>
      <c r="K338" s="2">
        <f>-ROUND(I338*$D338/100,0)</f>
        <v>0</v>
      </c>
      <c r="AE338" s="42"/>
    </row>
    <row r="339" spans="1:31">
      <c r="A339" s="1" t="s">
        <v>207</v>
      </c>
      <c r="B339" s="1"/>
      <c r="C339" s="182">
        <v>0</v>
      </c>
      <c r="D339" s="182">
        <v>0</v>
      </c>
      <c r="E339" s="197">
        <f>E330</f>
        <v>2.81</v>
      </c>
      <c r="F339" s="186"/>
      <c r="G339" s="2">
        <f>-ROUND(E339*$C339/100,0)</f>
        <v>0</v>
      </c>
      <c r="H339" s="2">
        <f t="shared" si="31"/>
        <v>0</v>
      </c>
      <c r="I339" s="197">
        <f>I330</f>
        <v>2.88</v>
      </c>
      <c r="J339" s="186"/>
      <c r="K339" s="2">
        <f>-ROUND(I339*$D339/100,0)</f>
        <v>0</v>
      </c>
      <c r="AE339" s="42"/>
    </row>
    <row r="340" spans="1:31">
      <c r="A340" s="1" t="s">
        <v>209</v>
      </c>
      <c r="B340" s="1"/>
      <c r="C340" s="182">
        <v>0</v>
      </c>
      <c r="D340" s="182">
        <v>0</v>
      </c>
      <c r="E340" s="198">
        <f>E331</f>
        <v>7.5869999999999997</v>
      </c>
      <c r="F340" s="186" t="s">
        <v>178</v>
      </c>
      <c r="G340" s="2">
        <f>ROUND(E340*$C340/100*E335,0)</f>
        <v>0</v>
      </c>
      <c r="H340" s="2">
        <f t="shared" si="31"/>
        <v>0</v>
      </c>
      <c r="I340" s="198">
        <f>I331</f>
        <v>8.0890000000000004</v>
      </c>
      <c r="J340" s="186" t="s">
        <v>178</v>
      </c>
      <c r="K340" s="2">
        <f>ROUND(I340*$D340/100*I335,0)</f>
        <v>0</v>
      </c>
      <c r="AE340" s="42"/>
    </row>
    <row r="341" spans="1:31">
      <c r="A341" s="1" t="s">
        <v>202</v>
      </c>
      <c r="B341" s="1"/>
      <c r="C341" s="182">
        <v>0</v>
      </c>
      <c r="D341" s="182">
        <v>0</v>
      </c>
      <c r="E341" s="198">
        <f>E332</f>
        <v>5.2370000000000001</v>
      </c>
      <c r="F341" s="186" t="s">
        <v>178</v>
      </c>
      <c r="G341" s="2">
        <f>ROUND(E341*$C341/100*E335,0)</f>
        <v>0</v>
      </c>
      <c r="H341" s="2">
        <f t="shared" si="31"/>
        <v>0</v>
      </c>
      <c r="I341" s="198">
        <f>I332</f>
        <v>5.5839999999999996</v>
      </c>
      <c r="J341" s="186" t="s">
        <v>178</v>
      </c>
      <c r="K341" s="2">
        <f>ROUND(I341*$D341/100*I335,0)</f>
        <v>0</v>
      </c>
      <c r="AE341" s="42"/>
    </row>
    <row r="342" spans="1:31">
      <c r="A342" s="1" t="s">
        <v>203</v>
      </c>
      <c r="B342" s="1"/>
      <c r="C342" s="182">
        <v>0</v>
      </c>
      <c r="D342" s="182">
        <v>0</v>
      </c>
      <c r="E342" s="198">
        <f>E333</f>
        <v>4.5129999999999999</v>
      </c>
      <c r="F342" s="186" t="s">
        <v>178</v>
      </c>
      <c r="G342" s="2">
        <f>ROUND(E342*$C342/100*E335,0)</f>
        <v>0</v>
      </c>
      <c r="H342" s="2">
        <f t="shared" si="31"/>
        <v>0</v>
      </c>
      <c r="I342" s="198">
        <f>I333</f>
        <v>4.8100000000000005</v>
      </c>
      <c r="J342" s="186" t="s">
        <v>178</v>
      </c>
      <c r="K342" s="2">
        <f>ROUND(I342*$D342/100*I335,0)</f>
        <v>0</v>
      </c>
      <c r="AE342" s="42"/>
    </row>
    <row r="343" spans="1:31">
      <c r="A343" s="1" t="s">
        <v>204</v>
      </c>
      <c r="B343" s="1"/>
      <c r="C343" s="182">
        <v>0</v>
      </c>
      <c r="D343" s="182">
        <v>0</v>
      </c>
      <c r="E343" s="199">
        <f>E334</f>
        <v>45</v>
      </c>
      <c r="F343" s="186" t="s">
        <v>178</v>
      </c>
      <c r="G343" s="2">
        <f>ROUND(E343*$C343/100*E335,0)</f>
        <v>0</v>
      </c>
      <c r="H343" s="2">
        <f t="shared" si="31"/>
        <v>0</v>
      </c>
      <c r="I343" s="199">
        <f>I334</f>
        <v>45</v>
      </c>
      <c r="J343" s="186" t="s">
        <v>178</v>
      </c>
      <c r="K343" s="2">
        <f>ROUND(I343*$D343/100*I335,0)</f>
        <v>0</v>
      </c>
      <c r="AE343" s="42"/>
    </row>
    <row r="344" spans="1:31">
      <c r="A344" s="1" t="s">
        <v>211</v>
      </c>
      <c r="B344" s="1"/>
      <c r="C344" s="182">
        <v>0</v>
      </c>
      <c r="D344" s="182">
        <v>0</v>
      </c>
      <c r="E344" s="200">
        <v>60</v>
      </c>
      <c r="F344" s="184"/>
      <c r="G344" s="2">
        <f>ROUND(E344*$C344,0)</f>
        <v>0</v>
      </c>
      <c r="H344" s="2">
        <f t="shared" si="31"/>
        <v>0</v>
      </c>
      <c r="I344" s="200">
        <f>$I$172</f>
        <v>60</v>
      </c>
      <c r="J344" s="186"/>
      <c r="K344" s="2">
        <f>ROUND(I344*$D344,0)</f>
        <v>0</v>
      </c>
      <c r="AE344" s="42"/>
    </row>
    <row r="345" spans="1:31">
      <c r="A345" s="1" t="s">
        <v>212</v>
      </c>
      <c r="B345" s="1"/>
      <c r="C345" s="182">
        <v>0</v>
      </c>
      <c r="D345" s="182">
        <v>0</v>
      </c>
      <c r="E345" s="202">
        <v>-30</v>
      </c>
      <c r="F345" s="184" t="s">
        <v>178</v>
      </c>
      <c r="G345" s="2">
        <f>ROUND(E345*$C345/100,0)</f>
        <v>0</v>
      </c>
      <c r="H345" s="2">
        <f t="shared" si="31"/>
        <v>0</v>
      </c>
      <c r="I345" s="202">
        <f>$I$173</f>
        <v>-30</v>
      </c>
      <c r="J345" s="186" t="s">
        <v>178</v>
      </c>
      <c r="K345" s="2">
        <f>ROUND(I345*$D345/100,0)</f>
        <v>0</v>
      </c>
      <c r="AE345" s="42"/>
    </row>
    <row r="346" spans="1:31">
      <c r="A346" s="1" t="s">
        <v>185</v>
      </c>
      <c r="B346" s="1"/>
      <c r="C346" s="182">
        <f>SUM(C331:C333)</f>
        <v>33313</v>
      </c>
      <c r="D346" s="182">
        <v>38537</v>
      </c>
      <c r="E346" s="193"/>
      <c r="F346" s="2"/>
      <c r="G346" s="2">
        <f>SUM(G325:G345)</f>
        <v>6139</v>
      </c>
      <c r="H346" s="2">
        <f>SUM(H325:H345)</f>
        <v>6536</v>
      </c>
      <c r="I346" s="193"/>
      <c r="J346" s="186"/>
      <c r="K346" s="2">
        <f>SUM(K325:K345)</f>
        <v>7002</v>
      </c>
      <c r="AE346" s="42"/>
    </row>
    <row r="347" spans="1:31">
      <c r="A347" s="1" t="s">
        <v>167</v>
      </c>
      <c r="B347" s="1"/>
      <c r="C347" s="212">
        <v>-750.87972231873164</v>
      </c>
      <c r="D347" s="203">
        <v>0</v>
      </c>
      <c r="E347" s="172"/>
      <c r="F347" s="172"/>
      <c r="G347" s="204">
        <v>-108.69861545937974</v>
      </c>
      <c r="H347" s="204">
        <v>0</v>
      </c>
      <c r="I347" s="172"/>
      <c r="J347" s="172"/>
      <c r="K347" s="204">
        <v>0</v>
      </c>
      <c r="M347" s="152"/>
      <c r="N347" s="152"/>
      <c r="O347" s="153"/>
      <c r="AE347" s="42"/>
    </row>
    <row r="348" spans="1:31" ht="16.5" thickBot="1">
      <c r="A348" s="1" t="s">
        <v>186</v>
      </c>
      <c r="B348" s="1"/>
      <c r="C348" s="174">
        <f>SUM(C346:C347)</f>
        <v>32562.120277681268</v>
      </c>
      <c r="D348" s="174">
        <f>SUM(D346:D347)</f>
        <v>38537</v>
      </c>
      <c r="E348" s="205"/>
      <c r="F348" s="206"/>
      <c r="G348" s="207">
        <f>G346+G347</f>
        <v>6030.3013845406203</v>
      </c>
      <c r="H348" s="207">
        <f>H346+H347</f>
        <v>6536</v>
      </c>
      <c r="I348" s="205"/>
      <c r="J348" s="208"/>
      <c r="K348" s="207">
        <f>K346+K347</f>
        <v>7002</v>
      </c>
      <c r="M348" s="154"/>
      <c r="N348" s="154"/>
      <c r="O348" s="155"/>
      <c r="AE348" s="42"/>
    </row>
    <row r="349" spans="1:31" ht="16.5" thickTop="1">
      <c r="A349" s="1"/>
      <c r="B349" s="1"/>
      <c r="C349" s="12"/>
      <c r="D349" s="12"/>
      <c r="E349" s="200"/>
      <c r="F349" s="2"/>
      <c r="G349" s="2"/>
      <c r="H349" s="2"/>
      <c r="I349" s="216" t="s">
        <v>13</v>
      </c>
      <c r="J349" s="1"/>
      <c r="K349" s="2" t="s">
        <v>13</v>
      </c>
      <c r="AE349" s="42"/>
    </row>
    <row r="350" spans="1:31">
      <c r="A350" s="1"/>
      <c r="B350" s="1"/>
      <c r="C350" s="12"/>
      <c r="D350" s="12"/>
      <c r="E350" s="200"/>
      <c r="F350" s="2"/>
      <c r="G350" s="2"/>
      <c r="H350" s="2"/>
      <c r="I350" s="216" t="s">
        <v>13</v>
      </c>
      <c r="J350" s="1"/>
      <c r="K350" s="2" t="s">
        <v>13</v>
      </c>
      <c r="AE350" s="42"/>
    </row>
    <row r="351" spans="1:31">
      <c r="A351" s="156" t="s">
        <v>221</v>
      </c>
      <c r="B351" s="1"/>
      <c r="C351" s="1"/>
      <c r="D351" s="1"/>
      <c r="E351" s="2"/>
      <c r="F351" s="2"/>
      <c r="G351" s="1" t="s">
        <v>13</v>
      </c>
      <c r="H351" s="1"/>
      <c r="I351" s="2"/>
      <c r="J351" s="1"/>
      <c r="K351" s="1"/>
      <c r="AE351" s="42"/>
    </row>
    <row r="352" spans="1:31">
      <c r="A352" s="1" t="s">
        <v>214</v>
      </c>
      <c r="B352" s="1"/>
      <c r="C352" s="1"/>
      <c r="D352" s="1"/>
      <c r="E352" s="2"/>
      <c r="F352" s="2"/>
      <c r="G352" s="1"/>
      <c r="H352" s="1"/>
      <c r="I352" s="2"/>
      <c r="J352" s="1"/>
      <c r="K352" s="1"/>
    </row>
    <row r="353" spans="1:11">
      <c r="A353" s="1" t="s">
        <v>222</v>
      </c>
      <c r="B353" s="1"/>
      <c r="C353" s="1"/>
      <c r="D353" s="1"/>
      <c r="E353" s="2"/>
      <c r="F353" s="2"/>
      <c r="G353" s="1"/>
      <c r="H353" s="1"/>
      <c r="I353" s="2"/>
      <c r="J353" s="1"/>
      <c r="K353" s="1"/>
    </row>
    <row r="354" spans="1:11">
      <c r="A354" s="1" t="s">
        <v>197</v>
      </c>
      <c r="B354" s="1"/>
      <c r="C354" s="182"/>
      <c r="D354" s="182"/>
      <c r="E354" s="2"/>
      <c r="F354" s="2"/>
      <c r="G354" s="1"/>
      <c r="H354" s="1"/>
      <c r="I354" s="2"/>
      <c r="J354" s="1"/>
      <c r="K354" s="1"/>
    </row>
    <row r="355" spans="1:11">
      <c r="A355" s="1" t="s">
        <v>194</v>
      </c>
      <c r="B355" s="1"/>
      <c r="C355" s="182">
        <f t="shared" ref="C355:D364" si="32">C384+C413</f>
        <v>1</v>
      </c>
      <c r="D355" s="182">
        <f t="shared" si="32"/>
        <v>1</v>
      </c>
      <c r="E355" s="161">
        <v>84</v>
      </c>
      <c r="F355" s="184"/>
      <c r="G355" s="2">
        <f t="shared" ref="G355:H357" si="33">G384+G413</f>
        <v>84</v>
      </c>
      <c r="H355" s="2">
        <f t="shared" si="33"/>
        <v>84</v>
      </c>
      <c r="I355" s="161">
        <f>$I$149</f>
        <v>90.36</v>
      </c>
      <c r="J355" s="186"/>
      <c r="K355" s="2">
        <f>K384+K413</f>
        <v>90</v>
      </c>
    </row>
    <row r="356" spans="1:11">
      <c r="A356" s="1" t="s">
        <v>195</v>
      </c>
      <c r="B356" s="1"/>
      <c r="C356" s="182">
        <f t="shared" si="32"/>
        <v>112</v>
      </c>
      <c r="D356" s="182">
        <f t="shared" si="32"/>
        <v>109</v>
      </c>
      <c r="E356" s="161">
        <v>124.8</v>
      </c>
      <c r="F356" s="187"/>
      <c r="G356" s="2">
        <f t="shared" si="33"/>
        <v>13978</v>
      </c>
      <c r="H356" s="2">
        <f t="shared" si="33"/>
        <v>13603</v>
      </c>
      <c r="I356" s="161">
        <f>$I$150</f>
        <v>134.16</v>
      </c>
      <c r="J356" s="188"/>
      <c r="K356" s="2">
        <f>K385+K414</f>
        <v>14623</v>
      </c>
    </row>
    <row r="357" spans="1:11">
      <c r="A357" s="1" t="s">
        <v>196</v>
      </c>
      <c r="B357" s="1"/>
      <c r="C357" s="182">
        <f t="shared" si="32"/>
        <v>4566</v>
      </c>
      <c r="D357" s="182">
        <f t="shared" si="32"/>
        <v>3312</v>
      </c>
      <c r="E357" s="161">
        <v>8.2799999999999994</v>
      </c>
      <c r="F357" s="187"/>
      <c r="G357" s="2">
        <f t="shared" si="33"/>
        <v>37806</v>
      </c>
      <c r="H357" s="2">
        <f t="shared" si="33"/>
        <v>27423</v>
      </c>
      <c r="I357" s="161">
        <f>$I$151</f>
        <v>9.36</v>
      </c>
      <c r="J357" s="188"/>
      <c r="K357" s="2">
        <f>K386+K415</f>
        <v>31000</v>
      </c>
    </row>
    <row r="358" spans="1:11">
      <c r="A358" s="1" t="s">
        <v>198</v>
      </c>
      <c r="B358" s="1"/>
      <c r="C358" s="182">
        <f t="shared" si="32"/>
        <v>113</v>
      </c>
      <c r="D358" s="182">
        <f t="shared" si="32"/>
        <v>109.75</v>
      </c>
      <c r="E358" s="161"/>
      <c r="F358" s="184"/>
      <c r="G358" s="2"/>
      <c r="H358" s="2"/>
      <c r="I358" s="161"/>
      <c r="J358" s="186"/>
      <c r="K358" s="2"/>
    </row>
    <row r="359" spans="1:11">
      <c r="A359" s="1" t="s">
        <v>223</v>
      </c>
      <c r="B359" s="1"/>
      <c r="C359" s="182">
        <f t="shared" si="32"/>
        <v>511</v>
      </c>
      <c r="D359" s="182">
        <f t="shared" si="32"/>
        <v>497</v>
      </c>
      <c r="E359" s="161"/>
      <c r="F359" s="184"/>
      <c r="G359" s="2"/>
      <c r="H359" s="2"/>
      <c r="I359" s="161"/>
      <c r="J359" s="186"/>
      <c r="K359" s="2"/>
    </row>
    <row r="360" spans="1:11">
      <c r="A360" s="1" t="s">
        <v>199</v>
      </c>
      <c r="B360" s="1"/>
      <c r="C360" s="182">
        <f t="shared" si="32"/>
        <v>12874</v>
      </c>
      <c r="D360" s="182">
        <f t="shared" si="32"/>
        <v>9698</v>
      </c>
      <c r="E360" s="189">
        <v>2.81</v>
      </c>
      <c r="F360" s="186"/>
      <c r="G360" s="2">
        <f t="shared" ref="G360:H364" si="34">G389+G418</f>
        <v>36176</v>
      </c>
      <c r="H360" s="2">
        <f t="shared" si="34"/>
        <v>27251</v>
      </c>
      <c r="I360" s="189">
        <f>$I$158</f>
        <v>2.88</v>
      </c>
      <c r="J360" s="186"/>
      <c r="K360" s="2">
        <f>K389+K418</f>
        <v>27931</v>
      </c>
    </row>
    <row r="361" spans="1:11">
      <c r="A361" s="1" t="s">
        <v>201</v>
      </c>
      <c r="B361" s="1"/>
      <c r="C361" s="182">
        <f t="shared" si="32"/>
        <v>184406</v>
      </c>
      <c r="D361" s="182">
        <f t="shared" si="32"/>
        <v>137037</v>
      </c>
      <c r="E361" s="162">
        <v>7.5869999999999997</v>
      </c>
      <c r="F361" s="186" t="s">
        <v>178</v>
      </c>
      <c r="G361" s="2">
        <f t="shared" si="34"/>
        <v>13991</v>
      </c>
      <c r="H361" s="2">
        <f t="shared" si="34"/>
        <v>10397</v>
      </c>
      <c r="I361" s="162">
        <f>$I$159</f>
        <v>8.0890000000000004</v>
      </c>
      <c r="J361" s="186" t="s">
        <v>178</v>
      </c>
      <c r="K361" s="2">
        <f>K390+K419</f>
        <v>11085</v>
      </c>
    </row>
    <row r="362" spans="1:11">
      <c r="A362" s="1" t="s">
        <v>202</v>
      </c>
      <c r="B362" s="1"/>
      <c r="C362" s="182">
        <f t="shared" si="32"/>
        <v>224259</v>
      </c>
      <c r="D362" s="182">
        <f t="shared" si="32"/>
        <v>163082</v>
      </c>
      <c r="E362" s="162">
        <v>5.2370000000000001</v>
      </c>
      <c r="F362" s="186" t="s">
        <v>178</v>
      </c>
      <c r="G362" s="2">
        <f t="shared" si="34"/>
        <v>11745</v>
      </c>
      <c r="H362" s="2">
        <f t="shared" si="34"/>
        <v>8541</v>
      </c>
      <c r="I362" s="162">
        <f>$I$160</f>
        <v>5.5839999999999996</v>
      </c>
      <c r="J362" s="186" t="s">
        <v>178</v>
      </c>
      <c r="K362" s="2">
        <f>K391+K420</f>
        <v>9107</v>
      </c>
    </row>
    <row r="363" spans="1:11">
      <c r="A363" s="1" t="s">
        <v>203</v>
      </c>
      <c r="B363" s="1"/>
      <c r="C363" s="182">
        <f t="shared" si="32"/>
        <v>0</v>
      </c>
      <c r="D363" s="182">
        <f t="shared" si="32"/>
        <v>0</v>
      </c>
      <c r="E363" s="162">
        <v>4.5129999999999999</v>
      </c>
      <c r="F363" s="186" t="s">
        <v>178</v>
      </c>
      <c r="G363" s="2">
        <f t="shared" si="34"/>
        <v>0</v>
      </c>
      <c r="H363" s="2">
        <f t="shared" si="34"/>
        <v>0</v>
      </c>
      <c r="I363" s="162">
        <f>$I$161</f>
        <v>4.8100000000000005</v>
      </c>
      <c r="J363" s="186" t="s">
        <v>178</v>
      </c>
      <c r="K363" s="2">
        <f>K392+K421</f>
        <v>0</v>
      </c>
    </row>
    <row r="364" spans="1:11">
      <c r="A364" s="1" t="s">
        <v>204</v>
      </c>
      <c r="B364" s="1"/>
      <c r="C364" s="182">
        <f t="shared" si="32"/>
        <v>1798</v>
      </c>
      <c r="D364" s="182">
        <f t="shared" si="32"/>
        <v>1304</v>
      </c>
      <c r="E364" s="193">
        <v>45</v>
      </c>
      <c r="F364" s="184" t="s">
        <v>178</v>
      </c>
      <c r="G364" s="2">
        <f t="shared" si="34"/>
        <v>809</v>
      </c>
      <c r="H364" s="2">
        <f t="shared" si="34"/>
        <v>587</v>
      </c>
      <c r="I364" s="193">
        <f>$I$162</f>
        <v>45</v>
      </c>
      <c r="J364" s="186" t="s">
        <v>178</v>
      </c>
      <c r="K364" s="2">
        <f>K393+K422</f>
        <v>587</v>
      </c>
    </row>
    <row r="365" spans="1:11">
      <c r="A365" s="194" t="s">
        <v>205</v>
      </c>
      <c r="B365" s="1"/>
      <c r="C365" s="182"/>
      <c r="D365" s="182"/>
      <c r="E365" s="195">
        <v>-0.01</v>
      </c>
      <c r="F365" s="184"/>
      <c r="G365" s="2"/>
      <c r="H365" s="2"/>
      <c r="I365" s="195">
        <f>$I$163</f>
        <v>-0.01</v>
      </c>
      <c r="J365" s="186"/>
      <c r="K365" s="2"/>
    </row>
    <row r="366" spans="1:11">
      <c r="A366" s="1" t="s">
        <v>194</v>
      </c>
      <c r="B366" s="1"/>
      <c r="C366" s="182">
        <v>0</v>
      </c>
      <c r="D366" s="182">
        <v>0</v>
      </c>
      <c r="E366" s="197">
        <f>E355</f>
        <v>84</v>
      </c>
      <c r="F366" s="184"/>
      <c r="G366" s="2">
        <f t="shared" ref="G366:H377" si="35">G395+G424</f>
        <v>0</v>
      </c>
      <c r="H366" s="2">
        <f t="shared" si="35"/>
        <v>0</v>
      </c>
      <c r="I366" s="197">
        <f>I355</f>
        <v>90.36</v>
      </c>
      <c r="J366" s="184"/>
      <c r="K366" s="2">
        <f t="shared" ref="K366:K377" si="36">K395+K424</f>
        <v>0</v>
      </c>
    </row>
    <row r="367" spans="1:11">
      <c r="A367" s="1" t="s">
        <v>195</v>
      </c>
      <c r="B367" s="1"/>
      <c r="C367" s="182">
        <v>0</v>
      </c>
      <c r="D367" s="182">
        <v>0</v>
      </c>
      <c r="E367" s="197">
        <f>E356</f>
        <v>124.8</v>
      </c>
      <c r="F367" s="184"/>
      <c r="G367" s="2">
        <f t="shared" si="35"/>
        <v>0</v>
      </c>
      <c r="H367" s="2">
        <f t="shared" si="35"/>
        <v>0</v>
      </c>
      <c r="I367" s="197">
        <f>I356</f>
        <v>134.16</v>
      </c>
      <c r="J367" s="184"/>
      <c r="K367" s="2">
        <f t="shared" si="36"/>
        <v>0</v>
      </c>
    </row>
    <row r="368" spans="1:11">
      <c r="A368" s="1" t="s">
        <v>206</v>
      </c>
      <c r="B368" s="1"/>
      <c r="C368" s="182">
        <v>0</v>
      </c>
      <c r="D368" s="182">
        <v>0</v>
      </c>
      <c r="E368" s="197">
        <f>E357</f>
        <v>8.2799999999999994</v>
      </c>
      <c r="F368" s="184"/>
      <c r="G368" s="2">
        <f t="shared" si="35"/>
        <v>0</v>
      </c>
      <c r="H368" s="2">
        <f t="shared" si="35"/>
        <v>0</v>
      </c>
      <c r="I368" s="197">
        <f>I357</f>
        <v>9.36</v>
      </c>
      <c r="J368" s="184"/>
      <c r="K368" s="2">
        <f t="shared" si="36"/>
        <v>0</v>
      </c>
    </row>
    <row r="369" spans="1:15">
      <c r="A369" s="1" t="s">
        <v>207</v>
      </c>
      <c r="B369" s="1"/>
      <c r="C369" s="182">
        <v>0</v>
      </c>
      <c r="D369" s="182">
        <v>0</v>
      </c>
      <c r="E369" s="197">
        <f>E360</f>
        <v>2.81</v>
      </c>
      <c r="F369" s="186"/>
      <c r="G369" s="2">
        <f t="shared" si="35"/>
        <v>0</v>
      </c>
      <c r="H369" s="2">
        <f t="shared" si="35"/>
        <v>0</v>
      </c>
      <c r="I369" s="197">
        <f>I360</f>
        <v>2.88</v>
      </c>
      <c r="J369" s="186"/>
      <c r="K369" s="2">
        <f t="shared" si="36"/>
        <v>0</v>
      </c>
    </row>
    <row r="370" spans="1:15">
      <c r="A370" s="1" t="s">
        <v>209</v>
      </c>
      <c r="B370" s="1"/>
      <c r="C370" s="182">
        <v>0</v>
      </c>
      <c r="D370" s="182">
        <v>0</v>
      </c>
      <c r="E370" s="198">
        <f>E361</f>
        <v>7.5869999999999997</v>
      </c>
      <c r="F370" s="186" t="s">
        <v>178</v>
      </c>
      <c r="G370" s="2">
        <f t="shared" si="35"/>
        <v>0</v>
      </c>
      <c r="H370" s="2">
        <f t="shared" si="35"/>
        <v>0</v>
      </c>
      <c r="I370" s="198">
        <f>I361</f>
        <v>8.0890000000000004</v>
      </c>
      <c r="J370" s="186" t="s">
        <v>178</v>
      </c>
      <c r="K370" s="2">
        <f t="shared" si="36"/>
        <v>0</v>
      </c>
    </row>
    <row r="371" spans="1:15">
      <c r="A371" s="1" t="s">
        <v>202</v>
      </c>
      <c r="B371" s="1"/>
      <c r="C371" s="182">
        <v>0</v>
      </c>
      <c r="D371" s="182">
        <v>0</v>
      </c>
      <c r="E371" s="198">
        <f>E362</f>
        <v>5.2370000000000001</v>
      </c>
      <c r="F371" s="186" t="s">
        <v>178</v>
      </c>
      <c r="G371" s="2">
        <f t="shared" si="35"/>
        <v>0</v>
      </c>
      <c r="H371" s="2">
        <f t="shared" si="35"/>
        <v>0</v>
      </c>
      <c r="I371" s="198">
        <f>I362</f>
        <v>5.5839999999999996</v>
      </c>
      <c r="J371" s="186" t="s">
        <v>178</v>
      </c>
      <c r="K371" s="2">
        <f t="shared" si="36"/>
        <v>0</v>
      </c>
    </row>
    <row r="372" spans="1:15">
      <c r="A372" s="1" t="s">
        <v>203</v>
      </c>
      <c r="B372" s="1"/>
      <c r="C372" s="182">
        <v>0</v>
      </c>
      <c r="D372" s="182">
        <v>0</v>
      </c>
      <c r="E372" s="198">
        <f>E363</f>
        <v>4.5129999999999999</v>
      </c>
      <c r="F372" s="186" t="s">
        <v>178</v>
      </c>
      <c r="G372" s="2">
        <f t="shared" si="35"/>
        <v>0</v>
      </c>
      <c r="H372" s="2">
        <f t="shared" si="35"/>
        <v>0</v>
      </c>
      <c r="I372" s="198">
        <f>I363</f>
        <v>4.8100000000000005</v>
      </c>
      <c r="J372" s="186" t="s">
        <v>178</v>
      </c>
      <c r="K372" s="2">
        <f t="shared" si="36"/>
        <v>0</v>
      </c>
    </row>
    <row r="373" spans="1:15">
      <c r="A373" s="1" t="s">
        <v>204</v>
      </c>
      <c r="B373" s="1"/>
      <c r="C373" s="182">
        <v>0</v>
      </c>
      <c r="D373" s="182">
        <v>0</v>
      </c>
      <c r="E373" s="199">
        <f>E364</f>
        <v>45</v>
      </c>
      <c r="F373" s="186" t="s">
        <v>178</v>
      </c>
      <c r="G373" s="2">
        <f t="shared" si="35"/>
        <v>0</v>
      </c>
      <c r="H373" s="2">
        <f t="shared" si="35"/>
        <v>0</v>
      </c>
      <c r="I373" s="199">
        <f>I364</f>
        <v>45</v>
      </c>
      <c r="J373" s="186" t="s">
        <v>178</v>
      </c>
      <c r="K373" s="2">
        <f t="shared" si="36"/>
        <v>0</v>
      </c>
    </row>
    <row r="374" spans="1:15">
      <c r="A374" s="1" t="s">
        <v>211</v>
      </c>
      <c r="B374" s="1"/>
      <c r="C374" s="182">
        <v>0</v>
      </c>
      <c r="D374" s="182">
        <v>0</v>
      </c>
      <c r="E374" s="200">
        <v>60</v>
      </c>
      <c r="F374" s="184"/>
      <c r="G374" s="2">
        <f t="shared" si="35"/>
        <v>0</v>
      </c>
      <c r="H374" s="2">
        <f t="shared" si="35"/>
        <v>0</v>
      </c>
      <c r="I374" s="200">
        <f>$I$172</f>
        <v>60</v>
      </c>
      <c r="J374" s="186"/>
      <c r="K374" s="2">
        <f t="shared" si="36"/>
        <v>0</v>
      </c>
    </row>
    <row r="375" spans="1:15">
      <c r="A375" s="1" t="s">
        <v>212</v>
      </c>
      <c r="B375" s="1"/>
      <c r="C375" s="182">
        <v>0</v>
      </c>
      <c r="D375" s="182">
        <v>0</v>
      </c>
      <c r="E375" s="202">
        <v>-30</v>
      </c>
      <c r="F375" s="184" t="s">
        <v>178</v>
      </c>
      <c r="G375" s="2">
        <f t="shared" si="35"/>
        <v>0</v>
      </c>
      <c r="H375" s="2">
        <f t="shared" si="35"/>
        <v>0</v>
      </c>
      <c r="I375" s="202">
        <f>$I$173</f>
        <v>-30</v>
      </c>
      <c r="J375" s="186" t="s">
        <v>178</v>
      </c>
      <c r="K375" s="2">
        <f t="shared" si="36"/>
        <v>0</v>
      </c>
    </row>
    <row r="376" spans="1:15">
      <c r="A376" s="1" t="s">
        <v>185</v>
      </c>
      <c r="B376" s="1"/>
      <c r="C376" s="182">
        <f>C405+C434</f>
        <v>408665</v>
      </c>
      <c r="D376" s="182">
        <f>D405+D434</f>
        <v>300118.64975971833</v>
      </c>
      <c r="E376" s="193"/>
      <c r="F376" s="2"/>
      <c r="G376" s="2">
        <f t="shared" si="35"/>
        <v>114589</v>
      </c>
      <c r="H376" s="2">
        <f t="shared" si="35"/>
        <v>87886</v>
      </c>
      <c r="I376" s="2"/>
      <c r="J376" s="186"/>
      <c r="K376" s="2">
        <f t="shared" si="36"/>
        <v>94423</v>
      </c>
    </row>
    <row r="377" spans="1:15">
      <c r="A377" s="1" t="s">
        <v>167</v>
      </c>
      <c r="B377" s="1"/>
      <c r="C377" s="203">
        <f>C406+C435</f>
        <v>1708.559032095249</v>
      </c>
      <c r="D377" s="203">
        <f>D406+D435</f>
        <v>0</v>
      </c>
      <c r="E377" s="172"/>
      <c r="F377" s="172"/>
      <c r="G377" s="204">
        <f t="shared" si="35"/>
        <v>340.00809002605808</v>
      </c>
      <c r="H377" s="204">
        <f t="shared" si="35"/>
        <v>0</v>
      </c>
      <c r="I377" s="172"/>
      <c r="J377" s="172"/>
      <c r="K377" s="204">
        <f t="shared" si="36"/>
        <v>0</v>
      </c>
      <c r="M377" s="152"/>
      <c r="N377" s="152"/>
      <c r="O377" s="153"/>
    </row>
    <row r="378" spans="1:15" ht="16.5" thickBot="1">
      <c r="A378" s="1" t="s">
        <v>186</v>
      </c>
      <c r="B378" s="1"/>
      <c r="C378" s="174">
        <f>SUM(C376:C377)</f>
        <v>410373.55903209525</v>
      </c>
      <c r="D378" s="174">
        <f>SUM(D376:D377)</f>
        <v>300118.64975971833</v>
      </c>
      <c r="E378" s="205"/>
      <c r="F378" s="206"/>
      <c r="G378" s="207">
        <f>G376+G377</f>
        <v>114929.00809002605</v>
      </c>
      <c r="H378" s="207">
        <f>H376+H377</f>
        <v>87886</v>
      </c>
      <c r="I378" s="205"/>
      <c r="J378" s="208"/>
      <c r="K378" s="207">
        <f>K376+K377</f>
        <v>94423</v>
      </c>
      <c r="M378" s="154"/>
      <c r="N378" s="154"/>
      <c r="O378" s="155"/>
    </row>
    <row r="379" spans="1:15" ht="16.5" thickTop="1">
      <c r="A379" s="1"/>
      <c r="B379" s="1"/>
      <c r="C379" s="12"/>
      <c r="D379" s="12"/>
      <c r="E379" s="200"/>
      <c r="F379" s="2"/>
      <c r="G379" s="2"/>
      <c r="H379" s="2"/>
      <c r="I379" s="216" t="s">
        <v>13</v>
      </c>
      <c r="J379" s="1"/>
      <c r="K379" s="2" t="s">
        <v>13</v>
      </c>
    </row>
    <row r="380" spans="1:15">
      <c r="A380" s="156" t="s">
        <v>221</v>
      </c>
      <c r="B380" s="1"/>
      <c r="C380" s="1"/>
      <c r="D380" s="1"/>
      <c r="E380" s="2"/>
      <c r="F380" s="2"/>
      <c r="G380" s="1" t="s">
        <v>13</v>
      </c>
      <c r="H380" s="1"/>
      <c r="I380" s="2"/>
      <c r="J380" s="1"/>
      <c r="K380" s="1"/>
    </row>
    <row r="381" spans="1:15">
      <c r="A381" s="1" t="s">
        <v>215</v>
      </c>
      <c r="B381" s="1"/>
      <c r="C381" s="1"/>
      <c r="D381" s="1"/>
      <c r="E381" s="2"/>
      <c r="F381" s="2"/>
      <c r="G381" s="1"/>
      <c r="H381" s="1"/>
      <c r="I381" s="2"/>
      <c r="J381" s="1"/>
      <c r="K381" s="1"/>
    </row>
    <row r="382" spans="1:15">
      <c r="A382" s="1" t="s">
        <v>222</v>
      </c>
      <c r="B382" s="1"/>
      <c r="C382" s="1"/>
      <c r="D382" s="1"/>
      <c r="E382" s="2"/>
      <c r="F382" s="2"/>
      <c r="G382" s="1"/>
      <c r="H382" s="1"/>
      <c r="I382" s="2"/>
      <c r="J382" s="1"/>
      <c r="K382" s="1"/>
    </row>
    <row r="383" spans="1:15">
      <c r="A383" s="1" t="s">
        <v>197</v>
      </c>
      <c r="B383" s="1"/>
      <c r="C383" s="182"/>
      <c r="D383" s="182"/>
      <c r="E383" s="2"/>
      <c r="F383" s="2"/>
      <c r="G383" s="1"/>
      <c r="H383" s="1"/>
      <c r="I383" s="2"/>
      <c r="J383" s="1"/>
      <c r="K383" s="1"/>
    </row>
    <row r="384" spans="1:15">
      <c r="A384" s="1" t="s">
        <v>194</v>
      </c>
      <c r="B384" s="1"/>
      <c r="C384" s="182">
        <v>1</v>
      </c>
      <c r="D384" s="182">
        <f>ROUND(($D$387/$C$387)*C384,0)</f>
        <v>1</v>
      </c>
      <c r="E384" s="161">
        <v>84</v>
      </c>
      <c r="F384" s="184"/>
      <c r="G384" s="2">
        <f>ROUND(E384*$C384,0)</f>
        <v>84</v>
      </c>
      <c r="H384" s="2">
        <f>ROUND(E384*$D384,0)</f>
        <v>84</v>
      </c>
      <c r="I384" s="161">
        <f>$I$149</f>
        <v>90.36</v>
      </c>
      <c r="J384" s="186"/>
      <c r="K384" s="2">
        <f>ROUND(I384*$D384,0)</f>
        <v>90</v>
      </c>
    </row>
    <row r="385" spans="1:11">
      <c r="A385" s="1" t="s">
        <v>195</v>
      </c>
      <c r="B385" s="1"/>
      <c r="C385" s="182">
        <v>111</v>
      </c>
      <c r="D385" s="182">
        <f>ROUND(($D$387/$C$387)*C385,0)</f>
        <v>108</v>
      </c>
      <c r="E385" s="161">
        <v>124.8</v>
      </c>
      <c r="F385" s="187"/>
      <c r="G385" s="2">
        <f>ROUND(E385*$C385,0)</f>
        <v>13853</v>
      </c>
      <c r="H385" s="2">
        <f>ROUND(E385*$D385,0)</f>
        <v>13478</v>
      </c>
      <c r="I385" s="161">
        <f>$I$150</f>
        <v>134.16</v>
      </c>
      <c r="J385" s="188"/>
      <c r="K385" s="2">
        <f>ROUND(I385*$D385,0)</f>
        <v>14489</v>
      </c>
    </row>
    <row r="386" spans="1:11">
      <c r="A386" s="1" t="s">
        <v>196</v>
      </c>
      <c r="B386" s="1"/>
      <c r="C386" s="182">
        <f>4491</f>
        <v>4491</v>
      </c>
      <c r="D386" s="182">
        <f>ROUND(($D$405/$C$405)*C386,0)</f>
        <v>3258</v>
      </c>
      <c r="E386" s="161">
        <v>8.2799999999999994</v>
      </c>
      <c r="F386" s="187"/>
      <c r="G386" s="2">
        <f>ROUND(E386*$C386,0)</f>
        <v>37185</v>
      </c>
      <c r="H386" s="2">
        <f>ROUND(E386*$D386,0)</f>
        <v>26976</v>
      </c>
      <c r="I386" s="161">
        <f>$I$151</f>
        <v>9.36</v>
      </c>
      <c r="J386" s="188"/>
      <c r="K386" s="2">
        <f>ROUND(I386*$D386,0)</f>
        <v>30495</v>
      </c>
    </row>
    <row r="387" spans="1:11">
      <c r="A387" s="1" t="s">
        <v>198</v>
      </c>
      <c r="B387" s="1"/>
      <c r="C387" s="182">
        <f>SUM(C384:C385)</f>
        <v>112</v>
      </c>
      <c r="D387" s="182">
        <v>108.75</v>
      </c>
      <c r="E387" s="161"/>
      <c r="F387" s="184"/>
      <c r="G387" s="2"/>
      <c r="H387" s="2"/>
      <c r="I387" s="161"/>
      <c r="J387" s="186"/>
      <c r="K387" s="2"/>
    </row>
    <row r="388" spans="1:11">
      <c r="A388" s="1" t="s">
        <v>223</v>
      </c>
      <c r="B388" s="1"/>
      <c r="C388" s="182">
        <f>8+491</f>
        <v>499</v>
      </c>
      <c r="D388" s="182">
        <f>ROUND(($D$387/$C$387)*C388,0)</f>
        <v>485</v>
      </c>
      <c r="E388" s="161"/>
      <c r="F388" s="184"/>
      <c r="G388" s="2"/>
      <c r="H388" s="2"/>
      <c r="I388" s="161"/>
      <c r="J388" s="186"/>
      <c r="K388" s="2"/>
    </row>
    <row r="389" spans="1:11">
      <c r="A389" s="1" t="s">
        <v>199</v>
      </c>
      <c r="B389" s="1"/>
      <c r="C389" s="182">
        <f>12607</f>
        <v>12607</v>
      </c>
      <c r="D389" s="182">
        <f>ROUND(($D$405/$C$405)*C389,0)</f>
        <v>9145</v>
      </c>
      <c r="E389" s="189">
        <v>2.81</v>
      </c>
      <c r="F389" s="186"/>
      <c r="G389" s="2">
        <f>ROUND(E389*$C389,0)</f>
        <v>35426</v>
      </c>
      <c r="H389" s="2">
        <f>ROUND(E389*$D389,0)</f>
        <v>25697</v>
      </c>
      <c r="I389" s="189">
        <f>$I$158</f>
        <v>2.88</v>
      </c>
      <c r="J389" s="186"/>
      <c r="K389" s="2">
        <f>ROUND(I389*$D389,0)</f>
        <v>26338</v>
      </c>
    </row>
    <row r="390" spans="1:11">
      <c r="A390" s="1" t="s">
        <v>201</v>
      </c>
      <c r="B390" s="1"/>
      <c r="C390" s="182">
        <f>4567+177412</f>
        <v>181979</v>
      </c>
      <c r="D390" s="182">
        <f>ROUND(($D$405/$C$405)*C390,0)</f>
        <v>132006</v>
      </c>
      <c r="E390" s="162">
        <v>7.5869999999999997</v>
      </c>
      <c r="F390" s="186" t="s">
        <v>178</v>
      </c>
      <c r="G390" s="2">
        <f>ROUND(E390*$C390/100,0)</f>
        <v>13807</v>
      </c>
      <c r="H390" s="2">
        <f>ROUND(E390*$D390/100,0)</f>
        <v>10015</v>
      </c>
      <c r="I390" s="162">
        <f>$I$159</f>
        <v>8.0890000000000004</v>
      </c>
      <c r="J390" s="186" t="s">
        <v>178</v>
      </c>
      <c r="K390" s="2">
        <f>ROUND(I390*$D390/100,0)</f>
        <v>10678</v>
      </c>
    </row>
    <row r="391" spans="1:11">
      <c r="A391" s="1" t="s">
        <v>202</v>
      </c>
      <c r="B391" s="1"/>
      <c r="C391" s="182">
        <f>223170+787</f>
        <v>223957</v>
      </c>
      <c r="D391" s="182">
        <f>ROUND(($D$405/$C$405)*C391,0)</f>
        <v>162456</v>
      </c>
      <c r="E391" s="162">
        <v>5.2370000000000001</v>
      </c>
      <c r="F391" s="186" t="s">
        <v>178</v>
      </c>
      <c r="G391" s="2">
        <f>ROUND(E391*$C391/100,0)</f>
        <v>11729</v>
      </c>
      <c r="H391" s="2">
        <f>ROUND(E391*$D391/100,0)</f>
        <v>8508</v>
      </c>
      <c r="I391" s="162">
        <f>$I$160</f>
        <v>5.5839999999999996</v>
      </c>
      <c r="J391" s="186" t="s">
        <v>178</v>
      </c>
      <c r="K391" s="2">
        <f>ROUND(I391*$D391/100,0)</f>
        <v>9072</v>
      </c>
    </row>
    <row r="392" spans="1:11">
      <c r="A392" s="1" t="s">
        <v>203</v>
      </c>
      <c r="B392" s="1"/>
      <c r="C392" s="182">
        <f>0</f>
        <v>0</v>
      </c>
      <c r="D392" s="182">
        <f>ROUND(($D$405/$C$405)*C392,0)</f>
        <v>0</v>
      </c>
      <c r="E392" s="162">
        <v>4.5129999999999999</v>
      </c>
      <c r="F392" s="186" t="s">
        <v>178</v>
      </c>
      <c r="G392" s="2">
        <f>ROUND(E392*$C392/100,0)</f>
        <v>0</v>
      </c>
      <c r="H392" s="2">
        <f>ROUND(E392*$D392/100,0)</f>
        <v>0</v>
      </c>
      <c r="I392" s="162">
        <f>$I$161</f>
        <v>4.8100000000000005</v>
      </c>
      <c r="J392" s="186" t="s">
        <v>178</v>
      </c>
      <c r="K392" s="2">
        <f>ROUND(I392*$D392/100,0)</f>
        <v>0</v>
      </c>
    </row>
    <row r="393" spans="1:11">
      <c r="A393" s="1" t="s">
        <v>204</v>
      </c>
      <c r="B393" s="1"/>
      <c r="C393" s="182">
        <f>1798</f>
        <v>1798</v>
      </c>
      <c r="D393" s="182">
        <f>ROUND(($D$405/$C$405)*C393,0)</f>
        <v>1304</v>
      </c>
      <c r="E393" s="193">
        <v>45</v>
      </c>
      <c r="F393" s="184" t="s">
        <v>178</v>
      </c>
      <c r="G393" s="2">
        <f>ROUND(E393*$C393/100,0)</f>
        <v>809</v>
      </c>
      <c r="H393" s="2">
        <f>ROUND(E393*$D393/100,0)</f>
        <v>587</v>
      </c>
      <c r="I393" s="193">
        <f>$I$162</f>
        <v>45</v>
      </c>
      <c r="J393" s="186" t="s">
        <v>178</v>
      </c>
      <c r="K393" s="2">
        <f>ROUND(I393*$D393/100,0)</f>
        <v>587</v>
      </c>
    </row>
    <row r="394" spans="1:11">
      <c r="A394" s="194" t="s">
        <v>205</v>
      </c>
      <c r="B394" s="1"/>
      <c r="C394" s="182"/>
      <c r="D394" s="182"/>
      <c r="E394" s="195">
        <v>-0.01</v>
      </c>
      <c r="F394" s="184"/>
      <c r="G394" s="2"/>
      <c r="H394" s="2"/>
      <c r="I394" s="195">
        <f>$I$163</f>
        <v>-0.01</v>
      </c>
      <c r="J394" s="186"/>
      <c r="K394" s="2"/>
    </row>
    <row r="395" spans="1:11">
      <c r="A395" s="1" t="s">
        <v>194</v>
      </c>
      <c r="B395" s="1"/>
      <c r="C395" s="182">
        <v>0</v>
      </c>
      <c r="D395" s="182">
        <f>ROUND(($D$387/$C$387)*C395,0)</f>
        <v>0</v>
      </c>
      <c r="E395" s="197">
        <f>E384</f>
        <v>84</v>
      </c>
      <c r="F395" s="184"/>
      <c r="G395" s="2">
        <f>-ROUND(E395*$C395/100,0)</f>
        <v>0</v>
      </c>
      <c r="H395" s="2">
        <f>-ROUND(E395*$D395/100,0)</f>
        <v>0</v>
      </c>
      <c r="I395" s="197">
        <f>I384</f>
        <v>90.36</v>
      </c>
      <c r="J395" s="184"/>
      <c r="K395" s="2">
        <f>-ROUND(I395*$D395/100,0)</f>
        <v>0</v>
      </c>
    </row>
    <row r="396" spans="1:11">
      <c r="A396" s="1" t="s">
        <v>195</v>
      </c>
      <c r="B396" s="1"/>
      <c r="C396" s="182">
        <v>0</v>
      </c>
      <c r="D396" s="182">
        <f>ROUND(($D$387/$C$387)*C396,0)</f>
        <v>0</v>
      </c>
      <c r="E396" s="197">
        <f>E385</f>
        <v>124.8</v>
      </c>
      <c r="F396" s="184"/>
      <c r="G396" s="2">
        <f>-ROUND(E396*$C396/100,0)</f>
        <v>0</v>
      </c>
      <c r="H396" s="2">
        <f>-ROUND(E396*$D396/100,0)</f>
        <v>0</v>
      </c>
      <c r="I396" s="197">
        <f>I385</f>
        <v>134.16</v>
      </c>
      <c r="J396" s="184"/>
      <c r="K396" s="2">
        <f>-ROUND(I396*$D396/100,0)</f>
        <v>0</v>
      </c>
    </row>
    <row r="397" spans="1:11">
      <c r="A397" s="1" t="s">
        <v>206</v>
      </c>
      <c r="B397" s="1"/>
      <c r="C397" s="182">
        <v>0</v>
      </c>
      <c r="D397" s="182">
        <f t="shared" ref="D397:D402" si="37">ROUND(($D$405/$C$405)*C397,0)</f>
        <v>0</v>
      </c>
      <c r="E397" s="197">
        <f>E386</f>
        <v>8.2799999999999994</v>
      </c>
      <c r="F397" s="184"/>
      <c r="G397" s="2">
        <f>-ROUND(E397*$C397/100,0)</f>
        <v>0</v>
      </c>
      <c r="H397" s="2">
        <f>-ROUND(E397*$D397/100,0)</f>
        <v>0</v>
      </c>
      <c r="I397" s="197">
        <f>I386</f>
        <v>9.36</v>
      </c>
      <c r="J397" s="184"/>
      <c r="K397" s="2">
        <f>-ROUND(I397*$D397/100,0)</f>
        <v>0</v>
      </c>
    </row>
    <row r="398" spans="1:11">
      <c r="A398" s="1" t="s">
        <v>207</v>
      </c>
      <c r="B398" s="1"/>
      <c r="C398" s="182">
        <v>0</v>
      </c>
      <c r="D398" s="182">
        <f t="shared" si="37"/>
        <v>0</v>
      </c>
      <c r="E398" s="197">
        <f>E389</f>
        <v>2.81</v>
      </c>
      <c r="F398" s="186"/>
      <c r="G398" s="2">
        <f>-ROUND(E398*$C398/100,0)</f>
        <v>0</v>
      </c>
      <c r="H398" s="2">
        <f>-ROUND(E398*$D398/100,0)</f>
        <v>0</v>
      </c>
      <c r="I398" s="197">
        <f>I389</f>
        <v>2.88</v>
      </c>
      <c r="J398" s="186"/>
      <c r="K398" s="2">
        <f>-ROUND(I398*$D398/100,0)</f>
        <v>0</v>
      </c>
    </row>
    <row r="399" spans="1:11">
      <c r="A399" s="1" t="s">
        <v>209</v>
      </c>
      <c r="B399" s="1"/>
      <c r="C399" s="182">
        <v>0</v>
      </c>
      <c r="D399" s="182">
        <f t="shared" si="37"/>
        <v>0</v>
      </c>
      <c r="E399" s="198">
        <f>E390</f>
        <v>7.5869999999999997</v>
      </c>
      <c r="F399" s="186" t="s">
        <v>178</v>
      </c>
      <c r="G399" s="2">
        <f>ROUND(E399*$C399/100*E394,0)</f>
        <v>0</v>
      </c>
      <c r="H399" s="2">
        <f>ROUND(E399*$D399/100*E394,0)</f>
        <v>0</v>
      </c>
      <c r="I399" s="198">
        <f>I390</f>
        <v>8.0890000000000004</v>
      </c>
      <c r="J399" s="186" t="s">
        <v>178</v>
      </c>
      <c r="K399" s="2">
        <f>ROUND(I399*$D399/100*I394,0)</f>
        <v>0</v>
      </c>
    </row>
    <row r="400" spans="1:11">
      <c r="A400" s="1" t="s">
        <v>202</v>
      </c>
      <c r="B400" s="1"/>
      <c r="C400" s="182">
        <v>0</v>
      </c>
      <c r="D400" s="182">
        <f t="shared" si="37"/>
        <v>0</v>
      </c>
      <c r="E400" s="198">
        <f>E391</f>
        <v>5.2370000000000001</v>
      </c>
      <c r="F400" s="186" t="s">
        <v>178</v>
      </c>
      <c r="G400" s="2">
        <f>ROUND(E400*$C400/100*E394,0)</f>
        <v>0</v>
      </c>
      <c r="H400" s="2">
        <f>ROUND(E400*$D400/100*E394,0)</f>
        <v>0</v>
      </c>
      <c r="I400" s="198">
        <f>I391</f>
        <v>5.5839999999999996</v>
      </c>
      <c r="J400" s="186" t="s">
        <v>178</v>
      </c>
      <c r="K400" s="2">
        <f>ROUND(I400*$D400/100*I394,0)</f>
        <v>0</v>
      </c>
    </row>
    <row r="401" spans="1:15">
      <c r="A401" s="1" t="s">
        <v>203</v>
      </c>
      <c r="B401" s="1"/>
      <c r="C401" s="182">
        <v>0</v>
      </c>
      <c r="D401" s="182">
        <f t="shared" si="37"/>
        <v>0</v>
      </c>
      <c r="E401" s="198">
        <f>E392</f>
        <v>4.5129999999999999</v>
      </c>
      <c r="F401" s="186" t="s">
        <v>178</v>
      </c>
      <c r="G401" s="2">
        <f>ROUND(E401*$C401/100*E394,0)</f>
        <v>0</v>
      </c>
      <c r="H401" s="2">
        <f>ROUND(E401*$D401/100*E394,0)</f>
        <v>0</v>
      </c>
      <c r="I401" s="198">
        <f>I392</f>
        <v>4.8100000000000005</v>
      </c>
      <c r="J401" s="186" t="s">
        <v>178</v>
      </c>
      <c r="K401" s="2">
        <f>ROUND(I401*$D401/100*I394,0)</f>
        <v>0</v>
      </c>
    </row>
    <row r="402" spans="1:15">
      <c r="A402" s="1" t="s">
        <v>204</v>
      </c>
      <c r="B402" s="1"/>
      <c r="C402" s="182">
        <v>0</v>
      </c>
      <c r="D402" s="182">
        <f t="shared" si="37"/>
        <v>0</v>
      </c>
      <c r="E402" s="199">
        <f>E393</f>
        <v>45</v>
      </c>
      <c r="F402" s="186" t="s">
        <v>178</v>
      </c>
      <c r="G402" s="2">
        <f>ROUND(E402*$C402/100*E394,0)</f>
        <v>0</v>
      </c>
      <c r="H402" s="2">
        <f>ROUND(E402*$D402/100*E394,0)</f>
        <v>0</v>
      </c>
      <c r="I402" s="199">
        <f>I393</f>
        <v>45</v>
      </c>
      <c r="J402" s="186" t="s">
        <v>178</v>
      </c>
      <c r="K402" s="2">
        <f>ROUND(I402*$D402/100*I394,0)</f>
        <v>0</v>
      </c>
    </row>
    <row r="403" spans="1:15">
      <c r="A403" s="1" t="s">
        <v>211</v>
      </c>
      <c r="B403" s="1"/>
      <c r="C403" s="182">
        <v>0</v>
      </c>
      <c r="D403" s="182">
        <f>ROUND(($D$387/$C$387)*C403,0)</f>
        <v>0</v>
      </c>
      <c r="E403" s="200">
        <v>60</v>
      </c>
      <c r="F403" s="184"/>
      <c r="G403" s="2">
        <f>ROUND(E403*$C403,0)</f>
        <v>0</v>
      </c>
      <c r="H403" s="2">
        <f>ROUND(E403*$D403,0)</f>
        <v>0</v>
      </c>
      <c r="I403" s="200">
        <f>$I$172</f>
        <v>60</v>
      </c>
      <c r="J403" s="186"/>
      <c r="K403" s="2">
        <f>ROUND(I403*$D403,0)</f>
        <v>0</v>
      </c>
    </row>
    <row r="404" spans="1:15">
      <c r="A404" s="1" t="s">
        <v>212</v>
      </c>
      <c r="B404" s="1"/>
      <c r="C404" s="182">
        <v>0</v>
      </c>
      <c r="D404" s="182">
        <f>ROUND(($D$405/$C$405)*C404,0)</f>
        <v>0</v>
      </c>
      <c r="E404" s="202">
        <v>-30</v>
      </c>
      <c r="F404" s="184" t="s">
        <v>178</v>
      </c>
      <c r="G404" s="2">
        <f>ROUND(E404*$C404/100,0)</f>
        <v>0</v>
      </c>
      <c r="H404" s="2">
        <f>ROUND(E404*$D404/100,0)</f>
        <v>0</v>
      </c>
      <c r="I404" s="202">
        <f>$I$173</f>
        <v>-30</v>
      </c>
      <c r="J404" s="186" t="s">
        <v>178</v>
      </c>
      <c r="K404" s="2">
        <f>ROUND(I404*$D404/100,0)</f>
        <v>0</v>
      </c>
    </row>
    <row r="405" spans="1:15">
      <c r="A405" s="1" t="s">
        <v>185</v>
      </c>
      <c r="B405" s="1"/>
      <c r="C405" s="182">
        <f>SUM(C390:C392)</f>
        <v>405936</v>
      </c>
      <c r="D405" s="182">
        <v>294461.5</v>
      </c>
      <c r="E405" s="193"/>
      <c r="F405" s="2"/>
      <c r="G405" s="2">
        <f>SUM(G384:G404)</f>
        <v>112893</v>
      </c>
      <c r="H405" s="2">
        <f>SUM(H384:H404)</f>
        <v>85345</v>
      </c>
      <c r="I405" s="193"/>
      <c r="J405" s="186"/>
      <c r="K405" s="2">
        <f>SUM(K384:K404)</f>
        <v>91749</v>
      </c>
    </row>
    <row r="406" spans="1:15">
      <c r="A406" s="1" t="s">
        <v>167</v>
      </c>
      <c r="B406" s="1"/>
      <c r="C406" s="212">
        <v>1770.0710773090641</v>
      </c>
      <c r="D406" s="212">
        <v>0</v>
      </c>
      <c r="E406" s="172"/>
      <c r="F406" s="172"/>
      <c r="G406" s="204">
        <v>368.47443953217015</v>
      </c>
      <c r="H406" s="204">
        <v>0</v>
      </c>
      <c r="I406" s="172"/>
      <c r="J406" s="172"/>
      <c r="K406" s="204">
        <v>0</v>
      </c>
      <c r="M406" s="152"/>
      <c r="N406" s="152"/>
      <c r="O406" s="153"/>
    </row>
    <row r="407" spans="1:15" ht="16.5" thickBot="1">
      <c r="A407" s="1" t="s">
        <v>186</v>
      </c>
      <c r="B407" s="1"/>
      <c r="C407" s="174">
        <f>SUM(C405:C406)</f>
        <v>407706.07107730908</v>
      </c>
      <c r="D407" s="174">
        <f>SUM(D405:D406)</f>
        <v>294461.5</v>
      </c>
      <c r="E407" s="205"/>
      <c r="F407" s="206"/>
      <c r="G407" s="207">
        <f>G405+G406</f>
        <v>113261.47443953218</v>
      </c>
      <c r="H407" s="207">
        <f>H405+H406</f>
        <v>85345</v>
      </c>
      <c r="I407" s="205"/>
      <c r="J407" s="208"/>
      <c r="K407" s="207">
        <f>K405+K406</f>
        <v>91749</v>
      </c>
      <c r="M407" s="154"/>
      <c r="N407" s="154"/>
      <c r="O407" s="155"/>
    </row>
    <row r="408" spans="1:15" ht="16.5" thickTop="1">
      <c r="A408" s="1"/>
      <c r="B408" s="1"/>
      <c r="C408" s="12"/>
      <c r="D408" s="12"/>
      <c r="E408" s="200"/>
      <c r="F408" s="2"/>
      <c r="G408" s="2"/>
      <c r="H408" s="2"/>
      <c r="I408" s="216" t="s">
        <v>13</v>
      </c>
      <c r="J408" s="1"/>
      <c r="K408" s="2" t="s">
        <v>13</v>
      </c>
    </row>
    <row r="409" spans="1:15">
      <c r="A409" s="156" t="s">
        <v>221</v>
      </c>
      <c r="B409" s="1"/>
      <c r="C409" s="1"/>
      <c r="D409" s="1"/>
      <c r="E409" s="2"/>
      <c r="F409" s="2"/>
      <c r="G409" s="1" t="s">
        <v>13</v>
      </c>
      <c r="H409" s="1"/>
      <c r="I409" s="2"/>
      <c r="J409" s="1"/>
      <c r="K409" s="1"/>
    </row>
    <row r="410" spans="1:15">
      <c r="A410" s="1" t="s">
        <v>218</v>
      </c>
      <c r="B410" s="1"/>
      <c r="C410" s="1"/>
      <c r="D410" s="1"/>
      <c r="E410" s="2"/>
      <c r="F410" s="2"/>
      <c r="G410" s="1"/>
      <c r="H410" s="1"/>
      <c r="I410" s="2"/>
      <c r="J410" s="1"/>
      <c r="K410" s="1"/>
    </row>
    <row r="411" spans="1:15">
      <c r="A411" s="1" t="s">
        <v>222</v>
      </c>
      <c r="B411" s="1"/>
      <c r="C411" s="1"/>
      <c r="D411" s="1"/>
      <c r="E411" s="2"/>
      <c r="F411" s="2"/>
      <c r="G411" s="1"/>
      <c r="H411" s="1"/>
      <c r="I411" s="2"/>
      <c r="J411" s="1"/>
      <c r="K411" s="1"/>
    </row>
    <row r="412" spans="1:15">
      <c r="A412" s="1" t="s">
        <v>197</v>
      </c>
      <c r="B412" s="1"/>
      <c r="C412" s="182"/>
      <c r="D412" s="182"/>
      <c r="E412" s="2"/>
      <c r="F412" s="2"/>
      <c r="G412" s="1"/>
      <c r="H412" s="1"/>
      <c r="I412" s="2"/>
      <c r="J412" s="1"/>
      <c r="K412" s="1"/>
    </row>
    <row r="413" spans="1:15">
      <c r="A413" s="1" t="s">
        <v>194</v>
      </c>
      <c r="B413" s="1"/>
      <c r="C413" s="182">
        <v>0</v>
      </c>
      <c r="D413" s="182">
        <f>$D$417/$C$417*C413</f>
        <v>0</v>
      </c>
      <c r="E413" s="161">
        <v>84</v>
      </c>
      <c r="F413" s="184"/>
      <c r="G413" s="2">
        <f>ROUND(E413*$C413,0)</f>
        <v>0</v>
      </c>
      <c r="H413" s="2">
        <f>ROUND(E413*$D413,0)</f>
        <v>0</v>
      </c>
      <c r="I413" s="161">
        <f>$I$149</f>
        <v>90.36</v>
      </c>
      <c r="J413" s="186"/>
      <c r="K413" s="2">
        <f>ROUND(I413*$D413,0)</f>
        <v>0</v>
      </c>
    </row>
    <row r="414" spans="1:15">
      <c r="A414" s="1" t="s">
        <v>195</v>
      </c>
      <c r="B414" s="1"/>
      <c r="C414" s="182">
        <v>1</v>
      </c>
      <c r="D414" s="182">
        <f>$D$417/$C$417*C414</f>
        <v>1</v>
      </c>
      <c r="E414" s="161">
        <v>124.8</v>
      </c>
      <c r="F414" s="187"/>
      <c r="G414" s="2">
        <f>ROUND(E414*$C414,0)</f>
        <v>125</v>
      </c>
      <c r="H414" s="2">
        <f>ROUND(E414*$D414,0)</f>
        <v>125</v>
      </c>
      <c r="I414" s="161">
        <f>$I$150</f>
        <v>134.16</v>
      </c>
      <c r="J414" s="188"/>
      <c r="K414" s="2">
        <f>ROUND(I414*$D414,0)</f>
        <v>134</v>
      </c>
    </row>
    <row r="415" spans="1:15">
      <c r="A415" s="1" t="s">
        <v>196</v>
      </c>
      <c r="B415" s="1"/>
      <c r="C415" s="182">
        <v>75</v>
      </c>
      <c r="D415" s="182">
        <v>54</v>
      </c>
      <c r="E415" s="161">
        <v>8.2799999999999994</v>
      </c>
      <c r="F415" s="187"/>
      <c r="G415" s="2">
        <f>ROUND(E415*$C415,0)</f>
        <v>621</v>
      </c>
      <c r="H415" s="2">
        <f>ROUND(E415*$D415,0)</f>
        <v>447</v>
      </c>
      <c r="I415" s="161">
        <f>$I$151</f>
        <v>9.36</v>
      </c>
      <c r="J415" s="188"/>
      <c r="K415" s="2">
        <f>ROUND(I415*$D415,0)</f>
        <v>505</v>
      </c>
    </row>
    <row r="416" spans="1:15">
      <c r="A416" s="1" t="s">
        <v>198</v>
      </c>
      <c r="B416" s="1"/>
      <c r="C416" s="182">
        <f>SUM(C413:C414)</f>
        <v>1</v>
      </c>
      <c r="D416" s="182">
        <f>SUM(D413:D414)</f>
        <v>1</v>
      </c>
      <c r="E416" s="161"/>
      <c r="F416" s="184"/>
      <c r="G416" s="2"/>
      <c r="H416" s="2"/>
      <c r="I416" s="161"/>
      <c r="J416" s="186"/>
      <c r="K416" s="2"/>
    </row>
    <row r="417" spans="1:11">
      <c r="A417" s="1" t="s">
        <v>223</v>
      </c>
      <c r="B417" s="1"/>
      <c r="C417" s="182">
        <f>12</f>
        <v>12</v>
      </c>
      <c r="D417" s="182">
        <v>12</v>
      </c>
      <c r="E417" s="161"/>
      <c r="F417" s="184"/>
      <c r="G417" s="2"/>
      <c r="H417" s="2"/>
      <c r="I417" s="161"/>
      <c r="J417" s="186"/>
      <c r="K417" s="2"/>
    </row>
    <row r="418" spans="1:11">
      <c r="A418" s="1" t="s">
        <v>199</v>
      </c>
      <c r="B418" s="1"/>
      <c r="C418" s="182">
        <f>267</f>
        <v>267</v>
      </c>
      <c r="D418" s="182">
        <f>ROUND(($D$434/$C$434)*C418,0)</f>
        <v>553</v>
      </c>
      <c r="E418" s="189">
        <v>2.81</v>
      </c>
      <c r="F418" s="186"/>
      <c r="G418" s="2">
        <f>ROUND(E418*$C418,0)</f>
        <v>750</v>
      </c>
      <c r="H418" s="2">
        <f>ROUND(E418*$D418,0)</f>
        <v>1554</v>
      </c>
      <c r="I418" s="189">
        <f>$I$158</f>
        <v>2.88</v>
      </c>
      <c r="J418" s="186"/>
      <c r="K418" s="2">
        <f>ROUND(I418*$D418,0)</f>
        <v>1593</v>
      </c>
    </row>
    <row r="419" spans="1:11">
      <c r="A419" s="1" t="s">
        <v>201</v>
      </c>
      <c r="B419" s="1"/>
      <c r="C419" s="182">
        <f>2427</f>
        <v>2427</v>
      </c>
      <c r="D419" s="182">
        <f>ROUND(($D$434/$C$434)*C419,0)</f>
        <v>5031</v>
      </c>
      <c r="E419" s="162">
        <v>7.5869999999999997</v>
      </c>
      <c r="F419" s="186" t="s">
        <v>178</v>
      </c>
      <c r="G419" s="2">
        <f>ROUND(E419*$C419/100,0)</f>
        <v>184</v>
      </c>
      <c r="H419" s="2">
        <f>ROUND(E419*$D419/100,0)</f>
        <v>382</v>
      </c>
      <c r="I419" s="162">
        <f>$I$159</f>
        <v>8.0890000000000004</v>
      </c>
      <c r="J419" s="186" t="s">
        <v>178</v>
      </c>
      <c r="K419" s="2">
        <f>ROUND(I419*$D419/100,0)</f>
        <v>407</v>
      </c>
    </row>
    <row r="420" spans="1:11">
      <c r="A420" s="1" t="s">
        <v>202</v>
      </c>
      <c r="B420" s="1"/>
      <c r="C420" s="182">
        <f>302</f>
        <v>302</v>
      </c>
      <c r="D420" s="182">
        <f>ROUND(($D$434/$C$434)*C420,0)</f>
        <v>626</v>
      </c>
      <c r="E420" s="162">
        <v>5.2370000000000001</v>
      </c>
      <c r="F420" s="186" t="s">
        <v>178</v>
      </c>
      <c r="G420" s="2">
        <f>ROUND(E420*$C420/100,0)</f>
        <v>16</v>
      </c>
      <c r="H420" s="2">
        <f>ROUND(E420*$D420/100,0)</f>
        <v>33</v>
      </c>
      <c r="I420" s="162">
        <f>$I$160</f>
        <v>5.5839999999999996</v>
      </c>
      <c r="J420" s="186" t="s">
        <v>178</v>
      </c>
      <c r="K420" s="2">
        <f>ROUND(I420*$D420/100,0)</f>
        <v>35</v>
      </c>
    </row>
    <row r="421" spans="1:11">
      <c r="A421" s="1" t="s">
        <v>203</v>
      </c>
      <c r="B421" s="1"/>
      <c r="C421" s="182">
        <v>0</v>
      </c>
      <c r="D421" s="182">
        <f>ROUND(($D$434/$C$434)*C421,0)</f>
        <v>0</v>
      </c>
      <c r="E421" s="162">
        <v>4.5129999999999999</v>
      </c>
      <c r="F421" s="186" t="s">
        <v>178</v>
      </c>
      <c r="G421" s="2">
        <f>ROUND(E421*$C421/100,0)</f>
        <v>0</v>
      </c>
      <c r="H421" s="2">
        <f>ROUND(E421*$D421/100,0)</f>
        <v>0</v>
      </c>
      <c r="I421" s="162">
        <f>$I$161</f>
        <v>4.8100000000000005</v>
      </c>
      <c r="J421" s="186" t="s">
        <v>178</v>
      </c>
      <c r="K421" s="2">
        <f>ROUND(I421*$D421/100,0)</f>
        <v>0</v>
      </c>
    </row>
    <row r="422" spans="1:11">
      <c r="A422" s="1" t="s">
        <v>204</v>
      </c>
      <c r="B422" s="1"/>
      <c r="C422" s="182">
        <v>0</v>
      </c>
      <c r="D422" s="182">
        <f>ROUND(($D$434/$C$434)*C422,0)</f>
        <v>0</v>
      </c>
      <c r="E422" s="193">
        <v>45</v>
      </c>
      <c r="F422" s="184" t="s">
        <v>178</v>
      </c>
      <c r="G422" s="2">
        <f>ROUND(E422*$C422/100,0)</f>
        <v>0</v>
      </c>
      <c r="H422" s="2">
        <f>ROUND(E422*$D422/100,0)</f>
        <v>0</v>
      </c>
      <c r="I422" s="193">
        <f>$I$162</f>
        <v>45</v>
      </c>
      <c r="J422" s="186" t="s">
        <v>178</v>
      </c>
      <c r="K422" s="2">
        <f>ROUND(I422*$D422/100,0)</f>
        <v>0</v>
      </c>
    </row>
    <row r="423" spans="1:11">
      <c r="A423" s="194" t="s">
        <v>205</v>
      </c>
      <c r="B423" s="1"/>
      <c r="C423" s="182"/>
      <c r="D423" s="182"/>
      <c r="E423" s="195">
        <v>-0.01</v>
      </c>
      <c r="F423" s="184"/>
      <c r="G423" s="2"/>
      <c r="H423" s="2"/>
      <c r="I423" s="195">
        <f>$I$163</f>
        <v>-0.01</v>
      </c>
      <c r="J423" s="186"/>
      <c r="K423" s="2"/>
    </row>
    <row r="424" spans="1:11">
      <c r="A424" s="1" t="s">
        <v>194</v>
      </c>
      <c r="B424" s="1"/>
      <c r="C424" s="182">
        <v>0</v>
      </c>
      <c r="D424" s="182">
        <f>$D$417/$C$417*C424</f>
        <v>0</v>
      </c>
      <c r="E424" s="197">
        <f>E413</f>
        <v>84</v>
      </c>
      <c r="F424" s="184"/>
      <c r="G424" s="2">
        <f>-ROUND(E424*$C424/100,0)</f>
        <v>0</v>
      </c>
      <c r="H424" s="2">
        <f>-ROUND(E424*$D424/100,0)</f>
        <v>0</v>
      </c>
      <c r="I424" s="197">
        <f>I413</f>
        <v>90.36</v>
      </c>
      <c r="J424" s="184"/>
      <c r="K424" s="2">
        <f>-ROUND(I424*$D424/100,0)</f>
        <v>0</v>
      </c>
    </row>
    <row r="425" spans="1:11">
      <c r="A425" s="1" t="s">
        <v>195</v>
      </c>
      <c r="B425" s="1"/>
      <c r="C425" s="182">
        <v>0</v>
      </c>
      <c r="D425" s="182">
        <f>$D$417/$C$417*C425</f>
        <v>0</v>
      </c>
      <c r="E425" s="197">
        <f>E414</f>
        <v>124.8</v>
      </c>
      <c r="F425" s="184"/>
      <c r="G425" s="2">
        <f>-ROUND(E425*$C425/100,0)</f>
        <v>0</v>
      </c>
      <c r="H425" s="2">
        <f>-ROUND(E425*$D425/100,0)</f>
        <v>0</v>
      </c>
      <c r="I425" s="197">
        <f>I414</f>
        <v>134.16</v>
      </c>
      <c r="J425" s="184"/>
      <c r="K425" s="2">
        <f>-ROUND(I425*$D425/100,0)</f>
        <v>0</v>
      </c>
    </row>
    <row r="426" spans="1:11">
      <c r="A426" s="1" t="s">
        <v>206</v>
      </c>
      <c r="B426" s="1"/>
      <c r="C426" s="182">
        <v>0</v>
      </c>
      <c r="D426" s="182">
        <f t="shared" ref="D426:D431" si="38">ROUND(($D$434/$C$434)*C426,0)</f>
        <v>0</v>
      </c>
      <c r="E426" s="197">
        <f>E415</f>
        <v>8.2799999999999994</v>
      </c>
      <c r="F426" s="184"/>
      <c r="G426" s="2">
        <f>-ROUND(E426*$C426/100,0)</f>
        <v>0</v>
      </c>
      <c r="H426" s="2">
        <f>-ROUND(E426*$D426/100,0)</f>
        <v>0</v>
      </c>
      <c r="I426" s="197">
        <f>I415</f>
        <v>9.36</v>
      </c>
      <c r="J426" s="184"/>
      <c r="K426" s="2">
        <f>-ROUND(I426*$D426/100,0)</f>
        <v>0</v>
      </c>
    </row>
    <row r="427" spans="1:11">
      <c r="A427" s="1" t="s">
        <v>207</v>
      </c>
      <c r="B427" s="1"/>
      <c r="C427" s="182">
        <v>0</v>
      </c>
      <c r="D427" s="182">
        <f t="shared" si="38"/>
        <v>0</v>
      </c>
      <c r="E427" s="197">
        <f>E418</f>
        <v>2.81</v>
      </c>
      <c r="F427" s="186"/>
      <c r="G427" s="2">
        <f>-ROUND(E427*$C427/100,0)</f>
        <v>0</v>
      </c>
      <c r="H427" s="2">
        <f>-ROUND(E427*$D427/100,0)</f>
        <v>0</v>
      </c>
      <c r="I427" s="197">
        <f>I418</f>
        <v>2.88</v>
      </c>
      <c r="J427" s="186"/>
      <c r="K427" s="2">
        <f>-ROUND(I427*$D427/100,0)</f>
        <v>0</v>
      </c>
    </row>
    <row r="428" spans="1:11">
      <c r="A428" s="1" t="s">
        <v>209</v>
      </c>
      <c r="B428" s="1"/>
      <c r="C428" s="182">
        <v>0</v>
      </c>
      <c r="D428" s="182">
        <f t="shared" si="38"/>
        <v>0</v>
      </c>
      <c r="E428" s="198">
        <f>E419</f>
        <v>7.5869999999999997</v>
      </c>
      <c r="F428" s="186" t="s">
        <v>178</v>
      </c>
      <c r="G428" s="2">
        <f>ROUND(E428*$C428/100*E423,0)</f>
        <v>0</v>
      </c>
      <c r="H428" s="2">
        <f>ROUND(E428*$D428/100*E423,0)</f>
        <v>0</v>
      </c>
      <c r="I428" s="198">
        <f>I419</f>
        <v>8.0890000000000004</v>
      </c>
      <c r="J428" s="186" t="s">
        <v>178</v>
      </c>
      <c r="K428" s="2">
        <f>ROUND(I428*$D428/100*I423,0)</f>
        <v>0</v>
      </c>
    </row>
    <row r="429" spans="1:11">
      <c r="A429" s="1" t="s">
        <v>202</v>
      </c>
      <c r="B429" s="1"/>
      <c r="C429" s="182">
        <v>0</v>
      </c>
      <c r="D429" s="182">
        <f t="shared" si="38"/>
        <v>0</v>
      </c>
      <c r="E429" s="198">
        <f>E420</f>
        <v>5.2370000000000001</v>
      </c>
      <c r="F429" s="186" t="s">
        <v>178</v>
      </c>
      <c r="G429" s="2">
        <f>ROUND(E429*$C429/100*E423,0)</f>
        <v>0</v>
      </c>
      <c r="H429" s="2">
        <f>ROUND(E429*$D429/100*E423,0)</f>
        <v>0</v>
      </c>
      <c r="I429" s="198">
        <f>I420</f>
        <v>5.5839999999999996</v>
      </c>
      <c r="J429" s="186" t="s">
        <v>178</v>
      </c>
      <c r="K429" s="2">
        <f>ROUND(I429*$D429/100*I423,0)</f>
        <v>0</v>
      </c>
    </row>
    <row r="430" spans="1:11">
      <c r="A430" s="1" t="s">
        <v>203</v>
      </c>
      <c r="B430" s="1"/>
      <c r="C430" s="182">
        <v>0</v>
      </c>
      <c r="D430" s="182">
        <f t="shared" si="38"/>
        <v>0</v>
      </c>
      <c r="E430" s="198">
        <f>E421</f>
        <v>4.5129999999999999</v>
      </c>
      <c r="F430" s="186" t="s">
        <v>178</v>
      </c>
      <c r="G430" s="2">
        <f>ROUND(E430*$C430/100*E423,0)</f>
        <v>0</v>
      </c>
      <c r="H430" s="2">
        <f>ROUND(E430*$D430/100*E423,0)</f>
        <v>0</v>
      </c>
      <c r="I430" s="198">
        <f>I421</f>
        <v>4.8100000000000005</v>
      </c>
      <c r="J430" s="186" t="s">
        <v>178</v>
      </c>
      <c r="K430" s="2">
        <f>ROUND(I430*$D430/100*I423,0)</f>
        <v>0</v>
      </c>
    </row>
    <row r="431" spans="1:11">
      <c r="A431" s="1" t="s">
        <v>204</v>
      </c>
      <c r="B431" s="1"/>
      <c r="C431" s="182">
        <v>0</v>
      </c>
      <c r="D431" s="182">
        <f t="shared" si="38"/>
        <v>0</v>
      </c>
      <c r="E431" s="199">
        <f>E422</f>
        <v>45</v>
      </c>
      <c r="F431" s="186" t="s">
        <v>178</v>
      </c>
      <c r="G431" s="2">
        <f>ROUND(E431*$C431/100*E423,0)</f>
        <v>0</v>
      </c>
      <c r="H431" s="2">
        <f>ROUND(E431*$D431/100*E423,0)</f>
        <v>0</v>
      </c>
      <c r="I431" s="199">
        <f>I422</f>
        <v>45</v>
      </c>
      <c r="J431" s="186" t="s">
        <v>178</v>
      </c>
      <c r="K431" s="2">
        <f>ROUND(I431*$D431/100*I423,0)</f>
        <v>0</v>
      </c>
    </row>
    <row r="432" spans="1:11">
      <c r="A432" s="1" t="s">
        <v>211</v>
      </c>
      <c r="B432" s="1"/>
      <c r="C432" s="182">
        <v>0</v>
      </c>
      <c r="D432" s="182">
        <f>$D$417/$C$417*C432</f>
        <v>0</v>
      </c>
      <c r="E432" s="200">
        <v>60</v>
      </c>
      <c r="F432" s="184"/>
      <c r="G432" s="2">
        <f>ROUND(E432*$C432,0)</f>
        <v>0</v>
      </c>
      <c r="H432" s="2">
        <f>ROUND(E432*$D432,0)</f>
        <v>0</v>
      </c>
      <c r="I432" s="200">
        <f>$I$172</f>
        <v>60</v>
      </c>
      <c r="J432" s="186"/>
      <c r="K432" s="2">
        <f>ROUND(I432*$D432,0)</f>
        <v>0</v>
      </c>
    </row>
    <row r="433" spans="1:15">
      <c r="A433" s="1" t="s">
        <v>212</v>
      </c>
      <c r="B433" s="1"/>
      <c r="C433" s="182">
        <v>0</v>
      </c>
      <c r="D433" s="182">
        <f>ROUND(($D$434/$C$434)*C433,0)</f>
        <v>0</v>
      </c>
      <c r="E433" s="202">
        <v>-30</v>
      </c>
      <c r="F433" s="184" t="s">
        <v>178</v>
      </c>
      <c r="G433" s="2">
        <f>ROUND(E433*$C433/100,0)</f>
        <v>0</v>
      </c>
      <c r="H433" s="2">
        <f>ROUND(E433*$D433/100,0)</f>
        <v>0</v>
      </c>
      <c r="I433" s="202">
        <f>$I$173</f>
        <v>-30</v>
      </c>
      <c r="J433" s="186" t="s">
        <v>178</v>
      </c>
      <c r="K433" s="2">
        <f>ROUND(I433*$D433/100,0)</f>
        <v>0</v>
      </c>
    </row>
    <row r="434" spans="1:15">
      <c r="A434" s="1" t="s">
        <v>185</v>
      </c>
      <c r="B434" s="1"/>
      <c r="C434" s="182">
        <f>SUM(C419:C421)</f>
        <v>2729</v>
      </c>
      <c r="D434" s="182">
        <v>5657.1497597183234</v>
      </c>
      <c r="E434" s="193"/>
      <c r="F434" s="2"/>
      <c r="G434" s="2">
        <f>SUM(G413:G433)</f>
        <v>1696</v>
      </c>
      <c r="H434" s="2">
        <f>SUM(H413:H433)</f>
        <v>2541</v>
      </c>
      <c r="I434" s="193"/>
      <c r="J434" s="186"/>
      <c r="K434" s="2">
        <f>SUM(K413:K433)</f>
        <v>2674</v>
      </c>
    </row>
    <row r="435" spans="1:15">
      <c r="A435" s="1" t="s">
        <v>167</v>
      </c>
      <c r="B435" s="1"/>
      <c r="C435" s="212">
        <v>-61.512045213815</v>
      </c>
      <c r="D435" s="212">
        <v>0</v>
      </c>
      <c r="E435" s="172"/>
      <c r="F435" s="172"/>
      <c r="G435" s="204">
        <v>-28.466349506112088</v>
      </c>
      <c r="H435" s="204">
        <v>0</v>
      </c>
      <c r="I435" s="172"/>
      <c r="J435" s="172"/>
      <c r="K435" s="204">
        <v>0</v>
      </c>
      <c r="M435" s="152"/>
      <c r="N435" s="152"/>
      <c r="O435" s="153"/>
    </row>
    <row r="436" spans="1:15" ht="16.5" thickBot="1">
      <c r="A436" s="1" t="s">
        <v>186</v>
      </c>
      <c r="B436" s="1"/>
      <c r="C436" s="174">
        <f>SUM(C434:C435)</f>
        <v>2667.4879547861851</v>
      </c>
      <c r="D436" s="174">
        <f>SUM(D434:D435)</f>
        <v>5657.1497597183234</v>
      </c>
      <c r="E436" s="205"/>
      <c r="F436" s="206"/>
      <c r="G436" s="207">
        <f>G434+G435</f>
        <v>1667.533650493888</v>
      </c>
      <c r="H436" s="207">
        <f>H434+H435</f>
        <v>2541</v>
      </c>
      <c r="I436" s="205"/>
      <c r="J436" s="208"/>
      <c r="K436" s="207">
        <f>K434+K435</f>
        <v>2674</v>
      </c>
      <c r="M436" s="154"/>
      <c r="N436" s="154"/>
      <c r="O436" s="155"/>
    </row>
    <row r="437" spans="1:15" ht="16.5" thickTop="1">
      <c r="A437" s="1"/>
      <c r="B437" s="1"/>
      <c r="C437" s="12"/>
      <c r="D437" s="12"/>
      <c r="E437" s="200"/>
      <c r="F437" s="2"/>
      <c r="G437" s="2"/>
      <c r="H437" s="2"/>
      <c r="I437" s="216" t="s">
        <v>13</v>
      </c>
      <c r="J437" s="1"/>
      <c r="K437" s="2" t="s">
        <v>13</v>
      </c>
    </row>
    <row r="438" spans="1:15">
      <c r="A438" s="1"/>
      <c r="B438" s="1"/>
      <c r="C438" s="12"/>
      <c r="D438" s="12"/>
      <c r="E438" s="200"/>
      <c r="F438" s="2"/>
      <c r="G438" s="2"/>
      <c r="H438" s="2"/>
      <c r="I438" s="216" t="s">
        <v>13</v>
      </c>
      <c r="J438" s="1"/>
      <c r="K438" s="2" t="s">
        <v>13</v>
      </c>
    </row>
    <row r="439" spans="1:15">
      <c r="A439" s="156" t="s">
        <v>224</v>
      </c>
      <c r="B439" s="1"/>
      <c r="C439" s="217"/>
      <c r="D439" s="217"/>
      <c r="E439" s="2"/>
      <c r="F439" s="2"/>
      <c r="G439" s="1"/>
      <c r="H439" s="1"/>
      <c r="I439" s="2"/>
      <c r="J439" s="1"/>
      <c r="K439" s="2" t="s">
        <v>13</v>
      </c>
    </row>
    <row r="440" spans="1:15">
      <c r="A440" s="186" t="s">
        <v>139</v>
      </c>
      <c r="B440" s="1"/>
      <c r="C440" s="1" t="s">
        <v>13</v>
      </c>
      <c r="D440" s="1"/>
      <c r="E440" s="2"/>
      <c r="F440" s="2"/>
      <c r="G440" s="1"/>
      <c r="H440" s="1"/>
      <c r="I440" s="2"/>
      <c r="J440" s="1"/>
      <c r="K440" s="1"/>
    </row>
    <row r="441" spans="1:15">
      <c r="A441" s="186"/>
      <c r="B441" s="1"/>
      <c r="C441" s="1"/>
      <c r="D441" s="1"/>
      <c r="E441" s="2"/>
      <c r="F441" s="2"/>
      <c r="G441" s="1"/>
      <c r="H441" s="1"/>
      <c r="I441" s="2"/>
      <c r="J441" s="1"/>
      <c r="K441" s="1"/>
    </row>
    <row r="442" spans="1:15">
      <c r="A442" s="186" t="s">
        <v>197</v>
      </c>
      <c r="B442" s="1"/>
      <c r="C442" s="182"/>
      <c r="D442" s="182"/>
      <c r="E442" s="2"/>
      <c r="F442" s="2"/>
      <c r="G442" s="1"/>
      <c r="H442" s="1"/>
      <c r="I442" s="2"/>
      <c r="J442" s="1"/>
      <c r="K442" s="1"/>
    </row>
    <row r="443" spans="1:15">
      <c r="A443" s="186" t="s">
        <v>225</v>
      </c>
      <c r="B443" s="1"/>
      <c r="C443" s="182">
        <v>0</v>
      </c>
      <c r="D443" s="182">
        <v>0</v>
      </c>
      <c r="E443" s="218">
        <f>E480</f>
        <v>205</v>
      </c>
      <c r="F443" s="186"/>
      <c r="G443" s="184">
        <f t="shared" ref="G443:H445" si="39">ROUND(E443*$C443,0)</f>
        <v>0</v>
      </c>
      <c r="H443" s="184">
        <f t="shared" si="39"/>
        <v>0</v>
      </c>
      <c r="I443" s="218">
        <f>I480</f>
        <v>225</v>
      </c>
      <c r="J443" s="186"/>
      <c r="K443" s="184">
        <f>ROUND(I443*$D443,0)</f>
        <v>0</v>
      </c>
    </row>
    <row r="444" spans="1:15">
      <c r="A444" s="186" t="s">
        <v>226</v>
      </c>
      <c r="B444" s="1"/>
      <c r="C444" s="182">
        <v>0</v>
      </c>
      <c r="D444" s="182">
        <v>0</v>
      </c>
      <c r="E444" s="218">
        <f>E481</f>
        <v>75</v>
      </c>
      <c r="F444" s="186"/>
      <c r="G444" s="184">
        <f t="shared" si="39"/>
        <v>0</v>
      </c>
      <c r="H444" s="184">
        <f t="shared" si="39"/>
        <v>0</v>
      </c>
      <c r="I444" s="218">
        <f>I481</f>
        <v>83</v>
      </c>
      <c r="J444" s="186"/>
      <c r="K444" s="184">
        <f>ROUND(I444*$D444,0)</f>
        <v>0</v>
      </c>
    </row>
    <row r="445" spans="1:15">
      <c r="A445" s="186" t="s">
        <v>227</v>
      </c>
      <c r="B445" s="1"/>
      <c r="C445" s="182">
        <v>0</v>
      </c>
      <c r="D445" s="182">
        <v>0</v>
      </c>
      <c r="E445" s="218">
        <f>E482</f>
        <v>150</v>
      </c>
      <c r="F445" s="188"/>
      <c r="G445" s="184">
        <f t="shared" si="39"/>
        <v>0</v>
      </c>
      <c r="H445" s="184">
        <f t="shared" si="39"/>
        <v>0</v>
      </c>
      <c r="I445" s="218">
        <f>I482</f>
        <v>166</v>
      </c>
      <c r="J445" s="188"/>
      <c r="K445" s="184">
        <f>ROUND(I445*$D445,0)</f>
        <v>0</v>
      </c>
    </row>
    <row r="446" spans="1:15">
      <c r="A446" s="186" t="s">
        <v>198</v>
      </c>
      <c r="B446" s="1"/>
      <c r="C446" s="182">
        <f>SUM(C443:C445)</f>
        <v>0</v>
      </c>
      <c r="D446" s="182">
        <f>SUM(D443:D445)</f>
        <v>0</v>
      </c>
      <c r="E446" s="218"/>
      <c r="F446" s="186"/>
      <c r="G446" s="184"/>
      <c r="H446" s="184"/>
      <c r="I446" s="218"/>
      <c r="J446" s="186"/>
      <c r="K446" s="184"/>
    </row>
    <row r="447" spans="1:15">
      <c r="A447" s="186" t="s">
        <v>226</v>
      </c>
      <c r="B447" s="1"/>
      <c r="C447" s="182">
        <v>0</v>
      </c>
      <c r="D447" s="182">
        <v>0</v>
      </c>
      <c r="E447" s="218">
        <f>E484</f>
        <v>1.38</v>
      </c>
      <c r="F447" s="186" t="s">
        <v>13</v>
      </c>
      <c r="G447" s="184">
        <f>ROUND(E447*$C447,0)</f>
        <v>0</v>
      </c>
      <c r="H447" s="184">
        <f>ROUND(F447*$C447,0)</f>
        <v>0</v>
      </c>
      <c r="I447" s="218">
        <f>I484</f>
        <v>1.47</v>
      </c>
      <c r="J447" s="186" t="s">
        <v>13</v>
      </c>
      <c r="K447" s="184">
        <f>ROUND(I447*$D447,0)</f>
        <v>0</v>
      </c>
    </row>
    <row r="448" spans="1:15">
      <c r="A448" s="186" t="s">
        <v>227</v>
      </c>
      <c r="B448" s="1"/>
      <c r="C448" s="182">
        <v>0</v>
      </c>
      <c r="D448" s="182">
        <v>0</v>
      </c>
      <c r="E448" s="218">
        <f>E485</f>
        <v>1.1299999999999999</v>
      </c>
      <c r="F448" s="186" t="s">
        <v>13</v>
      </c>
      <c r="G448" s="184">
        <f>ROUND(E448*$C448,0)</f>
        <v>0</v>
      </c>
      <c r="H448" s="184">
        <f>ROUND(F448*$C448,0)</f>
        <v>0</v>
      </c>
      <c r="I448" s="218">
        <f>I485</f>
        <v>1.2</v>
      </c>
      <c r="J448" s="186" t="s">
        <v>13</v>
      </c>
      <c r="K448" s="184">
        <f>ROUND(I448*$D448,0)</f>
        <v>0</v>
      </c>
    </row>
    <row r="449" spans="1:11">
      <c r="A449" s="172" t="s">
        <v>228</v>
      </c>
      <c r="B449" s="1"/>
      <c r="C449" s="182"/>
      <c r="D449" s="182"/>
      <c r="E449" s="218"/>
      <c r="F449" s="186"/>
      <c r="G449" s="184"/>
      <c r="H449" s="184"/>
      <c r="I449" s="218"/>
      <c r="J449" s="186"/>
      <c r="K449" s="184"/>
    </row>
    <row r="450" spans="1:11">
      <c r="A450" s="172" t="s">
        <v>229</v>
      </c>
      <c r="B450" s="1"/>
      <c r="C450" s="182">
        <v>0</v>
      </c>
      <c r="D450" s="182">
        <v>0</v>
      </c>
      <c r="E450" s="218">
        <f>E487</f>
        <v>3.64</v>
      </c>
      <c r="F450" s="186"/>
      <c r="G450" s="184">
        <f>ROUND(E450*$C450,0)</f>
        <v>0</v>
      </c>
      <c r="H450" s="184">
        <f>ROUND(F450*$C450,0)</f>
        <v>0</v>
      </c>
      <c r="I450" s="218">
        <f>I487</f>
        <v>3.75</v>
      </c>
      <c r="J450" s="186"/>
      <c r="K450" s="184">
        <f>ROUND(I450*$D450,0)</f>
        <v>0</v>
      </c>
    </row>
    <row r="451" spans="1:11">
      <c r="A451" s="186" t="s">
        <v>230</v>
      </c>
      <c r="B451" s="1"/>
      <c r="C451" s="182"/>
      <c r="D451" s="182"/>
      <c r="E451" s="219"/>
      <c r="F451" s="184"/>
      <c r="G451" s="184"/>
      <c r="H451" s="184"/>
      <c r="I451" s="219"/>
      <c r="J451" s="184"/>
      <c r="K451" s="184"/>
    </row>
    <row r="452" spans="1:11">
      <c r="A452" s="186" t="s">
        <v>231</v>
      </c>
      <c r="B452" s="1"/>
      <c r="C452" s="182">
        <v>0</v>
      </c>
      <c r="D452" s="182">
        <v>0</v>
      </c>
      <c r="E452" s="220">
        <f>E490</f>
        <v>3.9809999999999999</v>
      </c>
      <c r="F452" s="184" t="s">
        <v>178</v>
      </c>
      <c r="G452" s="184">
        <f>ROUND($C452*E452/100,0)</f>
        <v>0</v>
      </c>
      <c r="H452" s="184">
        <f>ROUND($C452*F452/100,0)</f>
        <v>0</v>
      </c>
      <c r="I452" s="220">
        <f>I490</f>
        <v>4.3570000000000002</v>
      </c>
      <c r="J452" s="184" t="s">
        <v>178</v>
      </c>
      <c r="K452" s="184">
        <f>ROUND($D452*I452/100,0)</f>
        <v>0</v>
      </c>
    </row>
    <row r="453" spans="1:11">
      <c r="A453" s="186" t="s">
        <v>203</v>
      </c>
      <c r="B453" s="1"/>
      <c r="C453" s="182">
        <v>0</v>
      </c>
      <c r="D453" s="182">
        <v>0</v>
      </c>
      <c r="E453" s="220">
        <f>E491</f>
        <v>3.649</v>
      </c>
      <c r="F453" s="184" t="s">
        <v>178</v>
      </c>
      <c r="G453" s="184">
        <f>ROUND($C453*E453/100,0)</f>
        <v>0</v>
      </c>
      <c r="H453" s="184">
        <f>ROUND($C453*F453/100,0)</f>
        <v>0</v>
      </c>
      <c r="I453" s="220">
        <f>I491</f>
        <v>3.9930000000000003</v>
      </c>
      <c r="J453" s="184" t="s">
        <v>178</v>
      </c>
      <c r="K453" s="184">
        <f>ROUND($D453*I453/100,0)</f>
        <v>0</v>
      </c>
    </row>
    <row r="454" spans="1:11">
      <c r="A454" s="186" t="s">
        <v>204</v>
      </c>
      <c r="B454" s="1"/>
      <c r="C454" s="182">
        <v>0</v>
      </c>
      <c r="D454" s="182">
        <v>0</v>
      </c>
      <c r="E454" s="221">
        <v>45</v>
      </c>
      <c r="F454" s="184" t="s">
        <v>178</v>
      </c>
      <c r="G454" s="184">
        <f>ROUND(E454*$C454/100,0)</f>
        <v>0</v>
      </c>
      <c r="H454" s="184">
        <f>ROUND(F454*$C454/100,0)</f>
        <v>0</v>
      </c>
      <c r="I454" s="221">
        <v>45</v>
      </c>
      <c r="J454" s="184" t="s">
        <v>178</v>
      </c>
      <c r="K454" s="184">
        <f>ROUND(I454*$D454,0)</f>
        <v>0</v>
      </c>
    </row>
    <row r="455" spans="1:11">
      <c r="A455" s="186" t="s">
        <v>232</v>
      </c>
      <c r="B455" s="1"/>
      <c r="C455" s="182">
        <v>0</v>
      </c>
      <c r="D455" s="182">
        <v>0</v>
      </c>
      <c r="E455" s="222">
        <v>0.06</v>
      </c>
      <c r="F455" s="184"/>
      <c r="G455" s="184">
        <f>ROUND($C455*E455/100,0)</f>
        <v>0</v>
      </c>
      <c r="H455" s="184">
        <f>ROUND($C455*F455/100,0)</f>
        <v>0</v>
      </c>
      <c r="I455" s="222">
        <v>0.06</v>
      </c>
      <c r="J455" s="184"/>
      <c r="K455" s="184">
        <f>ROUND($D455*I455/100,0)</f>
        <v>0</v>
      </c>
    </row>
    <row r="456" spans="1:11">
      <c r="A456" s="223" t="s">
        <v>205</v>
      </c>
      <c r="B456" s="1"/>
      <c r="C456" s="182"/>
      <c r="D456" s="182"/>
      <c r="E456" s="195">
        <v>-0.01</v>
      </c>
      <c r="F456" s="224"/>
      <c r="G456" s="224"/>
      <c r="H456" s="224"/>
      <c r="I456" s="195">
        <v>-0.01</v>
      </c>
      <c r="J456" s="224"/>
      <c r="K456" s="2"/>
    </row>
    <row r="457" spans="1:11">
      <c r="A457" s="186" t="s">
        <v>225</v>
      </c>
      <c r="B457" s="1"/>
      <c r="C457" s="182">
        <v>0</v>
      </c>
      <c r="D457" s="182">
        <v>0</v>
      </c>
      <c r="E457" s="218">
        <f>E443</f>
        <v>205</v>
      </c>
      <c r="F457" s="186"/>
      <c r="G457" s="184">
        <f t="shared" ref="G457:H462" si="40">ROUND(E457*$C457*$E$456,0)</f>
        <v>0</v>
      </c>
      <c r="H457" s="184">
        <f t="shared" si="40"/>
        <v>0</v>
      </c>
      <c r="I457" s="218">
        <f>I443</f>
        <v>225</v>
      </c>
      <c r="J457" s="186"/>
      <c r="K457" s="184">
        <f t="shared" ref="K457:K462" si="41">ROUND(I457*$D457*$E$456,0)</f>
        <v>0</v>
      </c>
    </row>
    <row r="458" spans="1:11">
      <c r="A458" s="186" t="s">
        <v>226</v>
      </c>
      <c r="B458" s="1"/>
      <c r="C458" s="182">
        <v>0</v>
      </c>
      <c r="D458" s="182">
        <v>0</v>
      </c>
      <c r="E458" s="218">
        <f>E444</f>
        <v>75</v>
      </c>
      <c r="F458" s="186"/>
      <c r="G458" s="184">
        <f t="shared" si="40"/>
        <v>0</v>
      </c>
      <c r="H458" s="184">
        <f t="shared" si="40"/>
        <v>0</v>
      </c>
      <c r="I458" s="218">
        <f>I444</f>
        <v>83</v>
      </c>
      <c r="J458" s="186"/>
      <c r="K458" s="184">
        <f t="shared" si="41"/>
        <v>0</v>
      </c>
    </row>
    <row r="459" spans="1:11">
      <c r="A459" s="186" t="s">
        <v>227</v>
      </c>
      <c r="B459" s="1"/>
      <c r="C459" s="182">
        <v>0</v>
      </c>
      <c r="D459" s="182">
        <v>0</v>
      </c>
      <c r="E459" s="218">
        <f>E445</f>
        <v>150</v>
      </c>
      <c r="F459" s="188"/>
      <c r="G459" s="184">
        <f t="shared" si="40"/>
        <v>0</v>
      </c>
      <c r="H459" s="184">
        <f t="shared" si="40"/>
        <v>0</v>
      </c>
      <c r="I459" s="218">
        <f>I445</f>
        <v>166</v>
      </c>
      <c r="J459" s="188"/>
      <c r="K459" s="184">
        <f t="shared" si="41"/>
        <v>0</v>
      </c>
    </row>
    <row r="460" spans="1:11">
      <c r="A460" s="186" t="s">
        <v>226</v>
      </c>
      <c r="B460" s="1"/>
      <c r="C460" s="182">
        <v>0</v>
      </c>
      <c r="D460" s="182">
        <v>0</v>
      </c>
      <c r="E460" s="218">
        <f>E447</f>
        <v>1.38</v>
      </c>
      <c r="F460" s="186" t="s">
        <v>13</v>
      </c>
      <c r="G460" s="184">
        <f t="shared" si="40"/>
        <v>0</v>
      </c>
      <c r="H460" s="184">
        <f t="shared" si="40"/>
        <v>0</v>
      </c>
      <c r="I460" s="218">
        <f>I447</f>
        <v>1.47</v>
      </c>
      <c r="J460" s="186" t="s">
        <v>13</v>
      </c>
      <c r="K460" s="184">
        <f t="shared" si="41"/>
        <v>0</v>
      </c>
    </row>
    <row r="461" spans="1:11">
      <c r="A461" s="186" t="s">
        <v>227</v>
      </c>
      <c r="B461" s="1"/>
      <c r="C461" s="182">
        <v>0</v>
      </c>
      <c r="D461" s="182">
        <v>0</v>
      </c>
      <c r="E461" s="218">
        <f>E448</f>
        <v>1.1299999999999999</v>
      </c>
      <c r="F461" s="186" t="s">
        <v>13</v>
      </c>
      <c r="G461" s="184">
        <f t="shared" si="40"/>
        <v>0</v>
      </c>
      <c r="H461" s="184">
        <f t="shared" si="40"/>
        <v>0</v>
      </c>
      <c r="I461" s="218">
        <f>I448</f>
        <v>1.2</v>
      </c>
      <c r="J461" s="186" t="s">
        <v>13</v>
      </c>
      <c r="K461" s="184">
        <f t="shared" si="41"/>
        <v>0</v>
      </c>
    </row>
    <row r="462" spans="1:11">
      <c r="A462" s="172" t="s">
        <v>229</v>
      </c>
      <c r="B462" s="1"/>
      <c r="C462" s="182">
        <v>0</v>
      </c>
      <c r="D462" s="182">
        <v>0</v>
      </c>
      <c r="E462" s="218">
        <f>E450</f>
        <v>3.64</v>
      </c>
      <c r="F462" s="186"/>
      <c r="G462" s="184">
        <f t="shared" si="40"/>
        <v>0</v>
      </c>
      <c r="H462" s="184">
        <f t="shared" si="40"/>
        <v>0</v>
      </c>
      <c r="I462" s="218">
        <f>I450</f>
        <v>3.75</v>
      </c>
      <c r="J462" s="186"/>
      <c r="K462" s="184">
        <f t="shared" si="41"/>
        <v>0</v>
      </c>
    </row>
    <row r="463" spans="1:11">
      <c r="A463" s="186" t="s">
        <v>231</v>
      </c>
      <c r="B463" s="1"/>
      <c r="C463" s="182">
        <v>0</v>
      </c>
      <c r="D463" s="182">
        <v>0</v>
      </c>
      <c r="E463" s="198">
        <f>E452</f>
        <v>3.9809999999999999</v>
      </c>
      <c r="F463" s="184" t="s">
        <v>178</v>
      </c>
      <c r="G463" s="184">
        <f>ROUND(E463/100*$C463*E456,0)</f>
        <v>0</v>
      </c>
      <c r="H463" s="184">
        <f>ROUND(F463/100*$C463*F456,0)</f>
        <v>0</v>
      </c>
      <c r="I463" s="198">
        <f>I452</f>
        <v>4.3570000000000002</v>
      </c>
      <c r="J463" s="184" t="s">
        <v>178</v>
      </c>
      <c r="K463" s="184">
        <f>ROUND(I463/100*$D463*E456,0)</f>
        <v>0</v>
      </c>
    </row>
    <row r="464" spans="1:11">
      <c r="A464" s="186" t="s">
        <v>203</v>
      </c>
      <c r="B464" s="1"/>
      <c r="C464" s="182">
        <v>0</v>
      </c>
      <c r="D464" s="182">
        <v>0</v>
      </c>
      <c r="E464" s="198">
        <f>E453</f>
        <v>3.649</v>
      </c>
      <c r="F464" s="184" t="s">
        <v>178</v>
      </c>
      <c r="G464" s="184">
        <f>ROUND(E464/100*$C464*E456,0)</f>
        <v>0</v>
      </c>
      <c r="H464" s="184">
        <f>ROUND(F464/100*$C464*F456,0)</f>
        <v>0</v>
      </c>
      <c r="I464" s="198">
        <f>I453</f>
        <v>3.9930000000000003</v>
      </c>
      <c r="J464" s="184" t="s">
        <v>178</v>
      </c>
      <c r="K464" s="184">
        <f>ROUND(I464/100*$D464*E456,0)</f>
        <v>0</v>
      </c>
    </row>
    <row r="465" spans="1:24">
      <c r="A465" s="172" t="s">
        <v>233</v>
      </c>
      <c r="B465" s="1"/>
      <c r="C465" s="182">
        <v>0</v>
      </c>
      <c r="D465" s="182">
        <v>0</v>
      </c>
      <c r="E465" s="225">
        <v>45</v>
      </c>
      <c r="F465" s="184" t="s">
        <v>178</v>
      </c>
      <c r="G465" s="184">
        <f>ROUND(E465*$C465*$E$456,0)</f>
        <v>0</v>
      </c>
      <c r="H465" s="184">
        <f>ROUND(F465*$C465*$E$456,0)</f>
        <v>0</v>
      </c>
      <c r="I465" s="225">
        <v>45</v>
      </c>
      <c r="J465" s="184" t="s">
        <v>178</v>
      </c>
      <c r="K465" s="184">
        <f>ROUND(I465*$D465*$E$456,0)</f>
        <v>0</v>
      </c>
    </row>
    <row r="466" spans="1:24">
      <c r="A466" s="172" t="s">
        <v>234</v>
      </c>
      <c r="B466" s="1"/>
      <c r="C466" s="182">
        <v>0</v>
      </c>
      <c r="D466" s="182">
        <v>0</v>
      </c>
      <c r="E466" s="199">
        <v>0.06</v>
      </c>
      <c r="F466" s="184" t="s">
        <v>178</v>
      </c>
      <c r="G466" s="184">
        <f>ROUND(E466/100*$C466*E456,0)</f>
        <v>0</v>
      </c>
      <c r="H466" s="184">
        <f>ROUND(F466/100*$C466*F456,0)</f>
        <v>0</v>
      </c>
      <c r="I466" s="199">
        <v>0.06</v>
      </c>
      <c r="J466" s="184" t="s">
        <v>178</v>
      </c>
      <c r="K466" s="184">
        <f>ROUND(I466/100*$D466*I456,0)</f>
        <v>0</v>
      </c>
    </row>
    <row r="467" spans="1:24">
      <c r="A467" s="186" t="s">
        <v>235</v>
      </c>
      <c r="B467" s="1"/>
      <c r="C467" s="182">
        <v>0</v>
      </c>
      <c r="D467" s="182">
        <v>0</v>
      </c>
      <c r="E467" s="226">
        <v>60</v>
      </c>
      <c r="F467" s="224" t="s">
        <v>13</v>
      </c>
      <c r="G467" s="184">
        <f>ROUND(E467*$C467,0)</f>
        <v>0</v>
      </c>
      <c r="H467" s="184">
        <f>ROUND(F467*$C467,0)</f>
        <v>0</v>
      </c>
      <c r="I467" s="226">
        <v>60</v>
      </c>
      <c r="J467" s="227" t="s">
        <v>13</v>
      </c>
      <c r="K467" s="184">
        <f>ROUND(I467*$D467,0)</f>
        <v>0</v>
      </c>
    </row>
    <row r="468" spans="1:24">
      <c r="A468" s="186" t="s">
        <v>236</v>
      </c>
      <c r="B468" s="1"/>
      <c r="C468" s="182">
        <v>0</v>
      </c>
      <c r="D468" s="182">
        <v>0</v>
      </c>
      <c r="E468" s="199">
        <v>-30</v>
      </c>
      <c r="F468" s="184" t="s">
        <v>178</v>
      </c>
      <c r="G468" s="184">
        <f>ROUND(E468*$C468*$E$456,0)</f>
        <v>0</v>
      </c>
      <c r="H468" s="184">
        <f>ROUND(F468*$C468*$E$456,0)</f>
        <v>0</v>
      </c>
      <c r="I468" s="199">
        <v>-30</v>
      </c>
      <c r="J468" s="184" t="s">
        <v>178</v>
      </c>
      <c r="K468" s="184">
        <f>ROUND(I468*$D468*$E$456,0)</f>
        <v>0</v>
      </c>
    </row>
    <row r="469" spans="1:24">
      <c r="A469" s="172" t="s">
        <v>237</v>
      </c>
      <c r="B469" s="1"/>
      <c r="C469" s="182">
        <v>0</v>
      </c>
      <c r="D469" s="182">
        <v>0</v>
      </c>
      <c r="E469" s="197">
        <f>E450/2</f>
        <v>1.82</v>
      </c>
      <c r="F469" s="184"/>
      <c r="G469" s="184"/>
      <c r="H469" s="184"/>
      <c r="I469" s="197">
        <f>I450/2</f>
        <v>1.875</v>
      </c>
      <c r="J469" s="184"/>
      <c r="K469" s="184">
        <f>ROUND($D469*I469,0)</f>
        <v>0</v>
      </c>
    </row>
    <row r="470" spans="1:24">
      <c r="A470" s="172" t="s">
        <v>238</v>
      </c>
      <c r="B470" s="1"/>
      <c r="C470" s="182">
        <v>0</v>
      </c>
      <c r="D470" s="182">
        <v>0</v>
      </c>
      <c r="E470" s="197">
        <f>E450*4</f>
        <v>14.56</v>
      </c>
      <c r="F470" s="184"/>
      <c r="G470" s="184"/>
      <c r="H470" s="184"/>
      <c r="I470" s="197">
        <f>I450*4</f>
        <v>15</v>
      </c>
      <c r="J470" s="184"/>
      <c r="K470" s="184">
        <f>ROUND($D470*I470,0)</f>
        <v>0</v>
      </c>
    </row>
    <row r="471" spans="1:24">
      <c r="A471" s="3" t="s">
        <v>239</v>
      </c>
      <c r="B471" s="166"/>
      <c r="C471" s="182">
        <v>0</v>
      </c>
      <c r="D471" s="182">
        <v>0</v>
      </c>
      <c r="E471" s="228">
        <f>E453*4</f>
        <v>14.596</v>
      </c>
      <c r="F471" s="184" t="s">
        <v>178</v>
      </c>
      <c r="G471" s="184">
        <f>ROUND($C471*E471/100,0)</f>
        <v>0</v>
      </c>
      <c r="H471" s="184">
        <f>ROUND($C471*F471/100,0)</f>
        <v>0</v>
      </c>
      <c r="I471" s="473">
        <f>I453*4</f>
        <v>15.972000000000001</v>
      </c>
      <c r="J471" s="184" t="s">
        <v>178</v>
      </c>
      <c r="K471" s="184">
        <f>ROUND($D471*I471/100,0)</f>
        <v>0</v>
      </c>
    </row>
    <row r="472" spans="1:24">
      <c r="A472" s="1" t="s">
        <v>185</v>
      </c>
      <c r="B472" s="1"/>
      <c r="C472" s="182">
        <f>SUM(C452:C453)</f>
        <v>0</v>
      </c>
      <c r="D472" s="182">
        <f>SUM(D452:D453)</f>
        <v>0</v>
      </c>
      <c r="E472" s="193"/>
      <c r="F472" s="2"/>
      <c r="G472" s="2">
        <f>SUM(G443:G471)</f>
        <v>0</v>
      </c>
      <c r="H472" s="2">
        <f>SUM(H443:H471)</f>
        <v>0</v>
      </c>
      <c r="I472" s="193"/>
      <c r="J472" s="186"/>
      <c r="K472" s="2">
        <f>SUM(K443:K471)</f>
        <v>0</v>
      </c>
    </row>
    <row r="473" spans="1:24">
      <c r="A473" s="1" t="s">
        <v>167</v>
      </c>
      <c r="B473" s="1"/>
      <c r="C473" s="212">
        <v>0</v>
      </c>
      <c r="D473" s="212">
        <v>0</v>
      </c>
      <c r="E473" s="172"/>
      <c r="F473" s="172"/>
      <c r="G473" s="173">
        <v>0</v>
      </c>
      <c r="H473" s="173">
        <v>0</v>
      </c>
      <c r="I473" s="172"/>
      <c r="J473" s="172"/>
      <c r="K473" s="173">
        <v>0</v>
      </c>
      <c r="M473" s="152"/>
      <c r="N473" s="152"/>
      <c r="O473" s="153"/>
    </row>
    <row r="474" spans="1:24" ht="16.5" thickBot="1">
      <c r="A474" s="1" t="s">
        <v>186</v>
      </c>
      <c r="B474" s="1"/>
      <c r="C474" s="229">
        <f>SUM(C472:C473)</f>
        <v>0</v>
      </c>
      <c r="D474" s="229">
        <f>SUM(D472:D473)</f>
        <v>0</v>
      </c>
      <c r="E474" s="205"/>
      <c r="F474" s="206"/>
      <c r="G474" s="207">
        <f>SUM(G472:G473)</f>
        <v>0</v>
      </c>
      <c r="H474" s="207">
        <f>SUM(H472:H473)</f>
        <v>0</v>
      </c>
      <c r="I474" s="205"/>
      <c r="J474" s="208"/>
      <c r="K474" s="207">
        <f>SUM(K472:K473)</f>
        <v>0</v>
      </c>
      <c r="M474" s="154"/>
      <c r="N474" s="154"/>
      <c r="O474" s="155"/>
    </row>
    <row r="475" spans="1:24" ht="16.5" thickTop="1">
      <c r="A475" s="1"/>
      <c r="B475" s="230"/>
      <c r="C475" s="12"/>
      <c r="D475" s="12"/>
      <c r="E475" s="200"/>
      <c r="F475" s="2"/>
      <c r="G475" s="2"/>
      <c r="H475" s="2"/>
      <c r="I475" s="200"/>
      <c r="J475" s="1"/>
      <c r="K475" s="2"/>
    </row>
    <row r="476" spans="1:24">
      <c r="A476" s="156" t="s">
        <v>240</v>
      </c>
      <c r="B476" s="1"/>
      <c r="C476" s="1"/>
      <c r="D476" s="1"/>
      <c r="E476" s="2"/>
      <c r="F476" s="2"/>
      <c r="G476" s="1" t="s">
        <v>13</v>
      </c>
      <c r="H476" s="1"/>
      <c r="I476" s="2"/>
      <c r="J476" s="1"/>
      <c r="K476" s="1"/>
    </row>
    <row r="477" spans="1:24">
      <c r="A477" s="172" t="s">
        <v>241</v>
      </c>
      <c r="B477" s="1"/>
      <c r="C477" s="1"/>
      <c r="D477" s="1"/>
      <c r="E477" s="2"/>
      <c r="F477" s="2"/>
      <c r="G477" s="1"/>
      <c r="H477" s="1"/>
      <c r="I477" s="2"/>
      <c r="J477" s="1"/>
      <c r="K477" s="1"/>
    </row>
    <row r="478" spans="1:24">
      <c r="A478" s="186"/>
      <c r="B478" s="1"/>
      <c r="C478" s="1"/>
      <c r="D478" s="1"/>
      <c r="E478" s="2"/>
      <c r="F478" s="2"/>
      <c r="G478" s="1"/>
      <c r="H478" s="1"/>
      <c r="I478" s="2"/>
      <c r="J478" s="1"/>
      <c r="K478" s="1"/>
    </row>
    <row r="479" spans="1:24">
      <c r="A479" s="186" t="s">
        <v>197</v>
      </c>
      <c r="B479" s="1"/>
      <c r="C479" s="182"/>
      <c r="D479" s="182"/>
      <c r="E479" s="2"/>
      <c r="F479" s="2"/>
      <c r="G479" s="1"/>
      <c r="H479" s="1"/>
      <c r="I479" s="2"/>
      <c r="J479" s="1"/>
      <c r="K479" s="1"/>
      <c r="S479" s="13">
        <v>100</v>
      </c>
      <c r="T479" s="13">
        <v>101</v>
      </c>
      <c r="U479" s="13">
        <v>300</v>
      </c>
      <c r="V479" s="13">
        <v>301</v>
      </c>
      <c r="W479" s="13" t="s">
        <v>242</v>
      </c>
      <c r="X479" s="13" t="s">
        <v>243</v>
      </c>
    </row>
    <row r="480" spans="1:24">
      <c r="A480" s="186" t="s">
        <v>225</v>
      </c>
      <c r="B480" s="1"/>
      <c r="C480" s="182">
        <f t="shared" ref="C480:D482" si="42">C514+C548</f>
        <v>289</v>
      </c>
      <c r="D480" s="182">
        <f t="shared" si="42"/>
        <v>292</v>
      </c>
      <c r="E480" s="161">
        <v>205</v>
      </c>
      <c r="F480" s="186"/>
      <c r="G480" s="184">
        <f t="shared" ref="G480:H482" si="43">G514+G548</f>
        <v>59245</v>
      </c>
      <c r="H480" s="184">
        <f t="shared" si="43"/>
        <v>59860</v>
      </c>
      <c r="I480" s="161">
        <v>225</v>
      </c>
      <c r="J480" s="186"/>
      <c r="K480" s="184">
        <f>K514+K548</f>
        <v>65700</v>
      </c>
      <c r="M480" s="42">
        <f>I480*D480</f>
        <v>65700</v>
      </c>
      <c r="N480" s="8"/>
      <c r="O480" s="8">
        <f>(I480-E480)/E480</f>
        <v>9.7560975609756101E-2</v>
      </c>
      <c r="P480" s="101">
        <f>SUM(K480:K485)/SUM(H480:H485)-1</f>
        <v>7.3572489540367991E-2</v>
      </c>
      <c r="R480" s="3" t="s">
        <v>175</v>
      </c>
      <c r="S480" s="192">
        <f>E480</f>
        <v>205</v>
      </c>
      <c r="T480" s="192">
        <f>E481+(E484*101)</f>
        <v>214.38</v>
      </c>
      <c r="U480" s="192">
        <f>E481+(E484*300)</f>
        <v>488.99999999999994</v>
      </c>
      <c r="V480" s="192">
        <f>E482+(E485*301)</f>
        <v>490.13</v>
      </c>
      <c r="W480" s="42">
        <f>(D480+D481+D482)*E480</f>
        <v>2621745</v>
      </c>
      <c r="X480" s="42">
        <f>SUM(H480:H485)-W480</f>
        <v>2785711</v>
      </c>
    </row>
    <row r="481" spans="1:25">
      <c r="A481" s="186" t="s">
        <v>226</v>
      </c>
      <c r="B481" s="1"/>
      <c r="C481" s="182">
        <f t="shared" si="42"/>
        <v>8907</v>
      </c>
      <c r="D481" s="182">
        <f t="shared" si="42"/>
        <v>8972</v>
      </c>
      <c r="E481" s="161">
        <v>75</v>
      </c>
      <c r="F481" s="186"/>
      <c r="G481" s="184">
        <f t="shared" si="43"/>
        <v>668025</v>
      </c>
      <c r="H481" s="184">
        <f t="shared" si="43"/>
        <v>672900</v>
      </c>
      <c r="I481" s="161">
        <v>83</v>
      </c>
      <c r="J481" s="186"/>
      <c r="K481" s="184">
        <f>K515+K549</f>
        <v>744676</v>
      </c>
      <c r="M481" s="42">
        <f>I481*D481</f>
        <v>744676</v>
      </c>
      <c r="N481" s="8"/>
      <c r="O481" s="8">
        <f>(I481-E481)/E481</f>
        <v>0.10666666666666667</v>
      </c>
      <c r="R481" s="3" t="s">
        <v>120</v>
      </c>
      <c r="S481" s="192">
        <f>I480</f>
        <v>225</v>
      </c>
      <c r="T481" s="192">
        <f>I481+(I484*101)</f>
        <v>231.47</v>
      </c>
      <c r="U481" s="192">
        <f>I481+(I484*300)</f>
        <v>524</v>
      </c>
      <c r="V481" s="192">
        <f>I482+(I485*301)</f>
        <v>527.20000000000005</v>
      </c>
      <c r="W481" s="42">
        <f>(D480+D481+D482)*I480</f>
        <v>2877525</v>
      </c>
      <c r="X481" s="42">
        <f>SUM(K480:K485)-W481</f>
        <v>2927771</v>
      </c>
    </row>
    <row r="482" spans="1:25">
      <c r="A482" s="186" t="s">
        <v>227</v>
      </c>
      <c r="B482" s="1"/>
      <c r="C482" s="182">
        <f t="shared" si="42"/>
        <v>3508</v>
      </c>
      <c r="D482" s="182">
        <f t="shared" si="42"/>
        <v>3525</v>
      </c>
      <c r="E482" s="161">
        <v>150</v>
      </c>
      <c r="F482" s="188"/>
      <c r="G482" s="184">
        <f t="shared" si="43"/>
        <v>526200</v>
      </c>
      <c r="H482" s="184">
        <f t="shared" si="43"/>
        <v>528750</v>
      </c>
      <c r="I482" s="161">
        <v>166</v>
      </c>
      <c r="J482" s="188"/>
      <c r="K482" s="184">
        <f>K516+K550</f>
        <v>585150</v>
      </c>
      <c r="M482" s="42">
        <f>I482*D482</f>
        <v>585150</v>
      </c>
      <c r="N482" s="8"/>
      <c r="O482" s="8">
        <f>(I482-E482)/E482</f>
        <v>0.10666666666666667</v>
      </c>
      <c r="R482" s="3" t="s">
        <v>112</v>
      </c>
      <c r="W482" s="3">
        <f>W481/W480</f>
        <v>1.0975609756097562</v>
      </c>
      <c r="X482" s="3">
        <f>X481/X480</f>
        <v>1.0509959575849757</v>
      </c>
    </row>
    <row r="483" spans="1:25">
      <c r="A483" s="186" t="s">
        <v>198</v>
      </c>
      <c r="B483" s="1"/>
      <c r="C483" s="182">
        <f>SUM(C480:C482)</f>
        <v>12704</v>
      </c>
      <c r="D483" s="182">
        <f>SUM(D480:D482)</f>
        <v>12789</v>
      </c>
      <c r="E483" s="161"/>
      <c r="F483" s="186"/>
      <c r="G483" s="184"/>
      <c r="H483" s="184"/>
      <c r="I483" s="161"/>
      <c r="J483" s="186"/>
      <c r="K483" s="184"/>
    </row>
    <row r="484" spans="1:25">
      <c r="A484" s="186" t="s">
        <v>226</v>
      </c>
      <c r="B484" s="1"/>
      <c r="C484" s="182">
        <f>C518+C552</f>
        <v>1535371</v>
      </c>
      <c r="D484" s="182">
        <f>D518+D552</f>
        <v>1549871</v>
      </c>
      <c r="E484" s="161">
        <v>1.38</v>
      </c>
      <c r="F484" s="186" t="s">
        <v>13</v>
      </c>
      <c r="G484" s="184">
        <f>G518+G552</f>
        <v>2118812</v>
      </c>
      <c r="H484" s="184">
        <f>H518+H552</f>
        <v>2138822</v>
      </c>
      <c r="I484" s="161">
        <v>1.47</v>
      </c>
      <c r="J484" s="186" t="s">
        <v>13</v>
      </c>
      <c r="K484" s="184">
        <f>K518+K552</f>
        <v>2278311</v>
      </c>
      <c r="M484" s="42">
        <f>I484*D484</f>
        <v>2278310.37</v>
      </c>
      <c r="N484" s="8"/>
      <c r="O484" s="8">
        <f>(I484-E484)/E484</f>
        <v>6.5217391304347894E-2</v>
      </c>
      <c r="R484" s="3" t="s">
        <v>244</v>
      </c>
    </row>
    <row r="485" spans="1:25">
      <c r="A485" s="186" t="s">
        <v>227</v>
      </c>
      <c r="B485" s="1"/>
      <c r="C485" s="182">
        <f>C519+C553</f>
        <v>1759859</v>
      </c>
      <c r="D485" s="182">
        <f>D519+D553</f>
        <v>1776216</v>
      </c>
      <c r="E485" s="161">
        <v>1.1299999999999999</v>
      </c>
      <c r="F485" s="186" t="s">
        <v>13</v>
      </c>
      <c r="G485" s="184">
        <f>G519+G553</f>
        <v>1988640</v>
      </c>
      <c r="H485" s="184">
        <f>H519+H553</f>
        <v>2007124</v>
      </c>
      <c r="I485" s="161">
        <v>1.2</v>
      </c>
      <c r="J485" s="186" t="s">
        <v>13</v>
      </c>
      <c r="K485" s="184">
        <f>K519+K553</f>
        <v>2131459</v>
      </c>
      <c r="M485" s="42">
        <f>I485*D485</f>
        <v>2131459.1999999997</v>
      </c>
      <c r="N485" s="8"/>
      <c r="O485" s="8">
        <f>(I485-E485)/E485</f>
        <v>6.1946902654867318E-2</v>
      </c>
      <c r="R485" s="3" t="s">
        <v>175</v>
      </c>
      <c r="T485" s="3">
        <f>(T480-S480)*12</f>
        <v>112.55999999999995</v>
      </c>
      <c r="V485" s="3">
        <f>(V480-U480)*12</f>
        <v>13.560000000000628</v>
      </c>
      <c r="X485" s="231"/>
      <c r="Y485" s="192"/>
    </row>
    <row r="486" spans="1:25">
      <c r="A486" s="172" t="s">
        <v>228</v>
      </c>
      <c r="B486" s="1"/>
      <c r="C486" s="182"/>
      <c r="D486" s="182"/>
      <c r="E486" s="218"/>
      <c r="F486" s="186"/>
      <c r="G486" s="184"/>
      <c r="H486" s="184"/>
      <c r="I486" s="218"/>
      <c r="J486" s="186"/>
      <c r="K486" s="184"/>
      <c r="R486" s="3" t="s">
        <v>120</v>
      </c>
      <c r="T486" s="3">
        <f>(T481-S481)*12</f>
        <v>77.639999999999986</v>
      </c>
      <c r="V486" s="3">
        <f>(V481-U481)*12</f>
        <v>38.400000000000546</v>
      </c>
    </row>
    <row r="487" spans="1:25">
      <c r="A487" s="172" t="s">
        <v>229</v>
      </c>
      <c r="B487" s="1"/>
      <c r="C487" s="182">
        <f>C521+C555</f>
        <v>2505096</v>
      </c>
      <c r="D487" s="182">
        <f>D521+D555</f>
        <v>2528566</v>
      </c>
      <c r="E487" s="161">
        <v>3.64</v>
      </c>
      <c r="F487" s="186"/>
      <c r="G487" s="184">
        <f>G521+G555</f>
        <v>9118549</v>
      </c>
      <c r="H487" s="184">
        <f>H521+H555</f>
        <v>9203980</v>
      </c>
      <c r="I487" s="161">
        <v>3.75</v>
      </c>
      <c r="J487" s="186"/>
      <c r="K487" s="184">
        <f>K521+K555</f>
        <v>9482123</v>
      </c>
      <c r="M487" s="42">
        <f>I487*D487</f>
        <v>9482122.5</v>
      </c>
      <c r="N487" s="8"/>
      <c r="O487" s="8">
        <f>(I487-E487)/E487</f>
        <v>3.0219780219780185E-2</v>
      </c>
    </row>
    <row r="488" spans="1:25">
      <c r="A488" s="172" t="s">
        <v>245</v>
      </c>
      <c r="B488" s="1"/>
      <c r="C488" s="182">
        <f>C522+C556</f>
        <v>29432</v>
      </c>
      <c r="D488" s="182">
        <f>D522+D556</f>
        <v>29702</v>
      </c>
      <c r="E488" s="232">
        <f>E487</f>
        <v>3.64</v>
      </c>
      <c r="F488" s="186"/>
      <c r="G488" s="184">
        <f>G522+G556</f>
        <v>107133</v>
      </c>
      <c r="H488" s="184">
        <f>H522+H556</f>
        <v>108115</v>
      </c>
      <c r="I488" s="232">
        <f>I487</f>
        <v>3.75</v>
      </c>
      <c r="J488" s="186"/>
      <c r="K488" s="184">
        <f>K522+K556</f>
        <v>111383</v>
      </c>
      <c r="M488" s="42">
        <f>I488*D488</f>
        <v>111382.5</v>
      </c>
      <c r="N488" s="8"/>
      <c r="O488" s="8">
        <f>(I488-E488)/E488</f>
        <v>3.0219780219780185E-2</v>
      </c>
    </row>
    <row r="489" spans="1:25">
      <c r="A489" s="186" t="s">
        <v>230</v>
      </c>
      <c r="B489" s="1"/>
      <c r="C489" s="182"/>
      <c r="D489" s="182"/>
      <c r="E489" s="161"/>
      <c r="F489" s="186"/>
      <c r="G489" s="184"/>
      <c r="H489" s="184"/>
      <c r="I489" s="161"/>
      <c r="J489" s="186"/>
      <c r="K489" s="184"/>
    </row>
    <row r="490" spans="1:25">
      <c r="A490" s="186" t="s">
        <v>231</v>
      </c>
      <c r="B490" s="182"/>
      <c r="C490" s="182">
        <v>399000610.21105069</v>
      </c>
      <c r="D490" s="182">
        <f>D524+D558</f>
        <v>402768334</v>
      </c>
      <c r="E490" s="233">
        <v>3.9809999999999999</v>
      </c>
      <c r="F490" s="186" t="s">
        <v>178</v>
      </c>
      <c r="G490" s="184">
        <f t="shared" ref="G490:H492" si="44">G524+G558</f>
        <v>15884355</v>
      </c>
      <c r="H490" s="184">
        <f t="shared" si="44"/>
        <v>16034207</v>
      </c>
      <c r="I490" s="190">
        <v>4.3570000000000002</v>
      </c>
      <c r="J490" s="186" t="s">
        <v>178</v>
      </c>
      <c r="K490" s="184">
        <f>K524+K558</f>
        <v>17548616</v>
      </c>
      <c r="M490" s="42">
        <f>(I490/100)*D490</f>
        <v>17548616.312380001</v>
      </c>
      <c r="N490" s="8"/>
      <c r="O490" s="8">
        <f>(I490-E490)/E490</f>
        <v>9.4448630997236965E-2</v>
      </c>
    </row>
    <row r="491" spans="1:25">
      <c r="A491" s="186" t="s">
        <v>203</v>
      </c>
      <c r="B491" s="182"/>
      <c r="C491" s="182">
        <v>502109624.78894931</v>
      </c>
      <c r="D491" s="182">
        <f>D525+D559</f>
        <v>506816374</v>
      </c>
      <c r="E491" s="233">
        <v>3.649</v>
      </c>
      <c r="F491" s="186" t="s">
        <v>178</v>
      </c>
      <c r="G491" s="184">
        <f t="shared" si="44"/>
        <v>18322143</v>
      </c>
      <c r="H491" s="184">
        <f t="shared" si="44"/>
        <v>18493730</v>
      </c>
      <c r="I491" s="233">
        <f>ROUND((E491/E490)*I490,3)-0.001</f>
        <v>3.9930000000000003</v>
      </c>
      <c r="J491" s="186" t="s">
        <v>178</v>
      </c>
      <c r="K491" s="184">
        <f>K525+K559</f>
        <v>20237178</v>
      </c>
      <c r="M491" s="42">
        <f>(I491/100)*D491</f>
        <v>20237177.813820001</v>
      </c>
      <c r="N491" s="8"/>
      <c r="O491" s="8">
        <f>(I491-E491)/E491</f>
        <v>9.4272403398191373E-2</v>
      </c>
    </row>
    <row r="492" spans="1:25">
      <c r="A492" s="186" t="s">
        <v>204</v>
      </c>
      <c r="B492" s="1"/>
      <c r="C492" s="182">
        <f>C526+C560</f>
        <v>523331</v>
      </c>
      <c r="D492" s="182">
        <f>D526+D560</f>
        <v>528143</v>
      </c>
      <c r="E492" s="202">
        <v>45</v>
      </c>
      <c r="F492" s="186" t="s">
        <v>178</v>
      </c>
      <c r="G492" s="184">
        <f t="shared" si="44"/>
        <v>235499</v>
      </c>
      <c r="H492" s="184">
        <f t="shared" si="44"/>
        <v>237664</v>
      </c>
      <c r="I492" s="202">
        <v>45</v>
      </c>
      <c r="J492" s="186" t="s">
        <v>178</v>
      </c>
      <c r="K492" s="184">
        <f>K526+K560</f>
        <v>237664</v>
      </c>
      <c r="M492" s="42">
        <f>(I492/100)*D492</f>
        <v>237664.35</v>
      </c>
      <c r="N492" s="8"/>
      <c r="O492" s="8">
        <f>(I492-E492)/E492</f>
        <v>0</v>
      </c>
      <c r="S492" s="3" t="s">
        <v>175</v>
      </c>
      <c r="T492" s="3" t="s">
        <v>120</v>
      </c>
      <c r="U492" s="3" t="s">
        <v>176</v>
      </c>
      <c r="V492" s="3" t="s">
        <v>126</v>
      </c>
    </row>
    <row r="493" spans="1:25">
      <c r="A493" s="223" t="s">
        <v>205</v>
      </c>
      <c r="B493" s="1"/>
      <c r="C493" s="182"/>
      <c r="D493" s="182"/>
      <c r="E493" s="195">
        <v>-0.01</v>
      </c>
      <c r="F493" s="2"/>
      <c r="G493" s="184"/>
      <c r="H493" s="184"/>
      <c r="I493" s="195">
        <v>-0.01</v>
      </c>
      <c r="J493" s="1"/>
      <c r="K493" s="184"/>
      <c r="R493" s="3" t="s">
        <v>246</v>
      </c>
      <c r="S493" s="42">
        <f>SUM(H480:H485)</f>
        <v>5407456</v>
      </c>
      <c r="T493" s="42">
        <f>SUM(K480:K485)</f>
        <v>5805296</v>
      </c>
      <c r="U493" s="49">
        <v>6297781.880353801</v>
      </c>
      <c r="V493" s="101">
        <f>T493/U493</f>
        <v>0.92180010522591582</v>
      </c>
    </row>
    <row r="494" spans="1:25">
      <c r="A494" s="186" t="s">
        <v>225</v>
      </c>
      <c r="B494" s="1"/>
      <c r="C494" s="182">
        <f t="shared" ref="C494:D507" si="45">C528+C562</f>
        <v>0</v>
      </c>
      <c r="D494" s="182">
        <f t="shared" si="45"/>
        <v>0</v>
      </c>
      <c r="E494" s="167">
        <f>E480</f>
        <v>205</v>
      </c>
      <c r="F494" s="227"/>
      <c r="G494" s="184">
        <f t="shared" ref="G494:H507" si="46">G528+G562</f>
        <v>0</v>
      </c>
      <c r="H494" s="184">
        <f t="shared" si="46"/>
        <v>0</v>
      </c>
      <c r="I494" s="167">
        <f>I480</f>
        <v>225</v>
      </c>
      <c r="J494" s="156"/>
      <c r="K494" s="184">
        <f t="shared" ref="K494:K507" si="47">K528+K562</f>
        <v>0</v>
      </c>
      <c r="M494" s="42">
        <f t="shared" ref="M494:M500" si="48">-(I494*D494)/100</f>
        <v>0</v>
      </c>
      <c r="R494" s="3" t="s">
        <v>180</v>
      </c>
      <c r="S494" s="42">
        <f>SUM(H490:H491)</f>
        <v>34527937</v>
      </c>
      <c r="T494" s="42">
        <f>SUM(K490:K491)</f>
        <v>37785794</v>
      </c>
      <c r="U494" s="49">
        <v>43870359.484416999</v>
      </c>
      <c r="V494" s="101">
        <f>T494/U494</f>
        <v>0.86130577556406229</v>
      </c>
    </row>
    <row r="495" spans="1:25">
      <c r="A495" s="186" t="s">
        <v>226</v>
      </c>
      <c r="B495" s="1"/>
      <c r="C495" s="182">
        <f t="shared" si="45"/>
        <v>36</v>
      </c>
      <c r="D495" s="182">
        <f t="shared" si="45"/>
        <v>36</v>
      </c>
      <c r="E495" s="167">
        <f>E481</f>
        <v>75</v>
      </c>
      <c r="F495" s="227"/>
      <c r="G495" s="184">
        <f t="shared" si="46"/>
        <v>-27</v>
      </c>
      <c r="H495" s="184">
        <f t="shared" si="46"/>
        <v>-27</v>
      </c>
      <c r="I495" s="167">
        <f>I481</f>
        <v>83</v>
      </c>
      <c r="J495" s="156"/>
      <c r="K495" s="184">
        <f t="shared" si="47"/>
        <v>-30</v>
      </c>
      <c r="M495" s="42">
        <f t="shared" si="48"/>
        <v>-29.88</v>
      </c>
      <c r="O495" s="234"/>
      <c r="R495" s="3" t="s">
        <v>210</v>
      </c>
      <c r="S495" s="42">
        <f>SUM(H487:H488)</f>
        <v>9312095</v>
      </c>
      <c r="T495" s="42">
        <f>SUM(K487:K488)</f>
        <v>9593506</v>
      </c>
      <c r="U495" s="49">
        <v>6509411.4532006206</v>
      </c>
      <c r="V495" s="101">
        <f>T495/U495</f>
        <v>1.4737900759496401</v>
      </c>
    </row>
    <row r="496" spans="1:25">
      <c r="A496" s="186" t="s">
        <v>227</v>
      </c>
      <c r="B496" s="1"/>
      <c r="C496" s="182">
        <f t="shared" si="45"/>
        <v>96</v>
      </c>
      <c r="D496" s="182">
        <f t="shared" si="45"/>
        <v>97</v>
      </c>
      <c r="E496" s="167">
        <f>E482</f>
        <v>150</v>
      </c>
      <c r="F496" s="235"/>
      <c r="G496" s="184">
        <f t="shared" si="46"/>
        <v>-144</v>
      </c>
      <c r="H496" s="184">
        <f t="shared" si="46"/>
        <v>-146</v>
      </c>
      <c r="I496" s="167">
        <f>I482</f>
        <v>166</v>
      </c>
      <c r="J496" s="236"/>
      <c r="K496" s="184">
        <f t="shared" si="47"/>
        <v>-161</v>
      </c>
      <c r="M496" s="42">
        <f t="shared" si="48"/>
        <v>-161.02000000000001</v>
      </c>
      <c r="O496" s="234"/>
    </row>
    <row r="497" spans="1:16">
      <c r="A497" s="186" t="s">
        <v>226</v>
      </c>
      <c r="B497" s="1"/>
      <c r="C497" s="182">
        <f t="shared" si="45"/>
        <v>5797</v>
      </c>
      <c r="D497" s="182">
        <f t="shared" si="45"/>
        <v>5851</v>
      </c>
      <c r="E497" s="167">
        <f>E484</f>
        <v>1.38</v>
      </c>
      <c r="F497" s="227"/>
      <c r="G497" s="184">
        <f t="shared" si="46"/>
        <v>-80</v>
      </c>
      <c r="H497" s="184">
        <f t="shared" si="46"/>
        <v>-81</v>
      </c>
      <c r="I497" s="167">
        <f>I484</f>
        <v>1.47</v>
      </c>
      <c r="J497" s="156"/>
      <c r="K497" s="184">
        <f t="shared" si="47"/>
        <v>-86</v>
      </c>
      <c r="M497" s="42">
        <f t="shared" si="48"/>
        <v>-86.009699999999995</v>
      </c>
    </row>
    <row r="498" spans="1:16">
      <c r="A498" s="186" t="s">
        <v>227</v>
      </c>
      <c r="B498" s="1"/>
      <c r="C498" s="182">
        <f t="shared" si="45"/>
        <v>55144</v>
      </c>
      <c r="D498" s="182">
        <f t="shared" si="45"/>
        <v>55664</v>
      </c>
      <c r="E498" s="167">
        <f>E485</f>
        <v>1.1299999999999999</v>
      </c>
      <c r="F498" s="227" t="s">
        <v>13</v>
      </c>
      <c r="G498" s="184">
        <f t="shared" si="46"/>
        <v>-623</v>
      </c>
      <c r="H498" s="184">
        <f t="shared" si="46"/>
        <v>-629</v>
      </c>
      <c r="I498" s="167">
        <f>I485</f>
        <v>1.2</v>
      </c>
      <c r="J498" s="156"/>
      <c r="K498" s="184">
        <f t="shared" si="47"/>
        <v>-668</v>
      </c>
      <c r="M498" s="42">
        <f t="shared" si="48"/>
        <v>-667.96800000000007</v>
      </c>
    </row>
    <row r="499" spans="1:16">
      <c r="A499" s="172" t="s">
        <v>229</v>
      </c>
      <c r="B499" s="1"/>
      <c r="C499" s="182">
        <f t="shared" si="45"/>
        <v>50196</v>
      </c>
      <c r="D499" s="182">
        <f t="shared" si="45"/>
        <v>50667</v>
      </c>
      <c r="E499" s="167">
        <f>E487</f>
        <v>3.64</v>
      </c>
      <c r="F499" s="227" t="s">
        <v>13</v>
      </c>
      <c r="G499" s="184">
        <f t="shared" si="46"/>
        <v>-1827</v>
      </c>
      <c r="H499" s="184">
        <f t="shared" si="46"/>
        <v>-1845</v>
      </c>
      <c r="I499" s="167">
        <f>I487</f>
        <v>3.75</v>
      </c>
      <c r="J499" s="156"/>
      <c r="K499" s="184">
        <f t="shared" si="47"/>
        <v>-1900</v>
      </c>
      <c r="M499" s="42">
        <f t="shared" si="48"/>
        <v>-1900.0125</v>
      </c>
    </row>
    <row r="500" spans="1:16">
      <c r="A500" s="172" t="s">
        <v>245</v>
      </c>
      <c r="B500" s="1"/>
      <c r="C500" s="182">
        <f t="shared" si="45"/>
        <v>0</v>
      </c>
      <c r="D500" s="182">
        <f t="shared" si="45"/>
        <v>0</v>
      </c>
      <c r="E500" s="167">
        <f>E488</f>
        <v>3.64</v>
      </c>
      <c r="F500" s="227" t="s">
        <v>13</v>
      </c>
      <c r="G500" s="184">
        <f t="shared" si="46"/>
        <v>0</v>
      </c>
      <c r="H500" s="184">
        <f t="shared" si="46"/>
        <v>0</v>
      </c>
      <c r="I500" s="167">
        <f>I488</f>
        <v>3.75</v>
      </c>
      <c r="J500" s="156"/>
      <c r="K500" s="184">
        <f t="shared" si="47"/>
        <v>0</v>
      </c>
      <c r="M500" s="42">
        <f t="shared" si="48"/>
        <v>0</v>
      </c>
    </row>
    <row r="501" spans="1:16">
      <c r="A501" s="186" t="s">
        <v>231</v>
      </c>
      <c r="B501" s="1"/>
      <c r="C501" s="182">
        <f t="shared" si="45"/>
        <v>5098267</v>
      </c>
      <c r="D501" s="182">
        <f t="shared" si="45"/>
        <v>5145947</v>
      </c>
      <c r="E501" s="237">
        <f>E490</f>
        <v>3.9809999999999999</v>
      </c>
      <c r="F501" s="184" t="s">
        <v>178</v>
      </c>
      <c r="G501" s="184">
        <f t="shared" si="46"/>
        <v>-2030</v>
      </c>
      <c r="H501" s="184">
        <f t="shared" si="46"/>
        <v>-2049</v>
      </c>
      <c r="I501" s="237">
        <f>I490</f>
        <v>4.3570000000000002</v>
      </c>
      <c r="J501" s="186" t="s">
        <v>178</v>
      </c>
      <c r="K501" s="184">
        <f t="shared" si="47"/>
        <v>-2242</v>
      </c>
      <c r="M501" s="42">
        <f>-((I501*D501)/100)/100</f>
        <v>-2242.0891078999998</v>
      </c>
    </row>
    <row r="502" spans="1:16">
      <c r="A502" s="186" t="s">
        <v>203</v>
      </c>
      <c r="B502" s="1"/>
      <c r="C502" s="182">
        <f t="shared" si="45"/>
        <v>15873073</v>
      </c>
      <c r="D502" s="182">
        <f t="shared" si="45"/>
        <v>16019655</v>
      </c>
      <c r="E502" s="237">
        <f>E491</f>
        <v>3.649</v>
      </c>
      <c r="F502" s="184" t="s">
        <v>178</v>
      </c>
      <c r="G502" s="184">
        <f t="shared" si="46"/>
        <v>-5792</v>
      </c>
      <c r="H502" s="184">
        <f t="shared" si="46"/>
        <v>-5845</v>
      </c>
      <c r="I502" s="237">
        <f>I491</f>
        <v>3.9930000000000003</v>
      </c>
      <c r="J502" s="186" t="s">
        <v>178</v>
      </c>
      <c r="K502" s="184">
        <f t="shared" si="47"/>
        <v>-6396</v>
      </c>
      <c r="M502" s="42">
        <f>-((I502*D502)/100)/100</f>
        <v>-6396.6482415000009</v>
      </c>
    </row>
    <row r="503" spans="1:16">
      <c r="A503" s="186" t="s">
        <v>204</v>
      </c>
      <c r="B503" s="1"/>
      <c r="C503" s="182">
        <f t="shared" si="45"/>
        <v>9247</v>
      </c>
      <c r="D503" s="182">
        <f t="shared" si="45"/>
        <v>9336</v>
      </c>
      <c r="E503" s="238">
        <f>E492</f>
        <v>45</v>
      </c>
      <c r="F503" s="184" t="s">
        <v>178</v>
      </c>
      <c r="G503" s="184">
        <f t="shared" si="46"/>
        <v>-42</v>
      </c>
      <c r="H503" s="184">
        <f t="shared" si="46"/>
        <v>-42</v>
      </c>
      <c r="I503" s="238">
        <f>I492</f>
        <v>45</v>
      </c>
      <c r="J503" s="186" t="s">
        <v>178</v>
      </c>
      <c r="K503" s="184">
        <f t="shared" si="47"/>
        <v>-42</v>
      </c>
      <c r="M503" s="42">
        <f>-((I503*D503)/100)/100</f>
        <v>-42.012</v>
      </c>
    </row>
    <row r="504" spans="1:16">
      <c r="A504" s="186" t="s">
        <v>247</v>
      </c>
      <c r="B504" s="1"/>
      <c r="C504" s="182">
        <f t="shared" si="45"/>
        <v>132</v>
      </c>
      <c r="D504" s="182">
        <f t="shared" si="45"/>
        <v>132</v>
      </c>
      <c r="E504" s="161">
        <v>60</v>
      </c>
      <c r="F504" s="227" t="s">
        <v>13</v>
      </c>
      <c r="G504" s="184">
        <f t="shared" si="46"/>
        <v>7920</v>
      </c>
      <c r="H504" s="184">
        <f t="shared" si="46"/>
        <v>7920</v>
      </c>
      <c r="I504" s="161">
        <v>60</v>
      </c>
      <c r="J504" s="1"/>
      <c r="K504" s="184">
        <f t="shared" si="47"/>
        <v>7920</v>
      </c>
      <c r="M504" s="42">
        <f>I504*D504</f>
        <v>7920</v>
      </c>
      <c r="O504" s="239"/>
    </row>
    <row r="505" spans="1:16">
      <c r="A505" s="186" t="s">
        <v>248</v>
      </c>
      <c r="B505" s="1"/>
      <c r="C505" s="182">
        <f t="shared" si="45"/>
        <v>60941</v>
      </c>
      <c r="D505" s="182">
        <f t="shared" si="45"/>
        <v>61515</v>
      </c>
      <c r="E505" s="202">
        <v>-30</v>
      </c>
      <c r="F505" s="184" t="s">
        <v>178</v>
      </c>
      <c r="G505" s="184">
        <f t="shared" si="46"/>
        <v>-18282</v>
      </c>
      <c r="H505" s="184">
        <f t="shared" si="46"/>
        <v>-18455</v>
      </c>
      <c r="I505" s="202">
        <v>-30</v>
      </c>
      <c r="J505" s="184" t="s">
        <v>178</v>
      </c>
      <c r="K505" s="184">
        <f t="shared" si="47"/>
        <v>-18455</v>
      </c>
      <c r="M505" s="42">
        <f>(I505/100)*D505</f>
        <v>-18454.5</v>
      </c>
      <c r="O505" s="157"/>
    </row>
    <row r="506" spans="1:16">
      <c r="A506" s="1" t="s">
        <v>185</v>
      </c>
      <c r="B506" s="29"/>
      <c r="C506" s="182">
        <f t="shared" si="45"/>
        <v>901118201</v>
      </c>
      <c r="D506" s="182">
        <f t="shared" si="45"/>
        <v>909584708.38655555</v>
      </c>
      <c r="E506" s="193"/>
      <c r="F506" s="2"/>
      <c r="G506" s="2">
        <f t="shared" si="46"/>
        <v>49007674</v>
      </c>
      <c r="H506" s="2">
        <f t="shared" si="46"/>
        <v>49463953</v>
      </c>
      <c r="I506" s="2"/>
      <c r="J506" s="1"/>
      <c r="K506" s="2">
        <f t="shared" si="47"/>
        <v>53400200</v>
      </c>
      <c r="M506" s="42">
        <f>SUM(M480:M505)</f>
        <v>53400198.906650588</v>
      </c>
      <c r="P506" s="240"/>
    </row>
    <row r="507" spans="1:16">
      <c r="A507" s="1" t="s">
        <v>167</v>
      </c>
      <c r="B507" s="15"/>
      <c r="C507" s="203">
        <f t="shared" si="45"/>
        <v>73314.063672312535</v>
      </c>
      <c r="D507" s="203">
        <f t="shared" si="45"/>
        <v>0</v>
      </c>
      <c r="E507" s="172"/>
      <c r="F507" s="172"/>
      <c r="G507" s="173">
        <f t="shared" si="46"/>
        <v>-2406.1600057471078</v>
      </c>
      <c r="H507" s="173">
        <f t="shared" si="46"/>
        <v>0</v>
      </c>
      <c r="I507" s="172"/>
      <c r="J507" s="172"/>
      <c r="K507" s="173">
        <f t="shared" si="47"/>
        <v>0</v>
      </c>
      <c r="M507" s="152"/>
      <c r="N507" s="152"/>
      <c r="O507" s="153"/>
    </row>
    <row r="508" spans="1:16" ht="16.5" thickBot="1">
      <c r="A508" s="1" t="s">
        <v>186</v>
      </c>
      <c r="B508" s="1"/>
      <c r="C508" s="229">
        <f>SUM(C506)+C507</f>
        <v>901191515.0636723</v>
      </c>
      <c r="D508" s="229">
        <f>SUM(D490:D491)+D507</f>
        <v>909584708</v>
      </c>
      <c r="E508" s="205"/>
      <c r="F508" s="206"/>
      <c r="G508" s="207">
        <f>G506+G507</f>
        <v>49005267.839994252</v>
      </c>
      <c r="H508" s="207">
        <f>H506+H507</f>
        <v>49463953</v>
      </c>
      <c r="I508" s="205"/>
      <c r="J508" s="208"/>
      <c r="K508" s="207">
        <f>K506+K507</f>
        <v>53400200</v>
      </c>
      <c r="M508" s="154"/>
      <c r="N508" s="3" t="s">
        <v>213</v>
      </c>
      <c r="O508" s="42" t="e">
        <f>#REF!*1000</f>
        <v>#REF!</v>
      </c>
    </row>
    <row r="509" spans="1:16" ht="16.5" thickTop="1">
      <c r="A509" s="1"/>
      <c r="B509" s="1"/>
      <c r="C509" s="12"/>
      <c r="D509" s="12"/>
      <c r="E509" s="200"/>
      <c r="F509" s="2"/>
      <c r="G509" s="2"/>
      <c r="H509" s="2"/>
      <c r="I509" s="216" t="s">
        <v>13</v>
      </c>
      <c r="J509" s="1"/>
      <c r="K509" s="2" t="s">
        <v>13</v>
      </c>
      <c r="N509" s="3" t="s">
        <v>114</v>
      </c>
      <c r="O509" s="42" t="e">
        <f>O508-K508</f>
        <v>#REF!</v>
      </c>
      <c r="P509" s="139" t="e">
        <f>(O508-K508)/K508</f>
        <v>#REF!</v>
      </c>
    </row>
    <row r="510" spans="1:16">
      <c r="A510" s="156" t="s">
        <v>240</v>
      </c>
      <c r="B510" s="1"/>
      <c r="C510" s="1"/>
      <c r="D510" s="1"/>
      <c r="E510" s="2"/>
      <c r="F510" s="2"/>
      <c r="G510" s="1" t="s">
        <v>13</v>
      </c>
      <c r="H510" s="1"/>
      <c r="I510" s="2"/>
      <c r="J510" s="1"/>
      <c r="K510" s="1"/>
    </row>
    <row r="511" spans="1:16">
      <c r="A511" s="172" t="s">
        <v>249</v>
      </c>
      <c r="B511" s="1"/>
      <c r="C511" s="1"/>
      <c r="D511" s="1"/>
      <c r="E511" s="2"/>
      <c r="F511" s="2"/>
      <c r="G511" s="1"/>
      <c r="H511" s="1"/>
      <c r="I511" s="2"/>
      <c r="J511" s="1"/>
      <c r="K511" s="1"/>
      <c r="M511" s="42"/>
      <c r="O511" s="139" t="e">
        <f>O509/(K490+K491)</f>
        <v>#REF!</v>
      </c>
    </row>
    <row r="512" spans="1:16">
      <c r="A512" s="186"/>
      <c r="B512" s="1"/>
      <c r="C512" s="1"/>
      <c r="D512" s="1"/>
      <c r="E512" s="2"/>
      <c r="F512" s="2"/>
      <c r="G512" s="1"/>
      <c r="H512" s="1"/>
      <c r="I512" s="2"/>
      <c r="J512" s="1"/>
      <c r="K512" s="1"/>
      <c r="M512" s="42">
        <f>K508-H508</f>
        <v>3936247</v>
      </c>
      <c r="N512" s="157"/>
    </row>
    <row r="513" spans="1:11">
      <c r="A513" s="186" t="s">
        <v>197</v>
      </c>
      <c r="B513" s="1"/>
      <c r="C513" s="182"/>
      <c r="D513" s="182"/>
      <c r="E513" s="2"/>
      <c r="F513" s="2"/>
      <c r="G513" s="1"/>
      <c r="H513" s="1"/>
      <c r="I513" s="2"/>
      <c r="J513" s="1"/>
      <c r="K513" s="1"/>
    </row>
    <row r="514" spans="1:11">
      <c r="A514" s="186" t="s">
        <v>225</v>
      </c>
      <c r="B514" s="1"/>
      <c r="C514" s="182">
        <f>39+239</f>
        <v>278</v>
      </c>
      <c r="D514" s="182">
        <v>281</v>
      </c>
      <c r="E514" s="161">
        <v>205</v>
      </c>
      <c r="F514" s="186"/>
      <c r="G514" s="184">
        <f>ROUND(E514*$C514,0)</f>
        <v>56990</v>
      </c>
      <c r="H514" s="184">
        <f>ROUND(E514*$D514,0)</f>
        <v>57605</v>
      </c>
      <c r="I514" s="161">
        <f>$I$480</f>
        <v>225</v>
      </c>
      <c r="J514" s="186"/>
      <c r="K514" s="184">
        <f>ROUND(I514*$D514,0)</f>
        <v>63225</v>
      </c>
    </row>
    <row r="515" spans="1:11">
      <c r="A515" s="186" t="s">
        <v>226</v>
      </c>
      <c r="B515" s="1"/>
      <c r="C515" s="182">
        <f>922+24+6772</f>
        <v>7718</v>
      </c>
      <c r="D515" s="182">
        <v>7812</v>
      </c>
      <c r="E515" s="161">
        <v>75</v>
      </c>
      <c r="F515" s="186"/>
      <c r="G515" s="184">
        <f>ROUND(E515*$C515,0)</f>
        <v>578850</v>
      </c>
      <c r="H515" s="184">
        <f>ROUND(E515*$D515,0)</f>
        <v>585900</v>
      </c>
      <c r="I515" s="161">
        <f>$I$481</f>
        <v>83</v>
      </c>
      <c r="J515" s="186"/>
      <c r="K515" s="184">
        <f>ROUND(I515*$D515,0)</f>
        <v>648396</v>
      </c>
    </row>
    <row r="516" spans="1:11">
      <c r="A516" s="186" t="s">
        <v>227</v>
      </c>
      <c r="B516" s="1"/>
      <c r="C516" s="182">
        <f>216+84+2519</f>
        <v>2819</v>
      </c>
      <c r="D516" s="182">
        <v>2853</v>
      </c>
      <c r="E516" s="161">
        <v>150</v>
      </c>
      <c r="F516" s="188"/>
      <c r="G516" s="184">
        <f>ROUND(E516*$C516,0)</f>
        <v>422850</v>
      </c>
      <c r="H516" s="184">
        <f>ROUND(E516*$D516,0)</f>
        <v>427950</v>
      </c>
      <c r="I516" s="161">
        <f>$I$482</f>
        <v>166</v>
      </c>
      <c r="J516" s="188"/>
      <c r="K516" s="184">
        <f>ROUND(I516*$D516,0)</f>
        <v>473598</v>
      </c>
    </row>
    <row r="517" spans="1:11">
      <c r="A517" s="186" t="s">
        <v>198</v>
      </c>
      <c r="B517" s="1"/>
      <c r="C517" s="182">
        <f>SUM(C514:C516)</f>
        <v>10815</v>
      </c>
      <c r="D517" s="182">
        <f>SUM(D514:D516)</f>
        <v>10946</v>
      </c>
      <c r="E517" s="161"/>
      <c r="F517" s="186"/>
      <c r="G517" s="184"/>
      <c r="H517" s="184"/>
      <c r="I517" s="161"/>
      <c r="J517" s="186"/>
      <c r="K517" s="184"/>
    </row>
    <row r="518" spans="1:11">
      <c r="A518" s="186" t="s">
        <v>226</v>
      </c>
      <c r="B518" s="1"/>
      <c r="C518" s="182">
        <f>169076+4310+1159051</f>
        <v>1332437</v>
      </c>
      <c r="D518" s="182">
        <f>ROUND(($D$540/'Blocking - detail'!$C$540)*C518,0)</f>
        <v>1345310</v>
      </c>
      <c r="E518" s="161">
        <v>1.38</v>
      </c>
      <c r="F518" s="186" t="s">
        <v>13</v>
      </c>
      <c r="G518" s="184">
        <f>ROUND(E518*$C518,0)</f>
        <v>1838763</v>
      </c>
      <c r="H518" s="184">
        <f>ROUND(E518*$D518,0)</f>
        <v>1856528</v>
      </c>
      <c r="I518" s="161">
        <f>$I$484</f>
        <v>1.47</v>
      </c>
      <c r="J518" s="186" t="s">
        <v>13</v>
      </c>
      <c r="K518" s="184">
        <f>ROUND(I518*$D518,0)</f>
        <v>1977606</v>
      </c>
    </row>
    <row r="519" spans="1:11">
      <c r="A519" s="186" t="s">
        <v>227</v>
      </c>
      <c r="B519" s="1"/>
      <c r="C519" s="182">
        <f>116000+47327+1204260</f>
        <v>1367587</v>
      </c>
      <c r="D519" s="182">
        <f>ROUND(($D$540/'Blocking - detail'!$C$540)*C519,0)</f>
        <v>1380800</v>
      </c>
      <c r="E519" s="161">
        <v>1.1299999999999999</v>
      </c>
      <c r="F519" s="186" t="s">
        <v>13</v>
      </c>
      <c r="G519" s="184">
        <f>ROUND(E519*$C519,0)</f>
        <v>1545373</v>
      </c>
      <c r="H519" s="184">
        <f>ROUND(E519*$D519,0)</f>
        <v>1560304</v>
      </c>
      <c r="I519" s="161">
        <f>$I$485</f>
        <v>1.2</v>
      </c>
      <c r="J519" s="186" t="s">
        <v>13</v>
      </c>
      <c r="K519" s="184">
        <f>ROUND(I519*$D519,0)</f>
        <v>1656960</v>
      </c>
    </row>
    <row r="520" spans="1:11">
      <c r="A520" s="172" t="s">
        <v>228</v>
      </c>
      <c r="B520" s="1"/>
      <c r="C520" s="182"/>
      <c r="D520" s="182"/>
      <c r="E520" s="218"/>
      <c r="F520" s="186"/>
      <c r="G520" s="184"/>
      <c r="H520" s="184"/>
      <c r="I520" s="218"/>
      <c r="J520" s="186"/>
      <c r="K520" s="184"/>
    </row>
    <row r="521" spans="1:11">
      <c r="A521" s="172" t="s">
        <v>229</v>
      </c>
      <c r="B521" s="1"/>
      <c r="C521" s="182">
        <f>2149+118464+82513+3301+38481+13812+879543+921273</f>
        <v>2059536</v>
      </c>
      <c r="D521" s="182">
        <f>ROUND(($D$540/'Blocking - detail'!$C$540)*C521,0)</f>
        <v>2079434</v>
      </c>
      <c r="E521" s="161">
        <v>3.64</v>
      </c>
      <c r="F521" s="186"/>
      <c r="G521" s="184">
        <f>ROUND(E521*$C521,0)</f>
        <v>7496711</v>
      </c>
      <c r="H521" s="184">
        <f>ROUND(E521*$D521,0)</f>
        <v>7569140</v>
      </c>
      <c r="I521" s="161">
        <f>$I$487</f>
        <v>3.75</v>
      </c>
      <c r="J521" s="186"/>
      <c r="K521" s="184">
        <f>ROUND(I521*$D521,0)</f>
        <v>7797878</v>
      </c>
    </row>
    <row r="522" spans="1:11">
      <c r="A522" s="172" t="s">
        <v>245</v>
      </c>
      <c r="B522" s="1"/>
      <c r="C522" s="182">
        <f>574+3763+211+1674+12455+2040</f>
        <v>20717</v>
      </c>
      <c r="D522" s="182">
        <f>ROUND(($D$540/'Blocking - detail'!$C$540)*C522,0)</f>
        <v>20917</v>
      </c>
      <c r="E522" s="232">
        <f>E521</f>
        <v>3.64</v>
      </c>
      <c r="F522" s="186"/>
      <c r="G522" s="184">
        <f>ROUND(E522*$C522,0)</f>
        <v>75410</v>
      </c>
      <c r="H522" s="184">
        <f>ROUND(E522*$D522,0)</f>
        <v>76138</v>
      </c>
      <c r="I522" s="232">
        <f>I521</f>
        <v>3.75</v>
      </c>
      <c r="J522" s="186"/>
      <c r="K522" s="184">
        <f>ROUND(I522*$D522,0)</f>
        <v>78439</v>
      </c>
    </row>
    <row r="523" spans="1:11">
      <c r="A523" s="186" t="s">
        <v>230</v>
      </c>
      <c r="B523" s="1"/>
      <c r="C523" s="182"/>
      <c r="D523" s="182"/>
      <c r="E523" s="161"/>
      <c r="F523" s="186"/>
      <c r="G523" s="184"/>
      <c r="H523" s="184"/>
      <c r="I523" s="161"/>
      <c r="J523" s="186"/>
      <c r="K523" s="184"/>
    </row>
    <row r="524" spans="1:11">
      <c r="A524" s="186" t="s">
        <v>231</v>
      </c>
      <c r="B524" s="182"/>
      <c r="C524" s="182">
        <v>343844159.45859212</v>
      </c>
      <c r="D524" s="182">
        <f>ROUND(($D$540/'Blocking - detail'!$C$540)*C524,0)</f>
        <v>347166190</v>
      </c>
      <c r="E524" s="233">
        <v>3.9809999999999999</v>
      </c>
      <c r="F524" s="186" t="s">
        <v>178</v>
      </c>
      <c r="G524" s="184">
        <f>ROUND(E524*$C524/100,0)</f>
        <v>13688436</v>
      </c>
      <c r="H524" s="184">
        <f>ROUND(E524*$D524/100,0)</f>
        <v>13820686</v>
      </c>
      <c r="I524" s="233">
        <f>$I$490</f>
        <v>4.3570000000000002</v>
      </c>
      <c r="J524" s="186" t="s">
        <v>178</v>
      </c>
      <c r="K524" s="184">
        <f>ROUND(I524*$D524/100,0)</f>
        <v>15126031</v>
      </c>
    </row>
    <row r="525" spans="1:11">
      <c r="A525" s="186" t="s">
        <v>203</v>
      </c>
      <c r="B525" s="182"/>
      <c r="C525" s="182">
        <v>411657922.54140788</v>
      </c>
      <c r="D525" s="182">
        <f>ROUND(($D$540/'Blocking - detail'!$C$540)*C525,0)</f>
        <v>415635131</v>
      </c>
      <c r="E525" s="233">
        <v>3.649</v>
      </c>
      <c r="F525" s="186" t="s">
        <v>178</v>
      </c>
      <c r="G525" s="184">
        <f>ROUND(E525*$C525/100,0)</f>
        <v>15021398</v>
      </c>
      <c r="H525" s="184">
        <f>ROUND(E525*$D525/100,0)</f>
        <v>15166526</v>
      </c>
      <c r="I525" s="233">
        <f>$I$491</f>
        <v>3.9930000000000003</v>
      </c>
      <c r="J525" s="186" t="s">
        <v>178</v>
      </c>
      <c r="K525" s="184">
        <f>ROUND(I525*$D525/100,0)</f>
        <v>16596311</v>
      </c>
    </row>
    <row r="526" spans="1:11">
      <c r="A526" s="186" t="s">
        <v>204</v>
      </c>
      <c r="B526" s="1"/>
      <c r="C526" s="182">
        <f>263+27052+20055+42+9205+1343+147244+169944</f>
        <v>375148</v>
      </c>
      <c r="D526" s="182">
        <f>ROUND(($D$540/'Blocking - detail'!$C$540)*C526,0)</f>
        <v>378772</v>
      </c>
      <c r="E526" s="202">
        <v>45</v>
      </c>
      <c r="F526" s="186" t="s">
        <v>178</v>
      </c>
      <c r="G526" s="184">
        <f>ROUND(E526*$C526/100,0)</f>
        <v>168817</v>
      </c>
      <c r="H526" s="184">
        <f>ROUND(E526*$D526/100,0)</f>
        <v>170447</v>
      </c>
      <c r="I526" s="202">
        <f>$I$492</f>
        <v>45</v>
      </c>
      <c r="J526" s="186" t="s">
        <v>178</v>
      </c>
      <c r="K526" s="184">
        <f>ROUND(I526*$D526/100,0)</f>
        <v>170447</v>
      </c>
    </row>
    <row r="527" spans="1:11">
      <c r="A527" s="223" t="s">
        <v>205</v>
      </c>
      <c r="B527" s="1"/>
      <c r="C527" s="182"/>
      <c r="D527" s="182"/>
      <c r="E527" s="195">
        <v>-0.01</v>
      </c>
      <c r="F527" s="2"/>
      <c r="G527" s="184"/>
      <c r="H527" s="184"/>
      <c r="I527" s="195">
        <f>$I$493</f>
        <v>-0.01</v>
      </c>
      <c r="J527" s="1"/>
      <c r="K527" s="184"/>
    </row>
    <row r="528" spans="1:11">
      <c r="A528" s="186" t="s">
        <v>225</v>
      </c>
      <c r="B528" s="12"/>
      <c r="C528" s="182">
        <v>0</v>
      </c>
      <c r="D528" s="182">
        <v>0</v>
      </c>
      <c r="E528" s="167">
        <f>E514</f>
        <v>205</v>
      </c>
      <c r="F528" s="227"/>
      <c r="G528" s="184">
        <f>ROUND(E528*$C528*E527,0)</f>
        <v>0</v>
      </c>
      <c r="H528" s="184">
        <f>ROUND(E528*$D528*E527,0)</f>
        <v>0</v>
      </c>
      <c r="I528" s="167">
        <f>I514</f>
        <v>225</v>
      </c>
      <c r="J528" s="156"/>
      <c r="K528" s="184">
        <f>ROUND(I528*$D528*I527,0)</f>
        <v>0</v>
      </c>
    </row>
    <row r="529" spans="1:16">
      <c r="A529" s="186" t="s">
        <v>226</v>
      </c>
      <c r="B529" s="1"/>
      <c r="C529" s="182">
        <f>24</f>
        <v>24</v>
      </c>
      <c r="D529" s="182">
        <v>24</v>
      </c>
      <c r="E529" s="167">
        <f>E515</f>
        <v>75</v>
      </c>
      <c r="F529" s="227"/>
      <c r="G529" s="184">
        <f>ROUND(E529*$C529*E527,0)</f>
        <v>-18</v>
      </c>
      <c r="H529" s="184">
        <f>ROUND(E529*$D529*E527,0)</f>
        <v>-18</v>
      </c>
      <c r="I529" s="167">
        <f>I515</f>
        <v>83</v>
      </c>
      <c r="J529" s="156"/>
      <c r="K529" s="184">
        <f>ROUND(I529*$D529*I527,0)</f>
        <v>-20</v>
      </c>
    </row>
    <row r="530" spans="1:16">
      <c r="A530" s="186" t="s">
        <v>227</v>
      </c>
      <c r="B530" s="1"/>
      <c r="C530" s="182">
        <f>84</f>
        <v>84</v>
      </c>
      <c r="D530" s="182">
        <v>85</v>
      </c>
      <c r="E530" s="167">
        <f>E516</f>
        <v>150</v>
      </c>
      <c r="F530" s="235"/>
      <c r="G530" s="184">
        <f>ROUND(E530*$C530*E527,0)</f>
        <v>-126</v>
      </c>
      <c r="H530" s="184">
        <f>ROUND(E530*$D530*E527,0)</f>
        <v>-128</v>
      </c>
      <c r="I530" s="167">
        <f>I516</f>
        <v>166</v>
      </c>
      <c r="J530" s="236"/>
      <c r="K530" s="184">
        <f>ROUND(I530*$D530*I527,0)</f>
        <v>-141</v>
      </c>
    </row>
    <row r="531" spans="1:16">
      <c r="A531" s="186" t="s">
        <v>226</v>
      </c>
      <c r="B531" s="1"/>
      <c r="C531" s="182">
        <f>4310</f>
        <v>4310</v>
      </c>
      <c r="D531" s="182">
        <f>ROUND(($D$540/'Blocking - detail'!$C$540)*C531,0)</f>
        <v>4352</v>
      </c>
      <c r="E531" s="167">
        <f>E518</f>
        <v>1.38</v>
      </c>
      <c r="F531" s="227"/>
      <c r="G531" s="184">
        <f>ROUND(E531*$C531*E527,0)</f>
        <v>-59</v>
      </c>
      <c r="H531" s="184">
        <f>ROUND(E531*$D531*E527,0)</f>
        <v>-60</v>
      </c>
      <c r="I531" s="167">
        <f>I518</f>
        <v>1.47</v>
      </c>
      <c r="J531" s="156"/>
      <c r="K531" s="184">
        <f>ROUND(I531*$D531*I527,0)</f>
        <v>-64</v>
      </c>
      <c r="O531" s="239"/>
    </row>
    <row r="532" spans="1:16">
      <c r="A532" s="186" t="s">
        <v>227</v>
      </c>
      <c r="B532" s="1"/>
      <c r="C532" s="182">
        <f>47327</f>
        <v>47327</v>
      </c>
      <c r="D532" s="182">
        <f>ROUND(($D$540/'Blocking - detail'!$C$540)*C532,0)</f>
        <v>47784</v>
      </c>
      <c r="E532" s="167">
        <f>E519</f>
        <v>1.1299999999999999</v>
      </c>
      <c r="F532" s="227" t="s">
        <v>13</v>
      </c>
      <c r="G532" s="184">
        <f>ROUND(E532*$C532*E527,0)</f>
        <v>-535</v>
      </c>
      <c r="H532" s="184">
        <f>ROUND(E532*$D532*E527,0)</f>
        <v>-540</v>
      </c>
      <c r="I532" s="167">
        <f>I519</f>
        <v>1.2</v>
      </c>
      <c r="J532" s="156"/>
      <c r="K532" s="184">
        <f>ROUND(I532*$D532*I527,0)</f>
        <v>-573</v>
      </c>
    </row>
    <row r="533" spans="1:16">
      <c r="A533" s="172" t="s">
        <v>229</v>
      </c>
      <c r="B533" s="1"/>
      <c r="C533" s="182">
        <f>3301+38481</f>
        <v>41782</v>
      </c>
      <c r="D533" s="182">
        <f>ROUND(($D$540/'Blocking - detail'!$C$540)*C533,0)</f>
        <v>42186</v>
      </c>
      <c r="E533" s="167">
        <f>E521</f>
        <v>3.64</v>
      </c>
      <c r="F533" s="227" t="s">
        <v>13</v>
      </c>
      <c r="G533" s="184">
        <f>ROUND(E533*$C533*E527,0)</f>
        <v>-1521</v>
      </c>
      <c r="H533" s="184">
        <f>ROUND(E533*$D533*E527,0)</f>
        <v>-1536</v>
      </c>
      <c r="I533" s="167">
        <f>I521</f>
        <v>3.75</v>
      </c>
      <c r="J533" s="156"/>
      <c r="K533" s="184">
        <f>ROUND(I533*$D533*I527,0)</f>
        <v>-1582</v>
      </c>
    </row>
    <row r="534" spans="1:16">
      <c r="A534" s="172" t="s">
        <v>245</v>
      </c>
      <c r="B534" s="1"/>
      <c r="C534" s="182">
        <v>0</v>
      </c>
      <c r="D534" s="182">
        <f>ROUND(($D$540/'Blocking - detail'!$C$540)*C534,0)</f>
        <v>0</v>
      </c>
      <c r="E534" s="167">
        <f>E522</f>
        <v>3.64</v>
      </c>
      <c r="F534" s="227" t="s">
        <v>13</v>
      </c>
      <c r="G534" s="184">
        <f>ROUND(E534*$C534*E527,0)</f>
        <v>0</v>
      </c>
      <c r="H534" s="184">
        <f>ROUND(E534*$D534*E527,0)</f>
        <v>0</v>
      </c>
      <c r="I534" s="167">
        <f>I522</f>
        <v>3.75</v>
      </c>
      <c r="J534" s="156"/>
      <c r="K534" s="184">
        <f>ROUND(I534*$D534*I527,0)</f>
        <v>0</v>
      </c>
    </row>
    <row r="535" spans="1:16">
      <c r="A535" s="186" t="s">
        <v>231</v>
      </c>
      <c r="B535" s="1"/>
      <c r="C535" s="182">
        <f>914400+3225200</f>
        <v>4139600</v>
      </c>
      <c r="D535" s="182">
        <f>ROUND(($D$540/'Blocking - detail'!$C$540)*C535,0)</f>
        <v>4179595</v>
      </c>
      <c r="E535" s="237">
        <f>E524</f>
        <v>3.9809999999999999</v>
      </c>
      <c r="F535" s="184" t="s">
        <v>178</v>
      </c>
      <c r="G535" s="184">
        <f>ROUND(E535*$C535/100*E527,0)</f>
        <v>-1648</v>
      </c>
      <c r="H535" s="184">
        <f>ROUND(E535*$D535/100*E527,0)</f>
        <v>-1664</v>
      </c>
      <c r="I535" s="237">
        <f>I524</f>
        <v>4.3570000000000002</v>
      </c>
      <c r="J535" s="186" t="s">
        <v>178</v>
      </c>
      <c r="K535" s="184">
        <f>ROUND(I535*$D535/100*I527,0)</f>
        <v>-1821</v>
      </c>
      <c r="M535" s="42"/>
      <c r="N535" s="42"/>
    </row>
    <row r="536" spans="1:16">
      <c r="A536" s="186" t="s">
        <v>203</v>
      </c>
      <c r="B536" s="1"/>
      <c r="C536" s="182">
        <f>1353000+14542340-C535</f>
        <v>11755740</v>
      </c>
      <c r="D536" s="182">
        <f>ROUND(($D$540/'Blocking - detail'!$C$540)*C536,0)</f>
        <v>11869317</v>
      </c>
      <c r="E536" s="237">
        <f>E525</f>
        <v>3.649</v>
      </c>
      <c r="F536" s="184" t="s">
        <v>178</v>
      </c>
      <c r="G536" s="184">
        <f>ROUND(E536*$C536/100*E527,0)</f>
        <v>-4290</v>
      </c>
      <c r="H536" s="184">
        <f>ROUND(E536*$D536/100*E527,0)</f>
        <v>-4331</v>
      </c>
      <c r="I536" s="237">
        <f>I525</f>
        <v>3.9930000000000003</v>
      </c>
      <c r="J536" s="186" t="s">
        <v>178</v>
      </c>
      <c r="K536" s="184">
        <f>ROUND(I536*$D536/100*I527,0)</f>
        <v>-4739</v>
      </c>
    </row>
    <row r="537" spans="1:16">
      <c r="A537" s="186" t="s">
        <v>204</v>
      </c>
      <c r="B537" s="1"/>
      <c r="C537" s="182">
        <f>42+9205</f>
        <v>9247</v>
      </c>
      <c r="D537" s="182">
        <f>ROUND(($D$540/'Blocking - detail'!$C$540)*C537,0)</f>
        <v>9336</v>
      </c>
      <c r="E537" s="238">
        <f>E526</f>
        <v>45</v>
      </c>
      <c r="F537" s="184" t="s">
        <v>178</v>
      </c>
      <c r="G537" s="184">
        <f>ROUND(E537*$C537/100*E527,0)</f>
        <v>-42</v>
      </c>
      <c r="H537" s="184">
        <f>ROUND(E537*$D537/100*E527,0)</f>
        <v>-42</v>
      </c>
      <c r="I537" s="238">
        <f>I526</f>
        <v>45</v>
      </c>
      <c r="J537" s="186" t="s">
        <v>178</v>
      </c>
      <c r="K537" s="184">
        <f>ROUND(I537*$D537/100*I527,0)</f>
        <v>-42</v>
      </c>
    </row>
    <row r="538" spans="1:16">
      <c r="A538" s="186" t="s">
        <v>247</v>
      </c>
      <c r="B538" s="1"/>
      <c r="C538" s="182">
        <f>24+84</f>
        <v>108</v>
      </c>
      <c r="D538" s="182">
        <v>109</v>
      </c>
      <c r="E538" s="161">
        <v>60</v>
      </c>
      <c r="F538" s="227" t="s">
        <v>13</v>
      </c>
      <c r="G538" s="184">
        <f>ROUND(E538*$C538,0)</f>
        <v>6480</v>
      </c>
      <c r="H538" s="184">
        <f>ROUND(E538*$D538,0)</f>
        <v>6540</v>
      </c>
      <c r="I538" s="161">
        <f>$I$504</f>
        <v>60</v>
      </c>
      <c r="J538" s="1"/>
      <c r="K538" s="184">
        <f>ROUND(I538*$D538,0)</f>
        <v>6540</v>
      </c>
      <c r="P538" s="170"/>
    </row>
    <row r="539" spans="1:16">
      <c r="A539" s="186" t="s">
        <v>248</v>
      </c>
      <c r="B539" s="168"/>
      <c r="C539" s="182">
        <f>4310+47327</f>
        <v>51637</v>
      </c>
      <c r="D539" s="182">
        <f>ROUND(($D$540/'Blocking - detail'!$C$540)*C539,0)</f>
        <v>52136</v>
      </c>
      <c r="E539" s="202">
        <v>-30</v>
      </c>
      <c r="F539" s="184" t="s">
        <v>178</v>
      </c>
      <c r="G539" s="184">
        <f>ROUND(E539*$C539/100,0)</f>
        <v>-15491</v>
      </c>
      <c r="H539" s="184">
        <f>ROUND(E539*$D539/100,0)</f>
        <v>-15641</v>
      </c>
      <c r="I539" s="202">
        <v>-30</v>
      </c>
      <c r="J539" s="184" t="s">
        <v>178</v>
      </c>
      <c r="K539" s="184">
        <f>ROUND(I539*$D539/100,0)</f>
        <v>-15641</v>
      </c>
    </row>
    <row r="540" spans="1:16">
      <c r="A540" s="1" t="s">
        <v>185</v>
      </c>
      <c r="B540" s="170"/>
      <c r="C540" s="182">
        <f>SUM(C524:C525)</f>
        <v>755502082</v>
      </c>
      <c r="D540" s="182">
        <v>762801321.03140867</v>
      </c>
      <c r="E540" s="193"/>
      <c r="F540" s="2"/>
      <c r="G540" s="2">
        <f>SUM(G514:G539)</f>
        <v>40876348</v>
      </c>
      <c r="H540" s="2">
        <f>SUM(H514:H539)</f>
        <v>41273804</v>
      </c>
      <c r="I540" s="193"/>
      <c r="J540" s="1"/>
      <c r="K540" s="2">
        <f>SUM(K514:K539)</f>
        <v>44570808</v>
      </c>
    </row>
    <row r="541" spans="1:16">
      <c r="A541" s="1" t="s">
        <v>167</v>
      </c>
      <c r="B541" s="1"/>
      <c r="C541" s="212">
        <v>3340695.5089634694</v>
      </c>
      <c r="D541" s="203">
        <v>0</v>
      </c>
      <c r="E541" s="172"/>
      <c r="F541" s="172"/>
      <c r="G541" s="173">
        <v>152243.87198457948</v>
      </c>
      <c r="H541" s="173">
        <v>0</v>
      </c>
      <c r="I541" s="172"/>
      <c r="J541" s="172"/>
      <c r="K541" s="173">
        <v>0</v>
      </c>
      <c r="M541" s="152"/>
      <c r="N541" s="152"/>
      <c r="O541" s="153"/>
    </row>
    <row r="542" spans="1:16" ht="16.5" thickBot="1">
      <c r="A542" s="1" t="s">
        <v>186</v>
      </c>
      <c r="B542" s="1"/>
      <c r="C542" s="229">
        <f>SUM(C540)+C541</f>
        <v>758842777.50896347</v>
      </c>
      <c r="D542" s="229">
        <f>SUM(D524:D525)+D541</f>
        <v>762801321</v>
      </c>
      <c r="E542" s="205"/>
      <c r="F542" s="206"/>
      <c r="G542" s="207">
        <f>G540+G541</f>
        <v>41028591.871984579</v>
      </c>
      <c r="H542" s="207">
        <f>H540+H541</f>
        <v>41273804</v>
      </c>
      <c r="I542" s="205"/>
      <c r="J542" s="208"/>
      <c r="K542" s="207">
        <f>K540+K541</f>
        <v>44570808</v>
      </c>
      <c r="M542" s="154"/>
      <c r="N542" s="154"/>
      <c r="O542" s="155"/>
    </row>
    <row r="543" spans="1:16" ht="16.5" thickTop="1">
      <c r="A543" s="1"/>
      <c r="B543" s="1"/>
      <c r="C543" s="12"/>
      <c r="D543" s="12"/>
      <c r="E543" s="200"/>
      <c r="F543" s="2"/>
      <c r="G543" s="2"/>
      <c r="H543" s="2"/>
      <c r="I543" s="216" t="s">
        <v>13</v>
      </c>
      <c r="J543" s="1"/>
      <c r="K543" s="2" t="s">
        <v>13</v>
      </c>
    </row>
    <row r="544" spans="1:16">
      <c r="A544" s="156" t="s">
        <v>240</v>
      </c>
      <c r="B544" s="1"/>
      <c r="C544" s="1"/>
      <c r="D544" s="1"/>
      <c r="E544" s="2"/>
      <c r="F544" s="2"/>
      <c r="G544" s="1" t="s">
        <v>13</v>
      </c>
      <c r="H544" s="1"/>
      <c r="I544" s="2"/>
      <c r="J544" s="1"/>
      <c r="K544" s="1"/>
    </row>
    <row r="545" spans="1:11">
      <c r="A545" s="172" t="s">
        <v>250</v>
      </c>
      <c r="B545" s="1"/>
      <c r="C545" s="1"/>
      <c r="D545" s="1"/>
      <c r="E545" s="2"/>
      <c r="F545" s="2"/>
      <c r="G545" s="1"/>
      <c r="H545" s="1"/>
      <c r="I545" s="2"/>
      <c r="J545" s="1"/>
      <c r="K545" s="1"/>
    </row>
    <row r="546" spans="1:11">
      <c r="A546" s="186"/>
      <c r="B546" s="1"/>
      <c r="C546" s="1"/>
      <c r="D546" s="1"/>
      <c r="E546" s="2"/>
      <c r="F546" s="2"/>
      <c r="G546" s="1"/>
      <c r="H546" s="1"/>
      <c r="I546" s="2"/>
      <c r="J546" s="1"/>
      <c r="K546" s="1"/>
    </row>
    <row r="547" spans="1:11">
      <c r="A547" s="186" t="s">
        <v>197</v>
      </c>
      <c r="B547" s="12"/>
      <c r="C547" s="182"/>
      <c r="D547" s="182"/>
      <c r="E547" s="2"/>
      <c r="F547" s="2"/>
      <c r="G547" s="1"/>
      <c r="H547" s="1"/>
      <c r="I547" s="2"/>
      <c r="J547" s="1"/>
      <c r="K547" s="1"/>
    </row>
    <row r="548" spans="1:11">
      <c r="A548" s="186" t="s">
        <v>225</v>
      </c>
      <c r="B548" s="1"/>
      <c r="C548" s="182">
        <f>2+9</f>
        <v>11</v>
      </c>
      <c r="D548" s="182">
        <v>11</v>
      </c>
      <c r="E548" s="161">
        <v>205</v>
      </c>
      <c r="F548" s="186"/>
      <c r="G548" s="184">
        <f>ROUND(E548*$C548,0)</f>
        <v>2255</v>
      </c>
      <c r="H548" s="184">
        <f>ROUND(E548*$D548,0)</f>
        <v>2255</v>
      </c>
      <c r="I548" s="161">
        <f>$I$480</f>
        <v>225</v>
      </c>
      <c r="J548" s="186"/>
      <c r="K548" s="184">
        <f>ROUND(I548*$D548,0)</f>
        <v>2475</v>
      </c>
    </row>
    <row r="549" spans="1:11">
      <c r="A549" s="186" t="s">
        <v>226</v>
      </c>
      <c r="B549" s="1"/>
      <c r="C549" s="182">
        <f>314+12+863</f>
        <v>1189</v>
      </c>
      <c r="D549" s="182">
        <v>1160</v>
      </c>
      <c r="E549" s="161">
        <v>75</v>
      </c>
      <c r="F549" s="186"/>
      <c r="G549" s="184">
        <f>ROUND(E549*$C549,0)</f>
        <v>89175</v>
      </c>
      <c r="H549" s="184">
        <f>ROUND(E549*$D549,0)</f>
        <v>87000</v>
      </c>
      <c r="I549" s="161">
        <f>$I$481</f>
        <v>83</v>
      </c>
      <c r="J549" s="186"/>
      <c r="K549" s="184">
        <f>ROUND(I549*$D549,0)</f>
        <v>96280</v>
      </c>
    </row>
    <row r="550" spans="1:11">
      <c r="A550" s="186" t="s">
        <v>227</v>
      </c>
      <c r="B550" s="1"/>
      <c r="C550" s="182">
        <f>12+12+665</f>
        <v>689</v>
      </c>
      <c r="D550" s="182">
        <v>672</v>
      </c>
      <c r="E550" s="161">
        <v>150</v>
      </c>
      <c r="F550" s="188"/>
      <c r="G550" s="184">
        <f>ROUND(E550*$C550,0)</f>
        <v>103350</v>
      </c>
      <c r="H550" s="184">
        <f>ROUND(E550*$D550,0)</f>
        <v>100800</v>
      </c>
      <c r="I550" s="161">
        <f>$I$482</f>
        <v>166</v>
      </c>
      <c r="J550" s="188"/>
      <c r="K550" s="184">
        <f>ROUND(I550*$D550,0)</f>
        <v>111552</v>
      </c>
    </row>
    <row r="551" spans="1:11">
      <c r="A551" s="186" t="s">
        <v>198</v>
      </c>
      <c r="B551" s="1"/>
      <c r="C551" s="182">
        <f>SUM(C548:C550)</f>
        <v>1889</v>
      </c>
      <c r="D551" s="182">
        <f>SUM(D548:D550)</f>
        <v>1843</v>
      </c>
      <c r="E551" s="161"/>
      <c r="F551" s="186"/>
      <c r="G551" s="184"/>
      <c r="H551" s="184"/>
      <c r="I551" s="161"/>
      <c r="J551" s="186"/>
      <c r="K551" s="184"/>
    </row>
    <row r="552" spans="1:11">
      <c r="A552" s="186" t="s">
        <v>226</v>
      </c>
      <c r="B552" s="1"/>
      <c r="C552" s="182">
        <f>53027+1380+148527</f>
        <v>202934</v>
      </c>
      <c r="D552" s="182">
        <f>ROUND(($D$574/'Blocking - detail'!$C$574)*C552,0)</f>
        <v>204561</v>
      </c>
      <c r="E552" s="161">
        <v>1.38</v>
      </c>
      <c r="F552" s="186" t="s">
        <v>13</v>
      </c>
      <c r="G552" s="184">
        <f>ROUND(E552*$C552,0)</f>
        <v>280049</v>
      </c>
      <c r="H552" s="184">
        <f>ROUND(E552*$D552,0)</f>
        <v>282294</v>
      </c>
      <c r="I552" s="161">
        <f>$I$484</f>
        <v>1.47</v>
      </c>
      <c r="J552" s="186" t="s">
        <v>13</v>
      </c>
      <c r="K552" s="184">
        <f>ROUND(I552*$D552,0)</f>
        <v>300705</v>
      </c>
    </row>
    <row r="553" spans="1:11">
      <c r="A553" s="186" t="s">
        <v>227</v>
      </c>
      <c r="B553" s="1"/>
      <c r="C553" s="182">
        <f>3665+7817+380790</f>
        <v>392272</v>
      </c>
      <c r="D553" s="182">
        <f>ROUND(($D$574/'Blocking - detail'!$C$574)*C553,0)</f>
        <v>395416</v>
      </c>
      <c r="E553" s="161">
        <v>1.1299999999999999</v>
      </c>
      <c r="F553" s="186" t="s">
        <v>13</v>
      </c>
      <c r="G553" s="184">
        <f>ROUND(E553*$C553,0)</f>
        <v>443267</v>
      </c>
      <c r="H553" s="184">
        <f>ROUND(E553*$D553,0)</f>
        <v>446820</v>
      </c>
      <c r="I553" s="161">
        <f>$I$485</f>
        <v>1.2</v>
      </c>
      <c r="J553" s="186" t="s">
        <v>13</v>
      </c>
      <c r="K553" s="184">
        <f>ROUND(I553*$D553,0)</f>
        <v>474499</v>
      </c>
    </row>
    <row r="554" spans="1:11">
      <c r="A554" s="172" t="s">
        <v>228</v>
      </c>
      <c r="B554" s="1"/>
      <c r="C554" s="182"/>
      <c r="D554" s="182"/>
      <c r="E554" s="218"/>
      <c r="F554" s="186"/>
      <c r="G554" s="184"/>
      <c r="H554" s="184"/>
      <c r="I554" s="218"/>
      <c r="J554" s="186"/>
      <c r="K554" s="184"/>
    </row>
    <row r="555" spans="1:11">
      <c r="A555" s="172" t="s">
        <v>229</v>
      </c>
      <c r="B555" s="1"/>
      <c r="C555" s="182">
        <f>31+16993+1024+1380+6927+349+121488+297368</f>
        <v>445560</v>
      </c>
      <c r="D555" s="182">
        <f>ROUND(($D$574/'Blocking - detail'!$C$574)*C555,0)</f>
        <v>449132</v>
      </c>
      <c r="E555" s="161">
        <v>3.64</v>
      </c>
      <c r="F555" s="186"/>
      <c r="G555" s="184">
        <f>ROUND(E555*$C555,0)</f>
        <v>1621838</v>
      </c>
      <c r="H555" s="184">
        <f>ROUND(E555*$D555,0)</f>
        <v>1634840</v>
      </c>
      <c r="I555" s="161">
        <f>$I$487</f>
        <v>3.75</v>
      </c>
      <c r="J555" s="186"/>
      <c r="K555" s="184">
        <f>ROUND(I555*$D555,0)</f>
        <v>1684245</v>
      </c>
    </row>
    <row r="556" spans="1:11">
      <c r="A556" s="172" t="s">
        <v>245</v>
      </c>
      <c r="B556" s="1"/>
      <c r="C556" s="182">
        <f>69+6778+239+102+1209+318</f>
        <v>8715</v>
      </c>
      <c r="D556" s="182">
        <f>ROUND(($D$574/'Blocking - detail'!$C$574)*C556,0)</f>
        <v>8785</v>
      </c>
      <c r="E556" s="232">
        <f>E555</f>
        <v>3.64</v>
      </c>
      <c r="F556" s="186"/>
      <c r="G556" s="184">
        <f>ROUND(E556*$C556,0)</f>
        <v>31723</v>
      </c>
      <c r="H556" s="184">
        <f>ROUND(E556*$D556,0)</f>
        <v>31977</v>
      </c>
      <c r="I556" s="232">
        <f>I555</f>
        <v>3.75</v>
      </c>
      <c r="J556" s="186"/>
      <c r="K556" s="184">
        <f>ROUND(I556*$D556,0)</f>
        <v>32944</v>
      </c>
    </row>
    <row r="557" spans="1:11">
      <c r="A557" s="186" t="s">
        <v>230</v>
      </c>
      <c r="B557" s="1"/>
      <c r="C557" s="182"/>
      <c r="D557" s="182"/>
      <c r="E557" s="161"/>
      <c r="F557" s="186"/>
      <c r="G557" s="184"/>
      <c r="H557" s="184"/>
      <c r="I557" s="161"/>
      <c r="J557" s="186"/>
      <c r="K557" s="184"/>
    </row>
    <row r="558" spans="1:11">
      <c r="A558" s="186" t="s">
        <v>231</v>
      </c>
      <c r="B558" s="1"/>
      <c r="C558" s="182">
        <f>10240+2853225+81440+478667+480000+55800+25725353+25475253</f>
        <v>55159978</v>
      </c>
      <c r="D558" s="182">
        <f>ROUND(($D$574/'Blocking - detail'!$C$574)*C558,0)</f>
        <v>55602144</v>
      </c>
      <c r="E558" s="233">
        <v>3.9809999999999999</v>
      </c>
      <c r="F558" s="186" t="s">
        <v>178</v>
      </c>
      <c r="G558" s="184">
        <f>ROUND(E558*$C558/100,0)</f>
        <v>2195919</v>
      </c>
      <c r="H558" s="184">
        <f>ROUND(E558*$D558/100,0)</f>
        <v>2213521</v>
      </c>
      <c r="I558" s="233">
        <f>$I$490</f>
        <v>4.3570000000000002</v>
      </c>
      <c r="J558" s="186" t="s">
        <v>178</v>
      </c>
      <c r="K558" s="184">
        <f>ROUND(I558*$D558/100,0)</f>
        <v>2422585</v>
      </c>
    </row>
    <row r="559" spans="1:11">
      <c r="A559" s="186" t="s">
        <v>203</v>
      </c>
      <c r="B559" s="1"/>
      <c r="C559" s="182">
        <f>10240+3545465+133120+979200+4096800+55800+34983239+101812255-C558</f>
        <v>90456141</v>
      </c>
      <c r="D559" s="182">
        <f>ROUND(($D$574/'Blocking - detail'!$C$574)*C559,0)</f>
        <v>91181243</v>
      </c>
      <c r="E559" s="233">
        <v>3.649</v>
      </c>
      <c r="F559" s="186" t="s">
        <v>178</v>
      </c>
      <c r="G559" s="184">
        <f>ROUND(E559*$C559/100,0)</f>
        <v>3300745</v>
      </c>
      <c r="H559" s="184">
        <f>ROUND(E559*$D559/100,0)</f>
        <v>3327204</v>
      </c>
      <c r="I559" s="233">
        <f>$I$491</f>
        <v>3.9930000000000003</v>
      </c>
      <c r="J559" s="186" t="s">
        <v>178</v>
      </c>
      <c r="K559" s="184">
        <f>ROUND(I559*$D559/100,0)</f>
        <v>3640867</v>
      </c>
    </row>
    <row r="560" spans="1:11">
      <c r="A560" s="186" t="s">
        <v>204</v>
      </c>
      <c r="B560" s="1"/>
      <c r="C560" s="182">
        <f>14+5104+263+1145+2693+4+38848+100112</f>
        <v>148183</v>
      </c>
      <c r="D560" s="182">
        <f>ROUND(($D$574/'Blocking - detail'!$C$574)*C560,0)</f>
        <v>149371</v>
      </c>
      <c r="E560" s="202">
        <v>45</v>
      </c>
      <c r="F560" s="186" t="s">
        <v>178</v>
      </c>
      <c r="G560" s="184">
        <f>ROUND(E560*$C560/100,0)</f>
        <v>66682</v>
      </c>
      <c r="H560" s="184">
        <f>ROUND(E560*$D560/100,0)</f>
        <v>67217</v>
      </c>
      <c r="I560" s="202">
        <f>$I$492</f>
        <v>45</v>
      </c>
      <c r="J560" s="186" t="s">
        <v>178</v>
      </c>
      <c r="K560" s="184">
        <f>ROUND(I560*$D560/100,0)</f>
        <v>67217</v>
      </c>
    </row>
    <row r="561" spans="1:15">
      <c r="A561" s="223" t="s">
        <v>205</v>
      </c>
      <c r="B561" s="1"/>
      <c r="C561" s="182"/>
      <c r="D561" s="182"/>
      <c r="E561" s="195">
        <v>-0.01</v>
      </c>
      <c r="F561" s="2"/>
      <c r="G561" s="184"/>
      <c r="H561" s="184"/>
      <c r="I561" s="195">
        <f>$I$493</f>
        <v>-0.01</v>
      </c>
      <c r="J561" s="1"/>
      <c r="K561" s="184"/>
    </row>
    <row r="562" spans="1:15">
      <c r="A562" s="186" t="s">
        <v>225</v>
      </c>
      <c r="B562" s="1"/>
      <c r="C562" s="182">
        <v>0</v>
      </c>
      <c r="D562" s="182">
        <v>0</v>
      </c>
      <c r="E562" s="167">
        <f>E548</f>
        <v>205</v>
      </c>
      <c r="F562" s="227"/>
      <c r="G562" s="184">
        <f>ROUND(E562*$C562*E561,0)</f>
        <v>0</v>
      </c>
      <c r="H562" s="184">
        <f>ROUND(E562*$D562*E561,0)</f>
        <v>0</v>
      </c>
      <c r="I562" s="167">
        <f>I548</f>
        <v>225</v>
      </c>
      <c r="J562" s="156"/>
      <c r="K562" s="184">
        <f>ROUND(I562*$D562*I561,0)</f>
        <v>0</v>
      </c>
    </row>
    <row r="563" spans="1:15">
      <c r="A563" s="186" t="s">
        <v>226</v>
      </c>
      <c r="B563" s="1"/>
      <c r="C563" s="182">
        <f>12</f>
        <v>12</v>
      </c>
      <c r="D563" s="182">
        <v>12</v>
      </c>
      <c r="E563" s="167">
        <f>E549</f>
        <v>75</v>
      </c>
      <c r="F563" s="227"/>
      <c r="G563" s="184">
        <f>ROUND(E563*$C563*E561,0)</f>
        <v>-9</v>
      </c>
      <c r="H563" s="184">
        <f>ROUND(E563*$D563*E561,0)</f>
        <v>-9</v>
      </c>
      <c r="I563" s="167">
        <f>I549</f>
        <v>83</v>
      </c>
      <c r="J563" s="156"/>
      <c r="K563" s="184">
        <f>ROUND(I563*$D563*I561,0)</f>
        <v>-10</v>
      </c>
    </row>
    <row r="564" spans="1:15">
      <c r="A564" s="186" t="s">
        <v>227</v>
      </c>
      <c r="B564" s="1"/>
      <c r="C564" s="182">
        <f>12</f>
        <v>12</v>
      </c>
      <c r="D564" s="182">
        <v>12</v>
      </c>
      <c r="E564" s="167">
        <f>E550</f>
        <v>150</v>
      </c>
      <c r="F564" s="235"/>
      <c r="G564" s="184">
        <f>ROUND(E564*$C564*E561,0)</f>
        <v>-18</v>
      </c>
      <c r="H564" s="184">
        <f>ROUND(E564*$D564*E561,0)</f>
        <v>-18</v>
      </c>
      <c r="I564" s="167">
        <f>I550</f>
        <v>166</v>
      </c>
      <c r="J564" s="236"/>
      <c r="K564" s="184">
        <f>ROUND(I564*$D564*I561,0)</f>
        <v>-20</v>
      </c>
    </row>
    <row r="565" spans="1:15">
      <c r="A565" s="186" t="s">
        <v>226</v>
      </c>
      <c r="B565" s="1"/>
      <c r="C565" s="182">
        <f>1487</f>
        <v>1487</v>
      </c>
      <c r="D565" s="182">
        <f>ROUND(($D$574/'Blocking - detail'!$C$574)*C565,0)</f>
        <v>1499</v>
      </c>
      <c r="E565" s="167">
        <f>E552</f>
        <v>1.38</v>
      </c>
      <c r="F565" s="227"/>
      <c r="G565" s="184">
        <f>ROUND(E565*$C565*E561,0)</f>
        <v>-21</v>
      </c>
      <c r="H565" s="184">
        <f>ROUND(E565*$D565*E561,0)</f>
        <v>-21</v>
      </c>
      <c r="I565" s="167">
        <f>I552</f>
        <v>1.47</v>
      </c>
      <c r="J565" s="156"/>
      <c r="K565" s="184">
        <f>ROUND(I565*$D565*I561,0)</f>
        <v>-22</v>
      </c>
    </row>
    <row r="566" spans="1:15">
      <c r="A566" s="186" t="s">
        <v>227</v>
      </c>
      <c r="B566" s="1"/>
      <c r="C566" s="182">
        <v>7817</v>
      </c>
      <c r="D566" s="182">
        <f>ROUND(($D$574/'Blocking - detail'!$C$574)*C566,0)</f>
        <v>7880</v>
      </c>
      <c r="E566" s="167">
        <f>E553</f>
        <v>1.1299999999999999</v>
      </c>
      <c r="F566" s="227" t="s">
        <v>13</v>
      </c>
      <c r="G566" s="184">
        <f>ROUND(E566*$C566*E561,0)</f>
        <v>-88</v>
      </c>
      <c r="H566" s="184">
        <f>ROUND(E566*$D566*E561,0)</f>
        <v>-89</v>
      </c>
      <c r="I566" s="167">
        <f>I553</f>
        <v>1.2</v>
      </c>
      <c r="J566" s="156"/>
      <c r="K566" s="184">
        <f>ROUND(I566*$D566*I561,0)</f>
        <v>-95</v>
      </c>
    </row>
    <row r="567" spans="1:15">
      <c r="A567" s="172" t="s">
        <v>229</v>
      </c>
      <c r="B567" s="1"/>
      <c r="C567" s="182">
        <f>1487+6927</f>
        <v>8414</v>
      </c>
      <c r="D567" s="182">
        <f>ROUND(($D$574/'Blocking - detail'!$C$574)*C567,0)</f>
        <v>8481</v>
      </c>
      <c r="E567" s="167">
        <f>E555</f>
        <v>3.64</v>
      </c>
      <c r="F567" s="227" t="s">
        <v>13</v>
      </c>
      <c r="G567" s="184">
        <f>ROUND(E567*$C567*E561,0)</f>
        <v>-306</v>
      </c>
      <c r="H567" s="184">
        <f>ROUND(E567*$D567*E561,0)</f>
        <v>-309</v>
      </c>
      <c r="I567" s="167">
        <f>I555</f>
        <v>3.75</v>
      </c>
      <c r="J567" s="156"/>
      <c r="K567" s="184">
        <f>ROUND(I567*$D567*I561,0)</f>
        <v>-318</v>
      </c>
    </row>
    <row r="568" spans="1:15">
      <c r="A568" s="172" t="s">
        <v>245</v>
      </c>
      <c r="B568" s="1"/>
      <c r="C568" s="182">
        <v>0</v>
      </c>
      <c r="D568" s="182">
        <f>ROUND(($D$574/'Blocking - detail'!$C$574)*C568,0)</f>
        <v>0</v>
      </c>
      <c r="E568" s="167">
        <f>E556</f>
        <v>3.64</v>
      </c>
      <c r="F568" s="227" t="s">
        <v>13</v>
      </c>
      <c r="G568" s="184">
        <f>ROUND(E568*$C568*E561,0)</f>
        <v>0</v>
      </c>
      <c r="H568" s="184">
        <f>ROUND(E568*$D568*E561,0)</f>
        <v>0</v>
      </c>
      <c r="I568" s="167">
        <f>I556</f>
        <v>3.75</v>
      </c>
      <c r="J568" s="156"/>
      <c r="K568" s="184">
        <f>ROUND(I568*$D568*I561,0)</f>
        <v>0</v>
      </c>
    </row>
    <row r="569" spans="1:15">
      <c r="A569" s="186" t="s">
        <v>231</v>
      </c>
      <c r="B569" s="1"/>
      <c r="C569" s="182">
        <f>478667+480000</f>
        <v>958667</v>
      </c>
      <c r="D569" s="182">
        <f>ROUND(($D$574/'Blocking - detail'!$C$574)*C569,0)</f>
        <v>966352</v>
      </c>
      <c r="E569" s="237">
        <f>E558</f>
        <v>3.9809999999999999</v>
      </c>
      <c r="F569" s="184" t="s">
        <v>178</v>
      </c>
      <c r="G569" s="184">
        <f>ROUND(E569*$C569/100*E561,0)</f>
        <v>-382</v>
      </c>
      <c r="H569" s="184">
        <f>ROUND(E569*$D569/100*E561,0)</f>
        <v>-385</v>
      </c>
      <c r="I569" s="237">
        <f>I558</f>
        <v>4.3570000000000002</v>
      </c>
      <c r="J569" s="186" t="s">
        <v>178</v>
      </c>
      <c r="K569" s="184">
        <f>ROUND(I569*$D569/100*I561,0)</f>
        <v>-421</v>
      </c>
    </row>
    <row r="570" spans="1:15">
      <c r="A570" s="186" t="s">
        <v>203</v>
      </c>
      <c r="B570" s="1"/>
      <c r="C570" s="182">
        <f>979200+4096800-C569</f>
        <v>4117333</v>
      </c>
      <c r="D570" s="182">
        <f>ROUND(($D$574/'Blocking - detail'!$C$574)*C570,0)</f>
        <v>4150338</v>
      </c>
      <c r="E570" s="237">
        <f>E559</f>
        <v>3.649</v>
      </c>
      <c r="F570" s="184" t="s">
        <v>178</v>
      </c>
      <c r="G570" s="184">
        <f>ROUND(E570*$C570/100*E561,0)</f>
        <v>-1502</v>
      </c>
      <c r="H570" s="184">
        <f>ROUND(E570*$D570/100*E561,0)</f>
        <v>-1514</v>
      </c>
      <c r="I570" s="237">
        <f>I559</f>
        <v>3.9930000000000003</v>
      </c>
      <c r="J570" s="186" t="s">
        <v>178</v>
      </c>
      <c r="K570" s="184">
        <f>ROUND(I570*$D570/100*I561,0)</f>
        <v>-1657</v>
      </c>
    </row>
    <row r="571" spans="1:15">
      <c r="A571" s="186" t="s">
        <v>204</v>
      </c>
      <c r="B571" s="1"/>
      <c r="C571" s="182">
        <f>0</f>
        <v>0</v>
      </c>
      <c r="D571" s="182">
        <f>ROUND(($D$574/'Blocking - detail'!$C$574)*C571,0)</f>
        <v>0</v>
      </c>
      <c r="E571" s="238">
        <f>E560</f>
        <v>45</v>
      </c>
      <c r="F571" s="184" t="s">
        <v>178</v>
      </c>
      <c r="G571" s="184">
        <f>ROUND(E571*$C571/100*E561,0)</f>
        <v>0</v>
      </c>
      <c r="H571" s="184">
        <f>ROUND(E571*$D571/100*E561,0)</f>
        <v>0</v>
      </c>
      <c r="I571" s="238">
        <f>I560</f>
        <v>45</v>
      </c>
      <c r="J571" s="186" t="s">
        <v>178</v>
      </c>
      <c r="K571" s="184">
        <f>ROUND(I571*$D571/100*I561,0)</f>
        <v>0</v>
      </c>
    </row>
    <row r="572" spans="1:15">
      <c r="A572" s="186" t="s">
        <v>247</v>
      </c>
      <c r="B572" s="1"/>
      <c r="C572" s="182">
        <f>C563+C564</f>
        <v>24</v>
      </c>
      <c r="D572" s="182">
        <v>23</v>
      </c>
      <c r="E572" s="161">
        <v>60</v>
      </c>
      <c r="F572" s="227" t="s">
        <v>13</v>
      </c>
      <c r="G572" s="184">
        <f>ROUND(E572*$C572,0)</f>
        <v>1440</v>
      </c>
      <c r="H572" s="184">
        <f>ROUND(E572*$D572,0)</f>
        <v>1380</v>
      </c>
      <c r="I572" s="161">
        <f>$I$504</f>
        <v>60</v>
      </c>
      <c r="J572" s="1"/>
      <c r="K572" s="184">
        <f>ROUND(I572*$D572,0)</f>
        <v>1380</v>
      </c>
    </row>
    <row r="573" spans="1:15">
      <c r="A573" s="186" t="s">
        <v>248</v>
      </c>
      <c r="B573" s="1"/>
      <c r="C573" s="182">
        <f>C565+C566</f>
        <v>9304</v>
      </c>
      <c r="D573" s="182">
        <f>ROUND(($D$574/'Blocking - detail'!$C$574)*C573,0)</f>
        <v>9379</v>
      </c>
      <c r="E573" s="202">
        <v>-30</v>
      </c>
      <c r="F573" s="184" t="s">
        <v>178</v>
      </c>
      <c r="G573" s="184">
        <f>ROUND(E573*$C573/100,0)</f>
        <v>-2791</v>
      </c>
      <c r="H573" s="184">
        <f>ROUND(E573*$D573/100,0)</f>
        <v>-2814</v>
      </c>
      <c r="I573" s="202">
        <v>-30</v>
      </c>
      <c r="J573" s="184" t="s">
        <v>178</v>
      </c>
      <c r="K573" s="184">
        <f>ROUND(I573*$D573/100,0)</f>
        <v>-2814</v>
      </c>
    </row>
    <row r="574" spans="1:15">
      <c r="A574" s="1" t="s">
        <v>185</v>
      </c>
      <c r="B574" s="1"/>
      <c r="C574" s="182">
        <f>SUM(C558:C559)</f>
        <v>145616119</v>
      </c>
      <c r="D574" s="182">
        <v>146783387.35514688</v>
      </c>
      <c r="E574" s="193"/>
      <c r="F574" s="2"/>
      <c r="G574" s="2">
        <f>SUM(G548:G573)</f>
        <v>8131326</v>
      </c>
      <c r="H574" s="2">
        <f>SUM(H548:H573)</f>
        <v>8190149</v>
      </c>
      <c r="I574" s="193"/>
      <c r="J574" s="1"/>
      <c r="K574" s="2">
        <f>SUM(K548:K573)</f>
        <v>8829392</v>
      </c>
    </row>
    <row r="575" spans="1:15">
      <c r="A575" s="1" t="s">
        <v>167</v>
      </c>
      <c r="B575" s="1"/>
      <c r="C575" s="212">
        <v>-3267381.4452911569</v>
      </c>
      <c r="D575" s="203">
        <v>0</v>
      </c>
      <c r="E575" s="172"/>
      <c r="F575" s="172"/>
      <c r="G575" s="173">
        <v>-154650.03199032659</v>
      </c>
      <c r="H575" s="173">
        <v>0</v>
      </c>
      <c r="I575" s="172"/>
      <c r="J575" s="172"/>
      <c r="K575" s="173">
        <v>0</v>
      </c>
      <c r="M575" s="152"/>
      <c r="N575" s="152"/>
      <c r="O575" s="153"/>
    </row>
    <row r="576" spans="1:15" ht="16.5" thickBot="1">
      <c r="A576" s="1" t="s">
        <v>186</v>
      </c>
      <c r="B576" s="1"/>
      <c r="C576" s="229">
        <f>SUM(C574)+C575</f>
        <v>142348737.55470884</v>
      </c>
      <c r="D576" s="229">
        <f>SUM(D558:D559)+D575</f>
        <v>146783387</v>
      </c>
      <c r="E576" s="205"/>
      <c r="F576" s="206"/>
      <c r="G576" s="207">
        <f>G574+G575</f>
        <v>7976675.9680096731</v>
      </c>
      <c r="H576" s="207">
        <f>H574+H575</f>
        <v>8190149</v>
      </c>
      <c r="I576" s="205"/>
      <c r="J576" s="208"/>
      <c r="K576" s="207">
        <f>K574+K575</f>
        <v>8829392</v>
      </c>
      <c r="M576" s="154"/>
      <c r="N576" s="154"/>
      <c r="O576" s="155"/>
    </row>
    <row r="577" spans="1:21" ht="16.5" thickTop="1">
      <c r="A577" s="166"/>
      <c r="B577" s="241"/>
      <c r="C577" s="166"/>
      <c r="D577" s="166"/>
      <c r="E577" s="12"/>
      <c r="F577" s="12"/>
      <c r="G577" s="242"/>
      <c r="H577" s="242"/>
      <c r="I577" s="166"/>
      <c r="J577" s="166"/>
      <c r="K577" s="166"/>
    </row>
    <row r="578" spans="1:21">
      <c r="A578" s="156" t="s">
        <v>251</v>
      </c>
      <c r="B578" s="1"/>
      <c r="C578" s="12"/>
      <c r="D578" s="12"/>
      <c r="E578" s="200"/>
      <c r="F578" s="2"/>
      <c r="G578" s="2"/>
      <c r="H578" s="2"/>
      <c r="I578" s="200"/>
      <c r="J578" s="1"/>
      <c r="K578" s="2"/>
    </row>
    <row r="579" spans="1:21">
      <c r="A579" s="172" t="s">
        <v>252</v>
      </c>
      <c r="B579" s="1"/>
      <c r="C579" s="12"/>
      <c r="D579" s="12"/>
      <c r="E579" s="200"/>
      <c r="F579" s="2"/>
      <c r="G579" s="2"/>
      <c r="H579" s="2"/>
      <c r="I579" s="200"/>
      <c r="J579" s="1"/>
      <c r="K579" s="2"/>
    </row>
    <row r="580" spans="1:21">
      <c r="A580" s="186"/>
      <c r="B580" s="1"/>
      <c r="C580" s="12"/>
      <c r="D580" s="12"/>
      <c r="E580" s="200"/>
      <c r="F580" s="2"/>
      <c r="G580" s="243"/>
      <c r="H580" s="243"/>
      <c r="I580" s="200"/>
      <c r="J580" s="1"/>
      <c r="K580" s="244"/>
    </row>
    <row r="581" spans="1:21">
      <c r="A581" s="172" t="s">
        <v>253</v>
      </c>
      <c r="B581" s="1"/>
      <c r="C581" s="182"/>
      <c r="D581" s="182"/>
      <c r="E581" s="2" t="s">
        <v>13</v>
      </c>
      <c r="F581" s="2"/>
      <c r="G581" s="1"/>
      <c r="H581" s="1"/>
      <c r="I581" s="2" t="s">
        <v>13</v>
      </c>
      <c r="J581" s="1"/>
      <c r="K581" s="1"/>
      <c r="R581" s="3">
        <v>50</v>
      </c>
      <c r="S581" s="3">
        <v>51</v>
      </c>
      <c r="T581" s="3">
        <v>300</v>
      </c>
      <c r="U581" s="3">
        <v>301</v>
      </c>
    </row>
    <row r="582" spans="1:21">
      <c r="A582" s="172" t="s">
        <v>254</v>
      </c>
      <c r="B582" s="1"/>
      <c r="C582" s="182">
        <f>C633+C684</f>
        <v>1046</v>
      </c>
      <c r="D582" s="182">
        <f>D633+D684</f>
        <v>1055</v>
      </c>
      <c r="E582" s="200">
        <v>0</v>
      </c>
      <c r="F582" s="187"/>
      <c r="G582" s="184">
        <f>G633+G684</f>
        <v>0</v>
      </c>
      <c r="H582" s="184">
        <f>H633+H684</f>
        <v>0</v>
      </c>
      <c r="I582" s="200">
        <v>0</v>
      </c>
      <c r="J582" s="187"/>
      <c r="K582" s="184">
        <f>K633+K684</f>
        <v>0</v>
      </c>
      <c r="M582" s="42">
        <f>I582*D582</f>
        <v>0</v>
      </c>
      <c r="O582" s="8"/>
      <c r="P582" s="33" t="s">
        <v>13</v>
      </c>
      <c r="Q582" s="3" t="s">
        <v>175</v>
      </c>
      <c r="R582" s="192">
        <f>E584+(E593*50)</f>
        <v>907.49999999999989</v>
      </c>
      <c r="S582" s="192">
        <f>E585+(E594*51)</f>
        <v>907.4</v>
      </c>
      <c r="T582" s="192">
        <f>E585+(E594*300)</f>
        <v>3995</v>
      </c>
      <c r="U582" s="192">
        <f>E586+(E595*301)</f>
        <v>4014.65</v>
      </c>
    </row>
    <row r="583" spans="1:21">
      <c r="A583" s="172" t="s">
        <v>255</v>
      </c>
      <c r="B583" s="1"/>
      <c r="C583" s="182"/>
      <c r="D583" s="182"/>
      <c r="E583" s="200"/>
      <c r="F583" s="187"/>
      <c r="G583" s="184"/>
      <c r="H583" s="184"/>
      <c r="I583" s="200"/>
      <c r="J583" s="187"/>
      <c r="K583" s="184"/>
      <c r="Q583" s="3" t="s">
        <v>120</v>
      </c>
      <c r="R583" s="192">
        <f>I584+(I593*50)</f>
        <v>993.5</v>
      </c>
      <c r="S583" s="192">
        <f>I585+(I594*51)</f>
        <v>996.64</v>
      </c>
      <c r="T583" s="192">
        <f>I585+(I594*300)</f>
        <v>4393</v>
      </c>
      <c r="U583" s="192">
        <f>I586+(I595*301)</f>
        <v>4411.62</v>
      </c>
    </row>
    <row r="584" spans="1:21">
      <c r="A584" s="172" t="s">
        <v>256</v>
      </c>
      <c r="B584" s="1"/>
      <c r="C584" s="182">
        <f t="shared" ref="C584:D589" si="49">C635+C686</f>
        <v>3810</v>
      </c>
      <c r="D584" s="182">
        <f t="shared" si="49"/>
        <v>3832</v>
      </c>
      <c r="E584" s="200">
        <v>0</v>
      </c>
      <c r="F584" s="187"/>
      <c r="G584" s="184">
        <f t="shared" ref="G584:H586" si="50">G635+G686</f>
        <v>0</v>
      </c>
      <c r="H584" s="184">
        <f t="shared" si="50"/>
        <v>0</v>
      </c>
      <c r="I584" s="200">
        <v>0</v>
      </c>
      <c r="J584" s="187"/>
      <c r="K584" s="184">
        <f>K635+K686</f>
        <v>0</v>
      </c>
      <c r="M584" s="42">
        <f>I584*D584</f>
        <v>0</v>
      </c>
      <c r="N584" s="22"/>
    </row>
    <row r="585" spans="1:21">
      <c r="A585" s="172" t="s">
        <v>257</v>
      </c>
      <c r="B585" s="1"/>
      <c r="C585" s="182">
        <f t="shared" si="49"/>
        <v>391</v>
      </c>
      <c r="D585" s="182">
        <f t="shared" si="49"/>
        <v>394</v>
      </c>
      <c r="E585" s="200">
        <v>275</v>
      </c>
      <c r="F585" s="187"/>
      <c r="G585" s="184">
        <f t="shared" si="50"/>
        <v>107525</v>
      </c>
      <c r="H585" s="184">
        <f t="shared" si="50"/>
        <v>108350</v>
      </c>
      <c r="I585" s="200">
        <v>301</v>
      </c>
      <c r="J585" s="187"/>
      <c r="K585" s="184">
        <f>K636+K687</f>
        <v>118594</v>
      </c>
      <c r="M585" s="42">
        <f>I585*D585</f>
        <v>118594</v>
      </c>
      <c r="N585" s="101"/>
      <c r="O585" s="8">
        <f>(I585-E585)/E585</f>
        <v>9.4545454545454544E-2</v>
      </c>
      <c r="S585" s="192">
        <f>S583-R583</f>
        <v>3.1399999999999864</v>
      </c>
      <c r="U585" s="192">
        <f>U583-T583</f>
        <v>18.619999999999891</v>
      </c>
    </row>
    <row r="586" spans="1:21">
      <c r="A586" s="172" t="s">
        <v>258</v>
      </c>
      <c r="B586" s="1"/>
      <c r="C586" s="182">
        <f t="shared" si="49"/>
        <v>12</v>
      </c>
      <c r="D586" s="182">
        <f t="shared" si="49"/>
        <v>12</v>
      </c>
      <c r="E586" s="200">
        <v>1110</v>
      </c>
      <c r="F586" s="187"/>
      <c r="G586" s="184">
        <f t="shared" si="50"/>
        <v>13320</v>
      </c>
      <c r="H586" s="184">
        <f t="shared" si="50"/>
        <v>13320</v>
      </c>
      <c r="I586" s="200">
        <v>1215</v>
      </c>
      <c r="J586" s="187"/>
      <c r="K586" s="184">
        <f>K637+K688</f>
        <v>14580</v>
      </c>
      <c r="M586" s="42">
        <f>I586*D586</f>
        <v>14580</v>
      </c>
      <c r="N586" s="101"/>
      <c r="O586" s="8">
        <f>(I586-E586)/E586</f>
        <v>9.45945945945946E-2</v>
      </c>
    </row>
    <row r="587" spans="1:21">
      <c r="A587" s="172" t="s">
        <v>166</v>
      </c>
      <c r="B587" s="1"/>
      <c r="C587" s="182">
        <f t="shared" si="49"/>
        <v>5259</v>
      </c>
      <c r="D587" s="182">
        <f t="shared" si="49"/>
        <v>5292.9166666666661</v>
      </c>
      <c r="E587" s="200"/>
      <c r="F587" s="187"/>
      <c r="G587" s="184"/>
      <c r="H587" s="184"/>
      <c r="I587" s="200"/>
      <c r="J587" s="187"/>
      <c r="K587" s="184"/>
      <c r="M587" s="33"/>
      <c r="N587" s="33"/>
      <c r="O587" s="183"/>
      <c r="S587" s="192">
        <f>I593</f>
        <v>19.87</v>
      </c>
      <c r="U587" s="192">
        <f>I595</f>
        <v>10.62</v>
      </c>
    </row>
    <row r="588" spans="1:21">
      <c r="A588" s="172" t="s">
        <v>259</v>
      </c>
      <c r="B588" s="1"/>
      <c r="C588" s="182">
        <f t="shared" si="49"/>
        <v>34292</v>
      </c>
      <c r="D588" s="182">
        <f t="shared" si="49"/>
        <v>34530</v>
      </c>
      <c r="E588" s="200"/>
      <c r="F588" s="187"/>
      <c r="G588" s="184"/>
      <c r="H588" s="184"/>
      <c r="I588" s="200"/>
      <c r="J588" s="187"/>
      <c r="K588" s="184"/>
      <c r="M588" s="33"/>
      <c r="N588" s="33"/>
      <c r="O588" s="183"/>
    </row>
    <row r="589" spans="1:21">
      <c r="A589" s="172" t="s">
        <v>24</v>
      </c>
      <c r="B589" s="1"/>
      <c r="C589" s="182">
        <f t="shared" si="49"/>
        <v>5714</v>
      </c>
      <c r="D589" s="182">
        <f t="shared" si="49"/>
        <v>5752</v>
      </c>
      <c r="E589" s="200"/>
      <c r="F589" s="184"/>
      <c r="G589" s="184"/>
      <c r="H589" s="184"/>
      <c r="I589" s="200"/>
      <c r="J589" s="184"/>
      <c r="K589" s="184"/>
      <c r="M589" s="33"/>
      <c r="N589" s="33"/>
      <c r="O589" s="183"/>
      <c r="P589" s="157"/>
    </row>
    <row r="590" spans="1:21">
      <c r="A590" s="172" t="s">
        <v>260</v>
      </c>
      <c r="B590" s="1"/>
      <c r="C590" s="182"/>
      <c r="D590" s="182"/>
      <c r="E590" s="200"/>
      <c r="F590" s="187"/>
      <c r="G590" s="184"/>
      <c r="H590" s="184"/>
      <c r="I590" s="200"/>
      <c r="J590" s="187"/>
      <c r="K590" s="184"/>
      <c r="M590" s="33"/>
      <c r="N590" s="33"/>
      <c r="O590" s="183"/>
    </row>
    <row r="591" spans="1:21">
      <c r="A591" s="172" t="s">
        <v>261</v>
      </c>
      <c r="B591" s="1"/>
      <c r="C591" s="182">
        <f>C642+C693</f>
        <v>4094</v>
      </c>
      <c r="D591" s="182">
        <f>D642+D693</f>
        <v>3767</v>
      </c>
      <c r="E591" s="200">
        <v>18.149999999999999</v>
      </c>
      <c r="F591" s="187"/>
      <c r="G591" s="184">
        <f>G642+G693</f>
        <v>74306</v>
      </c>
      <c r="H591" s="184">
        <f>H642+H693</f>
        <v>68371</v>
      </c>
      <c r="I591" s="200">
        <v>19.87</v>
      </c>
      <c r="J591" s="187"/>
      <c r="K591" s="184">
        <f>K642+K693</f>
        <v>74851</v>
      </c>
      <c r="M591" s="42">
        <f>I591*D591</f>
        <v>74850.290000000008</v>
      </c>
      <c r="N591" s="101"/>
      <c r="O591" s="8">
        <f>(I591-E591)/E591</f>
        <v>9.4765840220385811E-2</v>
      </c>
      <c r="R591" s="3" t="s">
        <v>175</v>
      </c>
      <c r="S591" s="3" t="s">
        <v>120</v>
      </c>
      <c r="T591" s="3" t="s">
        <v>176</v>
      </c>
      <c r="U591" s="3" t="s">
        <v>126</v>
      </c>
    </row>
    <row r="592" spans="1:21">
      <c r="A592" s="172" t="s">
        <v>262</v>
      </c>
      <c r="B592" s="1"/>
      <c r="C592" s="182"/>
      <c r="D592" s="182"/>
      <c r="E592" s="200"/>
      <c r="F592" s="187"/>
      <c r="G592" s="184"/>
      <c r="H592" s="184"/>
      <c r="I592" s="200"/>
      <c r="J592" s="187"/>
      <c r="K592" s="184"/>
      <c r="M592" s="239"/>
      <c r="N592" s="239"/>
      <c r="O592" s="183"/>
      <c r="Q592" s="3" t="s">
        <v>246</v>
      </c>
      <c r="R592" s="42">
        <f>SUM(H582:H597)</f>
        <v>1668109</v>
      </c>
      <c r="S592" s="42">
        <f>SUM(K582:K597)</f>
        <v>1828655</v>
      </c>
      <c r="T592" s="49">
        <v>2708270.4985879958</v>
      </c>
      <c r="U592" s="101">
        <f>S592/T592</f>
        <v>0.67521135756321282</v>
      </c>
    </row>
    <row r="593" spans="1:21">
      <c r="A593" s="172" t="s">
        <v>256</v>
      </c>
      <c r="B593" s="1"/>
      <c r="C593" s="182">
        <f t="shared" ref="C593:D597" si="51">C644+C695</f>
        <v>53610</v>
      </c>
      <c r="D593" s="182">
        <f t="shared" si="51"/>
        <v>49068</v>
      </c>
      <c r="E593" s="200">
        <f>E591</f>
        <v>18.149999999999999</v>
      </c>
      <c r="F593" s="187"/>
      <c r="G593" s="184">
        <f t="shared" ref="G593:H597" si="52">G644+G695</f>
        <v>973021</v>
      </c>
      <c r="H593" s="184">
        <f t="shared" si="52"/>
        <v>890585</v>
      </c>
      <c r="I593" s="200">
        <f>I591</f>
        <v>19.87</v>
      </c>
      <c r="J593" s="187"/>
      <c r="K593" s="184">
        <f>K644+K695</f>
        <v>974981</v>
      </c>
      <c r="M593" s="42">
        <f>I593*D593</f>
        <v>974981.16</v>
      </c>
      <c r="N593" s="101"/>
      <c r="O593" s="8">
        <f>(I593-E593)/E593</f>
        <v>9.4765840220385811E-2</v>
      </c>
      <c r="Q593" s="3" t="s">
        <v>263</v>
      </c>
      <c r="R593" s="42">
        <f>H602</f>
        <v>7542243</v>
      </c>
      <c r="S593" s="42">
        <f>K602</f>
        <v>8116487</v>
      </c>
      <c r="T593" s="49">
        <v>8051434.7234117109</v>
      </c>
      <c r="U593" s="101">
        <f>S593/T593</f>
        <v>1.0080795881508089</v>
      </c>
    </row>
    <row r="594" spans="1:21">
      <c r="A594" s="172" t="s">
        <v>257</v>
      </c>
      <c r="B594" s="1"/>
      <c r="C594" s="182">
        <f t="shared" si="51"/>
        <v>37992</v>
      </c>
      <c r="D594" s="182">
        <f t="shared" si="51"/>
        <v>34737</v>
      </c>
      <c r="E594" s="200">
        <v>12.4</v>
      </c>
      <c r="F594" s="187"/>
      <c r="G594" s="184">
        <f t="shared" si="52"/>
        <v>471100</v>
      </c>
      <c r="H594" s="184">
        <f t="shared" si="52"/>
        <v>430738</v>
      </c>
      <c r="I594" s="200">
        <v>13.64</v>
      </c>
      <c r="J594" s="187"/>
      <c r="K594" s="184">
        <f>K645+K696</f>
        <v>473813</v>
      </c>
      <c r="M594" s="42">
        <f>I594*D594</f>
        <v>473812.68</v>
      </c>
      <c r="N594" s="101"/>
      <c r="O594" s="8">
        <f>(I594-E594)/E594</f>
        <v>0.10000000000000002</v>
      </c>
      <c r="R594" s="42"/>
      <c r="S594" s="42"/>
      <c r="T594" s="49"/>
      <c r="U594" s="101"/>
    </row>
    <row r="595" spans="1:21">
      <c r="A595" s="172" t="s">
        <v>258</v>
      </c>
      <c r="B595" s="1"/>
      <c r="C595" s="182">
        <f t="shared" si="51"/>
        <v>4634</v>
      </c>
      <c r="D595" s="182">
        <f t="shared" si="51"/>
        <v>4281</v>
      </c>
      <c r="E595" s="200">
        <v>9.65</v>
      </c>
      <c r="F595" s="187"/>
      <c r="G595" s="184">
        <f t="shared" si="52"/>
        <v>44718</v>
      </c>
      <c r="H595" s="184">
        <f t="shared" si="52"/>
        <v>41312</v>
      </c>
      <c r="I595" s="200">
        <v>10.62</v>
      </c>
      <c r="J595" s="187"/>
      <c r="K595" s="184">
        <f>K646+K697</f>
        <v>45464</v>
      </c>
      <c r="M595" s="42">
        <f>I595*D595</f>
        <v>45464.219999999994</v>
      </c>
      <c r="N595" s="101"/>
      <c r="O595" s="8">
        <f>(I595-E595)/E595</f>
        <v>0.10051813471502578</v>
      </c>
    </row>
    <row r="596" spans="1:21">
      <c r="A596" s="172" t="s">
        <v>264</v>
      </c>
      <c r="B596" s="1"/>
      <c r="C596" s="182">
        <f t="shared" si="51"/>
        <v>402</v>
      </c>
      <c r="D596" s="182">
        <f t="shared" si="51"/>
        <v>368</v>
      </c>
      <c r="E596" s="200">
        <v>54.45</v>
      </c>
      <c r="F596" s="187"/>
      <c r="G596" s="184">
        <f t="shared" si="52"/>
        <v>21889</v>
      </c>
      <c r="H596" s="184">
        <f t="shared" si="52"/>
        <v>20037</v>
      </c>
      <c r="I596" s="200">
        <f>I591*3</f>
        <v>59.61</v>
      </c>
      <c r="J596" s="187"/>
      <c r="K596" s="184">
        <f>K647+K698</f>
        <v>21936</v>
      </c>
      <c r="M596" s="42">
        <f>I596*D596</f>
        <v>21936.48</v>
      </c>
      <c r="N596" s="101"/>
      <c r="O596" s="8">
        <f>(I596-E596)/E596</f>
        <v>9.4765840220385603E-2</v>
      </c>
    </row>
    <row r="597" spans="1:21">
      <c r="A597" s="172" t="s">
        <v>265</v>
      </c>
      <c r="B597" s="1"/>
      <c r="C597" s="182">
        <f t="shared" si="51"/>
        <v>960</v>
      </c>
      <c r="D597" s="182">
        <f t="shared" si="51"/>
        <v>876</v>
      </c>
      <c r="E597" s="200">
        <v>108.9</v>
      </c>
      <c r="F597" s="187"/>
      <c r="G597" s="184">
        <f t="shared" si="52"/>
        <v>104544</v>
      </c>
      <c r="H597" s="184">
        <f t="shared" si="52"/>
        <v>95396</v>
      </c>
      <c r="I597" s="200">
        <f>I591*6</f>
        <v>119.22</v>
      </c>
      <c r="J597" s="187"/>
      <c r="K597" s="184">
        <f>K648+K699</f>
        <v>104436</v>
      </c>
      <c r="M597" s="42">
        <f>I597*D597</f>
        <v>104436.72</v>
      </c>
      <c r="N597" s="101"/>
      <c r="O597" s="8">
        <f>(I597-E597)/E597</f>
        <v>9.4765840220385603E-2</v>
      </c>
    </row>
    <row r="598" spans="1:21">
      <c r="A598" s="172" t="s">
        <v>266</v>
      </c>
      <c r="B598" s="1"/>
      <c r="C598" s="182"/>
      <c r="D598" s="182"/>
      <c r="E598" s="200"/>
      <c r="F598" s="187"/>
      <c r="G598" s="184"/>
      <c r="H598" s="184"/>
      <c r="I598" s="200"/>
      <c r="J598" s="187"/>
      <c r="K598" s="184"/>
      <c r="M598" s="33"/>
      <c r="N598" s="33"/>
      <c r="O598" s="3"/>
    </row>
    <row r="599" spans="1:21">
      <c r="A599" s="172" t="s">
        <v>261</v>
      </c>
      <c r="B599" s="1"/>
      <c r="C599" s="182">
        <f>C650+C701</f>
        <v>566</v>
      </c>
      <c r="D599" s="182">
        <f>D650+D701</f>
        <v>518</v>
      </c>
      <c r="E599" s="226">
        <f>-E591</f>
        <v>-18.149999999999999</v>
      </c>
      <c r="F599" s="187"/>
      <c r="G599" s="184">
        <f>G650+G701</f>
        <v>-10273</v>
      </c>
      <c r="H599" s="184">
        <f>H650+H701</f>
        <v>-9402</v>
      </c>
      <c r="I599" s="226">
        <f>-I591</f>
        <v>-19.87</v>
      </c>
      <c r="J599" s="187"/>
      <c r="K599" s="184">
        <f>K650+K701</f>
        <v>-10293</v>
      </c>
      <c r="M599" s="42">
        <f>I599*D599</f>
        <v>-10292.66</v>
      </c>
      <c r="N599" s="33"/>
      <c r="O599" s="3"/>
    </row>
    <row r="600" spans="1:21">
      <c r="A600" s="172" t="s">
        <v>267</v>
      </c>
      <c r="B600" s="1"/>
      <c r="C600" s="182">
        <f>C651+C702</f>
        <v>2194</v>
      </c>
      <c r="D600" s="182">
        <f>D651+D702</f>
        <v>2004</v>
      </c>
      <c r="E600" s="226">
        <f>-E593</f>
        <v>-18.149999999999999</v>
      </c>
      <c r="F600" s="187"/>
      <c r="G600" s="184">
        <f>G651+G702</f>
        <v>-39821</v>
      </c>
      <c r="H600" s="184">
        <f>H651+H702</f>
        <v>-36373</v>
      </c>
      <c r="I600" s="226">
        <f>-I593</f>
        <v>-19.87</v>
      </c>
      <c r="J600" s="187"/>
      <c r="K600" s="184">
        <f>K651+K702</f>
        <v>-39820</v>
      </c>
      <c r="M600" s="42">
        <f>I600*D600</f>
        <v>-39819.480000000003</v>
      </c>
      <c r="N600" s="33"/>
      <c r="O600" s="3"/>
    </row>
    <row r="601" spans="1:21">
      <c r="A601" s="186" t="s">
        <v>230</v>
      </c>
      <c r="B601" s="1"/>
      <c r="C601" s="182"/>
      <c r="D601" s="182"/>
      <c r="E601" s="200"/>
      <c r="F601" s="184"/>
      <c r="G601" s="184"/>
      <c r="H601" s="184"/>
      <c r="I601" s="200"/>
      <c r="J601" s="184"/>
      <c r="K601" s="184"/>
      <c r="M601" s="33"/>
      <c r="N601" s="33"/>
      <c r="O601" s="3"/>
      <c r="Q601" s="3" t="s">
        <v>13</v>
      </c>
    </row>
    <row r="602" spans="1:21">
      <c r="A602" s="172" t="s">
        <v>268</v>
      </c>
      <c r="B602" s="1"/>
      <c r="C602" s="182">
        <f>C653+C704</f>
        <v>165066044</v>
      </c>
      <c r="D602" s="182">
        <f>D653+D704</f>
        <v>151116862</v>
      </c>
      <c r="E602" s="245">
        <v>4.9909999999999997</v>
      </c>
      <c r="F602" s="184" t="s">
        <v>178</v>
      </c>
      <c r="G602" s="184">
        <f>G653+G704</f>
        <v>8238447</v>
      </c>
      <c r="H602" s="184">
        <f>H653+H704</f>
        <v>7542243</v>
      </c>
      <c r="I602" s="246">
        <v>5.3710000000000004</v>
      </c>
      <c r="J602" s="184" t="s">
        <v>178</v>
      </c>
      <c r="K602" s="184">
        <f>K653+K704</f>
        <v>8116487</v>
      </c>
      <c r="M602" s="42">
        <f>(I602/100)*D602</f>
        <v>8116486.6580200009</v>
      </c>
      <c r="N602" s="101"/>
      <c r="O602" s="8">
        <f>(I602-E602)/E602</f>
        <v>7.6137046684031415E-2</v>
      </c>
    </row>
    <row r="603" spans="1:21">
      <c r="A603" s="186" t="s">
        <v>204</v>
      </c>
      <c r="B603" s="1"/>
      <c r="C603" s="182">
        <f>C654+C705</f>
        <v>28780</v>
      </c>
      <c r="D603" s="182">
        <f>D654+D705</f>
        <v>26281</v>
      </c>
      <c r="E603" s="202">
        <v>45</v>
      </c>
      <c r="F603" s="186" t="s">
        <v>178</v>
      </c>
      <c r="G603" s="184">
        <f>G654+G705</f>
        <v>12951</v>
      </c>
      <c r="H603" s="184">
        <f>H654+H705</f>
        <v>11826</v>
      </c>
      <c r="I603" s="202">
        <v>45</v>
      </c>
      <c r="J603" s="186" t="s">
        <v>178</v>
      </c>
      <c r="K603" s="184">
        <f>K654+K705</f>
        <v>11826</v>
      </c>
      <c r="M603" s="42">
        <f>(I603/100)*D603</f>
        <v>11826.45</v>
      </c>
      <c r="N603" s="101"/>
      <c r="O603" s="8">
        <f>(I603-E603)/E603</f>
        <v>0</v>
      </c>
    </row>
    <row r="604" spans="1:21">
      <c r="A604" s="223" t="s">
        <v>205</v>
      </c>
      <c r="B604" s="1"/>
      <c r="C604" s="182"/>
      <c r="D604" s="182"/>
      <c r="E604" s="195">
        <v>-0.01</v>
      </c>
      <c r="F604" s="2"/>
      <c r="G604" s="184"/>
      <c r="H604" s="184"/>
      <c r="I604" s="195">
        <v>-0.01</v>
      </c>
      <c r="J604" s="1"/>
      <c r="K604" s="184"/>
    </row>
    <row r="605" spans="1:21">
      <c r="A605" s="172" t="s">
        <v>194</v>
      </c>
      <c r="B605" s="1"/>
      <c r="C605" s="182">
        <f>C656+C707</f>
        <v>0</v>
      </c>
      <c r="D605" s="182">
        <f>D656+D707</f>
        <v>0</v>
      </c>
      <c r="E605" s="247">
        <f>E582</f>
        <v>0</v>
      </c>
      <c r="F605" s="187"/>
      <c r="G605" s="184">
        <f>G656+G707</f>
        <v>0</v>
      </c>
      <c r="H605" s="184">
        <f>H656+H707</f>
        <v>0</v>
      </c>
      <c r="I605" s="247">
        <f>I582</f>
        <v>0</v>
      </c>
      <c r="J605" s="187"/>
      <c r="K605" s="184">
        <f>K656+K707</f>
        <v>0</v>
      </c>
      <c r="M605" s="42">
        <f>-(I605/100)*D605</f>
        <v>0</v>
      </c>
    </row>
    <row r="606" spans="1:21">
      <c r="A606" s="172" t="s">
        <v>195</v>
      </c>
      <c r="B606" s="1"/>
      <c r="C606" s="182"/>
      <c r="D606" s="182"/>
      <c r="E606" s="247"/>
      <c r="F606" s="187"/>
      <c r="G606" s="184"/>
      <c r="H606" s="184"/>
      <c r="I606" s="247"/>
      <c r="J606" s="187"/>
      <c r="K606" s="184"/>
    </row>
    <row r="607" spans="1:21">
      <c r="A607" s="172" t="s">
        <v>256</v>
      </c>
      <c r="B607" s="1"/>
      <c r="C607" s="182">
        <f t="shared" ref="C607:D610" si="53">C658+C709</f>
        <v>1</v>
      </c>
      <c r="D607" s="182">
        <f t="shared" si="53"/>
        <v>1</v>
      </c>
      <c r="E607" s="247">
        <f>E584</f>
        <v>0</v>
      </c>
      <c r="F607" s="187"/>
      <c r="G607" s="184">
        <f t="shared" ref="G607:H610" si="54">G658+G709</f>
        <v>0</v>
      </c>
      <c r="H607" s="184">
        <f t="shared" si="54"/>
        <v>0</v>
      </c>
      <c r="I607" s="247">
        <f>I584</f>
        <v>0</v>
      </c>
      <c r="J607" s="187"/>
      <c r="K607" s="184">
        <f>K658+K709</f>
        <v>0</v>
      </c>
      <c r="M607" s="42">
        <f>-(I607/100)*D607</f>
        <v>0</v>
      </c>
    </row>
    <row r="608" spans="1:21">
      <c r="A608" s="172" t="s">
        <v>257</v>
      </c>
      <c r="B608" s="1"/>
      <c r="C608" s="182">
        <f t="shared" si="53"/>
        <v>0</v>
      </c>
      <c r="D608" s="182">
        <f t="shared" si="53"/>
        <v>0</v>
      </c>
      <c r="E608" s="247">
        <f>E585</f>
        <v>275</v>
      </c>
      <c r="F608" s="187"/>
      <c r="G608" s="184">
        <f t="shared" si="54"/>
        <v>0</v>
      </c>
      <c r="H608" s="184">
        <f t="shared" si="54"/>
        <v>0</v>
      </c>
      <c r="I608" s="247">
        <f>I585</f>
        <v>301</v>
      </c>
      <c r="J608" s="187"/>
      <c r="K608" s="184">
        <f>K659+K710</f>
        <v>0</v>
      </c>
      <c r="M608" s="42">
        <f>-(I608/100)*D608</f>
        <v>0</v>
      </c>
    </row>
    <row r="609" spans="1:13">
      <c r="A609" s="172" t="s">
        <v>258</v>
      </c>
      <c r="B609" s="1"/>
      <c r="C609" s="182">
        <f t="shared" si="53"/>
        <v>0</v>
      </c>
      <c r="D609" s="182">
        <f t="shared" si="53"/>
        <v>0</v>
      </c>
      <c r="E609" s="247">
        <f>E586</f>
        <v>1110</v>
      </c>
      <c r="F609" s="187"/>
      <c r="G609" s="184">
        <f t="shared" si="54"/>
        <v>0</v>
      </c>
      <c r="H609" s="184">
        <f t="shared" si="54"/>
        <v>0</v>
      </c>
      <c r="I609" s="247">
        <f>I586</f>
        <v>1215</v>
      </c>
      <c r="J609" s="187"/>
      <c r="K609" s="184">
        <f>K660+K711</f>
        <v>0</v>
      </c>
      <c r="M609" s="42">
        <f>-(I609/100)*D609</f>
        <v>0</v>
      </c>
    </row>
    <row r="610" spans="1:13">
      <c r="A610" s="172" t="s">
        <v>194</v>
      </c>
      <c r="B610" s="1"/>
      <c r="C610" s="182">
        <f t="shared" si="53"/>
        <v>0</v>
      </c>
      <c r="D610" s="182">
        <f t="shared" si="53"/>
        <v>0</v>
      </c>
      <c r="E610" s="247">
        <f>E591</f>
        <v>18.149999999999999</v>
      </c>
      <c r="F610" s="187"/>
      <c r="G610" s="184">
        <f t="shared" si="54"/>
        <v>0</v>
      </c>
      <c r="H610" s="184">
        <f t="shared" si="54"/>
        <v>0</v>
      </c>
      <c r="I610" s="247">
        <f>I591</f>
        <v>19.87</v>
      </c>
      <c r="J610" s="187"/>
      <c r="K610" s="184">
        <f>K661+K712</f>
        <v>0</v>
      </c>
      <c r="M610" s="42">
        <f>-(I610/100)*D610</f>
        <v>0</v>
      </c>
    </row>
    <row r="611" spans="1:13">
      <c r="A611" s="172" t="s">
        <v>195</v>
      </c>
      <c r="B611" s="1"/>
      <c r="C611" s="182"/>
      <c r="D611" s="182"/>
      <c r="E611" s="247"/>
      <c r="F611" s="187"/>
      <c r="G611" s="184"/>
      <c r="H611" s="184"/>
      <c r="I611" s="247"/>
      <c r="J611" s="187"/>
      <c r="K611" s="184"/>
    </row>
    <row r="612" spans="1:13">
      <c r="A612" s="172" t="s">
        <v>256</v>
      </c>
      <c r="B612" s="1"/>
      <c r="C612" s="182">
        <f t="shared" ref="C612:D616" si="55">C663+C714</f>
        <v>40</v>
      </c>
      <c r="D612" s="182">
        <f t="shared" si="55"/>
        <v>39</v>
      </c>
      <c r="E612" s="247">
        <f>E593</f>
        <v>18.149999999999999</v>
      </c>
      <c r="F612" s="187"/>
      <c r="G612" s="184">
        <f t="shared" ref="G612:H616" si="56">G663+G714</f>
        <v>-7</v>
      </c>
      <c r="H612" s="184">
        <f t="shared" si="56"/>
        <v>-7</v>
      </c>
      <c r="I612" s="247">
        <f>I593</f>
        <v>19.87</v>
      </c>
      <c r="J612" s="187"/>
      <c r="K612" s="184">
        <f>K663+K714</f>
        <v>-8</v>
      </c>
      <c r="M612" s="42">
        <f>-(I612/100)*D612</f>
        <v>-7.7493000000000007</v>
      </c>
    </row>
    <row r="613" spans="1:13">
      <c r="A613" s="172" t="s">
        <v>257</v>
      </c>
      <c r="B613" s="1"/>
      <c r="C613" s="182">
        <f t="shared" si="55"/>
        <v>0</v>
      </c>
      <c r="D613" s="182">
        <f t="shared" si="55"/>
        <v>0</v>
      </c>
      <c r="E613" s="247">
        <f>E594</f>
        <v>12.4</v>
      </c>
      <c r="F613" s="187"/>
      <c r="G613" s="184">
        <f t="shared" si="56"/>
        <v>0</v>
      </c>
      <c r="H613" s="184">
        <f t="shared" si="56"/>
        <v>0</v>
      </c>
      <c r="I613" s="247">
        <f>I594</f>
        <v>13.64</v>
      </c>
      <c r="J613" s="187"/>
      <c r="K613" s="184">
        <f>K664+K715</f>
        <v>0</v>
      </c>
      <c r="M613" s="42">
        <f>-(I613/100)*D613</f>
        <v>0</v>
      </c>
    </row>
    <row r="614" spans="1:13">
      <c r="A614" s="172" t="s">
        <v>258</v>
      </c>
      <c r="B614" s="1"/>
      <c r="C614" s="182">
        <f t="shared" si="55"/>
        <v>0</v>
      </c>
      <c r="D614" s="182">
        <f t="shared" si="55"/>
        <v>0</v>
      </c>
      <c r="E614" s="247">
        <f>E595</f>
        <v>9.65</v>
      </c>
      <c r="F614" s="187"/>
      <c r="G614" s="184">
        <f t="shared" si="56"/>
        <v>0</v>
      </c>
      <c r="H614" s="184">
        <f t="shared" si="56"/>
        <v>0</v>
      </c>
      <c r="I614" s="247">
        <f>I595</f>
        <v>10.62</v>
      </c>
      <c r="J614" s="187"/>
      <c r="K614" s="184">
        <f>K665+K716</f>
        <v>0</v>
      </c>
      <c r="M614" s="42">
        <f>-(I614/100)*D614</f>
        <v>0</v>
      </c>
    </row>
    <row r="615" spans="1:13">
      <c r="A615" s="172" t="s">
        <v>269</v>
      </c>
      <c r="B615" s="1"/>
      <c r="C615" s="182">
        <f t="shared" si="55"/>
        <v>0</v>
      </c>
      <c r="D615" s="182">
        <f t="shared" si="55"/>
        <v>0</v>
      </c>
      <c r="E615" s="216">
        <f>E596</f>
        <v>54.45</v>
      </c>
      <c r="F615" s="187"/>
      <c r="G615" s="184">
        <f t="shared" si="56"/>
        <v>0</v>
      </c>
      <c r="H615" s="184">
        <f t="shared" si="56"/>
        <v>0</v>
      </c>
      <c r="I615" s="216">
        <f>I596</f>
        <v>59.61</v>
      </c>
      <c r="J615" s="187"/>
      <c r="K615" s="184">
        <f>K666+K717</f>
        <v>0</v>
      </c>
      <c r="M615" s="42">
        <f>-(I615/100)*D615</f>
        <v>0</v>
      </c>
    </row>
    <row r="616" spans="1:13">
      <c r="A616" s="172" t="s">
        <v>270</v>
      </c>
      <c r="B616" s="1"/>
      <c r="C616" s="182">
        <f t="shared" si="55"/>
        <v>0</v>
      </c>
      <c r="D616" s="182">
        <f t="shared" si="55"/>
        <v>0</v>
      </c>
      <c r="E616" s="216">
        <f>E597</f>
        <v>108.9</v>
      </c>
      <c r="F616" s="187"/>
      <c r="G616" s="184">
        <f t="shared" si="56"/>
        <v>0</v>
      </c>
      <c r="H616" s="184">
        <f t="shared" si="56"/>
        <v>0</v>
      </c>
      <c r="I616" s="216">
        <f>I597</f>
        <v>119.22</v>
      </c>
      <c r="J616" s="187"/>
      <c r="K616" s="184">
        <f>K667+K718</f>
        <v>0</v>
      </c>
      <c r="M616" s="42">
        <f>-(I616/100)*D616</f>
        <v>0</v>
      </c>
    </row>
    <row r="617" spans="1:13">
      <c r="A617" s="172" t="s">
        <v>266</v>
      </c>
      <c r="B617" s="1"/>
      <c r="C617" s="182"/>
      <c r="D617" s="182"/>
      <c r="E617" s="200"/>
      <c r="F617" s="187"/>
      <c r="G617" s="184"/>
      <c r="H617" s="184"/>
      <c r="I617" s="200"/>
      <c r="J617" s="187"/>
      <c r="K617" s="184"/>
    </row>
    <row r="618" spans="1:13">
      <c r="A618" s="172" t="s">
        <v>261</v>
      </c>
      <c r="B618" s="1"/>
      <c r="C618" s="182">
        <f>C669+C720</f>
        <v>0</v>
      </c>
      <c r="D618" s="182">
        <f>D669+D720</f>
        <v>0</v>
      </c>
      <c r="E618" s="226">
        <f>E599</f>
        <v>-18.149999999999999</v>
      </c>
      <c r="F618" s="187"/>
      <c r="G618" s="184">
        <f>G669+G720</f>
        <v>0</v>
      </c>
      <c r="H618" s="184">
        <f>H669+H720</f>
        <v>0</v>
      </c>
      <c r="I618" s="226">
        <f>I599</f>
        <v>-19.87</v>
      </c>
      <c r="J618" s="187"/>
      <c r="K618" s="184">
        <f>K669+K720</f>
        <v>0</v>
      </c>
      <c r="M618" s="42">
        <f>-(I618/100)*D618</f>
        <v>0</v>
      </c>
    </row>
    <row r="619" spans="1:13">
      <c r="A619" s="172" t="s">
        <v>267</v>
      </c>
      <c r="B619" s="1"/>
      <c r="C619" s="182">
        <f>C670+C721</f>
        <v>0</v>
      </c>
      <c r="D619" s="182">
        <f>D670+D721</f>
        <v>0</v>
      </c>
      <c r="E619" s="226">
        <f>E600</f>
        <v>-18.149999999999999</v>
      </c>
      <c r="F619" s="187"/>
      <c r="G619" s="184">
        <f>G670+G721</f>
        <v>0</v>
      </c>
      <c r="H619" s="184">
        <f>H670+H721</f>
        <v>0</v>
      </c>
      <c r="I619" s="226">
        <f>I600</f>
        <v>-19.87</v>
      </c>
      <c r="J619" s="187"/>
      <c r="K619" s="184">
        <f>K670+K721</f>
        <v>0</v>
      </c>
      <c r="M619" s="42">
        <f>-(I619/100)*D619</f>
        <v>0</v>
      </c>
    </row>
    <row r="620" spans="1:13">
      <c r="A620" s="186" t="s">
        <v>230</v>
      </c>
      <c r="B620" s="1"/>
      <c r="C620" s="182"/>
      <c r="D620" s="182"/>
      <c r="E620" s="247"/>
      <c r="F620" s="184"/>
      <c r="G620" s="184"/>
      <c r="H620" s="184"/>
      <c r="I620" s="247"/>
      <c r="J620" s="184"/>
      <c r="K620" s="184"/>
    </row>
    <row r="621" spans="1:13">
      <c r="A621" s="172" t="s">
        <v>268</v>
      </c>
      <c r="B621" s="1"/>
      <c r="C621" s="182">
        <f t="shared" ref="C621:D626" si="57">C672+C723</f>
        <v>38079</v>
      </c>
      <c r="D621" s="182">
        <f t="shared" si="57"/>
        <v>36727</v>
      </c>
      <c r="E621" s="248">
        <f>E602</f>
        <v>4.9909999999999997</v>
      </c>
      <c r="F621" s="184" t="s">
        <v>178</v>
      </c>
      <c r="G621" s="184">
        <f t="shared" ref="G621:H626" si="58">G672+G723</f>
        <v>-19</v>
      </c>
      <c r="H621" s="184">
        <f t="shared" si="58"/>
        <v>-18</v>
      </c>
      <c r="I621" s="248">
        <f>I602</f>
        <v>5.3710000000000004</v>
      </c>
      <c r="J621" s="184" t="s">
        <v>178</v>
      </c>
      <c r="K621" s="184">
        <f t="shared" ref="K621:K626" si="59">K672+K723</f>
        <v>-20</v>
      </c>
      <c r="M621" s="42">
        <f>-((I621/100)*D621)/100</f>
        <v>-19.726071700000002</v>
      </c>
    </row>
    <row r="622" spans="1:13">
      <c r="A622" s="186" t="s">
        <v>204</v>
      </c>
      <c r="B622" s="1"/>
      <c r="C622" s="182">
        <f t="shared" si="57"/>
        <v>0</v>
      </c>
      <c r="D622" s="182">
        <f t="shared" si="57"/>
        <v>0</v>
      </c>
      <c r="E622" s="238">
        <f>E603</f>
        <v>45</v>
      </c>
      <c r="F622" s="184" t="s">
        <v>178</v>
      </c>
      <c r="G622" s="184">
        <f t="shared" si="58"/>
        <v>0</v>
      </c>
      <c r="H622" s="184">
        <f t="shared" si="58"/>
        <v>0</v>
      </c>
      <c r="I622" s="238">
        <f>I603</f>
        <v>45</v>
      </c>
      <c r="J622" s="186" t="s">
        <v>178</v>
      </c>
      <c r="K622" s="184">
        <f t="shared" si="59"/>
        <v>0</v>
      </c>
      <c r="M622" s="42">
        <f>-((I622/100)*D622)/100</f>
        <v>0</v>
      </c>
    </row>
    <row r="623" spans="1:13">
      <c r="A623" s="186" t="s">
        <v>247</v>
      </c>
      <c r="B623" s="1"/>
      <c r="C623" s="182">
        <f t="shared" si="57"/>
        <v>12</v>
      </c>
      <c r="D623" s="182">
        <f t="shared" si="57"/>
        <v>13</v>
      </c>
      <c r="E623" s="161">
        <v>60</v>
      </c>
      <c r="F623" s="227" t="s">
        <v>13</v>
      </c>
      <c r="G623" s="184">
        <f t="shared" si="58"/>
        <v>720</v>
      </c>
      <c r="H623" s="184">
        <f t="shared" si="58"/>
        <v>780</v>
      </c>
      <c r="I623" s="161">
        <v>60</v>
      </c>
      <c r="J623" s="1"/>
      <c r="K623" s="184">
        <f t="shared" si="59"/>
        <v>780</v>
      </c>
      <c r="M623" s="42">
        <f>I623*D623</f>
        <v>780</v>
      </c>
    </row>
    <row r="624" spans="1:13">
      <c r="A624" s="186" t="s">
        <v>248</v>
      </c>
      <c r="B624" s="1"/>
      <c r="C624" s="182">
        <f t="shared" si="57"/>
        <v>280</v>
      </c>
      <c r="D624" s="182">
        <f t="shared" si="57"/>
        <v>270</v>
      </c>
      <c r="E624" s="202">
        <v>-30</v>
      </c>
      <c r="F624" s="184" t="s">
        <v>178</v>
      </c>
      <c r="G624" s="184">
        <f t="shared" si="58"/>
        <v>-84</v>
      </c>
      <c r="H624" s="184">
        <f t="shared" si="58"/>
        <v>-81</v>
      </c>
      <c r="I624" s="202">
        <v>-30</v>
      </c>
      <c r="J624" s="184" t="s">
        <v>178</v>
      </c>
      <c r="K624" s="184">
        <f t="shared" si="59"/>
        <v>-81</v>
      </c>
      <c r="M624" s="42">
        <f>(I624/100)*D624</f>
        <v>-81</v>
      </c>
    </row>
    <row r="625" spans="1:16">
      <c r="A625" s="1" t="s">
        <v>185</v>
      </c>
      <c r="B625" s="1"/>
      <c r="C625" s="182">
        <f t="shared" si="57"/>
        <v>165066044</v>
      </c>
      <c r="D625" s="182">
        <f t="shared" si="57"/>
        <v>151116862.53785235</v>
      </c>
      <c r="E625" s="193"/>
      <c r="F625" s="2"/>
      <c r="G625" s="2">
        <f t="shared" si="58"/>
        <v>10012337</v>
      </c>
      <c r="H625" s="2">
        <f t="shared" si="58"/>
        <v>9177077</v>
      </c>
      <c r="I625" s="2"/>
      <c r="J625" s="186"/>
      <c r="K625" s="2">
        <f t="shared" si="59"/>
        <v>9907526</v>
      </c>
      <c r="M625" s="42">
        <f>SUM(M582:M624)</f>
        <v>9907528.0426483005</v>
      </c>
      <c r="P625" s="139"/>
    </row>
    <row r="626" spans="1:16">
      <c r="A626" s="1" t="s">
        <v>167</v>
      </c>
      <c r="B626" s="1"/>
      <c r="C626" s="203">
        <f t="shared" si="57"/>
        <v>2967000</v>
      </c>
      <c r="D626" s="203">
        <f t="shared" si="57"/>
        <v>0</v>
      </c>
      <c r="E626" s="172"/>
      <c r="F626" s="172"/>
      <c r="G626" s="173">
        <f t="shared" si="58"/>
        <v>128000.00000000003</v>
      </c>
      <c r="H626" s="173">
        <f t="shared" si="58"/>
        <v>0</v>
      </c>
      <c r="I626" s="172"/>
      <c r="J626" s="172"/>
      <c r="K626" s="173">
        <f t="shared" si="59"/>
        <v>0</v>
      </c>
    </row>
    <row r="627" spans="1:16" ht="16.5" thickBot="1">
      <c r="A627" s="1" t="s">
        <v>186</v>
      </c>
      <c r="B627" s="1"/>
      <c r="C627" s="229">
        <f>SUM(C625:C626)</f>
        <v>168033044</v>
      </c>
      <c r="D627" s="229">
        <f>SUM(D625:D626)</f>
        <v>151116862.53785235</v>
      </c>
      <c r="E627" s="205"/>
      <c r="F627" s="206"/>
      <c r="G627" s="207">
        <f>G625+G626</f>
        <v>10140337</v>
      </c>
      <c r="H627" s="207">
        <f>H625+H626</f>
        <v>9177077</v>
      </c>
      <c r="I627" s="205"/>
      <c r="J627" s="208"/>
      <c r="K627" s="207">
        <f>K625+K626</f>
        <v>9907526</v>
      </c>
      <c r="N627" s="3" t="s">
        <v>168</v>
      </c>
      <c r="O627" s="33" t="e">
        <f>#REF!*1000</f>
        <v>#REF!</v>
      </c>
    </row>
    <row r="628" spans="1:16" ht="16.5" thickTop="1">
      <c r="A628" s="1"/>
      <c r="B628" s="1"/>
      <c r="C628" s="16"/>
      <c r="D628" s="16"/>
      <c r="E628" s="214"/>
      <c r="F628" s="215"/>
      <c r="G628" s="185"/>
      <c r="H628" s="185"/>
      <c r="I628" s="249" t="s">
        <v>13</v>
      </c>
      <c r="J628" s="14"/>
      <c r="K628" s="135" t="s">
        <v>13</v>
      </c>
      <c r="N628" s="3" t="s">
        <v>114</v>
      </c>
      <c r="O628" s="33" t="e">
        <f>O627-K627</f>
        <v>#REF!</v>
      </c>
      <c r="P628" s="177" t="e">
        <f>(O627-K627)/(K627-K603-K623-K624)</f>
        <v>#REF!</v>
      </c>
    </row>
    <row r="629" spans="1:16">
      <c r="A629" s="156" t="s">
        <v>251</v>
      </c>
      <c r="B629" s="1"/>
      <c r="C629" s="12"/>
      <c r="D629" s="12"/>
      <c r="E629" s="200"/>
      <c r="F629" s="2"/>
      <c r="G629" s="2"/>
      <c r="H629" s="2"/>
      <c r="I629" s="200"/>
      <c r="J629" s="1"/>
      <c r="K629" s="2"/>
    </row>
    <row r="630" spans="1:16">
      <c r="A630" s="172" t="s">
        <v>84</v>
      </c>
      <c r="B630" s="1"/>
      <c r="C630" s="12"/>
      <c r="D630" s="12"/>
      <c r="E630" s="200"/>
      <c r="F630" s="2"/>
      <c r="G630" s="2"/>
      <c r="H630" s="2"/>
      <c r="I630" s="200"/>
      <c r="J630" s="1"/>
      <c r="K630" s="2"/>
      <c r="M630" s="42">
        <f>K627-H627</f>
        <v>730449</v>
      </c>
      <c r="N630" s="42"/>
      <c r="O630" s="209" t="e">
        <f>O628/(K585+K586+K591+K593+K594+K595+K596+K597+K599+K600)</f>
        <v>#REF!</v>
      </c>
      <c r="P630" s="101"/>
    </row>
    <row r="631" spans="1:16">
      <c r="A631" s="186"/>
      <c r="B631" s="1"/>
      <c r="C631" s="12"/>
      <c r="D631" s="12"/>
      <c r="E631" s="200"/>
      <c r="F631" s="2"/>
      <c r="G631" s="243"/>
      <c r="H631" s="243"/>
      <c r="I631" s="200"/>
      <c r="J631" s="1"/>
      <c r="K631" s="244"/>
      <c r="M631" s="192"/>
      <c r="N631" s="157">
        <v>0.46249872649158752</v>
      </c>
    </row>
    <row r="632" spans="1:16">
      <c r="A632" s="172" t="s">
        <v>253</v>
      </c>
      <c r="B632" s="1"/>
      <c r="C632" s="182"/>
      <c r="D632" s="182"/>
      <c r="E632" s="2" t="s">
        <v>13</v>
      </c>
      <c r="F632" s="2"/>
      <c r="G632" s="1"/>
      <c r="H632" s="1"/>
      <c r="I632" s="2" t="s">
        <v>13</v>
      </c>
      <c r="J632" s="1"/>
      <c r="K632" s="1"/>
    </row>
    <row r="633" spans="1:16">
      <c r="A633" s="172" t="s">
        <v>254</v>
      </c>
      <c r="B633" s="1"/>
      <c r="C633" s="182">
        <f>895</f>
        <v>895</v>
      </c>
      <c r="D633" s="182">
        <v>894</v>
      </c>
      <c r="E633" s="200">
        <v>0</v>
      </c>
      <c r="F633" s="187"/>
      <c r="G633" s="184">
        <f>ROUND(E633*$C633,0)</f>
        <v>0</v>
      </c>
      <c r="H633" s="184">
        <f>ROUND(E633*$D633,0)</f>
        <v>0</v>
      </c>
      <c r="I633" s="200">
        <f>$I$582</f>
        <v>0</v>
      </c>
      <c r="J633" s="187"/>
      <c r="K633" s="184">
        <f>ROUND(I633*$D633,0)</f>
        <v>0</v>
      </c>
    </row>
    <row r="634" spans="1:16">
      <c r="A634" s="172" t="s">
        <v>255</v>
      </c>
      <c r="B634" s="1"/>
      <c r="C634" s="182"/>
      <c r="D634" s="182"/>
      <c r="E634" s="200"/>
      <c r="F634" s="187"/>
      <c r="G634" s="184"/>
      <c r="H634" s="184"/>
      <c r="I634" s="200"/>
      <c r="J634" s="187"/>
      <c r="K634" s="184"/>
    </row>
    <row r="635" spans="1:16">
      <c r="A635" s="172" t="s">
        <v>256</v>
      </c>
      <c r="B635" s="1"/>
      <c r="C635" s="182">
        <f>3431</f>
        <v>3431</v>
      </c>
      <c r="D635" s="182">
        <v>3428</v>
      </c>
      <c r="E635" s="200">
        <v>0</v>
      </c>
      <c r="F635" s="187"/>
      <c r="G635" s="184">
        <f>ROUND(E635*$C635,0)</f>
        <v>0</v>
      </c>
      <c r="H635" s="184">
        <f>ROUND(E635*$D635,0)</f>
        <v>0</v>
      </c>
      <c r="I635" s="200">
        <f>$I$584</f>
        <v>0</v>
      </c>
      <c r="J635" s="187"/>
      <c r="K635" s="184">
        <f>ROUND(I635*$D635,0)</f>
        <v>0</v>
      </c>
    </row>
    <row r="636" spans="1:16">
      <c r="A636" s="172" t="s">
        <v>257</v>
      </c>
      <c r="B636" s="1"/>
      <c r="C636" s="182">
        <f>353</f>
        <v>353</v>
      </c>
      <c r="D636" s="182">
        <v>353</v>
      </c>
      <c r="E636" s="200">
        <v>275</v>
      </c>
      <c r="F636" s="187"/>
      <c r="G636" s="184">
        <f>ROUND(E636*$C636,0)</f>
        <v>97075</v>
      </c>
      <c r="H636" s="184">
        <f>ROUND(E636*$D636,0)</f>
        <v>97075</v>
      </c>
      <c r="I636" s="200">
        <f>$I$585</f>
        <v>301</v>
      </c>
      <c r="J636" s="187"/>
      <c r="K636" s="184">
        <f>ROUND(I636*$D636,0)</f>
        <v>106253</v>
      </c>
    </row>
    <row r="637" spans="1:16">
      <c r="A637" s="172" t="s">
        <v>258</v>
      </c>
      <c r="B637" s="1"/>
      <c r="C637" s="182">
        <f>9</f>
        <v>9</v>
      </c>
      <c r="D637" s="182">
        <v>9</v>
      </c>
      <c r="E637" s="200">
        <v>1110</v>
      </c>
      <c r="F637" s="187"/>
      <c r="G637" s="184">
        <f>ROUND(E637*$C637,0)</f>
        <v>9990</v>
      </c>
      <c r="H637" s="184">
        <f>ROUND(E637*$D637,0)</f>
        <v>9990</v>
      </c>
      <c r="I637" s="200">
        <f>$I$586</f>
        <v>1215</v>
      </c>
      <c r="J637" s="187"/>
      <c r="K637" s="184">
        <f>ROUND(I637*$D637,0)</f>
        <v>10935</v>
      </c>
    </row>
    <row r="638" spans="1:16">
      <c r="A638" s="172" t="s">
        <v>166</v>
      </c>
      <c r="B638" s="1"/>
      <c r="C638" s="182">
        <f>SUM(C633:C637)</f>
        <v>4688</v>
      </c>
      <c r="D638" s="182">
        <v>4683.9852262627228</v>
      </c>
      <c r="E638" s="200"/>
      <c r="F638" s="187"/>
      <c r="G638" s="184"/>
      <c r="H638" s="184"/>
      <c r="I638" s="200"/>
      <c r="J638" s="187"/>
      <c r="K638" s="184"/>
    </row>
    <row r="639" spans="1:16">
      <c r="A639" s="172" t="s">
        <v>259</v>
      </c>
      <c r="B639" s="1"/>
      <c r="C639" s="182">
        <f>5792+21967+2495+65</f>
        <v>30319</v>
      </c>
      <c r="D639" s="182">
        <v>30293</v>
      </c>
      <c r="E639" s="200"/>
      <c r="F639" s="184"/>
      <c r="G639" s="184"/>
      <c r="H639" s="184"/>
      <c r="I639" s="200"/>
      <c r="J639" s="184"/>
      <c r="K639" s="184"/>
    </row>
    <row r="640" spans="1:16">
      <c r="A640" s="172" t="s">
        <v>24</v>
      </c>
      <c r="B640" s="1"/>
      <c r="C640" s="182">
        <f>966+3743+364+9</f>
        <v>5082</v>
      </c>
      <c r="D640" s="182">
        <v>5078</v>
      </c>
      <c r="E640" s="200"/>
      <c r="F640" s="184"/>
      <c r="G640" s="184"/>
      <c r="H640" s="184"/>
      <c r="I640" s="200"/>
      <c r="J640" s="184"/>
      <c r="K640" s="184"/>
    </row>
    <row r="641" spans="1:11">
      <c r="A641" s="172" t="s">
        <v>260</v>
      </c>
      <c r="B641" s="1"/>
      <c r="C641" s="182"/>
      <c r="D641" s="182"/>
      <c r="E641" s="200"/>
      <c r="F641" s="187"/>
      <c r="G641" s="184"/>
      <c r="H641" s="184"/>
      <c r="I641" s="200"/>
      <c r="J641" s="187"/>
      <c r="K641" s="184"/>
    </row>
    <row r="642" spans="1:11">
      <c r="A642" s="172" t="s">
        <v>261</v>
      </c>
      <c r="B642" s="1"/>
      <c r="C642" s="182">
        <f>3278</f>
        <v>3278</v>
      </c>
      <c r="D642" s="182">
        <v>2980</v>
      </c>
      <c r="E642" s="200">
        <v>18.149999999999999</v>
      </c>
      <c r="F642" s="187"/>
      <c r="G642" s="184">
        <f>ROUND(E642*$C642,0)</f>
        <v>59496</v>
      </c>
      <c r="H642" s="184">
        <f>ROUND(E642*$D642,0)</f>
        <v>54087</v>
      </c>
      <c r="I642" s="200">
        <f>$I$591</f>
        <v>19.87</v>
      </c>
      <c r="J642" s="187"/>
      <c r="K642" s="184">
        <f>ROUND(I642*$D642,0)</f>
        <v>59213</v>
      </c>
    </row>
    <row r="643" spans="1:11">
      <c r="A643" s="172" t="s">
        <v>262</v>
      </c>
      <c r="B643" s="1"/>
      <c r="C643" s="182"/>
      <c r="D643" s="182"/>
      <c r="E643" s="200"/>
      <c r="F643" s="187"/>
      <c r="G643" s="184"/>
      <c r="H643" s="184"/>
      <c r="I643" s="200"/>
      <c r="J643" s="187"/>
      <c r="K643" s="184"/>
    </row>
    <row r="644" spans="1:11">
      <c r="A644" s="172" t="s">
        <v>256</v>
      </c>
      <c r="B644" s="1"/>
      <c r="C644" s="182">
        <f>47509</f>
        <v>47509</v>
      </c>
      <c r="D644" s="182">
        <v>43184</v>
      </c>
      <c r="E644" s="200">
        <v>18.149999999999999</v>
      </c>
      <c r="F644" s="187"/>
      <c r="G644" s="184">
        <f>ROUND(E644*$C644,0)</f>
        <v>862288</v>
      </c>
      <c r="H644" s="184">
        <f>ROUND(E644*$D644,0)</f>
        <v>783790</v>
      </c>
      <c r="I644" s="200">
        <f>$I$593</f>
        <v>19.87</v>
      </c>
      <c r="J644" s="187"/>
      <c r="K644" s="184">
        <f>ROUND(I644*$D644,0)</f>
        <v>858066</v>
      </c>
    </row>
    <row r="645" spans="1:11">
      <c r="A645" s="172" t="s">
        <v>257</v>
      </c>
      <c r="B645" s="1"/>
      <c r="C645" s="182">
        <f>34331</f>
        <v>34331</v>
      </c>
      <c r="D645" s="182">
        <v>31206</v>
      </c>
      <c r="E645" s="200">
        <v>12.4</v>
      </c>
      <c r="F645" s="187"/>
      <c r="G645" s="184">
        <f>ROUND(E645*$C645,0)</f>
        <v>425704</v>
      </c>
      <c r="H645" s="184">
        <f>ROUND(E645*$D645,0)</f>
        <v>386954</v>
      </c>
      <c r="I645" s="200">
        <f>$I$594</f>
        <v>13.64</v>
      </c>
      <c r="J645" s="187"/>
      <c r="K645" s="184">
        <f>ROUND(I645*$D645,0)</f>
        <v>425650</v>
      </c>
    </row>
    <row r="646" spans="1:11">
      <c r="A646" s="172" t="s">
        <v>258</v>
      </c>
      <c r="B646" s="1"/>
      <c r="C646" s="182">
        <f>3399</f>
        <v>3399</v>
      </c>
      <c r="D646" s="182">
        <v>3090</v>
      </c>
      <c r="E646" s="200">
        <v>9.65</v>
      </c>
      <c r="F646" s="187"/>
      <c r="G646" s="184">
        <f>ROUND(E646*$C646,0)</f>
        <v>32800</v>
      </c>
      <c r="H646" s="184">
        <f>ROUND(E646*$D646,0)</f>
        <v>29819</v>
      </c>
      <c r="I646" s="200">
        <f>$I$595</f>
        <v>10.62</v>
      </c>
      <c r="J646" s="187"/>
      <c r="K646" s="184">
        <f>ROUND(I646*$D646,0)</f>
        <v>32816</v>
      </c>
    </row>
    <row r="647" spans="1:11">
      <c r="A647" s="172" t="s">
        <v>264</v>
      </c>
      <c r="B647" s="1"/>
      <c r="C647" s="182">
        <f>355</f>
        <v>355</v>
      </c>
      <c r="D647" s="182">
        <v>323</v>
      </c>
      <c r="E647" s="200">
        <v>54.45</v>
      </c>
      <c r="F647" s="187"/>
      <c r="G647" s="184">
        <f>ROUND(E647*$C647,0)</f>
        <v>19330</v>
      </c>
      <c r="H647" s="184">
        <f>ROUND(E647*$D647,0)</f>
        <v>17587</v>
      </c>
      <c r="I647" s="200">
        <f>$I$596</f>
        <v>59.61</v>
      </c>
      <c r="J647" s="187"/>
      <c r="K647" s="184">
        <f>ROUND(I647*$D647,0)</f>
        <v>19254</v>
      </c>
    </row>
    <row r="648" spans="1:11">
      <c r="A648" s="172" t="s">
        <v>265</v>
      </c>
      <c r="B648" s="1"/>
      <c r="C648" s="182">
        <f>887</f>
        <v>887</v>
      </c>
      <c r="D648" s="182">
        <v>806</v>
      </c>
      <c r="E648" s="200">
        <v>108.9</v>
      </c>
      <c r="F648" s="187"/>
      <c r="G648" s="184">
        <f>ROUND(E648*$C648,0)</f>
        <v>96594</v>
      </c>
      <c r="H648" s="184">
        <f>ROUND(E648*$D648,0)</f>
        <v>87773</v>
      </c>
      <c r="I648" s="200">
        <f>$I$597</f>
        <v>119.22</v>
      </c>
      <c r="J648" s="187"/>
      <c r="K648" s="184">
        <f>ROUND(I648*$D648,0)</f>
        <v>96091</v>
      </c>
    </row>
    <row r="649" spans="1:11">
      <c r="A649" s="172" t="s">
        <v>266</v>
      </c>
      <c r="B649" s="1"/>
      <c r="C649" s="182"/>
      <c r="D649" s="182"/>
      <c r="E649" s="200"/>
      <c r="F649" s="187"/>
      <c r="G649" s="184"/>
      <c r="H649" s="184"/>
      <c r="I649" s="200"/>
      <c r="J649" s="187"/>
      <c r="K649" s="184"/>
    </row>
    <row r="650" spans="1:11">
      <c r="A650" s="172" t="s">
        <v>261</v>
      </c>
      <c r="B650" s="1"/>
      <c r="C650" s="182">
        <f>510</f>
        <v>510</v>
      </c>
      <c r="D650" s="182">
        <f>ROUND(($D$676/$C$676)*C650,0)</f>
        <v>464</v>
      </c>
      <c r="E650" s="226">
        <f>-E642</f>
        <v>-18.149999999999999</v>
      </c>
      <c r="F650" s="187"/>
      <c r="G650" s="184">
        <f>ROUND(E650*$C650,0)</f>
        <v>-9257</v>
      </c>
      <c r="H650" s="184">
        <f>ROUND(E650*$D650,0)</f>
        <v>-8422</v>
      </c>
      <c r="I650" s="226">
        <f>-I642</f>
        <v>-19.87</v>
      </c>
      <c r="J650" s="187"/>
      <c r="K650" s="184">
        <f>ROUND(I650*$D650,0)</f>
        <v>-9220</v>
      </c>
    </row>
    <row r="651" spans="1:11">
      <c r="A651" s="172" t="s">
        <v>267</v>
      </c>
      <c r="B651" s="1"/>
      <c r="C651" s="182">
        <f>2023</f>
        <v>2023</v>
      </c>
      <c r="D651" s="182">
        <f>ROUND(($D$676/$C$676)*C651,0)</f>
        <v>1839</v>
      </c>
      <c r="E651" s="226">
        <f>-E644</f>
        <v>-18.149999999999999</v>
      </c>
      <c r="F651" s="187"/>
      <c r="G651" s="184">
        <f>ROUND(E651*$C651,0)</f>
        <v>-36717</v>
      </c>
      <c r="H651" s="184">
        <f>ROUND(E651*$D651,0)</f>
        <v>-33378</v>
      </c>
      <c r="I651" s="226">
        <f>-I644</f>
        <v>-19.87</v>
      </c>
      <c r="J651" s="187"/>
      <c r="K651" s="184">
        <f>ROUND(I651*$D651,0)</f>
        <v>-36541</v>
      </c>
    </row>
    <row r="652" spans="1:11">
      <c r="A652" s="186" t="s">
        <v>230</v>
      </c>
      <c r="B652" s="1"/>
      <c r="C652" s="182"/>
      <c r="D652" s="182"/>
      <c r="E652" s="200"/>
      <c r="F652" s="184"/>
      <c r="G652" s="184"/>
      <c r="H652" s="184"/>
      <c r="I652" s="200"/>
      <c r="J652" s="184"/>
      <c r="K652" s="184"/>
    </row>
    <row r="653" spans="1:11">
      <c r="A653" s="172" t="s">
        <v>268</v>
      </c>
      <c r="B653" s="1"/>
      <c r="C653" s="182">
        <f>4946862+75987313+57989268+6739320</f>
        <v>145662763</v>
      </c>
      <c r="D653" s="182">
        <f>ROUND(($D$676/$C$676)*C653,0)</f>
        <v>132402479</v>
      </c>
      <c r="E653" s="245">
        <v>4.9909999999999997</v>
      </c>
      <c r="F653" s="184" t="s">
        <v>178</v>
      </c>
      <c r="G653" s="184">
        <f>ROUND(E653/100*$C653,0)</f>
        <v>7270029</v>
      </c>
      <c r="H653" s="184">
        <f>ROUND(E653/100*$D653,0)</f>
        <v>6608208</v>
      </c>
      <c r="I653" s="245">
        <f>$I$602</f>
        <v>5.3710000000000004</v>
      </c>
      <c r="J653" s="184" t="s">
        <v>178</v>
      </c>
      <c r="K653" s="184">
        <f>ROUND(I653/100*$D653,0)</f>
        <v>7111337</v>
      </c>
    </row>
    <row r="654" spans="1:11">
      <c r="A654" s="186" t="s">
        <v>204</v>
      </c>
      <c r="B654" s="1"/>
      <c r="C654" s="138">
        <f>1187+21863+3555</f>
        <v>26605</v>
      </c>
      <c r="D654" s="182">
        <f>ROUND(($D$676/$C$676)*C654,0)</f>
        <v>24183</v>
      </c>
      <c r="E654" s="202">
        <v>45</v>
      </c>
      <c r="F654" s="186" t="s">
        <v>178</v>
      </c>
      <c r="G654" s="184">
        <f>ROUND(E654*$C654/100,0)</f>
        <v>11972</v>
      </c>
      <c r="H654" s="184">
        <f>ROUND(E654*$D654/100,0)</f>
        <v>10882</v>
      </c>
      <c r="I654" s="202">
        <f>$I$603</f>
        <v>45</v>
      </c>
      <c r="J654" s="186" t="s">
        <v>178</v>
      </c>
      <c r="K654" s="184">
        <f>ROUND(I654*$D654/100,0)</f>
        <v>10882</v>
      </c>
    </row>
    <row r="655" spans="1:11">
      <c r="A655" s="223" t="s">
        <v>205</v>
      </c>
      <c r="B655" s="1"/>
      <c r="C655" s="182"/>
      <c r="D655" s="182"/>
      <c r="E655" s="195">
        <v>-0.01</v>
      </c>
      <c r="F655" s="2"/>
      <c r="G655" s="184"/>
      <c r="H655" s="184"/>
      <c r="I655" s="195">
        <f>$I$604</f>
        <v>-0.01</v>
      </c>
      <c r="J655" s="1"/>
      <c r="K655" s="184"/>
    </row>
    <row r="656" spans="1:11">
      <c r="A656" s="172" t="s">
        <v>194</v>
      </c>
      <c r="B656" s="1"/>
      <c r="C656" s="182">
        <v>0</v>
      </c>
      <c r="D656" s="182">
        <v>0</v>
      </c>
      <c r="E656" s="247">
        <f>E633</f>
        <v>0</v>
      </c>
      <c r="F656" s="187"/>
      <c r="G656" s="184">
        <f>ROUND(E656*$C656*$E$604,0)</f>
        <v>0</v>
      </c>
      <c r="H656" s="184">
        <f>ROUND(E656*$D656*$E$604,0)</f>
        <v>0</v>
      </c>
      <c r="I656" s="247">
        <f>I633</f>
        <v>0</v>
      </c>
      <c r="J656" s="187"/>
      <c r="K656" s="184">
        <f>ROUND(I656*$D656*$E$604,0)</f>
        <v>0</v>
      </c>
    </row>
    <row r="657" spans="1:11">
      <c r="A657" s="172" t="s">
        <v>195</v>
      </c>
      <c r="B657" s="1"/>
      <c r="C657" s="182"/>
      <c r="D657" s="182"/>
      <c r="E657" s="247"/>
      <c r="F657" s="187"/>
      <c r="G657" s="184"/>
      <c r="H657" s="184"/>
      <c r="I657" s="247"/>
      <c r="J657" s="187"/>
      <c r="K657" s="184"/>
    </row>
    <row r="658" spans="1:11">
      <c r="A658" s="172" t="s">
        <v>256</v>
      </c>
      <c r="B658" s="1"/>
      <c r="C658" s="182">
        <v>0</v>
      </c>
      <c r="D658" s="182">
        <v>0</v>
      </c>
      <c r="E658" s="247">
        <f>E635</f>
        <v>0</v>
      </c>
      <c r="F658" s="187"/>
      <c r="G658" s="184">
        <f>ROUND(E658*$C658*$E$604,0)</f>
        <v>0</v>
      </c>
      <c r="H658" s="184">
        <f>ROUND(E658*$D658*$E$604,0)</f>
        <v>0</v>
      </c>
      <c r="I658" s="247">
        <f>I635</f>
        <v>0</v>
      </c>
      <c r="J658" s="187"/>
      <c r="K658" s="184">
        <f>ROUND(I658*$D658*$E$604,0)</f>
        <v>0</v>
      </c>
    </row>
    <row r="659" spans="1:11">
      <c r="A659" s="172" t="s">
        <v>257</v>
      </c>
      <c r="B659" s="1"/>
      <c r="C659" s="182">
        <v>0</v>
      </c>
      <c r="D659" s="182">
        <v>0</v>
      </c>
      <c r="E659" s="247">
        <f>E636</f>
        <v>275</v>
      </c>
      <c r="F659" s="187"/>
      <c r="G659" s="184">
        <f>ROUND(E659*$C659*$E$604,0)</f>
        <v>0</v>
      </c>
      <c r="H659" s="184">
        <f>ROUND(E659*$D659*$E$604,0)</f>
        <v>0</v>
      </c>
      <c r="I659" s="247">
        <f>I636</f>
        <v>301</v>
      </c>
      <c r="J659" s="187"/>
      <c r="K659" s="184">
        <f>ROUND(I659*$D659*$E$604,0)</f>
        <v>0</v>
      </c>
    </row>
    <row r="660" spans="1:11">
      <c r="A660" s="172" t="s">
        <v>258</v>
      </c>
      <c r="B660" s="1"/>
      <c r="C660" s="182">
        <v>0</v>
      </c>
      <c r="D660" s="182">
        <v>0</v>
      </c>
      <c r="E660" s="247">
        <f>E637</f>
        <v>1110</v>
      </c>
      <c r="F660" s="187"/>
      <c r="G660" s="184">
        <f>ROUND(E660*$C660*$E$604,0)</f>
        <v>0</v>
      </c>
      <c r="H660" s="184">
        <f>ROUND(E660*$D660*$E$604,0)</f>
        <v>0</v>
      </c>
      <c r="I660" s="247">
        <f>I637</f>
        <v>1215</v>
      </c>
      <c r="J660" s="187"/>
      <c r="K660" s="184">
        <f>ROUND(I660*$D660*$E$604,0)</f>
        <v>0</v>
      </c>
    </row>
    <row r="661" spans="1:11">
      <c r="A661" s="172" t="s">
        <v>194</v>
      </c>
      <c r="B661" s="1"/>
      <c r="C661" s="182">
        <v>0</v>
      </c>
      <c r="D661" s="182">
        <v>0</v>
      </c>
      <c r="E661" s="247">
        <f>E642</f>
        <v>18.149999999999999</v>
      </c>
      <c r="F661" s="187"/>
      <c r="G661" s="184">
        <f>ROUND(E661*$C661*$E$604,0)</f>
        <v>0</v>
      </c>
      <c r="H661" s="184">
        <f>ROUND(E661*$D661*$E$604,0)</f>
        <v>0</v>
      </c>
      <c r="I661" s="247">
        <f>I642</f>
        <v>19.87</v>
      </c>
      <c r="J661" s="187"/>
      <c r="K661" s="184">
        <f>ROUND(I661*$D661*$E$604,0)</f>
        <v>0</v>
      </c>
    </row>
    <row r="662" spans="1:11">
      <c r="A662" s="172" t="s">
        <v>195</v>
      </c>
      <c r="B662" s="1"/>
      <c r="C662" s="182"/>
      <c r="D662" s="182"/>
      <c r="E662" s="247"/>
      <c r="F662" s="187"/>
      <c r="G662" s="184"/>
      <c r="H662" s="184"/>
      <c r="I662" s="247"/>
      <c r="J662" s="187"/>
      <c r="K662" s="184"/>
    </row>
    <row r="663" spans="1:11">
      <c r="A663" s="172" t="s">
        <v>256</v>
      </c>
      <c r="B663" s="1"/>
      <c r="C663" s="182">
        <v>0</v>
      </c>
      <c r="D663" s="182">
        <f>ROUND(($D$676/$C$676)*C663,0)</f>
        <v>0</v>
      </c>
      <c r="E663" s="247">
        <f>E644</f>
        <v>18.149999999999999</v>
      </c>
      <c r="F663" s="187"/>
      <c r="G663" s="184">
        <f>ROUND(E663*$C663*$E$604,0)</f>
        <v>0</v>
      </c>
      <c r="H663" s="184">
        <f>ROUND(E663*$D663*$E$604,0)</f>
        <v>0</v>
      </c>
      <c r="I663" s="247">
        <f>I644</f>
        <v>19.87</v>
      </c>
      <c r="J663" s="187"/>
      <c r="K663" s="184">
        <f>ROUND(I663*$D663*$E$604,0)</f>
        <v>0</v>
      </c>
    </row>
    <row r="664" spans="1:11">
      <c r="A664" s="172" t="s">
        <v>257</v>
      </c>
      <c r="B664" s="1"/>
      <c r="C664" s="182">
        <v>0</v>
      </c>
      <c r="D664" s="182">
        <f>ROUND(($D$676/$C$676)*C664,0)</f>
        <v>0</v>
      </c>
      <c r="E664" s="247">
        <f>E645</f>
        <v>12.4</v>
      </c>
      <c r="F664" s="187"/>
      <c r="G664" s="184">
        <f>ROUND(E664*$C664*$E$604,0)</f>
        <v>0</v>
      </c>
      <c r="H664" s="184">
        <f>ROUND(E664*$D664*$E$604,0)</f>
        <v>0</v>
      </c>
      <c r="I664" s="247">
        <f>I645</f>
        <v>13.64</v>
      </c>
      <c r="J664" s="187"/>
      <c r="K664" s="184">
        <f>ROUND(I664*$D664*$E$604,0)</f>
        <v>0</v>
      </c>
    </row>
    <row r="665" spans="1:11">
      <c r="A665" s="172" t="s">
        <v>258</v>
      </c>
      <c r="B665" s="1"/>
      <c r="C665" s="182">
        <v>0</v>
      </c>
      <c r="D665" s="182">
        <f>ROUND(($D$676/$C$676)*C665,0)</f>
        <v>0</v>
      </c>
      <c r="E665" s="247">
        <f>E646</f>
        <v>9.65</v>
      </c>
      <c r="F665" s="187"/>
      <c r="G665" s="184">
        <f>ROUND(E665*$C665*$E$604,0)</f>
        <v>0</v>
      </c>
      <c r="H665" s="184">
        <f>ROUND(E665*$D665*$E$604,0)</f>
        <v>0</v>
      </c>
      <c r="I665" s="247">
        <f>I646</f>
        <v>10.62</v>
      </c>
      <c r="J665" s="187"/>
      <c r="K665" s="184">
        <f>ROUND(I665*$D665*$E$604,0)</f>
        <v>0</v>
      </c>
    </row>
    <row r="666" spans="1:11">
      <c r="A666" s="172" t="s">
        <v>269</v>
      </c>
      <c r="B666" s="1"/>
      <c r="C666" s="182">
        <v>0</v>
      </c>
      <c r="D666" s="182">
        <v>0</v>
      </c>
      <c r="E666" s="216">
        <f>E647</f>
        <v>54.45</v>
      </c>
      <c r="F666" s="187"/>
      <c r="G666" s="184">
        <f>ROUND(E666*$C666*$E$604,0)</f>
        <v>0</v>
      </c>
      <c r="H666" s="184">
        <f>ROUND(E666*$D666*$E$604,0)</f>
        <v>0</v>
      </c>
      <c r="I666" s="216">
        <f>I647</f>
        <v>59.61</v>
      </c>
      <c r="J666" s="187"/>
      <c r="K666" s="184">
        <f>ROUND(I666*$D666*$E$604,0)</f>
        <v>0</v>
      </c>
    </row>
    <row r="667" spans="1:11">
      <c r="A667" s="172" t="s">
        <v>270</v>
      </c>
      <c r="B667" s="1"/>
      <c r="C667" s="182">
        <v>0</v>
      </c>
      <c r="D667" s="182">
        <v>0</v>
      </c>
      <c r="E667" s="216">
        <f>E648</f>
        <v>108.9</v>
      </c>
      <c r="F667" s="187"/>
      <c r="G667" s="184">
        <f>ROUND(E667*$C667*$E$604,0)</f>
        <v>0</v>
      </c>
      <c r="H667" s="184">
        <f>ROUND(E667*$D667*$E$604,0)</f>
        <v>0</v>
      </c>
      <c r="I667" s="216">
        <f>I648</f>
        <v>119.22</v>
      </c>
      <c r="J667" s="187"/>
      <c r="K667" s="184">
        <f>ROUND(I667*$D667*$E$604,0)</f>
        <v>0</v>
      </c>
    </row>
    <row r="668" spans="1:11">
      <c r="A668" s="172" t="s">
        <v>266</v>
      </c>
      <c r="B668" s="1"/>
      <c r="C668" s="182"/>
      <c r="D668" s="182"/>
      <c r="E668" s="200"/>
      <c r="F668" s="187"/>
      <c r="G668" s="184"/>
      <c r="H668" s="184"/>
      <c r="I668" s="200"/>
      <c r="J668" s="187"/>
      <c r="K668" s="184"/>
    </row>
    <row r="669" spans="1:11">
      <c r="A669" s="172" t="s">
        <v>261</v>
      </c>
      <c r="B669" s="1"/>
      <c r="C669" s="182">
        <v>0</v>
      </c>
      <c r="D669" s="182">
        <f>ROUND(($D$676/$C$676)*C669,0)</f>
        <v>0</v>
      </c>
      <c r="E669" s="226">
        <f>E650</f>
        <v>-18.149999999999999</v>
      </c>
      <c r="F669" s="187"/>
      <c r="G669" s="184">
        <f>ROUND(E669*$C669*$E$604,0)</f>
        <v>0</v>
      </c>
      <c r="H669" s="184">
        <f>ROUND(E669*$D669*$E$604,0)</f>
        <v>0</v>
      </c>
      <c r="I669" s="226">
        <f>I650</f>
        <v>-19.87</v>
      </c>
      <c r="J669" s="187"/>
      <c r="K669" s="184">
        <f>ROUND(I669*$D669*$E$604,0)</f>
        <v>0</v>
      </c>
    </row>
    <row r="670" spans="1:11">
      <c r="A670" s="172" t="s">
        <v>267</v>
      </c>
      <c r="B670" s="1"/>
      <c r="C670" s="182">
        <v>0</v>
      </c>
      <c r="D670" s="182">
        <f>ROUND(($D$676/$C$676)*C670,0)</f>
        <v>0</v>
      </c>
      <c r="E670" s="226">
        <f>E651</f>
        <v>-18.149999999999999</v>
      </c>
      <c r="F670" s="187"/>
      <c r="G670" s="184">
        <f>ROUND(E670*$C670*$E$604,0)</f>
        <v>0</v>
      </c>
      <c r="H670" s="184">
        <f>ROUND(E670*$D670*$E$604,0)</f>
        <v>0</v>
      </c>
      <c r="I670" s="226">
        <f>I651</f>
        <v>-19.87</v>
      </c>
      <c r="J670" s="187"/>
      <c r="K670" s="184">
        <f>ROUND(I670*$D670*$E$604,0)</f>
        <v>0</v>
      </c>
    </row>
    <row r="671" spans="1:11">
      <c r="A671" s="186" t="s">
        <v>230</v>
      </c>
      <c r="B671" s="1"/>
      <c r="C671" s="182"/>
      <c r="D671" s="182"/>
      <c r="E671" s="247"/>
      <c r="F671" s="184"/>
      <c r="G671" s="184"/>
      <c r="H671" s="184"/>
      <c r="I671" s="247"/>
      <c r="J671" s="184"/>
      <c r="K671" s="184"/>
    </row>
    <row r="672" spans="1:11">
      <c r="A672" s="172" t="s">
        <v>268</v>
      </c>
      <c r="B672" s="1"/>
      <c r="C672" s="182">
        <v>0</v>
      </c>
      <c r="D672" s="182">
        <f>ROUND(($D$676/$C$676)*C672,0)</f>
        <v>0</v>
      </c>
      <c r="E672" s="248">
        <f>E653</f>
        <v>4.9909999999999997</v>
      </c>
      <c r="F672" s="184" t="s">
        <v>178</v>
      </c>
      <c r="G672" s="184">
        <f>ROUND(E672/100*$C672*$E$604,0)</f>
        <v>0</v>
      </c>
      <c r="H672" s="184">
        <f>ROUND(E672/100*$D672*$E$604,0)</f>
        <v>0</v>
      </c>
      <c r="I672" s="248">
        <f>I653</f>
        <v>5.3710000000000004</v>
      </c>
      <c r="J672" s="184" t="s">
        <v>178</v>
      </c>
      <c r="K672" s="184">
        <f>ROUND(I672/100*$D672*$E$604,0)</f>
        <v>0</v>
      </c>
    </row>
    <row r="673" spans="1:15">
      <c r="A673" s="186" t="s">
        <v>204</v>
      </c>
      <c r="B673" s="1"/>
      <c r="C673" s="182">
        <v>0</v>
      </c>
      <c r="D673" s="182">
        <f>ROUND(($D$676/$C$676)*C673,0)</f>
        <v>0</v>
      </c>
      <c r="E673" s="238">
        <f>E654</f>
        <v>45</v>
      </c>
      <c r="F673" s="184" t="s">
        <v>178</v>
      </c>
      <c r="G673" s="184">
        <f>ROUND(E673/100*$C673*$E$604,0)</f>
        <v>0</v>
      </c>
      <c r="H673" s="184">
        <f>ROUND(E673/100*$D673*$E$604,0)</f>
        <v>0</v>
      </c>
      <c r="I673" s="238">
        <f>I654</f>
        <v>45</v>
      </c>
      <c r="J673" s="186" t="s">
        <v>178</v>
      </c>
      <c r="K673" s="184">
        <f>ROUND(I673/100*$D673*$E$604,0)</f>
        <v>0</v>
      </c>
    </row>
    <row r="674" spans="1:15">
      <c r="A674" s="186" t="s">
        <v>247</v>
      </c>
      <c r="B674" s="1"/>
      <c r="C674" s="182">
        <v>0</v>
      </c>
      <c r="D674" s="182">
        <v>0</v>
      </c>
      <c r="E674" s="161">
        <v>60</v>
      </c>
      <c r="F674" s="227" t="s">
        <v>13</v>
      </c>
      <c r="G674" s="184">
        <f>ROUND(E674*$C674,0)</f>
        <v>0</v>
      </c>
      <c r="H674" s="184">
        <f>ROUND(E674*$D674,0)</f>
        <v>0</v>
      </c>
      <c r="I674" s="161">
        <f>$I$623</f>
        <v>60</v>
      </c>
      <c r="J674" s="1"/>
      <c r="K674" s="184">
        <f>ROUND(I674*$D674,0)</f>
        <v>0</v>
      </c>
    </row>
    <row r="675" spans="1:15">
      <c r="A675" s="186" t="s">
        <v>248</v>
      </c>
      <c r="B675" s="1"/>
      <c r="C675" s="182">
        <v>0</v>
      </c>
      <c r="D675" s="182">
        <f>ROUND(($D$676/$C$676)*C675,0)</f>
        <v>0</v>
      </c>
      <c r="E675" s="202">
        <v>-30</v>
      </c>
      <c r="F675" s="184" t="s">
        <v>178</v>
      </c>
      <c r="G675" s="184">
        <f>ROUND(E675*$C675,0)</f>
        <v>0</v>
      </c>
      <c r="H675" s="184">
        <f>ROUND(E675*$D675,0)</f>
        <v>0</v>
      </c>
      <c r="I675" s="202">
        <f>$I$624</f>
        <v>-30</v>
      </c>
      <c r="J675" s="184" t="s">
        <v>178</v>
      </c>
      <c r="K675" s="184">
        <f>ROUND(I675*$D675,0)</f>
        <v>0</v>
      </c>
    </row>
    <row r="676" spans="1:15">
      <c r="A676" s="1" t="s">
        <v>185</v>
      </c>
      <c r="B676" s="1"/>
      <c r="C676" s="182">
        <f>SUM(C653:C653)</f>
        <v>145662763</v>
      </c>
      <c r="D676" s="182">
        <v>132402479.40697747</v>
      </c>
      <c r="E676" s="193"/>
      <c r="F676" s="2"/>
      <c r="G676" s="2">
        <f>SUM(G633:G675)</f>
        <v>8839304</v>
      </c>
      <c r="H676" s="2">
        <f>SUM(H633:H675)</f>
        <v>8044365</v>
      </c>
      <c r="I676" s="193"/>
      <c r="J676" s="186"/>
      <c r="K676" s="2">
        <f>SUM(K633:K675)</f>
        <v>8684736</v>
      </c>
    </row>
    <row r="677" spans="1:15">
      <c r="A677" s="1" t="s">
        <v>167</v>
      </c>
      <c r="B677" s="1"/>
      <c r="C677" s="212">
        <v>2620112.272300011</v>
      </c>
      <c r="D677" s="212">
        <v>0</v>
      </c>
      <c r="E677" s="172"/>
      <c r="F677" s="172"/>
      <c r="G677" s="173">
        <v>110373.78308932934</v>
      </c>
      <c r="H677" s="173">
        <v>0</v>
      </c>
      <c r="I677" s="172"/>
      <c r="J677" s="172"/>
      <c r="K677" s="173">
        <v>0</v>
      </c>
      <c r="M677" s="152"/>
      <c r="N677" s="152"/>
      <c r="O677" s="153"/>
    </row>
    <row r="678" spans="1:15" ht="16.5" thickBot="1">
      <c r="A678" s="1" t="s">
        <v>186</v>
      </c>
      <c r="B678" s="1"/>
      <c r="C678" s="229">
        <f>SUM(C676:C677)</f>
        <v>148282875.2723</v>
      </c>
      <c r="D678" s="229">
        <f>SUM(D676:D677)</f>
        <v>132402479.40697747</v>
      </c>
      <c r="E678" s="205"/>
      <c r="F678" s="206"/>
      <c r="G678" s="207">
        <f>G676+G677</f>
        <v>8949677.7830893286</v>
      </c>
      <c r="H678" s="207">
        <f>H676+H677</f>
        <v>8044365</v>
      </c>
      <c r="I678" s="205"/>
      <c r="J678" s="208"/>
      <c r="K678" s="207">
        <f>K676+K677</f>
        <v>8684736</v>
      </c>
      <c r="M678" s="154"/>
      <c r="N678" s="154"/>
      <c r="O678" s="155"/>
    </row>
    <row r="679" spans="1:15" ht="16.5" thickTop="1">
      <c r="A679" s="1"/>
      <c r="B679" s="1"/>
      <c r="C679" s="16"/>
      <c r="D679" s="16"/>
      <c r="E679" s="214"/>
      <c r="F679" s="215"/>
      <c r="G679" s="185"/>
      <c r="H679" s="185"/>
      <c r="I679" s="249" t="s">
        <v>13</v>
      </c>
      <c r="J679" s="14"/>
      <c r="K679" s="135" t="s">
        <v>13</v>
      </c>
    </row>
    <row r="680" spans="1:15">
      <c r="A680" s="156" t="s">
        <v>271</v>
      </c>
      <c r="B680" s="1"/>
      <c r="C680" s="12"/>
      <c r="D680" s="12"/>
      <c r="E680" s="200"/>
      <c r="F680" s="2"/>
      <c r="G680" s="2"/>
      <c r="H680" s="2"/>
      <c r="I680" s="200"/>
      <c r="J680" s="1"/>
      <c r="K680" s="2"/>
    </row>
    <row r="681" spans="1:15">
      <c r="A681" s="172" t="s">
        <v>272</v>
      </c>
      <c r="B681" s="1"/>
      <c r="C681" s="12"/>
      <c r="D681" s="12"/>
      <c r="E681" s="200"/>
      <c r="F681" s="2"/>
      <c r="G681" s="2"/>
      <c r="H681" s="2"/>
      <c r="I681" s="200"/>
      <c r="J681" s="1"/>
      <c r="K681" s="2"/>
    </row>
    <row r="682" spans="1:15">
      <c r="A682" s="186"/>
      <c r="B682" s="1"/>
      <c r="C682" s="12"/>
      <c r="D682" s="12"/>
      <c r="E682" s="200"/>
      <c r="F682" s="2"/>
      <c r="G682" s="243"/>
      <c r="H682" s="243"/>
      <c r="I682" s="200"/>
      <c r="J682" s="1"/>
      <c r="K682" s="244"/>
    </row>
    <row r="683" spans="1:15">
      <c r="A683" s="172" t="s">
        <v>253</v>
      </c>
      <c r="B683" s="1"/>
      <c r="C683" s="182"/>
      <c r="D683" s="182"/>
      <c r="E683" s="2" t="s">
        <v>13</v>
      </c>
      <c r="F683" s="2"/>
      <c r="G683" s="1"/>
      <c r="H683" s="1"/>
      <c r="I683" s="2" t="s">
        <v>13</v>
      </c>
      <c r="J683" s="1"/>
      <c r="K683" s="1"/>
    </row>
    <row r="684" spans="1:15">
      <c r="A684" s="172" t="s">
        <v>254</v>
      </c>
      <c r="B684" s="1"/>
      <c r="C684" s="182">
        <v>151</v>
      </c>
      <c r="D684" s="182">
        <v>161</v>
      </c>
      <c r="E684" s="200">
        <v>0</v>
      </c>
      <c r="F684" s="187"/>
      <c r="G684" s="184">
        <f>ROUND(E684*$C684,0)</f>
        <v>0</v>
      </c>
      <c r="H684" s="184">
        <f>ROUND(E684*$D684,0)</f>
        <v>0</v>
      </c>
      <c r="I684" s="200">
        <f>$I$582</f>
        <v>0</v>
      </c>
      <c r="J684" s="187"/>
      <c r="K684" s="184">
        <f>ROUND(I684*$D684,0)</f>
        <v>0</v>
      </c>
    </row>
    <row r="685" spans="1:15">
      <c r="A685" s="172" t="s">
        <v>255</v>
      </c>
      <c r="B685" s="1"/>
      <c r="C685" s="182"/>
      <c r="D685" s="182"/>
      <c r="E685" s="200"/>
      <c r="F685" s="187"/>
      <c r="G685" s="184"/>
      <c r="H685" s="184"/>
      <c r="I685" s="200"/>
      <c r="J685" s="187"/>
      <c r="K685" s="184"/>
    </row>
    <row r="686" spans="1:15">
      <c r="A686" s="172" t="s">
        <v>256</v>
      </c>
      <c r="B686" s="1"/>
      <c r="C686" s="182">
        <f>1+378</f>
        <v>379</v>
      </c>
      <c r="D686" s="182">
        <v>404</v>
      </c>
      <c r="E686" s="200">
        <v>0</v>
      </c>
      <c r="F686" s="187"/>
      <c r="G686" s="184">
        <f>ROUND(E686*$C686,0)</f>
        <v>0</v>
      </c>
      <c r="H686" s="184">
        <f>ROUND(E686*$D686,0)</f>
        <v>0</v>
      </c>
      <c r="I686" s="200">
        <f>$I$584</f>
        <v>0</v>
      </c>
      <c r="J686" s="187"/>
      <c r="K686" s="184">
        <f>ROUND(I686*$D686,0)</f>
        <v>0</v>
      </c>
    </row>
    <row r="687" spans="1:15">
      <c r="A687" s="172" t="s">
        <v>257</v>
      </c>
      <c r="B687" s="1"/>
      <c r="C687" s="182">
        <f>38</f>
        <v>38</v>
      </c>
      <c r="D687" s="182">
        <v>41</v>
      </c>
      <c r="E687" s="200">
        <v>275</v>
      </c>
      <c r="F687" s="187"/>
      <c r="G687" s="184">
        <f>ROUND(E687*$C687,0)</f>
        <v>10450</v>
      </c>
      <c r="H687" s="184">
        <f>ROUND(E687*$D687,0)</f>
        <v>11275</v>
      </c>
      <c r="I687" s="200">
        <f>$I$585</f>
        <v>301</v>
      </c>
      <c r="J687" s="187"/>
      <c r="K687" s="184">
        <f>ROUND(I687*$D687,0)</f>
        <v>12341</v>
      </c>
    </row>
    <row r="688" spans="1:15">
      <c r="A688" s="172" t="s">
        <v>258</v>
      </c>
      <c r="B688" s="1"/>
      <c r="C688" s="182">
        <f>3</f>
        <v>3</v>
      </c>
      <c r="D688" s="182">
        <v>3</v>
      </c>
      <c r="E688" s="200">
        <v>1110</v>
      </c>
      <c r="F688" s="187"/>
      <c r="G688" s="184">
        <f>ROUND(E688*$C688,0)</f>
        <v>3330</v>
      </c>
      <c r="H688" s="184">
        <f>ROUND(E688*$D688,0)</f>
        <v>3330</v>
      </c>
      <c r="I688" s="200">
        <f>$I$586</f>
        <v>1215</v>
      </c>
      <c r="J688" s="187"/>
      <c r="K688" s="184">
        <f>ROUND(I688*$D688,0)</f>
        <v>3645</v>
      </c>
    </row>
    <row r="689" spans="1:11">
      <c r="A689" s="172" t="s">
        <v>166</v>
      </c>
      <c r="B689" s="1"/>
      <c r="C689" s="182">
        <f>SUM(C684:C688)</f>
        <v>571</v>
      </c>
      <c r="D689" s="182">
        <v>608.93144040394361</v>
      </c>
      <c r="E689" s="200"/>
      <c r="F689" s="187"/>
      <c r="G689" s="184"/>
      <c r="H689" s="184"/>
      <c r="I689" s="200"/>
      <c r="J689" s="187"/>
      <c r="K689" s="184"/>
    </row>
    <row r="690" spans="1:11">
      <c r="A690" s="172" t="s">
        <v>259</v>
      </c>
      <c r="B690" s="1"/>
      <c r="C690" s="182">
        <f>5+7+1001+2657+283+20</f>
        <v>3973</v>
      </c>
      <c r="D690" s="182">
        <v>4237</v>
      </c>
      <c r="E690" s="200"/>
      <c r="F690" s="184"/>
      <c r="G690" s="184"/>
      <c r="H690" s="184"/>
      <c r="I690" s="200"/>
      <c r="J690" s="184"/>
      <c r="K690" s="184"/>
    </row>
    <row r="691" spans="1:11">
      <c r="A691" s="172" t="s">
        <v>24</v>
      </c>
      <c r="B691" s="1"/>
      <c r="C691" s="182">
        <f>1+1+167+421+39+3</f>
        <v>632</v>
      </c>
      <c r="D691" s="182">
        <v>674</v>
      </c>
      <c r="E691" s="200"/>
      <c r="F691" s="184"/>
      <c r="G691" s="184"/>
      <c r="H691" s="184"/>
      <c r="I691" s="200"/>
      <c r="J691" s="184"/>
      <c r="K691" s="184"/>
    </row>
    <row r="692" spans="1:11">
      <c r="A692" s="172" t="s">
        <v>260</v>
      </c>
      <c r="B692" s="1"/>
      <c r="C692" s="182"/>
      <c r="D692" s="182"/>
      <c r="E692" s="200"/>
      <c r="F692" s="187"/>
      <c r="G692" s="184"/>
      <c r="H692" s="184"/>
      <c r="I692" s="200"/>
      <c r="J692" s="187"/>
      <c r="K692" s="184"/>
    </row>
    <row r="693" spans="1:11">
      <c r="A693" s="172" t="s">
        <v>261</v>
      </c>
      <c r="B693" s="1"/>
      <c r="C693" s="182">
        <f>816</f>
        <v>816</v>
      </c>
      <c r="D693" s="182">
        <f>ROUND(($D$727/$C$727)*C693,0)</f>
        <v>787</v>
      </c>
      <c r="E693" s="200">
        <v>18.149999999999999</v>
      </c>
      <c r="F693" s="187"/>
      <c r="G693" s="184">
        <f>ROUND(E693*$C693,0)</f>
        <v>14810</v>
      </c>
      <c r="H693" s="184">
        <f>ROUND(E693*$D693,0)</f>
        <v>14284</v>
      </c>
      <c r="I693" s="200">
        <f>$I$591</f>
        <v>19.87</v>
      </c>
      <c r="J693" s="187"/>
      <c r="K693" s="184">
        <f>ROUND(I693*$D693,0)</f>
        <v>15638</v>
      </c>
    </row>
    <row r="694" spans="1:11">
      <c r="A694" s="172" t="s">
        <v>262</v>
      </c>
      <c r="B694" s="1"/>
      <c r="C694" s="182"/>
      <c r="D694" s="182"/>
      <c r="E694" s="200"/>
      <c r="F694" s="187"/>
      <c r="G694" s="184"/>
      <c r="H694" s="184"/>
      <c r="I694" s="200"/>
      <c r="J694" s="187"/>
      <c r="K694" s="184"/>
    </row>
    <row r="695" spans="1:11">
      <c r="A695" s="172" t="s">
        <v>256</v>
      </c>
      <c r="B695" s="1"/>
      <c r="C695" s="182">
        <f>6061+40</f>
        <v>6101</v>
      </c>
      <c r="D695" s="182">
        <f>ROUND(($D$727/$C$727)*C695,0)</f>
        <v>5884</v>
      </c>
      <c r="E695" s="200">
        <v>18.149999999999999</v>
      </c>
      <c r="F695" s="187"/>
      <c r="G695" s="184">
        <f>ROUND(E695*$C695,0)</f>
        <v>110733</v>
      </c>
      <c r="H695" s="184">
        <f>ROUND(E695*$D695,0)</f>
        <v>106795</v>
      </c>
      <c r="I695" s="200">
        <f>$I$593</f>
        <v>19.87</v>
      </c>
      <c r="J695" s="187"/>
      <c r="K695" s="184">
        <f>ROUND(I695*$D695,0)</f>
        <v>116915</v>
      </c>
    </row>
    <row r="696" spans="1:11">
      <c r="A696" s="172" t="s">
        <v>257</v>
      </c>
      <c r="B696" s="1"/>
      <c r="C696" s="182">
        <f>3661</f>
        <v>3661</v>
      </c>
      <c r="D696" s="182">
        <f>ROUND(($D$727/$C$727)*C696,0)</f>
        <v>3531</v>
      </c>
      <c r="E696" s="200">
        <v>12.4</v>
      </c>
      <c r="F696" s="187"/>
      <c r="G696" s="184">
        <f>ROUND(E696*$C696,0)</f>
        <v>45396</v>
      </c>
      <c r="H696" s="184">
        <f>ROUND(E696*$D696,0)</f>
        <v>43784</v>
      </c>
      <c r="I696" s="200">
        <f>$I$594</f>
        <v>13.64</v>
      </c>
      <c r="J696" s="187"/>
      <c r="K696" s="184">
        <f>ROUND(I696*$D696,0)</f>
        <v>48163</v>
      </c>
    </row>
    <row r="697" spans="1:11">
      <c r="A697" s="172" t="s">
        <v>258</v>
      </c>
      <c r="B697" s="1"/>
      <c r="C697" s="182">
        <f>1235</f>
        <v>1235</v>
      </c>
      <c r="D697" s="182">
        <f>ROUND(($D$727/$C$727)*C697,0)</f>
        <v>1191</v>
      </c>
      <c r="E697" s="200">
        <v>9.65</v>
      </c>
      <c r="F697" s="187"/>
      <c r="G697" s="184">
        <f>ROUND(E697*$C697,0)</f>
        <v>11918</v>
      </c>
      <c r="H697" s="184">
        <f>ROUND(E697*$D697,0)</f>
        <v>11493</v>
      </c>
      <c r="I697" s="200">
        <f>$I$595</f>
        <v>10.62</v>
      </c>
      <c r="J697" s="187"/>
      <c r="K697" s="184">
        <f>ROUND(I697*$D697,0)</f>
        <v>12648</v>
      </c>
    </row>
    <row r="698" spans="1:11">
      <c r="A698" s="172" t="s">
        <v>264</v>
      </c>
      <c r="B698" s="1"/>
      <c r="C698" s="182">
        <f>47</f>
        <v>47</v>
      </c>
      <c r="D698" s="182">
        <v>45</v>
      </c>
      <c r="E698" s="200">
        <v>54.45</v>
      </c>
      <c r="F698" s="187"/>
      <c r="G698" s="184">
        <f>ROUND(E698*$C698,0)</f>
        <v>2559</v>
      </c>
      <c r="H698" s="184">
        <f>ROUND(E698*$D698,0)</f>
        <v>2450</v>
      </c>
      <c r="I698" s="200">
        <f>$I$596</f>
        <v>59.61</v>
      </c>
      <c r="J698" s="187"/>
      <c r="K698" s="184">
        <f>ROUND(I698*$D698,0)</f>
        <v>2682</v>
      </c>
    </row>
    <row r="699" spans="1:11">
      <c r="A699" s="172" t="s">
        <v>265</v>
      </c>
      <c r="B699" s="1"/>
      <c r="C699" s="182">
        <f>73</f>
        <v>73</v>
      </c>
      <c r="D699" s="182">
        <v>70</v>
      </c>
      <c r="E699" s="200">
        <v>108.9</v>
      </c>
      <c r="F699" s="187"/>
      <c r="G699" s="184">
        <f>ROUND(E699*$C699,0)</f>
        <v>7950</v>
      </c>
      <c r="H699" s="184">
        <f>ROUND(E699*$D699,0)</f>
        <v>7623</v>
      </c>
      <c r="I699" s="200">
        <f>$I$597</f>
        <v>119.22</v>
      </c>
      <c r="J699" s="187"/>
      <c r="K699" s="184">
        <f>ROUND(I699*$D699,0)</f>
        <v>8345</v>
      </c>
    </row>
    <row r="700" spans="1:11">
      <c r="A700" s="172" t="s">
        <v>266</v>
      </c>
      <c r="B700" s="1"/>
      <c r="C700" s="182"/>
      <c r="D700" s="182"/>
      <c r="E700" s="200"/>
      <c r="F700" s="187"/>
      <c r="G700" s="184"/>
      <c r="H700" s="184"/>
      <c r="I700" s="200"/>
      <c r="J700" s="187"/>
      <c r="K700" s="184"/>
    </row>
    <row r="701" spans="1:11">
      <c r="A701" s="172" t="s">
        <v>261</v>
      </c>
      <c r="B701" s="1"/>
      <c r="C701" s="182">
        <f>56</f>
        <v>56</v>
      </c>
      <c r="D701" s="182">
        <f>ROUND(($D$727/$C$727)*C701,0)</f>
        <v>54</v>
      </c>
      <c r="E701" s="226">
        <f>-E693</f>
        <v>-18.149999999999999</v>
      </c>
      <c r="F701" s="187"/>
      <c r="G701" s="184">
        <f>ROUND(E701*$C701,0)</f>
        <v>-1016</v>
      </c>
      <c r="H701" s="184">
        <f>ROUND(E701*$D701,0)</f>
        <v>-980</v>
      </c>
      <c r="I701" s="226">
        <f>-I693</f>
        <v>-19.87</v>
      </c>
      <c r="J701" s="187"/>
      <c r="K701" s="184">
        <f>ROUND(I701*$D701,0)</f>
        <v>-1073</v>
      </c>
    </row>
    <row r="702" spans="1:11">
      <c r="A702" s="172" t="s">
        <v>267</v>
      </c>
      <c r="B702" s="1"/>
      <c r="C702" s="182">
        <f>171</f>
        <v>171</v>
      </c>
      <c r="D702" s="182">
        <f>ROUND(($D$727/$C$727)*C702,0)</f>
        <v>165</v>
      </c>
      <c r="E702" s="226">
        <f>-E695</f>
        <v>-18.149999999999999</v>
      </c>
      <c r="F702" s="187"/>
      <c r="G702" s="184">
        <f>ROUND(E702*$C702,0)</f>
        <v>-3104</v>
      </c>
      <c r="H702" s="184">
        <f>ROUND(E702*$D702,0)</f>
        <v>-2995</v>
      </c>
      <c r="I702" s="226">
        <f>-I695</f>
        <v>-19.87</v>
      </c>
      <c r="J702" s="187"/>
      <c r="K702" s="184">
        <f>ROUND(I702*$D702,0)</f>
        <v>-3279</v>
      </c>
    </row>
    <row r="703" spans="1:11">
      <c r="A703" s="186" t="s">
        <v>230</v>
      </c>
      <c r="B703" s="1"/>
      <c r="C703" s="182"/>
      <c r="D703" s="182"/>
      <c r="E703" s="200"/>
      <c r="F703" s="184"/>
      <c r="G703" s="184"/>
      <c r="H703" s="184"/>
      <c r="I703" s="200"/>
      <c r="J703" s="184"/>
      <c r="K703" s="184"/>
    </row>
    <row r="704" spans="1:11">
      <c r="A704" s="172" t="s">
        <v>268</v>
      </c>
      <c r="B704" s="1"/>
      <c r="C704" s="182">
        <f>38079+1034717+10521120+5534245+2275120</f>
        <v>19403281</v>
      </c>
      <c r="D704" s="182">
        <f>ROUND(($D$727/$C$727)*C704,0)</f>
        <v>18714383</v>
      </c>
      <c r="E704" s="245">
        <v>4.9909999999999997</v>
      </c>
      <c r="F704" s="184" t="s">
        <v>178</v>
      </c>
      <c r="G704" s="184">
        <f>ROUND(E704/100*$C704,0)</f>
        <v>968418</v>
      </c>
      <c r="H704" s="184">
        <f>ROUND(E704/100*$D704,0)</f>
        <v>934035</v>
      </c>
      <c r="I704" s="245">
        <f>$I$602</f>
        <v>5.3710000000000004</v>
      </c>
      <c r="J704" s="184" t="s">
        <v>178</v>
      </c>
      <c r="K704" s="184">
        <f>ROUND(I704/100*$D704,0)</f>
        <v>1005150</v>
      </c>
    </row>
    <row r="705" spans="1:11">
      <c r="A705" s="186" t="s">
        <v>204</v>
      </c>
      <c r="B705" s="1"/>
      <c r="C705" s="182">
        <f>52+1904+219</f>
        <v>2175</v>
      </c>
      <c r="D705" s="182">
        <f>ROUND(($D$727/$C$727)*C705,0)</f>
        <v>2098</v>
      </c>
      <c r="E705" s="202">
        <v>45</v>
      </c>
      <c r="F705" s="186" t="s">
        <v>178</v>
      </c>
      <c r="G705" s="184">
        <f>ROUND(E705*$C705/100,0)</f>
        <v>979</v>
      </c>
      <c r="H705" s="184">
        <f>ROUND(E705*$D705/100,0)</f>
        <v>944</v>
      </c>
      <c r="I705" s="202">
        <f>$I$603</f>
        <v>45</v>
      </c>
      <c r="J705" s="186" t="s">
        <v>178</v>
      </c>
      <c r="K705" s="184">
        <f>ROUND(I705*$D705/100,0)</f>
        <v>944</v>
      </c>
    </row>
    <row r="706" spans="1:11">
      <c r="A706" s="223" t="s">
        <v>205</v>
      </c>
      <c r="B706" s="1"/>
      <c r="C706" s="182"/>
      <c r="D706" s="182"/>
      <c r="E706" s="195">
        <v>-0.01</v>
      </c>
      <c r="F706" s="2"/>
      <c r="G706" s="184"/>
      <c r="H706" s="184"/>
      <c r="I706" s="195">
        <f>$I$604</f>
        <v>-0.01</v>
      </c>
      <c r="J706" s="1"/>
      <c r="K706" s="184"/>
    </row>
    <row r="707" spans="1:11">
      <c r="A707" s="172" t="s">
        <v>194</v>
      </c>
      <c r="B707" s="1"/>
      <c r="C707" s="182">
        <v>0</v>
      </c>
      <c r="D707" s="182">
        <v>0</v>
      </c>
      <c r="E707" s="247">
        <f>E684</f>
        <v>0</v>
      </c>
      <c r="F707" s="187"/>
      <c r="G707" s="184">
        <f>ROUND(E707*$C707*$E$604,0)</f>
        <v>0</v>
      </c>
      <c r="H707" s="184">
        <f>ROUND(E707*$D707*$E$604,0)</f>
        <v>0</v>
      </c>
      <c r="I707" s="247">
        <f>I684</f>
        <v>0</v>
      </c>
      <c r="J707" s="187"/>
      <c r="K707" s="184">
        <f>ROUND(I707*$D707*$E$604,0)</f>
        <v>0</v>
      </c>
    </row>
    <row r="708" spans="1:11">
      <c r="A708" s="172" t="s">
        <v>195</v>
      </c>
      <c r="B708" s="1"/>
      <c r="C708" s="182"/>
      <c r="D708" s="182"/>
      <c r="E708" s="247"/>
      <c r="F708" s="187"/>
      <c r="G708" s="184"/>
      <c r="H708" s="184"/>
      <c r="I708" s="247"/>
      <c r="J708" s="187"/>
      <c r="K708" s="184"/>
    </row>
    <row r="709" spans="1:11">
      <c r="A709" s="172" t="s">
        <v>256</v>
      </c>
      <c r="B709" s="1"/>
      <c r="C709" s="182">
        <v>1</v>
      </c>
      <c r="D709" s="182">
        <v>1</v>
      </c>
      <c r="E709" s="247">
        <f>E686</f>
        <v>0</v>
      </c>
      <c r="F709" s="187"/>
      <c r="G709" s="184">
        <f>ROUND(E709*$C709*$E$604,0)</f>
        <v>0</v>
      </c>
      <c r="H709" s="184">
        <f>ROUND(E709*$D709*$E$604,0)</f>
        <v>0</v>
      </c>
      <c r="I709" s="247">
        <f>I686</f>
        <v>0</v>
      </c>
      <c r="J709" s="187"/>
      <c r="K709" s="184">
        <f>ROUND(I709*$D709*$E$604,0)</f>
        <v>0</v>
      </c>
    </row>
    <row r="710" spans="1:11">
      <c r="A710" s="172" t="s">
        <v>257</v>
      </c>
      <c r="B710" s="1"/>
      <c r="C710" s="182">
        <v>0</v>
      </c>
      <c r="D710" s="182">
        <v>0</v>
      </c>
      <c r="E710" s="247">
        <f>E687</f>
        <v>275</v>
      </c>
      <c r="F710" s="187"/>
      <c r="G710" s="184">
        <f>ROUND(E710*$C710*$E$604,0)</f>
        <v>0</v>
      </c>
      <c r="H710" s="184">
        <f>ROUND(E710*$D710*$E$604,0)</f>
        <v>0</v>
      </c>
      <c r="I710" s="247">
        <f>I687</f>
        <v>301</v>
      </c>
      <c r="J710" s="187"/>
      <c r="K710" s="184">
        <f>ROUND(I710*$D710*$E$604,0)</f>
        <v>0</v>
      </c>
    </row>
    <row r="711" spans="1:11">
      <c r="A711" s="172" t="s">
        <v>258</v>
      </c>
      <c r="B711" s="1"/>
      <c r="C711" s="182">
        <v>0</v>
      </c>
      <c r="D711" s="182">
        <v>0</v>
      </c>
      <c r="E711" s="247">
        <f>E688</f>
        <v>1110</v>
      </c>
      <c r="F711" s="187"/>
      <c r="G711" s="184">
        <f>ROUND(E711*$C711*$E$604,0)</f>
        <v>0</v>
      </c>
      <c r="H711" s="184">
        <f>ROUND(E711*$D711*$E$604,0)</f>
        <v>0</v>
      </c>
      <c r="I711" s="247">
        <f>I688</f>
        <v>1215</v>
      </c>
      <c r="J711" s="187"/>
      <c r="K711" s="184">
        <f>ROUND(I711*$D711*$E$604,0)</f>
        <v>0</v>
      </c>
    </row>
    <row r="712" spans="1:11">
      <c r="A712" s="172" t="s">
        <v>194</v>
      </c>
      <c r="B712" s="1"/>
      <c r="C712" s="182">
        <v>0</v>
      </c>
      <c r="D712" s="182">
        <f>ROUND(($D$727/$C$727)*C712,0)</f>
        <v>0</v>
      </c>
      <c r="E712" s="247">
        <f>E693</f>
        <v>18.149999999999999</v>
      </c>
      <c r="F712" s="187"/>
      <c r="G712" s="184">
        <f>ROUND(E712*$C712*$E$604,0)</f>
        <v>0</v>
      </c>
      <c r="H712" s="184">
        <f>ROUND(E712*$D712*$E$604,0)</f>
        <v>0</v>
      </c>
      <c r="I712" s="247">
        <f>I693</f>
        <v>19.87</v>
      </c>
      <c r="J712" s="187"/>
      <c r="K712" s="184">
        <f>ROUND(I712*$D712*$E$604,0)</f>
        <v>0</v>
      </c>
    </row>
    <row r="713" spans="1:11">
      <c r="A713" s="172" t="s">
        <v>195</v>
      </c>
      <c r="B713" s="1"/>
      <c r="C713" s="182"/>
      <c r="D713" s="182"/>
      <c r="E713" s="247"/>
      <c r="F713" s="187"/>
      <c r="G713" s="184"/>
      <c r="H713" s="184"/>
      <c r="I713" s="247"/>
      <c r="J713" s="187"/>
      <c r="K713" s="184"/>
    </row>
    <row r="714" spans="1:11">
      <c r="A714" s="172" t="s">
        <v>256</v>
      </c>
      <c r="B714" s="1"/>
      <c r="C714" s="182">
        <v>40</v>
      </c>
      <c r="D714" s="182">
        <f>ROUND(($D$727/$C$727)*C714,0)</f>
        <v>39</v>
      </c>
      <c r="E714" s="247">
        <f>E695</f>
        <v>18.149999999999999</v>
      </c>
      <c r="F714" s="187"/>
      <c r="G714" s="184">
        <f>ROUND(E714*$C714*$E$604,0)</f>
        <v>-7</v>
      </c>
      <c r="H714" s="184">
        <f>ROUND(E714*$D714*$E$604,0)</f>
        <v>-7</v>
      </c>
      <c r="I714" s="247">
        <f>I695</f>
        <v>19.87</v>
      </c>
      <c r="J714" s="187"/>
      <c r="K714" s="184">
        <f>ROUND(I714*$D714*$E$604,0)</f>
        <v>-8</v>
      </c>
    </row>
    <row r="715" spans="1:11">
      <c r="A715" s="172" t="s">
        <v>257</v>
      </c>
      <c r="B715" s="1"/>
      <c r="C715" s="182">
        <v>0</v>
      </c>
      <c r="D715" s="182">
        <f>ROUND(($D$727/$C$727)*C715,0)</f>
        <v>0</v>
      </c>
      <c r="E715" s="247">
        <f>E696</f>
        <v>12.4</v>
      </c>
      <c r="F715" s="187"/>
      <c r="G715" s="184">
        <f>ROUND(E715*$C715*$E$604,0)</f>
        <v>0</v>
      </c>
      <c r="H715" s="184">
        <f>ROUND(E715*$D715*$E$604,0)</f>
        <v>0</v>
      </c>
      <c r="I715" s="247">
        <f>I696</f>
        <v>13.64</v>
      </c>
      <c r="J715" s="187"/>
      <c r="K715" s="184">
        <f>ROUND(I715*$D715*$E$604,0)</f>
        <v>0</v>
      </c>
    </row>
    <row r="716" spans="1:11">
      <c r="A716" s="172" t="s">
        <v>258</v>
      </c>
      <c r="B716" s="1"/>
      <c r="C716" s="182">
        <v>0</v>
      </c>
      <c r="D716" s="182">
        <f>ROUND(($D$727/$C$727)*C716,0)</f>
        <v>0</v>
      </c>
      <c r="E716" s="247">
        <f>E697</f>
        <v>9.65</v>
      </c>
      <c r="F716" s="187"/>
      <c r="G716" s="184">
        <f>ROUND(E716*$C716*$E$604,0)</f>
        <v>0</v>
      </c>
      <c r="H716" s="184">
        <f>ROUND(E716*$D716*$E$604,0)</f>
        <v>0</v>
      </c>
      <c r="I716" s="247">
        <f>I697</f>
        <v>10.62</v>
      </c>
      <c r="J716" s="187"/>
      <c r="K716" s="184">
        <f>ROUND(I716*$D716*$E$604,0)</f>
        <v>0</v>
      </c>
    </row>
    <row r="717" spans="1:11">
      <c r="A717" s="172" t="s">
        <v>269</v>
      </c>
      <c r="B717" s="1"/>
      <c r="C717" s="182">
        <v>0</v>
      </c>
      <c r="D717" s="182">
        <v>0</v>
      </c>
      <c r="E717" s="216">
        <f>E698</f>
        <v>54.45</v>
      </c>
      <c r="F717" s="187"/>
      <c r="G717" s="184">
        <f>ROUND(E717*$C717*$E$604,0)</f>
        <v>0</v>
      </c>
      <c r="H717" s="184">
        <f>ROUND(E717*$D717*$E$604,0)</f>
        <v>0</v>
      </c>
      <c r="I717" s="216">
        <f>I698</f>
        <v>59.61</v>
      </c>
      <c r="J717" s="187"/>
      <c r="K717" s="184">
        <f>ROUND(I717*$D717*$E$604,0)</f>
        <v>0</v>
      </c>
    </row>
    <row r="718" spans="1:11">
      <c r="A718" s="172" t="s">
        <v>270</v>
      </c>
      <c r="B718" s="1"/>
      <c r="C718" s="182">
        <v>0</v>
      </c>
      <c r="D718" s="182">
        <v>0</v>
      </c>
      <c r="E718" s="216">
        <f>E699</f>
        <v>108.9</v>
      </c>
      <c r="F718" s="187"/>
      <c r="G718" s="184">
        <f>ROUND(E718*$C718*$E$604,0)</f>
        <v>0</v>
      </c>
      <c r="H718" s="184">
        <f>ROUND(E718*$D718*$E$604,0)</f>
        <v>0</v>
      </c>
      <c r="I718" s="216">
        <f>I699</f>
        <v>119.22</v>
      </c>
      <c r="J718" s="187"/>
      <c r="K718" s="184">
        <f>ROUND(I718*$D718*$E$604,0)</f>
        <v>0</v>
      </c>
    </row>
    <row r="719" spans="1:11">
      <c r="A719" s="172" t="s">
        <v>266</v>
      </c>
      <c r="B719" s="1"/>
      <c r="C719" s="182"/>
      <c r="D719" s="182"/>
      <c r="E719" s="200"/>
      <c r="F719" s="187"/>
      <c r="G719" s="184"/>
      <c r="H719" s="184"/>
      <c r="I719" s="200"/>
      <c r="J719" s="187"/>
      <c r="K719" s="184"/>
    </row>
    <row r="720" spans="1:11">
      <c r="A720" s="172" t="s">
        <v>261</v>
      </c>
      <c r="B720" s="1"/>
      <c r="C720" s="182">
        <v>0</v>
      </c>
      <c r="D720" s="182">
        <f>ROUND(($D$727/$C$727)*C720,0)</f>
        <v>0</v>
      </c>
      <c r="E720" s="226">
        <f>E701</f>
        <v>-18.149999999999999</v>
      </c>
      <c r="F720" s="187"/>
      <c r="G720" s="184">
        <f>ROUND(E720*$C720*$E$604,0)</f>
        <v>0</v>
      </c>
      <c r="H720" s="184">
        <f>ROUND(E720*$D720*$E$604,0)</f>
        <v>0</v>
      </c>
      <c r="I720" s="226">
        <f>I701</f>
        <v>-19.87</v>
      </c>
      <c r="J720" s="187"/>
      <c r="K720" s="184">
        <f>ROUND(I720*$D720*$E$604,0)</f>
        <v>0</v>
      </c>
    </row>
    <row r="721" spans="1:15">
      <c r="A721" s="172" t="s">
        <v>267</v>
      </c>
      <c r="B721" s="1"/>
      <c r="C721" s="182">
        <v>0</v>
      </c>
      <c r="D721" s="182">
        <f>ROUND(($D$727/$C$727)*C721,0)</f>
        <v>0</v>
      </c>
      <c r="E721" s="226">
        <f>E702</f>
        <v>-18.149999999999999</v>
      </c>
      <c r="F721" s="187"/>
      <c r="G721" s="184">
        <f>ROUND(E721*$C721*$E$604,0)</f>
        <v>0</v>
      </c>
      <c r="H721" s="184">
        <f>ROUND(E721*$D721*$E$604,0)</f>
        <v>0</v>
      </c>
      <c r="I721" s="226">
        <f>I702</f>
        <v>-19.87</v>
      </c>
      <c r="J721" s="187"/>
      <c r="K721" s="184">
        <f>ROUND(I721*$D721*$E$604,0)</f>
        <v>0</v>
      </c>
    </row>
    <row r="722" spans="1:15">
      <c r="A722" s="186" t="s">
        <v>230</v>
      </c>
      <c r="B722" s="1"/>
      <c r="C722" s="182"/>
      <c r="D722" s="182"/>
      <c r="E722" s="247"/>
      <c r="F722" s="184"/>
      <c r="G722" s="184"/>
      <c r="H722" s="184"/>
      <c r="I722" s="247"/>
      <c r="J722" s="184"/>
      <c r="K722" s="184"/>
    </row>
    <row r="723" spans="1:15">
      <c r="A723" s="172" t="s">
        <v>268</v>
      </c>
      <c r="B723" s="1"/>
      <c r="C723" s="182">
        <f>38079</f>
        <v>38079</v>
      </c>
      <c r="D723" s="182">
        <f>ROUND(($D$727/$C$727)*C723,0)</f>
        <v>36727</v>
      </c>
      <c r="E723" s="248">
        <f>E704</f>
        <v>4.9909999999999997</v>
      </c>
      <c r="F723" s="184" t="s">
        <v>178</v>
      </c>
      <c r="G723" s="184">
        <f>ROUND(E723/100*$C723*$E$604,0)</f>
        <v>-19</v>
      </c>
      <c r="H723" s="184">
        <f>ROUND(E723/100*$D723*$E$604,0)</f>
        <v>-18</v>
      </c>
      <c r="I723" s="248">
        <f>I704</f>
        <v>5.3710000000000004</v>
      </c>
      <c r="J723" s="184" t="s">
        <v>178</v>
      </c>
      <c r="K723" s="184">
        <f>ROUND(I723/100*$D723*$E$604,0)</f>
        <v>-20</v>
      </c>
    </row>
    <row r="724" spans="1:15">
      <c r="A724" s="186" t="s">
        <v>204</v>
      </c>
      <c r="B724" s="1"/>
      <c r="C724" s="182">
        <v>0</v>
      </c>
      <c r="D724" s="182">
        <f>ROUND(($D$727/$C$727)*C724,0)</f>
        <v>0</v>
      </c>
      <c r="E724" s="238">
        <f>E705</f>
        <v>45</v>
      </c>
      <c r="F724" s="184" t="s">
        <v>178</v>
      </c>
      <c r="G724" s="184">
        <f>ROUND(E724/100*$C724*$E$604,0)</f>
        <v>0</v>
      </c>
      <c r="H724" s="184">
        <f>ROUND(E724/100*$D724*$E$604,0)</f>
        <v>0</v>
      </c>
      <c r="I724" s="238">
        <f>I705</f>
        <v>45</v>
      </c>
      <c r="J724" s="186" t="s">
        <v>178</v>
      </c>
      <c r="K724" s="184">
        <f>ROUND(I724/100*$D724*$E$604,0)</f>
        <v>0</v>
      </c>
    </row>
    <row r="725" spans="1:15">
      <c r="A725" s="186" t="s">
        <v>247</v>
      </c>
      <c r="B725" s="1"/>
      <c r="C725" s="182">
        <f>5+7</f>
        <v>12</v>
      </c>
      <c r="D725" s="182">
        <v>13</v>
      </c>
      <c r="E725" s="161">
        <v>60</v>
      </c>
      <c r="F725" s="227" t="s">
        <v>13</v>
      </c>
      <c r="G725" s="184">
        <f>ROUND(E725*$C725,0)</f>
        <v>720</v>
      </c>
      <c r="H725" s="184">
        <f>ROUND(E725*$D725,0)</f>
        <v>780</v>
      </c>
      <c r="I725" s="161">
        <f>$I$623</f>
        <v>60</v>
      </c>
      <c r="J725" s="1"/>
      <c r="K725" s="184">
        <f>ROUND(I725*$D725,0)</f>
        <v>780</v>
      </c>
    </row>
    <row r="726" spans="1:15">
      <c r="A726" s="186" t="s">
        <v>248</v>
      </c>
      <c r="B726" s="1"/>
      <c r="C726" s="182">
        <f>7*C714</f>
        <v>280</v>
      </c>
      <c r="D726" s="182">
        <f>ROUND(($D$727/$C$727)*C726,0)</f>
        <v>270</v>
      </c>
      <c r="E726" s="202">
        <v>-30</v>
      </c>
      <c r="F726" s="184" t="s">
        <v>178</v>
      </c>
      <c r="G726" s="184">
        <f>ROUND(E726*$C726/100,0)</f>
        <v>-84</v>
      </c>
      <c r="H726" s="184">
        <f>ROUND(E726*$D726/100,0)</f>
        <v>-81</v>
      </c>
      <c r="I726" s="202">
        <f>$I$624</f>
        <v>-30</v>
      </c>
      <c r="J726" s="184" t="s">
        <v>178</v>
      </c>
      <c r="K726" s="184">
        <f>ROUND(I726*$D726/100,0)</f>
        <v>-81</v>
      </c>
    </row>
    <row r="727" spans="1:15">
      <c r="A727" s="1" t="s">
        <v>185</v>
      </c>
      <c r="B727" s="1"/>
      <c r="C727" s="182">
        <f>SUM(C704:C704)</f>
        <v>19403281</v>
      </c>
      <c r="D727" s="182">
        <v>18714383.130874861</v>
      </c>
      <c r="E727" s="193"/>
      <c r="F727" s="2"/>
      <c r="G727" s="2">
        <f>SUM(G684:G726)</f>
        <v>1173033</v>
      </c>
      <c r="H727" s="2">
        <f>SUM(H684:H726)</f>
        <v>1132712</v>
      </c>
      <c r="I727" s="193"/>
      <c r="J727" s="186"/>
      <c r="K727" s="2">
        <f>SUM(K684:K726)</f>
        <v>1222790</v>
      </c>
    </row>
    <row r="728" spans="1:15">
      <c r="A728" s="1" t="s">
        <v>167</v>
      </c>
      <c r="B728" s="1"/>
      <c r="C728" s="212">
        <v>346887.72769998875</v>
      </c>
      <c r="D728" s="212">
        <v>0</v>
      </c>
      <c r="E728" s="172"/>
      <c r="F728" s="172"/>
      <c r="G728" s="173">
        <v>17626.216910670679</v>
      </c>
      <c r="H728" s="173">
        <v>0</v>
      </c>
      <c r="I728" s="172"/>
      <c r="J728" s="172"/>
      <c r="K728" s="173">
        <v>0</v>
      </c>
      <c r="M728" s="152"/>
      <c r="N728" s="152"/>
      <c r="O728" s="153"/>
    </row>
    <row r="729" spans="1:15" ht="16.5" thickBot="1">
      <c r="A729" s="1" t="s">
        <v>186</v>
      </c>
      <c r="B729" s="1"/>
      <c r="C729" s="229">
        <f>SUM(C727:C728)</f>
        <v>19750168.727699988</v>
      </c>
      <c r="D729" s="229">
        <f>SUM(D727:D728)</f>
        <v>18714383.130874861</v>
      </c>
      <c r="E729" s="205"/>
      <c r="F729" s="206"/>
      <c r="G729" s="207">
        <f>G727+G728</f>
        <v>1190659.2169106707</v>
      </c>
      <c r="H729" s="207">
        <f>H727+H728</f>
        <v>1132712</v>
      </c>
      <c r="I729" s="205"/>
      <c r="J729" s="208"/>
      <c r="K729" s="207">
        <f>K727+K728</f>
        <v>1222790</v>
      </c>
      <c r="M729" s="154"/>
      <c r="N729" s="154"/>
      <c r="O729" s="155"/>
    </row>
    <row r="730" spans="1:15" ht="16.5" thickTop="1">
      <c r="A730" s="166"/>
      <c r="B730" s="241"/>
      <c r="C730" s="166"/>
      <c r="D730" s="166"/>
      <c r="E730" s="12"/>
      <c r="F730" s="12"/>
      <c r="G730" s="242"/>
      <c r="H730" s="242"/>
      <c r="I730" s="166"/>
      <c r="J730" s="166"/>
      <c r="K730" s="166"/>
    </row>
    <row r="731" spans="1:15">
      <c r="A731" s="156" t="s">
        <v>273</v>
      </c>
      <c r="B731" s="1"/>
      <c r="C731" s="1"/>
      <c r="D731" s="1"/>
      <c r="E731" s="2"/>
      <c r="F731" s="2"/>
      <c r="G731" s="1"/>
      <c r="H731" s="1"/>
      <c r="I731" s="2"/>
      <c r="J731" s="1"/>
      <c r="K731" s="1"/>
    </row>
    <row r="732" spans="1:15">
      <c r="A732" s="172" t="s">
        <v>274</v>
      </c>
      <c r="B732" s="1"/>
      <c r="C732" s="1"/>
      <c r="D732" s="1"/>
      <c r="E732" s="2"/>
      <c r="F732" s="2"/>
      <c r="G732" s="1"/>
      <c r="H732" s="1"/>
      <c r="I732" s="2"/>
      <c r="J732" s="1"/>
      <c r="K732" s="1"/>
    </row>
    <row r="733" spans="1:15">
      <c r="A733" s="186"/>
      <c r="B733" s="1"/>
      <c r="C733" s="1"/>
      <c r="D733" s="1"/>
      <c r="E733" s="2"/>
      <c r="F733" s="2"/>
      <c r="G733" s="1"/>
      <c r="H733" s="1"/>
      <c r="I733" s="2"/>
      <c r="J733" s="1"/>
      <c r="K733" s="1"/>
    </row>
    <row r="734" spans="1:15">
      <c r="A734" s="186" t="s">
        <v>197</v>
      </c>
      <c r="B734" s="1"/>
      <c r="C734" s="182"/>
      <c r="D734" s="182"/>
      <c r="E734" s="2"/>
      <c r="F734" s="2"/>
      <c r="G734" s="1"/>
      <c r="H734" s="1"/>
      <c r="I734" s="2"/>
      <c r="J734" s="1"/>
      <c r="K734" s="1"/>
    </row>
    <row r="735" spans="1:15">
      <c r="A735" s="186" t="s">
        <v>275</v>
      </c>
      <c r="B735" s="1"/>
      <c r="C735" s="182">
        <v>13</v>
      </c>
      <c r="D735" s="182">
        <v>12</v>
      </c>
      <c r="E735" s="247">
        <f t="shared" ref="E735:E740" si="60">E794</f>
        <v>1100</v>
      </c>
      <c r="F735" s="200"/>
      <c r="G735" s="2">
        <f>ROUND(E735*$C735,0)</f>
        <v>14300</v>
      </c>
      <c r="H735" s="2">
        <f>ROUND(E735*$D735,0)</f>
        <v>13200</v>
      </c>
      <c r="I735" s="247">
        <f t="shared" ref="I735:I740" si="61">I794</f>
        <v>1205</v>
      </c>
      <c r="J735" s="184"/>
      <c r="K735" s="2">
        <f>ROUND(I735*$D735,0)</f>
        <v>14460</v>
      </c>
      <c r="M735" s="42">
        <f>I735*D735</f>
        <v>14460</v>
      </c>
      <c r="O735" s="8"/>
    </row>
    <row r="736" spans="1:15">
      <c r="A736" s="186" t="s">
        <v>276</v>
      </c>
      <c r="B736" s="1"/>
      <c r="C736" s="182">
        <v>0</v>
      </c>
      <c r="D736" s="182">
        <v>0</v>
      </c>
      <c r="E736" s="247">
        <f t="shared" si="60"/>
        <v>1325</v>
      </c>
      <c r="F736" s="200"/>
      <c r="G736" s="2">
        <f>ROUND(E736*$C736,0)</f>
        <v>0</v>
      </c>
      <c r="H736" s="2">
        <f>ROUND(E736*$D736,0)</f>
        <v>0</v>
      </c>
      <c r="I736" s="247">
        <f t="shared" si="61"/>
        <v>1450</v>
      </c>
      <c r="J736" s="187"/>
      <c r="K736" s="2">
        <f>ROUND(I736*$D736,0)</f>
        <v>0</v>
      </c>
      <c r="M736" s="42">
        <f>I736*D736</f>
        <v>0</v>
      </c>
      <c r="O736" s="8"/>
    </row>
    <row r="737" spans="1:15">
      <c r="A737" s="186" t="s">
        <v>198</v>
      </c>
      <c r="B737" s="1"/>
      <c r="C737" s="182">
        <f>SUM(C735:C736)</f>
        <v>13</v>
      </c>
      <c r="D737" s="182">
        <f>SUM(D735:D736)</f>
        <v>12</v>
      </c>
      <c r="E737" s="247" t="str">
        <f t="shared" si="60"/>
        <v xml:space="preserve"> </v>
      </c>
      <c r="F737" s="200"/>
      <c r="G737" s="2" t="s">
        <v>13</v>
      </c>
      <c r="H737" s="2" t="s">
        <v>13</v>
      </c>
      <c r="I737" s="247" t="str">
        <f t="shared" si="61"/>
        <v xml:space="preserve"> </v>
      </c>
      <c r="J737" s="184"/>
      <c r="K737" s="2" t="s">
        <v>13</v>
      </c>
    </row>
    <row r="738" spans="1:15">
      <c r="A738" s="186" t="s">
        <v>277</v>
      </c>
      <c r="B738" s="1"/>
      <c r="C738" s="182">
        <f>16660</f>
        <v>16660</v>
      </c>
      <c r="D738" s="182">
        <f>ROUND(($D$758/$C$758)*C738,0)</f>
        <v>22366</v>
      </c>
      <c r="E738" s="247">
        <f t="shared" si="60"/>
        <v>0.83</v>
      </c>
      <c r="F738" s="200"/>
      <c r="G738" s="2">
        <f>ROUND(E738*$C738,0)</f>
        <v>13828</v>
      </c>
      <c r="H738" s="2">
        <f>ROUND(E738*$D738,0)</f>
        <v>18564</v>
      </c>
      <c r="I738" s="247">
        <f t="shared" si="61"/>
        <v>0.91</v>
      </c>
      <c r="J738" s="184"/>
      <c r="K738" s="2">
        <f>ROUND(I738*$D738,0)</f>
        <v>20353</v>
      </c>
      <c r="M738" s="42">
        <f>I738*D738</f>
        <v>20353.060000000001</v>
      </c>
      <c r="O738" s="8"/>
    </row>
    <row r="739" spans="1:15">
      <c r="A739" s="186" t="s">
        <v>278</v>
      </c>
      <c r="B739" s="1"/>
      <c r="C739" s="182">
        <v>0</v>
      </c>
      <c r="D739" s="182">
        <v>0</v>
      </c>
      <c r="E739" s="247">
        <f t="shared" si="60"/>
        <v>0.76</v>
      </c>
      <c r="F739" s="200"/>
      <c r="G739" s="2">
        <f>ROUND(E739*$C739,0)</f>
        <v>0</v>
      </c>
      <c r="H739" s="2">
        <f>ROUND(E739*$D739,0)</f>
        <v>0</v>
      </c>
      <c r="I739" s="247">
        <f t="shared" si="61"/>
        <v>0.83</v>
      </c>
      <c r="J739" s="184"/>
      <c r="K739" s="2">
        <f>ROUND(I739*$D739,0)</f>
        <v>0</v>
      </c>
      <c r="M739" s="42">
        <f>I739*D739</f>
        <v>0</v>
      </c>
    </row>
    <row r="740" spans="1:15">
      <c r="A740" s="172" t="s">
        <v>207</v>
      </c>
      <c r="B740" s="1"/>
      <c r="C740" s="182">
        <f>11800</f>
        <v>11800</v>
      </c>
      <c r="D740" s="182">
        <f>ROUND(($D$758/$C$758)*C740,0)</f>
        <v>15841</v>
      </c>
      <c r="E740" s="247">
        <f t="shared" si="60"/>
        <v>5.52</v>
      </c>
      <c r="F740" s="200"/>
      <c r="G740" s="2">
        <f>ROUND(E740*$C740,0)</f>
        <v>65136</v>
      </c>
      <c r="H740" s="2">
        <f>ROUND(E740*$D740,0)</f>
        <v>87442</v>
      </c>
      <c r="I740" s="247">
        <f t="shared" si="61"/>
        <v>6.03</v>
      </c>
      <c r="J740" s="184"/>
      <c r="K740" s="2">
        <f>ROUND(I740*$D740,0)</f>
        <v>95521</v>
      </c>
      <c r="M740" s="42">
        <f>I740*D740</f>
        <v>95521.23000000001</v>
      </c>
    </row>
    <row r="741" spans="1:15">
      <c r="A741" s="186" t="s">
        <v>230</v>
      </c>
      <c r="B741" s="1"/>
      <c r="C741" s="182"/>
      <c r="D741" s="182"/>
      <c r="E741" s="247"/>
      <c r="F741" s="200"/>
      <c r="G741" s="2"/>
      <c r="H741" s="2"/>
      <c r="I741" s="247"/>
      <c r="J741" s="184"/>
      <c r="K741" s="2"/>
    </row>
    <row r="742" spans="1:15">
      <c r="A742" s="186" t="s">
        <v>268</v>
      </c>
      <c r="B742" s="1"/>
      <c r="C742" s="182">
        <f>1815160</f>
        <v>1815160</v>
      </c>
      <c r="D742" s="182">
        <f>ROUND(($D$758/$C$758)*C742,0)</f>
        <v>2436796</v>
      </c>
      <c r="E742" s="250">
        <f>E801</f>
        <v>3.2050000000000001</v>
      </c>
      <c r="F742" s="184" t="s">
        <v>178</v>
      </c>
      <c r="G742" s="2">
        <f>ROUND(E742/100*$C742,0)</f>
        <v>58176</v>
      </c>
      <c r="H742" s="2">
        <f>ROUND(E742/100*$D742,0)</f>
        <v>78099</v>
      </c>
      <c r="I742" s="250">
        <f>I801</f>
        <v>3.4990000000000001</v>
      </c>
      <c r="J742" s="184" t="s">
        <v>178</v>
      </c>
      <c r="K742" s="2">
        <f>ROUND(I742/100*$D742,0)</f>
        <v>85263</v>
      </c>
      <c r="M742" s="42">
        <f>(I742/100)*D742</f>
        <v>85263.492039999997</v>
      </c>
    </row>
    <row r="743" spans="1:15">
      <c r="A743" s="186" t="s">
        <v>204</v>
      </c>
      <c r="B743" s="1"/>
      <c r="C743" s="182">
        <f>52276</f>
        <v>52276</v>
      </c>
      <c r="D743" s="182">
        <f>ROUND(($D$758/$C$758)*C743,0)</f>
        <v>70179</v>
      </c>
      <c r="E743" s="247">
        <f>E802</f>
        <v>0.45</v>
      </c>
      <c r="F743" s="184"/>
      <c r="G743" s="2">
        <f>ROUND(E743*$C743,0)</f>
        <v>23524</v>
      </c>
      <c r="H743" s="2">
        <f>ROUND(E743*$D743,0)</f>
        <v>31581</v>
      </c>
      <c r="I743" s="247">
        <f>I802</f>
        <v>0.45</v>
      </c>
      <c r="J743" s="184"/>
      <c r="K743" s="2">
        <f>ROUND(I743*$D743,0)</f>
        <v>31581</v>
      </c>
      <c r="M743" s="42">
        <f>I743*D743</f>
        <v>31580.55</v>
      </c>
      <c r="N743" s="182"/>
    </row>
    <row r="744" spans="1:15">
      <c r="A744" s="172" t="s">
        <v>232</v>
      </c>
      <c r="B744" s="1"/>
      <c r="C744" s="182">
        <v>0</v>
      </c>
      <c r="D744" s="182">
        <v>0</v>
      </c>
      <c r="E744" s="251">
        <v>5.9999999999999995E-4</v>
      </c>
      <c r="F744" s="184"/>
      <c r="G744" s="2">
        <f>ROUND(E744*$C744,0)</f>
        <v>0</v>
      </c>
      <c r="H744" s="2">
        <f>ROUND(E744*$D744,0)</f>
        <v>0</v>
      </c>
      <c r="I744" s="251">
        <v>5.9999999999999995E-4</v>
      </c>
      <c r="J744" s="184"/>
      <c r="K744" s="2">
        <f>ROUND(I744*$D744,0)</f>
        <v>0</v>
      </c>
      <c r="M744" s="42">
        <f>I744*D744</f>
        <v>0</v>
      </c>
      <c r="N744" s="182"/>
    </row>
    <row r="745" spans="1:15">
      <c r="A745" s="223" t="s">
        <v>205</v>
      </c>
      <c r="B745" s="1"/>
      <c r="C745" s="182"/>
      <c r="D745" s="182"/>
      <c r="E745" s="252">
        <f>E803</f>
        <v>-0.01</v>
      </c>
      <c r="F745" s="195"/>
      <c r="G745" s="2"/>
      <c r="H745" s="2"/>
      <c r="I745" s="252">
        <f>I803</f>
        <v>-0.01</v>
      </c>
      <c r="J745" s="224"/>
      <c r="K745" s="2"/>
    </row>
    <row r="746" spans="1:15">
      <c r="A746" s="186" t="s">
        <v>275</v>
      </c>
      <c r="B746" s="1"/>
      <c r="C746" s="182">
        <v>0</v>
      </c>
      <c r="D746" s="182">
        <v>0</v>
      </c>
      <c r="E746" s="247">
        <f>E735</f>
        <v>1100</v>
      </c>
      <c r="F746" s="197"/>
      <c r="G746" s="184">
        <f>ROUND(E746*$C746*$E$803,0)</f>
        <v>0</v>
      </c>
      <c r="H746" s="184">
        <f>ROUND(E746*$D746*$E$803,0)</f>
        <v>0</v>
      </c>
      <c r="I746" s="247">
        <f>I735</f>
        <v>1205</v>
      </c>
      <c r="J746" s="184"/>
      <c r="K746" s="184">
        <f>ROUND(I746*$D746*$E$803,0)</f>
        <v>0</v>
      </c>
      <c r="M746" s="42">
        <f>-(I746*D746)/100</f>
        <v>0</v>
      </c>
    </row>
    <row r="747" spans="1:15">
      <c r="A747" s="186" t="s">
        <v>276</v>
      </c>
      <c r="B747" s="1"/>
      <c r="C747" s="182">
        <f>C736</f>
        <v>0</v>
      </c>
      <c r="D747" s="182">
        <v>0</v>
      </c>
      <c r="E747" s="247">
        <f>E736</f>
        <v>1325</v>
      </c>
      <c r="F747" s="197"/>
      <c r="G747" s="184">
        <f>ROUND(E747*$C747*$E$803,0)</f>
        <v>0</v>
      </c>
      <c r="H747" s="184">
        <f>ROUND(E747*$D747*$E$803,0)</f>
        <v>0</v>
      </c>
      <c r="I747" s="247">
        <f>I736</f>
        <v>1450</v>
      </c>
      <c r="J747" s="184"/>
      <c r="K747" s="184">
        <f>ROUND(I747*$D747*$E$803,0)</f>
        <v>0</v>
      </c>
      <c r="M747" s="42">
        <f>-(I747*D747)/100</f>
        <v>0</v>
      </c>
    </row>
    <row r="748" spans="1:15">
      <c r="A748" s="186" t="s">
        <v>277</v>
      </c>
      <c r="B748" s="1"/>
      <c r="C748" s="182">
        <v>0</v>
      </c>
      <c r="D748" s="182">
        <v>0</v>
      </c>
      <c r="E748" s="247">
        <f>E738</f>
        <v>0.83</v>
      </c>
      <c r="F748" s="197"/>
      <c r="G748" s="184">
        <f>ROUND(E748*$C748*$E$803,0)</f>
        <v>0</v>
      </c>
      <c r="H748" s="184">
        <f>ROUND(E748*$D748*$E$803,0)</f>
        <v>0</v>
      </c>
      <c r="I748" s="247">
        <f>I738</f>
        <v>0.91</v>
      </c>
      <c r="J748" s="184"/>
      <c r="K748" s="184">
        <f>ROUND(I748*$D748*$E$803,0)</f>
        <v>0</v>
      </c>
      <c r="M748" s="42">
        <f>-(I748*D748)/100</f>
        <v>0</v>
      </c>
    </row>
    <row r="749" spans="1:15">
      <c r="A749" s="186" t="s">
        <v>278</v>
      </c>
      <c r="B749" s="1"/>
      <c r="C749" s="182">
        <f>C739</f>
        <v>0</v>
      </c>
      <c r="D749" s="182">
        <v>0</v>
      </c>
      <c r="E749" s="247">
        <f>E739</f>
        <v>0.76</v>
      </c>
      <c r="F749" s="197"/>
      <c r="G749" s="184">
        <f>ROUND(E749*$C749*$E$803,0)</f>
        <v>0</v>
      </c>
      <c r="H749" s="184">
        <f>ROUND(E749*$D749*$E$803,0)</f>
        <v>0</v>
      </c>
      <c r="I749" s="247">
        <f>I739</f>
        <v>0.83</v>
      </c>
      <c r="J749" s="184"/>
      <c r="K749" s="184">
        <f>ROUND(I749*$D749*$E$803,0)</f>
        <v>0</v>
      </c>
      <c r="M749" s="42">
        <f>-(I749*D749)/100</f>
        <v>0</v>
      </c>
    </row>
    <row r="750" spans="1:15">
      <c r="A750" s="172" t="s">
        <v>207</v>
      </c>
      <c r="B750" s="243"/>
      <c r="C750" s="182">
        <v>0</v>
      </c>
      <c r="D750" s="182">
        <v>0</v>
      </c>
      <c r="E750" s="247">
        <f>E740</f>
        <v>5.52</v>
      </c>
      <c r="F750" s="200"/>
      <c r="G750" s="184">
        <f>ROUND(E750*$C750*$E$803,0)</f>
        <v>0</v>
      </c>
      <c r="H750" s="184">
        <f>ROUND(E750*$D750*$E$803,0)</f>
        <v>0</v>
      </c>
      <c r="I750" s="247">
        <f>I740</f>
        <v>6.03</v>
      </c>
      <c r="J750" s="184"/>
      <c r="K750" s="184">
        <f>ROUND(I750*$D750*$E$803,0)</f>
        <v>0</v>
      </c>
      <c r="M750" s="42">
        <f>-(I750*D750)/100</f>
        <v>0</v>
      </c>
    </row>
    <row r="751" spans="1:15">
      <c r="A751" s="186" t="s">
        <v>268</v>
      </c>
      <c r="B751" s="1"/>
      <c r="C751" s="182">
        <v>0</v>
      </c>
      <c r="D751" s="182">
        <v>0</v>
      </c>
      <c r="E751" s="253">
        <f>E742</f>
        <v>3.2050000000000001</v>
      </c>
      <c r="F751" s="184" t="s">
        <v>178</v>
      </c>
      <c r="G751" s="184">
        <f>ROUND(E751/100*$C751*$E$803,0)</f>
        <v>0</v>
      </c>
      <c r="H751" s="184">
        <f>ROUND(E751/100*$D751*$E$803,0)</f>
        <v>0</v>
      </c>
      <c r="I751" s="253">
        <f>I742</f>
        <v>3.4990000000000001</v>
      </c>
      <c r="J751" s="184" t="s">
        <v>178</v>
      </c>
      <c r="K751" s="184">
        <f>ROUND(I751/100*$D751*$E$803,0)</f>
        <v>0</v>
      </c>
      <c r="M751" s="42">
        <f>-((I751*D751)/100)/100</f>
        <v>0</v>
      </c>
    </row>
    <row r="752" spans="1:15">
      <c r="A752" s="186" t="s">
        <v>204</v>
      </c>
      <c r="B752" s="1"/>
      <c r="C752" s="182">
        <v>0</v>
      </c>
      <c r="D752" s="182">
        <v>0</v>
      </c>
      <c r="E752" s="247">
        <f>E743</f>
        <v>0.45</v>
      </c>
      <c r="F752" s="184"/>
      <c r="G752" s="184">
        <f>ROUND(E752*$C752*$E$803,0)</f>
        <v>0</v>
      </c>
      <c r="H752" s="184">
        <f>ROUND(E752*$D752*$E$803,0)</f>
        <v>0</v>
      </c>
      <c r="I752" s="247">
        <f>I743</f>
        <v>0.45</v>
      </c>
      <c r="J752" s="184"/>
      <c r="K752" s="184">
        <f>ROUND(I752*$D752*$E$803,0)</f>
        <v>0</v>
      </c>
      <c r="M752" s="42">
        <f>-(I752*D752)/100</f>
        <v>0</v>
      </c>
    </row>
    <row r="753" spans="1:19">
      <c r="A753" s="172" t="s">
        <v>279</v>
      </c>
      <c r="B753" s="1"/>
      <c r="C753" s="182">
        <v>0</v>
      </c>
      <c r="D753" s="182">
        <v>0</v>
      </c>
      <c r="E753" s="247">
        <f>E811</f>
        <v>60</v>
      </c>
      <c r="F753" s="200"/>
      <c r="G753" s="184">
        <f>ROUND(E753*$C753,0)</f>
        <v>0</v>
      </c>
      <c r="H753" s="184">
        <f>ROUND(E753*$D753,0)</f>
        <v>0</v>
      </c>
      <c r="I753" s="247">
        <f>I811</f>
        <v>60</v>
      </c>
      <c r="J753" s="184"/>
      <c r="K753" s="184">
        <f>ROUND(I753*$D753,0)</f>
        <v>0</v>
      </c>
      <c r="M753" s="42">
        <f>-(I753*D753)/100</f>
        <v>0</v>
      </c>
    </row>
    <row r="754" spans="1:19">
      <c r="A754" s="172" t="s">
        <v>248</v>
      </c>
      <c r="B754" s="1"/>
      <c r="C754" s="182">
        <v>0</v>
      </c>
      <c r="D754" s="182">
        <v>0</v>
      </c>
      <c r="E754" s="247">
        <f>E812</f>
        <v>-0.3</v>
      </c>
      <c r="F754" s="184"/>
      <c r="G754" s="184">
        <f>ROUND(E754*$C754,0)</f>
        <v>0</v>
      </c>
      <c r="H754" s="184">
        <f>ROUND(E754*$D754,0)</f>
        <v>0</v>
      </c>
      <c r="I754" s="247">
        <f>I812</f>
        <v>-0.75</v>
      </c>
      <c r="J754" s="184"/>
      <c r="K754" s="184">
        <f>ROUND(I754*$D754,0)</f>
        <v>0</v>
      </c>
      <c r="M754" s="42">
        <f>-(I754*D754)/100</f>
        <v>0</v>
      </c>
    </row>
    <row r="755" spans="1:19">
      <c r="A755" s="172" t="s">
        <v>237</v>
      </c>
      <c r="B755" s="1"/>
      <c r="C755" s="182">
        <f>200</f>
        <v>200</v>
      </c>
      <c r="D755" s="182">
        <f>ROUND(($D$758/$C$758)*C755,0)</f>
        <v>268</v>
      </c>
      <c r="E755" s="254">
        <f>ROUND(E740/2,3)</f>
        <v>2.76</v>
      </c>
      <c r="F755" s="184"/>
      <c r="G755" s="184">
        <f>ROUND(E755*$C755,0)</f>
        <v>552</v>
      </c>
      <c r="H755" s="184">
        <f>ROUND(E755*$D755,0)</f>
        <v>740</v>
      </c>
      <c r="I755" s="254">
        <f>ROUND(I740/2,3)</f>
        <v>3.0150000000000001</v>
      </c>
      <c r="J755" s="184"/>
      <c r="K755" s="184">
        <f>ROUND($D755*I755,0)</f>
        <v>808</v>
      </c>
      <c r="M755" s="42">
        <f>I755*D755</f>
        <v>808.02</v>
      </c>
    </row>
    <row r="756" spans="1:19">
      <c r="A756" s="172" t="s">
        <v>238</v>
      </c>
      <c r="B756" s="1"/>
      <c r="C756" s="182">
        <v>240</v>
      </c>
      <c r="D756" s="182">
        <f>ROUND(($D$758/$C$758)*C756,0)</f>
        <v>322</v>
      </c>
      <c r="E756" s="197">
        <f>E740*4</f>
        <v>22.08</v>
      </c>
      <c r="F756" s="184"/>
      <c r="G756" s="184">
        <f>ROUND(E756*$C756,0)</f>
        <v>5299</v>
      </c>
      <c r="H756" s="184">
        <f>ROUND(E756*$D756,0)</f>
        <v>7110</v>
      </c>
      <c r="I756" s="197">
        <f>I740*4</f>
        <v>24.12</v>
      </c>
      <c r="J756" s="184"/>
      <c r="K756" s="184">
        <f>ROUND($D756*I756,0)</f>
        <v>7767</v>
      </c>
      <c r="M756" s="42">
        <f>I756*D756</f>
        <v>7766.64</v>
      </c>
    </row>
    <row r="757" spans="1:19">
      <c r="A757" s="3" t="s">
        <v>239</v>
      </c>
      <c r="B757" s="166"/>
      <c r="C757" s="182">
        <v>4840</v>
      </c>
      <c r="D757" s="182">
        <f>ROUND(($D$758/$C$758)*C757,0)</f>
        <v>6498</v>
      </c>
      <c r="E757" s="255">
        <f>E742*4</f>
        <v>12.82</v>
      </c>
      <c r="F757" s="184" t="s">
        <v>178</v>
      </c>
      <c r="G757" s="184">
        <f>ROUND($C757*E757/100,0)</f>
        <v>620</v>
      </c>
      <c r="H757" s="184">
        <f>ROUND($D757*E757/100,0)</f>
        <v>833</v>
      </c>
      <c r="I757" s="255">
        <f>I742*4</f>
        <v>13.996</v>
      </c>
      <c r="J757" s="184" t="s">
        <v>178</v>
      </c>
      <c r="K757" s="184">
        <f>ROUND($D757*I757/100,0)</f>
        <v>909</v>
      </c>
      <c r="M757" s="42">
        <f>(I757/100)*D757</f>
        <v>909.46008000000006</v>
      </c>
    </row>
    <row r="758" spans="1:19">
      <c r="A758" s="1" t="s">
        <v>185</v>
      </c>
      <c r="B758" s="1"/>
      <c r="C758" s="182">
        <f>C742</f>
        <v>1815160</v>
      </c>
      <c r="D758" s="182">
        <v>2436796.4482688801</v>
      </c>
      <c r="E758" s="193"/>
      <c r="F758" s="2"/>
      <c r="G758" s="2">
        <f>SUM(G735:G757)</f>
        <v>181435</v>
      </c>
      <c r="H758" s="2">
        <f>SUM(H735:H757)</f>
        <v>237569</v>
      </c>
      <c r="I758" s="193"/>
      <c r="J758" s="1"/>
      <c r="K758" s="2">
        <f>SUM(K735:K757)</f>
        <v>256662</v>
      </c>
      <c r="M758" s="42">
        <f>SUM(M735:M757)</f>
        <v>256662.45212</v>
      </c>
    </row>
    <row r="759" spans="1:19">
      <c r="A759" s="1" t="s">
        <v>167</v>
      </c>
      <c r="B759" s="1"/>
      <c r="C759" s="182">
        <v>-198469.54929823201</v>
      </c>
      <c r="D759" s="182">
        <v>0</v>
      </c>
      <c r="E759" s="172"/>
      <c r="F759" s="172"/>
      <c r="G759" s="204">
        <v>-15809.382749483628</v>
      </c>
      <c r="H759" s="204">
        <v>0</v>
      </c>
      <c r="I759" s="172"/>
      <c r="J759" s="172"/>
      <c r="K759" s="204">
        <v>0</v>
      </c>
    </row>
    <row r="760" spans="1:19" ht="16.5" thickBot="1">
      <c r="A760" s="1" t="s">
        <v>186</v>
      </c>
      <c r="B760" s="1"/>
      <c r="C760" s="256">
        <f>SUM(C758)+C759</f>
        <v>1616690.450701768</v>
      </c>
      <c r="D760" s="256">
        <f>SUM(D742)+D759</f>
        <v>2436796</v>
      </c>
      <c r="E760" s="205"/>
      <c r="F760" s="206"/>
      <c r="G760" s="207">
        <f>G758+G759</f>
        <v>165625.61725051637</v>
      </c>
      <c r="H760" s="207">
        <f>H758+H759</f>
        <v>237569</v>
      </c>
      <c r="I760" s="205"/>
      <c r="J760" s="208"/>
      <c r="K760" s="207">
        <f>K758+K759</f>
        <v>256662</v>
      </c>
      <c r="N760" s="3" t="s">
        <v>168</v>
      </c>
      <c r="O760" s="33" t="e">
        <f>#REF!*1000</f>
        <v>#REF!</v>
      </c>
    </row>
    <row r="761" spans="1:19" ht="16.5" thickTop="1">
      <c r="A761" s="1"/>
      <c r="B761" s="1"/>
      <c r="C761" s="12"/>
      <c r="D761" s="12"/>
      <c r="E761" s="200"/>
      <c r="F761" s="2"/>
      <c r="G761" s="2"/>
      <c r="H761" s="2"/>
      <c r="I761" s="200"/>
      <c r="J761" s="1"/>
      <c r="K761" s="243"/>
      <c r="N761" s="3" t="s">
        <v>114</v>
      </c>
      <c r="O761" s="33" t="e">
        <f>O760-K760</f>
        <v>#REF!</v>
      </c>
      <c r="P761" s="8" t="e">
        <f>(O760-K760)/K760</f>
        <v>#REF!</v>
      </c>
    </row>
    <row r="762" spans="1:19">
      <c r="A762" s="156" t="s">
        <v>280</v>
      </c>
      <c r="B762" s="1"/>
      <c r="C762" s="1"/>
      <c r="D762" s="1"/>
      <c r="E762" s="2"/>
      <c r="F762" s="2"/>
      <c r="G762" s="1"/>
      <c r="H762" s="1"/>
      <c r="I762" s="2"/>
      <c r="J762" s="1"/>
      <c r="K762" s="1"/>
    </row>
    <row r="763" spans="1:19">
      <c r="A763" s="172" t="s">
        <v>281</v>
      </c>
      <c r="B763" s="1"/>
      <c r="C763" s="1"/>
      <c r="D763" s="1"/>
      <c r="E763" s="2"/>
      <c r="F763" s="2"/>
      <c r="G763" s="1"/>
      <c r="H763" s="1"/>
      <c r="I763" s="2"/>
      <c r="J763" s="1"/>
      <c r="K763" s="1"/>
    </row>
    <row r="764" spans="1:19">
      <c r="A764" s="186"/>
      <c r="B764" s="1"/>
      <c r="C764" s="1"/>
      <c r="D764" s="1"/>
      <c r="E764" s="2"/>
      <c r="F764" s="2"/>
      <c r="G764" s="1"/>
      <c r="H764" s="1"/>
      <c r="I764" s="2"/>
      <c r="J764" s="1"/>
      <c r="K764" s="1"/>
    </row>
    <row r="765" spans="1:19">
      <c r="A765" s="186" t="s">
        <v>197</v>
      </c>
      <c r="B765" s="1"/>
      <c r="C765" s="182"/>
      <c r="D765" s="182"/>
      <c r="E765" s="2"/>
      <c r="F765" s="2"/>
      <c r="G765" s="1"/>
      <c r="H765" s="1"/>
      <c r="I765" s="2"/>
      <c r="J765" s="1"/>
      <c r="K765" s="1"/>
      <c r="R765" s="3">
        <v>3000</v>
      </c>
      <c r="S765" s="3">
        <v>3001</v>
      </c>
    </row>
    <row r="766" spans="1:19">
      <c r="A766" s="186" t="s">
        <v>275</v>
      </c>
      <c r="B766" s="1"/>
      <c r="C766" s="182">
        <f>C794+C877</f>
        <v>690</v>
      </c>
      <c r="D766" s="182">
        <f>D794+D877</f>
        <v>680</v>
      </c>
      <c r="E766" s="200">
        <v>1100</v>
      </c>
      <c r="F766" s="200"/>
      <c r="G766" s="2">
        <f>G794+G877</f>
        <v>759000</v>
      </c>
      <c r="H766" s="2">
        <f>H794+H877</f>
        <v>748000</v>
      </c>
      <c r="I766" s="200">
        <v>1205</v>
      </c>
      <c r="J766" s="184"/>
      <c r="K766" s="2">
        <f>K794+K877</f>
        <v>819400</v>
      </c>
      <c r="M766" s="42">
        <f>I766*D766</f>
        <v>819400</v>
      </c>
      <c r="O766" s="8">
        <f>(I766-E766)/E766</f>
        <v>9.5454545454545459E-2</v>
      </c>
      <c r="P766" s="8">
        <f>SUM(K766:K770)/SUM(H766:H770)-1</f>
        <v>9.4617608552899801E-2</v>
      </c>
      <c r="Q766" s="3" t="s">
        <v>175</v>
      </c>
      <c r="R766" s="192">
        <f>E766+(E769*3000)</f>
        <v>3590</v>
      </c>
      <c r="S766" s="192">
        <f>E767+(E770*3001)</f>
        <v>3605.76</v>
      </c>
    </row>
    <row r="767" spans="1:19">
      <c r="A767" s="186" t="s">
        <v>276</v>
      </c>
      <c r="B767" s="1"/>
      <c r="C767" s="182">
        <f>C795+C878</f>
        <v>74</v>
      </c>
      <c r="D767" s="182">
        <f>D795+D878</f>
        <v>74</v>
      </c>
      <c r="E767" s="200">
        <v>1325</v>
      </c>
      <c r="F767" s="200"/>
      <c r="G767" s="2">
        <f>G795+G878</f>
        <v>98050</v>
      </c>
      <c r="H767" s="2">
        <f>H795+H878</f>
        <v>98050</v>
      </c>
      <c r="I767" s="200">
        <v>1450</v>
      </c>
      <c r="J767" s="187"/>
      <c r="K767" s="2">
        <f>K795+K878</f>
        <v>107300</v>
      </c>
      <c r="M767" s="42">
        <f>I767*D767</f>
        <v>107300</v>
      </c>
      <c r="O767" s="8">
        <f>(I767-E767)/E767</f>
        <v>9.4339622641509441E-2</v>
      </c>
      <c r="Q767" s="3" t="s">
        <v>120</v>
      </c>
      <c r="R767" s="192">
        <f>I766+(I769*3000)</f>
        <v>3935</v>
      </c>
      <c r="S767" s="192">
        <f>I767+(I770*3001)</f>
        <v>3940.83</v>
      </c>
    </row>
    <row r="768" spans="1:19">
      <c r="A768" s="186" t="s">
        <v>198</v>
      </c>
      <c r="B768" s="1"/>
      <c r="C768" s="182">
        <f>SUM(C766:C767)</f>
        <v>764</v>
      </c>
      <c r="D768" s="182">
        <f>SUM(D766:D767)</f>
        <v>754</v>
      </c>
      <c r="E768" s="200" t="s">
        <v>13</v>
      </c>
      <c r="F768" s="200"/>
      <c r="G768" s="2"/>
      <c r="H768" s="2"/>
      <c r="I768" s="200" t="s">
        <v>13</v>
      </c>
      <c r="J768" s="184"/>
      <c r="K768" s="2"/>
      <c r="O768" s="183"/>
    </row>
    <row r="769" spans="1:21">
      <c r="A769" s="186" t="s">
        <v>277</v>
      </c>
      <c r="B769" s="1"/>
      <c r="C769" s="182">
        <f t="shared" ref="C769:D771" si="62">C797+C880</f>
        <v>928030</v>
      </c>
      <c r="D769" s="182">
        <f t="shared" si="62"/>
        <v>950060</v>
      </c>
      <c r="E769" s="200">
        <v>0.83</v>
      </c>
      <c r="F769" s="200"/>
      <c r="G769" s="2">
        <f t="shared" ref="G769:H771" si="63">G797+G880</f>
        <v>770265</v>
      </c>
      <c r="H769" s="2">
        <f t="shared" si="63"/>
        <v>788550</v>
      </c>
      <c r="I769" s="200">
        <v>0.91</v>
      </c>
      <c r="J769" s="184"/>
      <c r="K769" s="2">
        <f>K797+K880</f>
        <v>864554</v>
      </c>
      <c r="M769" s="42">
        <f>I769*D769</f>
        <v>864554.6</v>
      </c>
      <c r="O769" s="8">
        <f>(I769-E769)/E769</f>
        <v>9.6385542168674787E-2</v>
      </c>
      <c r="S769" s="192">
        <f>S767-R767</f>
        <v>5.8299999999999272</v>
      </c>
    </row>
    <row r="770" spans="1:21">
      <c r="A770" s="186" t="s">
        <v>278</v>
      </c>
      <c r="B770" s="1"/>
      <c r="C770" s="182">
        <f t="shared" si="62"/>
        <v>1074005</v>
      </c>
      <c r="D770" s="182">
        <f t="shared" si="62"/>
        <v>1043203</v>
      </c>
      <c r="E770" s="200">
        <v>0.76</v>
      </c>
      <c r="F770" s="200"/>
      <c r="G770" s="2">
        <f t="shared" si="63"/>
        <v>816243</v>
      </c>
      <c r="H770" s="2">
        <f t="shared" si="63"/>
        <v>792834</v>
      </c>
      <c r="I770" s="200">
        <v>0.83</v>
      </c>
      <c r="J770" s="184"/>
      <c r="K770" s="2">
        <f>K798+K881</f>
        <v>865858</v>
      </c>
      <c r="M770" s="42">
        <f>I770*D770</f>
        <v>865858.49</v>
      </c>
      <c r="O770" s="8">
        <f>(I770-E770)/E770</f>
        <v>9.2105263157894676E-2</v>
      </c>
      <c r="S770" s="192">
        <f>I770</f>
        <v>0.83</v>
      </c>
    </row>
    <row r="771" spans="1:21">
      <c r="A771" s="172" t="s">
        <v>207</v>
      </c>
      <c r="B771" s="1"/>
      <c r="C771" s="182">
        <f t="shared" si="62"/>
        <v>1739771</v>
      </c>
      <c r="D771" s="182">
        <f t="shared" si="62"/>
        <v>1745147</v>
      </c>
      <c r="E771" s="200">
        <v>5.52</v>
      </c>
      <c r="F771" s="200"/>
      <c r="G771" s="2">
        <f t="shared" si="63"/>
        <v>9603536</v>
      </c>
      <c r="H771" s="2">
        <f t="shared" si="63"/>
        <v>9633212</v>
      </c>
      <c r="I771" s="200">
        <v>6.03</v>
      </c>
      <c r="J771" s="184"/>
      <c r="K771" s="2">
        <f>K799+K882</f>
        <v>10523236</v>
      </c>
      <c r="M771" s="42">
        <f>I771*D771</f>
        <v>10523236.41</v>
      </c>
      <c r="O771" s="8">
        <f>(I771-E771)/E771</f>
        <v>9.239130434782622E-2</v>
      </c>
    </row>
    <row r="772" spans="1:21">
      <c r="A772" s="186" t="s">
        <v>230</v>
      </c>
      <c r="B772" s="1"/>
      <c r="C772" s="182"/>
      <c r="D772" s="182"/>
      <c r="E772" s="200" t="s">
        <v>13</v>
      </c>
      <c r="F772" s="200"/>
      <c r="G772" s="2"/>
      <c r="H772" s="2"/>
      <c r="I772" s="200" t="s">
        <v>13</v>
      </c>
      <c r="J772" s="184"/>
      <c r="K772" s="2"/>
      <c r="O772" s="257"/>
    </row>
    <row r="773" spans="1:21">
      <c r="A773" s="186" t="s">
        <v>268</v>
      </c>
      <c r="B773" s="1"/>
      <c r="C773" s="182">
        <f>C801+C884</f>
        <v>871959257</v>
      </c>
      <c r="D773" s="182">
        <f>D801+D884</f>
        <v>892786384</v>
      </c>
      <c r="E773" s="258">
        <v>3.2050000000000001</v>
      </c>
      <c r="F773" s="184" t="s">
        <v>178</v>
      </c>
      <c r="G773" s="2">
        <f>G801+G884</f>
        <v>27946294</v>
      </c>
      <c r="H773" s="2">
        <f>H801+H884</f>
        <v>28613803</v>
      </c>
      <c r="I773" s="246">
        <v>3.4990000000000001</v>
      </c>
      <c r="J773" s="184" t="s">
        <v>178</v>
      </c>
      <c r="K773" s="2">
        <f>K801+K884</f>
        <v>31238595</v>
      </c>
      <c r="M773" s="42">
        <f>(I773/100)*D773</f>
        <v>31238595.576159999</v>
      </c>
      <c r="O773" s="8">
        <f>(I773-E773)/E773</f>
        <v>9.1731669266770677E-2</v>
      </c>
    </row>
    <row r="774" spans="1:21">
      <c r="A774" s="186" t="s">
        <v>204</v>
      </c>
      <c r="B774" s="1"/>
      <c r="C774" s="182">
        <f>C802+C885</f>
        <v>412832</v>
      </c>
      <c r="D774" s="182">
        <f>D802+D885</f>
        <v>423788</v>
      </c>
      <c r="E774" s="200">
        <v>0.45</v>
      </c>
      <c r="F774" s="184"/>
      <c r="G774" s="2">
        <f>G802+G885</f>
        <v>185774</v>
      </c>
      <c r="H774" s="2">
        <f>H802+H885</f>
        <v>190705</v>
      </c>
      <c r="I774" s="200">
        <v>0.45</v>
      </c>
      <c r="J774" s="184"/>
      <c r="K774" s="2">
        <f>K802+K885</f>
        <v>190705</v>
      </c>
      <c r="M774" s="42">
        <f>I774*D774</f>
        <v>190704.6</v>
      </c>
      <c r="N774" s="183"/>
      <c r="O774" s="8">
        <f>(I774-E774)/E774</f>
        <v>0</v>
      </c>
      <c r="R774" s="3" t="s">
        <v>175</v>
      </c>
      <c r="S774" s="3" t="s">
        <v>120</v>
      </c>
      <c r="T774" s="3" t="s">
        <v>176</v>
      </c>
      <c r="U774" s="3" t="s">
        <v>126</v>
      </c>
    </row>
    <row r="775" spans="1:21">
      <c r="A775" s="223" t="s">
        <v>205</v>
      </c>
      <c r="B775" s="1"/>
      <c r="C775" s="182"/>
      <c r="D775" s="182"/>
      <c r="E775" s="195">
        <v>-0.01</v>
      </c>
      <c r="F775" s="195"/>
      <c r="G775" s="2"/>
      <c r="H775" s="2"/>
      <c r="I775" s="195">
        <v>-0.01</v>
      </c>
      <c r="J775" s="224"/>
      <c r="K775" s="2"/>
      <c r="Q775" s="3" t="s">
        <v>246</v>
      </c>
      <c r="R775" s="49">
        <f>SUM(H766:H770)+SUM(H735:H739)</f>
        <v>2459198</v>
      </c>
      <c r="S775" s="49">
        <f>SUM(K766:K770)+SUM(K735:K739)</f>
        <v>2691925</v>
      </c>
      <c r="T775" s="49">
        <v>3831772.5730205807</v>
      </c>
      <c r="U775" s="101">
        <f>S775/T775</f>
        <v>0.70252734177225962</v>
      </c>
    </row>
    <row r="776" spans="1:21">
      <c r="A776" s="186" t="s">
        <v>275</v>
      </c>
      <c r="B776" s="1"/>
      <c r="C776" s="182">
        <f t="shared" ref="C776:D786" si="64">C804+C887</f>
        <v>155</v>
      </c>
      <c r="D776" s="182">
        <f t="shared" si="64"/>
        <v>152</v>
      </c>
      <c r="E776" s="197">
        <f>E766</f>
        <v>1100</v>
      </c>
      <c r="F776" s="197"/>
      <c r="G776" s="184">
        <f t="shared" ref="G776:H786" si="65">G804+G887</f>
        <v>-1705</v>
      </c>
      <c r="H776" s="184">
        <f t="shared" si="65"/>
        <v>-1672</v>
      </c>
      <c r="I776" s="197">
        <f>I766</f>
        <v>1205</v>
      </c>
      <c r="J776" s="184"/>
      <c r="K776" s="184">
        <f t="shared" ref="K776:K786" si="66">K804+K887</f>
        <v>-1832</v>
      </c>
      <c r="M776" s="42">
        <f>-(I776/100)*D776</f>
        <v>-1831.6000000000001</v>
      </c>
      <c r="Q776" s="3" t="s">
        <v>210</v>
      </c>
      <c r="R776" s="49">
        <f>H771</f>
        <v>9633212</v>
      </c>
      <c r="S776" s="49">
        <f>K771</f>
        <v>10523236</v>
      </c>
      <c r="T776" s="49">
        <v>5205301.8106998745</v>
      </c>
      <c r="U776" s="101">
        <f>S776/T776</f>
        <v>2.0216380111463907</v>
      </c>
    </row>
    <row r="777" spans="1:21">
      <c r="A777" s="186" t="s">
        <v>276</v>
      </c>
      <c r="B777" s="1"/>
      <c r="C777" s="182">
        <f t="shared" si="64"/>
        <v>49</v>
      </c>
      <c r="D777" s="182">
        <f t="shared" si="64"/>
        <v>49</v>
      </c>
      <c r="E777" s="197">
        <f>E767</f>
        <v>1325</v>
      </c>
      <c r="F777" s="197"/>
      <c r="G777" s="184">
        <f t="shared" si="65"/>
        <v>-650</v>
      </c>
      <c r="H777" s="184">
        <f t="shared" si="65"/>
        <v>-650</v>
      </c>
      <c r="I777" s="197">
        <f>I767</f>
        <v>1450</v>
      </c>
      <c r="J777" s="184"/>
      <c r="K777" s="184">
        <f t="shared" si="66"/>
        <v>-711</v>
      </c>
      <c r="M777" s="42">
        <f>-(I777/100)*D777</f>
        <v>-710.5</v>
      </c>
      <c r="Q777" s="3" t="s">
        <v>180</v>
      </c>
      <c r="R777" s="49">
        <f>H773</f>
        <v>28613803</v>
      </c>
      <c r="S777" s="49">
        <f>K773</f>
        <v>31238595</v>
      </c>
      <c r="T777" s="49">
        <v>38185452.241358206</v>
      </c>
      <c r="U777" s="101">
        <f>S777/T777</f>
        <v>0.81807581595605283</v>
      </c>
    </row>
    <row r="778" spans="1:21">
      <c r="A778" s="186" t="s">
        <v>277</v>
      </c>
      <c r="B778" s="1"/>
      <c r="C778" s="182">
        <f t="shared" si="64"/>
        <v>215573</v>
      </c>
      <c r="D778" s="182">
        <f t="shared" si="64"/>
        <v>213423</v>
      </c>
      <c r="E778" s="197">
        <f>E769</f>
        <v>0.83</v>
      </c>
      <c r="F778" s="197"/>
      <c r="G778" s="184">
        <f t="shared" si="65"/>
        <v>-1789</v>
      </c>
      <c r="H778" s="184">
        <f t="shared" si="65"/>
        <v>-1771</v>
      </c>
      <c r="I778" s="197">
        <f>I769</f>
        <v>0.91</v>
      </c>
      <c r="J778" s="184"/>
      <c r="K778" s="184">
        <f t="shared" si="66"/>
        <v>-1942</v>
      </c>
      <c r="M778" s="42">
        <f>-(I778/100)*D778</f>
        <v>-1942.1493</v>
      </c>
    </row>
    <row r="779" spans="1:21">
      <c r="A779" s="186" t="s">
        <v>278</v>
      </c>
      <c r="B779" s="1"/>
      <c r="C779" s="182">
        <f t="shared" si="64"/>
        <v>972802</v>
      </c>
      <c r="D779" s="182">
        <f t="shared" si="64"/>
        <v>935824</v>
      </c>
      <c r="E779" s="197">
        <f>E770</f>
        <v>0.76</v>
      </c>
      <c r="F779" s="197"/>
      <c r="G779" s="184">
        <f t="shared" si="65"/>
        <v>-7393</v>
      </c>
      <c r="H779" s="184">
        <f t="shared" si="65"/>
        <v>-7112</v>
      </c>
      <c r="I779" s="197">
        <f>I770</f>
        <v>0.83</v>
      </c>
      <c r="J779" s="184"/>
      <c r="K779" s="184">
        <f t="shared" si="66"/>
        <v>-7767</v>
      </c>
      <c r="M779" s="42">
        <f>-(I779/100)*D779</f>
        <v>-7767.3392000000003</v>
      </c>
    </row>
    <row r="780" spans="1:21">
      <c r="A780" s="172" t="s">
        <v>207</v>
      </c>
      <c r="B780" s="243"/>
      <c r="C780" s="182">
        <f t="shared" si="64"/>
        <v>1070224</v>
      </c>
      <c r="D780" s="182">
        <f t="shared" si="64"/>
        <v>1048404</v>
      </c>
      <c r="E780" s="197">
        <f>E771</f>
        <v>5.52</v>
      </c>
      <c r="F780" s="200"/>
      <c r="G780" s="184">
        <f t="shared" si="65"/>
        <v>-59076</v>
      </c>
      <c r="H780" s="184">
        <f t="shared" si="65"/>
        <v>-57872</v>
      </c>
      <c r="I780" s="197">
        <f>I771</f>
        <v>6.03</v>
      </c>
      <c r="J780" s="184"/>
      <c r="K780" s="184">
        <f t="shared" si="66"/>
        <v>-63218</v>
      </c>
      <c r="M780" s="42">
        <f>-(I780/100)*D780</f>
        <v>-63218.761200000001</v>
      </c>
    </row>
    <row r="781" spans="1:21">
      <c r="A781" s="186" t="s">
        <v>268</v>
      </c>
      <c r="B781" s="1"/>
      <c r="C781" s="182">
        <f t="shared" si="64"/>
        <v>570875201</v>
      </c>
      <c r="D781" s="182">
        <f t="shared" si="64"/>
        <v>579479682</v>
      </c>
      <c r="E781" s="198">
        <f>E773</f>
        <v>3.2050000000000001</v>
      </c>
      <c r="F781" s="184" t="s">
        <v>178</v>
      </c>
      <c r="G781" s="184">
        <f t="shared" si="65"/>
        <v>-182966</v>
      </c>
      <c r="H781" s="184">
        <f t="shared" si="65"/>
        <v>-185723</v>
      </c>
      <c r="I781" s="198">
        <f>I773</f>
        <v>3.4990000000000001</v>
      </c>
      <c r="J781" s="184" t="s">
        <v>178</v>
      </c>
      <c r="K781" s="184">
        <f t="shared" si="66"/>
        <v>-202760</v>
      </c>
      <c r="M781" s="42">
        <f>-((I781/100)*D781)/100</f>
        <v>-202759.94073180002</v>
      </c>
    </row>
    <row r="782" spans="1:21">
      <c r="A782" s="186" t="s">
        <v>204</v>
      </c>
      <c r="B782" s="1"/>
      <c r="C782" s="182">
        <f t="shared" si="64"/>
        <v>220790</v>
      </c>
      <c r="D782" s="182">
        <f t="shared" si="64"/>
        <v>222465</v>
      </c>
      <c r="E782" s="247">
        <f>E774</f>
        <v>0.45</v>
      </c>
      <c r="F782" s="184"/>
      <c r="G782" s="184">
        <f t="shared" si="65"/>
        <v>-993</v>
      </c>
      <c r="H782" s="184">
        <f t="shared" si="65"/>
        <v>-1001</v>
      </c>
      <c r="I782" s="247">
        <f>I774</f>
        <v>0.45</v>
      </c>
      <c r="J782" s="184"/>
      <c r="K782" s="184">
        <f t="shared" si="66"/>
        <v>-1001</v>
      </c>
      <c r="M782" s="42">
        <f>-(I782/100)*D782</f>
        <v>-1001.0925000000001</v>
      </c>
    </row>
    <row r="783" spans="1:21">
      <c r="A783" s="172" t="s">
        <v>279</v>
      </c>
      <c r="B783" s="1"/>
      <c r="C783" s="182">
        <f t="shared" si="64"/>
        <v>204</v>
      </c>
      <c r="D783" s="182">
        <f t="shared" si="64"/>
        <v>201</v>
      </c>
      <c r="E783" s="200">
        <v>60</v>
      </c>
      <c r="F783" s="200"/>
      <c r="G783" s="184">
        <f t="shared" si="65"/>
        <v>12240</v>
      </c>
      <c r="H783" s="184">
        <f t="shared" si="65"/>
        <v>12060</v>
      </c>
      <c r="I783" s="200">
        <v>60</v>
      </c>
      <c r="J783" s="184"/>
      <c r="K783" s="184">
        <f t="shared" si="66"/>
        <v>12060</v>
      </c>
      <c r="M783" s="42">
        <f>I783*D783</f>
        <v>12060</v>
      </c>
      <c r="O783" s="8">
        <f>(I783-E783)/E783</f>
        <v>0</v>
      </c>
    </row>
    <row r="784" spans="1:21">
      <c r="A784" s="172" t="s">
        <v>248</v>
      </c>
      <c r="B784" s="1"/>
      <c r="C784" s="182">
        <f t="shared" si="64"/>
        <v>1188375</v>
      </c>
      <c r="D784" s="182">
        <f t="shared" si="64"/>
        <v>1149247</v>
      </c>
      <c r="E784" s="200">
        <v>-0.3</v>
      </c>
      <c r="F784" s="184"/>
      <c r="G784" s="184">
        <f t="shared" si="65"/>
        <v>-356513</v>
      </c>
      <c r="H784" s="184">
        <f t="shared" si="65"/>
        <v>-344774</v>
      </c>
      <c r="I784" s="200">
        <v>-0.75</v>
      </c>
      <c r="J784" s="184"/>
      <c r="K784" s="184">
        <f t="shared" si="66"/>
        <v>-861936</v>
      </c>
      <c r="M784" s="42">
        <f>I784*D784</f>
        <v>-861935.25</v>
      </c>
      <c r="O784" s="101">
        <v>1.0864172229701943</v>
      </c>
    </row>
    <row r="785" spans="1:17">
      <c r="A785" s="1" t="s">
        <v>185</v>
      </c>
      <c r="B785" s="1"/>
      <c r="C785" s="182">
        <f t="shared" si="64"/>
        <v>871959257</v>
      </c>
      <c r="D785" s="182">
        <f t="shared" si="64"/>
        <v>892786385.17848599</v>
      </c>
      <c r="E785" s="193"/>
      <c r="F785" s="2"/>
      <c r="G785" s="2">
        <f t="shared" si="65"/>
        <v>39580317</v>
      </c>
      <c r="H785" s="2">
        <f t="shared" si="65"/>
        <v>40276639</v>
      </c>
      <c r="I785" s="2"/>
      <c r="J785" s="1"/>
      <c r="K785" s="2">
        <f t="shared" si="66"/>
        <v>43480541</v>
      </c>
      <c r="M785" s="42">
        <f>SUM(M766:M784)</f>
        <v>43480543.043228194</v>
      </c>
    </row>
    <row r="786" spans="1:17">
      <c r="A786" s="1" t="s">
        <v>167</v>
      </c>
      <c r="B786" s="1"/>
      <c r="C786" s="182">
        <f t="shared" si="64"/>
        <v>-15462158.225744508</v>
      </c>
      <c r="D786" s="182">
        <f t="shared" si="64"/>
        <v>0</v>
      </c>
      <c r="E786" s="172"/>
      <c r="F786" s="172"/>
      <c r="G786" s="204">
        <f t="shared" si="65"/>
        <v>-584107.65036853903</v>
      </c>
      <c r="H786" s="204">
        <f t="shared" si="65"/>
        <v>0</v>
      </c>
      <c r="I786" s="172"/>
      <c r="J786" s="172"/>
      <c r="K786" s="204">
        <f t="shared" si="66"/>
        <v>0</v>
      </c>
      <c r="Q786" s="139"/>
    </row>
    <row r="787" spans="1:17" ht="16.5" thickBot="1">
      <c r="A787" s="1" t="s">
        <v>186</v>
      </c>
      <c r="B787" s="1"/>
      <c r="C787" s="256">
        <f>SUM(C785)+C786</f>
        <v>856497098.77425551</v>
      </c>
      <c r="D787" s="256">
        <f>SUM(D773)+D786</f>
        <v>892786384</v>
      </c>
      <c r="E787" s="205"/>
      <c r="F787" s="206"/>
      <c r="G787" s="207">
        <f>G785+G786</f>
        <v>38996209.349631459</v>
      </c>
      <c r="H787" s="207">
        <f>H785+H786</f>
        <v>40276639</v>
      </c>
      <c r="I787" s="205"/>
      <c r="J787" s="208"/>
      <c r="K787" s="207">
        <f>K785+K786</f>
        <v>43480541</v>
      </c>
      <c r="N787" s="3" t="s">
        <v>168</v>
      </c>
      <c r="O787" s="33" t="e">
        <f>#REF!*1000</f>
        <v>#REF!</v>
      </c>
    </row>
    <row r="788" spans="1:17" ht="16.5" thickTop="1">
      <c r="A788" s="1"/>
      <c r="B788" s="1"/>
      <c r="C788" s="12"/>
      <c r="D788" s="12"/>
      <c r="E788" s="200"/>
      <c r="F788" s="2"/>
      <c r="G788" s="2"/>
      <c r="H788" s="2"/>
      <c r="I788" s="216" t="s">
        <v>13</v>
      </c>
      <c r="J788" s="1"/>
      <c r="K788" s="2" t="s">
        <v>13</v>
      </c>
      <c r="N788" s="3" t="s">
        <v>114</v>
      </c>
      <c r="O788" s="33" t="e">
        <f>O787-K787</f>
        <v>#REF!</v>
      </c>
      <c r="P788" s="139" t="e">
        <f>(O787-K787)/K787</f>
        <v>#REF!</v>
      </c>
    </row>
    <row r="789" spans="1:17">
      <c r="A789" s="1"/>
      <c r="B789" s="1"/>
      <c r="C789" s="12"/>
      <c r="D789" s="12"/>
      <c r="E789" s="200"/>
      <c r="F789" s="2"/>
      <c r="G789" s="2"/>
      <c r="H789" s="2"/>
      <c r="I789" s="200"/>
      <c r="J789" s="1"/>
      <c r="K789" s="243"/>
    </row>
    <row r="790" spans="1:17">
      <c r="A790" s="156" t="s">
        <v>280</v>
      </c>
      <c r="B790" s="1"/>
      <c r="C790" s="1"/>
      <c r="D790" s="1"/>
      <c r="E790" s="2"/>
      <c r="F790" s="2"/>
      <c r="G790" s="1"/>
      <c r="H790" s="1"/>
      <c r="I790" s="2"/>
      <c r="J790" s="1"/>
      <c r="K790" s="1"/>
      <c r="M790" s="101"/>
      <c r="N790" s="42"/>
      <c r="O790" s="259" t="e">
        <f>O788+O761</f>
        <v>#REF!</v>
      </c>
    </row>
    <row r="791" spans="1:17">
      <c r="A791" s="172" t="s">
        <v>282</v>
      </c>
      <c r="B791" s="1"/>
      <c r="C791" s="1"/>
      <c r="D791" s="1"/>
      <c r="E791" s="2"/>
      <c r="F791" s="2"/>
      <c r="G791" s="1"/>
      <c r="H791" s="1"/>
      <c r="I791" s="2"/>
      <c r="J791" s="1"/>
      <c r="K791" s="1"/>
    </row>
    <row r="792" spans="1:17">
      <c r="A792" s="186"/>
      <c r="B792" s="1"/>
      <c r="C792" s="1"/>
      <c r="D792" s="1"/>
      <c r="E792" s="2"/>
      <c r="F792" s="2"/>
      <c r="G792" s="1"/>
      <c r="H792" s="1"/>
      <c r="I792" s="2"/>
      <c r="J792" s="1"/>
      <c r="K792" s="1"/>
    </row>
    <row r="793" spans="1:17">
      <c r="A793" s="186" t="s">
        <v>197</v>
      </c>
      <c r="B793" s="1"/>
      <c r="C793" s="182"/>
      <c r="D793" s="182"/>
      <c r="E793" s="2"/>
      <c r="F793" s="2"/>
      <c r="G793" s="1"/>
      <c r="H793" s="1"/>
      <c r="I793" s="2"/>
      <c r="J793" s="1"/>
      <c r="K793" s="1"/>
    </row>
    <row r="794" spans="1:17">
      <c r="A794" s="186" t="s">
        <v>275</v>
      </c>
      <c r="B794" s="1"/>
      <c r="C794" s="182">
        <f>C822+C850</f>
        <v>690</v>
      </c>
      <c r="D794" s="182">
        <f>D822+D850</f>
        <v>680</v>
      </c>
      <c r="E794" s="200">
        <v>1100</v>
      </c>
      <c r="F794" s="200"/>
      <c r="G794" s="2">
        <f>G822+G850</f>
        <v>759000</v>
      </c>
      <c r="H794" s="2">
        <f>H822+H850</f>
        <v>748000</v>
      </c>
      <c r="I794" s="200">
        <f>$I$766</f>
        <v>1205</v>
      </c>
      <c r="J794" s="184"/>
      <c r="K794" s="2">
        <f>K822+K850</f>
        <v>819400</v>
      </c>
    </row>
    <row r="795" spans="1:17">
      <c r="A795" s="186" t="s">
        <v>276</v>
      </c>
      <c r="B795" s="1"/>
      <c r="C795" s="182">
        <f>C823+C851</f>
        <v>62</v>
      </c>
      <c r="D795" s="182">
        <f>D823+D851</f>
        <v>62</v>
      </c>
      <c r="E795" s="200">
        <v>1325</v>
      </c>
      <c r="F795" s="200"/>
      <c r="G795" s="2">
        <f>G823+G851</f>
        <v>82150</v>
      </c>
      <c r="H795" s="2">
        <f>H823+H851</f>
        <v>82150</v>
      </c>
      <c r="I795" s="200">
        <f>$I$767</f>
        <v>1450</v>
      </c>
      <c r="J795" s="187"/>
      <c r="K795" s="2">
        <f>K823+K851</f>
        <v>89900</v>
      </c>
    </row>
    <row r="796" spans="1:17">
      <c r="A796" s="186" t="s">
        <v>198</v>
      </c>
      <c r="B796" s="1"/>
      <c r="C796" s="182">
        <f>SUM(C794:C795)</f>
        <v>752</v>
      </c>
      <c r="D796" s="182">
        <f>SUM(D794:D795)</f>
        <v>742</v>
      </c>
      <c r="E796" s="200" t="s">
        <v>13</v>
      </c>
      <c r="F796" s="200"/>
      <c r="G796" s="2"/>
      <c r="H796" s="2"/>
      <c r="I796" s="200" t="s">
        <v>13</v>
      </c>
      <c r="J796" s="184"/>
      <c r="K796" s="2"/>
    </row>
    <row r="797" spans="1:17">
      <c r="A797" s="186" t="s">
        <v>277</v>
      </c>
      <c r="B797" s="1"/>
      <c r="C797" s="182">
        <f t="shared" ref="C797:D799" si="67">C825+C853</f>
        <v>928030</v>
      </c>
      <c r="D797" s="182">
        <f t="shared" si="67"/>
        <v>950060</v>
      </c>
      <c r="E797" s="200">
        <v>0.83</v>
      </c>
      <c r="F797" s="200"/>
      <c r="G797" s="2">
        <f t="shared" ref="G797:H799" si="68">G825+G853</f>
        <v>770265</v>
      </c>
      <c r="H797" s="2">
        <f t="shared" si="68"/>
        <v>788550</v>
      </c>
      <c r="I797" s="200">
        <f>$I$769</f>
        <v>0.91</v>
      </c>
      <c r="J797" s="184"/>
      <c r="K797" s="2">
        <f>K825+K853</f>
        <v>864554</v>
      </c>
    </row>
    <row r="798" spans="1:17">
      <c r="A798" s="186" t="s">
        <v>278</v>
      </c>
      <c r="B798" s="1"/>
      <c r="C798" s="182">
        <f t="shared" si="67"/>
        <v>868981</v>
      </c>
      <c r="D798" s="182">
        <f t="shared" si="67"/>
        <v>918946</v>
      </c>
      <c r="E798" s="200">
        <v>0.76</v>
      </c>
      <c r="F798" s="200"/>
      <c r="G798" s="2">
        <f t="shared" si="68"/>
        <v>660425</v>
      </c>
      <c r="H798" s="2">
        <f t="shared" si="68"/>
        <v>698399</v>
      </c>
      <c r="I798" s="200">
        <f>$I$770</f>
        <v>0.83</v>
      </c>
      <c r="J798" s="184"/>
      <c r="K798" s="2">
        <f>K826+K854</f>
        <v>762725</v>
      </c>
    </row>
    <row r="799" spans="1:17">
      <c r="A799" s="172" t="s">
        <v>207</v>
      </c>
      <c r="B799" s="1"/>
      <c r="C799" s="182">
        <f t="shared" si="67"/>
        <v>1581133</v>
      </c>
      <c r="D799" s="182">
        <f t="shared" si="67"/>
        <v>1649003</v>
      </c>
      <c r="E799" s="200">
        <v>5.52</v>
      </c>
      <c r="F799" s="200"/>
      <c r="G799" s="2">
        <f t="shared" si="68"/>
        <v>8727854</v>
      </c>
      <c r="H799" s="2">
        <f t="shared" si="68"/>
        <v>9102497</v>
      </c>
      <c r="I799" s="200">
        <f>$I$771</f>
        <v>6.03</v>
      </c>
      <c r="J799" s="184"/>
      <c r="K799" s="2">
        <f>K827+K855</f>
        <v>9943488</v>
      </c>
    </row>
    <row r="800" spans="1:17">
      <c r="A800" s="186" t="s">
        <v>230</v>
      </c>
      <c r="B800" s="1"/>
      <c r="C800" s="182"/>
      <c r="D800" s="182"/>
      <c r="E800" s="200" t="s">
        <v>13</v>
      </c>
      <c r="F800" s="200"/>
      <c r="G800" s="2"/>
      <c r="H800" s="2"/>
      <c r="I800" s="200" t="s">
        <v>13</v>
      </c>
      <c r="J800" s="184"/>
      <c r="K800" s="2"/>
    </row>
    <row r="801" spans="1:15">
      <c r="A801" s="186" t="s">
        <v>268</v>
      </c>
      <c r="B801" s="1"/>
      <c r="C801" s="182">
        <f>C829+C857</f>
        <v>828270257</v>
      </c>
      <c r="D801" s="182">
        <f>D829+D857</f>
        <v>866308148</v>
      </c>
      <c r="E801" s="258">
        <v>3.2050000000000001</v>
      </c>
      <c r="F801" s="184" t="s">
        <v>178</v>
      </c>
      <c r="G801" s="2">
        <f>G829+G857</f>
        <v>26546062</v>
      </c>
      <c r="H801" s="2">
        <f>H829+H857</f>
        <v>27765176</v>
      </c>
      <c r="I801" s="258">
        <f>$I$773</f>
        <v>3.4990000000000001</v>
      </c>
      <c r="J801" s="184" t="s">
        <v>178</v>
      </c>
      <c r="K801" s="2">
        <f>K829+K857</f>
        <v>30312122</v>
      </c>
    </row>
    <row r="802" spans="1:15">
      <c r="A802" s="186" t="s">
        <v>204</v>
      </c>
      <c r="B802" s="1"/>
      <c r="C802" s="182">
        <f>C830+C858</f>
        <v>389844</v>
      </c>
      <c r="D802" s="182">
        <f>D830+D858</f>
        <v>409856</v>
      </c>
      <c r="E802" s="200">
        <v>0.45</v>
      </c>
      <c r="F802" s="184"/>
      <c r="G802" s="2">
        <f>G830+G858</f>
        <v>175429</v>
      </c>
      <c r="H802" s="2">
        <f>H830+H858</f>
        <v>184436</v>
      </c>
      <c r="I802" s="200">
        <f>$I$774</f>
        <v>0.45</v>
      </c>
      <c r="J802" s="184"/>
      <c r="K802" s="2">
        <f>K830+K858</f>
        <v>184436</v>
      </c>
    </row>
    <row r="803" spans="1:15">
      <c r="A803" s="223" t="s">
        <v>205</v>
      </c>
      <c r="B803" s="1"/>
      <c r="C803" s="182"/>
      <c r="D803" s="182"/>
      <c r="E803" s="195">
        <v>-0.01</v>
      </c>
      <c r="F803" s="195"/>
      <c r="G803" s="2"/>
      <c r="H803" s="2"/>
      <c r="I803" s="195">
        <f>$I$775</f>
        <v>-0.01</v>
      </c>
      <c r="J803" s="224"/>
      <c r="K803" s="2"/>
    </row>
    <row r="804" spans="1:15">
      <c r="A804" s="186" t="s">
        <v>275</v>
      </c>
      <c r="B804" s="1"/>
      <c r="C804" s="182">
        <f t="shared" ref="C804:D814" si="69">C832+C860</f>
        <v>155</v>
      </c>
      <c r="D804" s="182">
        <f t="shared" si="69"/>
        <v>152</v>
      </c>
      <c r="E804" s="197">
        <f>E794</f>
        <v>1100</v>
      </c>
      <c r="F804" s="197"/>
      <c r="G804" s="184">
        <f t="shared" ref="G804:H814" si="70">G832+G860</f>
        <v>-1705</v>
      </c>
      <c r="H804" s="184">
        <f t="shared" si="70"/>
        <v>-1672</v>
      </c>
      <c r="I804" s="197">
        <f>I794</f>
        <v>1205</v>
      </c>
      <c r="J804" s="184"/>
      <c r="K804" s="184">
        <f t="shared" ref="K804:K814" si="71">K832+K860</f>
        <v>-1832</v>
      </c>
    </row>
    <row r="805" spans="1:15">
      <c r="A805" s="186" t="s">
        <v>276</v>
      </c>
      <c r="B805" s="1"/>
      <c r="C805" s="182">
        <f t="shared" si="69"/>
        <v>37</v>
      </c>
      <c r="D805" s="182">
        <f t="shared" si="69"/>
        <v>37</v>
      </c>
      <c r="E805" s="197">
        <f>E795</f>
        <v>1325</v>
      </c>
      <c r="F805" s="197"/>
      <c r="G805" s="184">
        <f t="shared" si="70"/>
        <v>-491</v>
      </c>
      <c r="H805" s="184">
        <f t="shared" si="70"/>
        <v>-491</v>
      </c>
      <c r="I805" s="197">
        <f>I795</f>
        <v>1450</v>
      </c>
      <c r="J805" s="184"/>
      <c r="K805" s="184">
        <f t="shared" si="71"/>
        <v>-537</v>
      </c>
    </row>
    <row r="806" spans="1:15">
      <c r="A806" s="186" t="s">
        <v>277</v>
      </c>
      <c r="B806" s="1"/>
      <c r="C806" s="182">
        <f t="shared" si="69"/>
        <v>215573</v>
      </c>
      <c r="D806" s="182">
        <f t="shared" si="69"/>
        <v>213423</v>
      </c>
      <c r="E806" s="197">
        <f>E797</f>
        <v>0.83</v>
      </c>
      <c r="F806" s="197"/>
      <c r="G806" s="184">
        <f t="shared" si="70"/>
        <v>-1789</v>
      </c>
      <c r="H806" s="184">
        <f t="shared" si="70"/>
        <v>-1771</v>
      </c>
      <c r="I806" s="197">
        <f>I797</f>
        <v>0.91</v>
      </c>
      <c r="J806" s="184"/>
      <c r="K806" s="184">
        <f t="shared" si="71"/>
        <v>-1942</v>
      </c>
    </row>
    <row r="807" spans="1:15">
      <c r="A807" s="186" t="s">
        <v>278</v>
      </c>
      <c r="B807" s="1"/>
      <c r="C807" s="182">
        <f t="shared" si="69"/>
        <v>767778</v>
      </c>
      <c r="D807" s="182">
        <f t="shared" si="69"/>
        <v>811567</v>
      </c>
      <c r="E807" s="197">
        <f>E798</f>
        <v>0.76</v>
      </c>
      <c r="F807" s="197"/>
      <c r="G807" s="184">
        <f t="shared" si="70"/>
        <v>-5835</v>
      </c>
      <c r="H807" s="184">
        <f t="shared" si="70"/>
        <v>-6168</v>
      </c>
      <c r="I807" s="197">
        <f>I798</f>
        <v>0.83</v>
      </c>
      <c r="J807" s="184"/>
      <c r="K807" s="184">
        <f t="shared" si="71"/>
        <v>-6736</v>
      </c>
    </row>
    <row r="808" spans="1:15">
      <c r="A808" s="172" t="s">
        <v>207</v>
      </c>
      <c r="B808" s="243"/>
      <c r="C808" s="182">
        <f t="shared" si="69"/>
        <v>911586</v>
      </c>
      <c r="D808" s="182">
        <f t="shared" si="69"/>
        <v>952260</v>
      </c>
      <c r="E808" s="197">
        <f>E799</f>
        <v>5.52</v>
      </c>
      <c r="F808" s="200"/>
      <c r="G808" s="184">
        <f t="shared" si="70"/>
        <v>-50319</v>
      </c>
      <c r="H808" s="184">
        <f t="shared" si="70"/>
        <v>-52565</v>
      </c>
      <c r="I808" s="197">
        <f>I799</f>
        <v>6.03</v>
      </c>
      <c r="J808" s="184"/>
      <c r="K808" s="184">
        <f t="shared" si="71"/>
        <v>-57421</v>
      </c>
    </row>
    <row r="809" spans="1:15">
      <c r="A809" s="186" t="s">
        <v>268</v>
      </c>
      <c r="B809" s="1"/>
      <c r="C809" s="182">
        <f t="shared" si="69"/>
        <v>527186201</v>
      </c>
      <c r="D809" s="182">
        <f t="shared" si="69"/>
        <v>553001446</v>
      </c>
      <c r="E809" s="198">
        <f>E801</f>
        <v>3.2050000000000001</v>
      </c>
      <c r="F809" s="184" t="s">
        <v>178</v>
      </c>
      <c r="G809" s="184">
        <f t="shared" si="70"/>
        <v>-168964</v>
      </c>
      <c r="H809" s="184">
        <f t="shared" si="70"/>
        <v>-177237</v>
      </c>
      <c r="I809" s="198">
        <f>I801</f>
        <v>3.4990000000000001</v>
      </c>
      <c r="J809" s="184" t="s">
        <v>178</v>
      </c>
      <c r="K809" s="184">
        <f t="shared" si="71"/>
        <v>-193495</v>
      </c>
    </row>
    <row r="810" spans="1:15">
      <c r="A810" s="186" t="s">
        <v>204</v>
      </c>
      <c r="B810" s="1"/>
      <c r="C810" s="182">
        <f t="shared" si="69"/>
        <v>197802</v>
      </c>
      <c r="D810" s="182">
        <f t="shared" si="69"/>
        <v>208533</v>
      </c>
      <c r="E810" s="247">
        <f>E802</f>
        <v>0.45</v>
      </c>
      <c r="F810" s="184"/>
      <c r="G810" s="184">
        <f t="shared" si="70"/>
        <v>-890</v>
      </c>
      <c r="H810" s="184">
        <f t="shared" si="70"/>
        <v>-938</v>
      </c>
      <c r="I810" s="247">
        <f>I802</f>
        <v>0.45</v>
      </c>
      <c r="J810" s="184"/>
      <c r="K810" s="184">
        <f t="shared" si="71"/>
        <v>-938</v>
      </c>
    </row>
    <row r="811" spans="1:15">
      <c r="A811" s="172" t="s">
        <v>279</v>
      </c>
      <c r="B811" s="1"/>
      <c r="C811" s="182">
        <f t="shared" si="69"/>
        <v>192</v>
      </c>
      <c r="D811" s="182">
        <f t="shared" si="69"/>
        <v>189</v>
      </c>
      <c r="E811" s="200">
        <v>60</v>
      </c>
      <c r="F811" s="200"/>
      <c r="G811" s="184">
        <f t="shared" si="70"/>
        <v>11520</v>
      </c>
      <c r="H811" s="184">
        <f t="shared" si="70"/>
        <v>11340</v>
      </c>
      <c r="I811" s="200">
        <f>$I$783</f>
        <v>60</v>
      </c>
      <c r="J811" s="184"/>
      <c r="K811" s="184">
        <f t="shared" si="71"/>
        <v>11340</v>
      </c>
    </row>
    <row r="812" spans="1:15">
      <c r="A812" s="172" t="s">
        <v>248</v>
      </c>
      <c r="B812" s="1"/>
      <c r="C812" s="182">
        <f t="shared" si="69"/>
        <v>983351</v>
      </c>
      <c r="D812" s="182">
        <f t="shared" si="69"/>
        <v>1024990</v>
      </c>
      <c r="E812" s="200">
        <v>-0.3</v>
      </c>
      <c r="F812" s="184"/>
      <c r="G812" s="184">
        <f t="shared" si="70"/>
        <v>-295006</v>
      </c>
      <c r="H812" s="184">
        <f t="shared" si="70"/>
        <v>-307497</v>
      </c>
      <c r="I812" s="200">
        <f>$I$784</f>
        <v>-0.75</v>
      </c>
      <c r="J812" s="184"/>
      <c r="K812" s="184">
        <f t="shared" si="71"/>
        <v>-768743</v>
      </c>
    </row>
    <row r="813" spans="1:15">
      <c r="A813" s="1" t="s">
        <v>185</v>
      </c>
      <c r="B813" s="1"/>
      <c r="C813" s="182">
        <f t="shared" si="69"/>
        <v>828270257</v>
      </c>
      <c r="D813" s="182">
        <f t="shared" si="69"/>
        <v>866308148.72444463</v>
      </c>
      <c r="E813" s="193"/>
      <c r="F813" s="2"/>
      <c r="G813" s="2">
        <f t="shared" si="70"/>
        <v>37207706</v>
      </c>
      <c r="H813" s="2">
        <f t="shared" si="70"/>
        <v>38832209</v>
      </c>
      <c r="I813" s="2"/>
      <c r="J813" s="1"/>
      <c r="K813" s="2">
        <f t="shared" si="71"/>
        <v>41956321</v>
      </c>
    </row>
    <row r="814" spans="1:15">
      <c r="A814" s="1" t="s">
        <v>167</v>
      </c>
      <c r="B814" s="1"/>
      <c r="C814" s="182">
        <f t="shared" si="69"/>
        <v>-14477401.998794576</v>
      </c>
      <c r="D814" s="182">
        <f t="shared" si="69"/>
        <v>0</v>
      </c>
      <c r="E814" s="172"/>
      <c r="F814" s="172"/>
      <c r="G814" s="204">
        <f t="shared" si="70"/>
        <v>-539028.47841944266</v>
      </c>
      <c r="H814" s="204">
        <f t="shared" si="70"/>
        <v>0</v>
      </c>
      <c r="I814" s="172"/>
      <c r="J814" s="172"/>
      <c r="K814" s="204">
        <f t="shared" si="71"/>
        <v>0</v>
      </c>
      <c r="M814" s="152"/>
      <c r="N814" s="152"/>
      <c r="O814" s="153"/>
    </row>
    <row r="815" spans="1:15" ht="16.5" thickBot="1">
      <c r="A815" s="1" t="s">
        <v>186</v>
      </c>
      <c r="B815" s="1"/>
      <c r="C815" s="256">
        <f>SUM(C813)+C814</f>
        <v>813792855.00120544</v>
      </c>
      <c r="D815" s="256">
        <f>SUM(D801)+D814</f>
        <v>866308148</v>
      </c>
      <c r="E815" s="205"/>
      <c r="F815" s="206"/>
      <c r="G815" s="207">
        <f>G813+G814</f>
        <v>36668677.521580555</v>
      </c>
      <c r="H815" s="207">
        <f>H813+H814</f>
        <v>38832209</v>
      </c>
      <c r="I815" s="205"/>
      <c r="J815" s="208"/>
      <c r="K815" s="207">
        <f>K813+K814</f>
        <v>41956321</v>
      </c>
      <c r="M815" s="154"/>
      <c r="N815" s="154"/>
      <c r="O815" s="155"/>
    </row>
    <row r="816" spans="1:15" ht="16.5" thickTop="1">
      <c r="A816" s="1"/>
      <c r="B816" s="1"/>
      <c r="C816" s="12"/>
      <c r="D816" s="12"/>
      <c r="E816" s="200"/>
      <c r="F816" s="2"/>
      <c r="G816" s="2"/>
      <c r="H816" s="2"/>
      <c r="I816" s="216" t="s">
        <v>13</v>
      </c>
      <c r="J816" s="1"/>
      <c r="K816" s="2" t="s">
        <v>13</v>
      </c>
    </row>
    <row r="817" spans="1:11">
      <c r="A817" s="1"/>
      <c r="B817" s="1"/>
      <c r="C817" s="12"/>
      <c r="D817" s="12"/>
      <c r="E817" s="200"/>
      <c r="F817" s="2"/>
      <c r="G817" s="2"/>
      <c r="H817" s="2"/>
      <c r="I817" s="200"/>
      <c r="J817" s="1"/>
      <c r="K817" s="243"/>
    </row>
    <row r="818" spans="1:11">
      <c r="A818" s="156" t="s">
        <v>280</v>
      </c>
      <c r="B818" s="1"/>
      <c r="C818" s="1"/>
      <c r="D818" s="1"/>
      <c r="E818" s="2"/>
      <c r="F818" s="2"/>
      <c r="G818" s="1"/>
      <c r="H818" s="1"/>
      <c r="I818" s="2"/>
      <c r="J818" s="1"/>
      <c r="K818" s="1"/>
    </row>
    <row r="819" spans="1:11">
      <c r="A819" s="172" t="s">
        <v>283</v>
      </c>
      <c r="B819" s="1"/>
      <c r="C819" s="1"/>
      <c r="D819" s="1"/>
      <c r="E819" s="2"/>
      <c r="F819" s="2"/>
      <c r="G819" s="1"/>
      <c r="H819" s="1"/>
      <c r="I819" s="2"/>
      <c r="J819" s="1"/>
      <c r="K819" s="1"/>
    </row>
    <row r="820" spans="1:11">
      <c r="A820" s="186"/>
      <c r="B820" s="1"/>
      <c r="C820" s="1"/>
      <c r="D820" s="1"/>
      <c r="E820" s="2"/>
      <c r="F820" s="2"/>
      <c r="G820" s="1"/>
      <c r="H820" s="1"/>
      <c r="I820" s="2"/>
      <c r="J820" s="1"/>
      <c r="K820" s="1"/>
    </row>
    <row r="821" spans="1:11">
      <c r="A821" s="186" t="s">
        <v>197</v>
      </c>
      <c r="B821" s="1"/>
      <c r="C821" s="182"/>
      <c r="D821" s="182"/>
      <c r="E821" s="2"/>
      <c r="F821" s="2"/>
      <c r="G821" s="1"/>
      <c r="H821" s="1"/>
      <c r="I821" s="2"/>
      <c r="J821" s="1"/>
      <c r="K821" s="1"/>
    </row>
    <row r="822" spans="1:11">
      <c r="A822" s="186" t="s">
        <v>275</v>
      </c>
      <c r="B822" s="1"/>
      <c r="C822" s="182">
        <f>133+193</f>
        <v>326</v>
      </c>
      <c r="D822" s="182">
        <v>318</v>
      </c>
      <c r="E822" s="200">
        <v>1100</v>
      </c>
      <c r="F822" s="200"/>
      <c r="G822" s="2">
        <f>ROUND(E822*$C822,0)</f>
        <v>358600</v>
      </c>
      <c r="H822" s="2">
        <f>ROUND(E822*$D822,0)</f>
        <v>349800</v>
      </c>
      <c r="I822" s="200">
        <f>$I$766</f>
        <v>1205</v>
      </c>
      <c r="J822" s="184"/>
      <c r="K822" s="2">
        <f>ROUND(I822*$D822,0)</f>
        <v>383190</v>
      </c>
    </row>
    <row r="823" spans="1:11">
      <c r="A823" s="186" t="s">
        <v>276</v>
      </c>
      <c r="B823" s="1"/>
      <c r="C823" s="182">
        <v>11</v>
      </c>
      <c r="D823" s="182">
        <v>11</v>
      </c>
      <c r="E823" s="200">
        <v>1325</v>
      </c>
      <c r="F823" s="200"/>
      <c r="G823" s="2">
        <f>ROUND(E823*$C823,0)</f>
        <v>14575</v>
      </c>
      <c r="H823" s="2">
        <f>ROUND(E823*$D823,0)</f>
        <v>14575</v>
      </c>
      <c r="I823" s="200">
        <f>$I$767</f>
        <v>1450</v>
      </c>
      <c r="J823" s="187"/>
      <c r="K823" s="2">
        <f>ROUND(I823*$D823,0)</f>
        <v>15950</v>
      </c>
    </row>
    <row r="824" spans="1:11">
      <c r="A824" s="186" t="s">
        <v>198</v>
      </c>
      <c r="B824" s="1"/>
      <c r="C824" s="182">
        <f>SUM(C822:C823)</f>
        <v>337</v>
      </c>
      <c r="D824" s="182">
        <f>SUM(D822:D823)</f>
        <v>329</v>
      </c>
      <c r="E824" s="200" t="s">
        <v>13</v>
      </c>
      <c r="F824" s="200"/>
      <c r="G824" s="2" t="s">
        <v>13</v>
      </c>
      <c r="H824" s="2" t="s">
        <v>13</v>
      </c>
      <c r="I824" s="200" t="s">
        <v>13</v>
      </c>
      <c r="J824" s="184"/>
      <c r="K824" s="2" t="s">
        <v>13</v>
      </c>
    </row>
    <row r="825" spans="1:11">
      <c r="A825" s="186" t="s">
        <v>277</v>
      </c>
      <c r="B825" s="1"/>
      <c r="C825" s="182">
        <f>192047+242158</f>
        <v>434205</v>
      </c>
      <c r="D825" s="182">
        <f>ROUND((C825/$C$841)*$D$841,0)</f>
        <v>426097</v>
      </c>
      <c r="E825" s="200">
        <v>0.83</v>
      </c>
      <c r="F825" s="200"/>
      <c r="G825" s="2">
        <f>ROUND(E825*$C825,0)</f>
        <v>360390</v>
      </c>
      <c r="H825" s="2">
        <f>ROUND(E825*$D825,0)</f>
        <v>353661</v>
      </c>
      <c r="I825" s="200">
        <f>$I$769</f>
        <v>0.91</v>
      </c>
      <c r="J825" s="184"/>
      <c r="K825" s="2">
        <f>ROUND(I825*$D825,0)</f>
        <v>387748</v>
      </c>
    </row>
    <row r="826" spans="1:11">
      <c r="A826" s="186" t="s">
        <v>278</v>
      </c>
      <c r="B826" s="1"/>
      <c r="C826" s="182">
        <f>38508</f>
        <v>38508</v>
      </c>
      <c r="D826" s="182">
        <f>ROUND((C826/$C$841)*$D$841,0)</f>
        <v>37789</v>
      </c>
      <c r="E826" s="200">
        <v>0.76</v>
      </c>
      <c r="F826" s="200"/>
      <c r="G826" s="2">
        <f>ROUND(E826*$C826,0)</f>
        <v>29266</v>
      </c>
      <c r="H826" s="2">
        <f>ROUND(E826*$D826,0)</f>
        <v>28720</v>
      </c>
      <c r="I826" s="200">
        <f>$I$770</f>
        <v>0.83</v>
      </c>
      <c r="J826" s="184"/>
      <c r="K826" s="2">
        <f>ROUND(I826*$D826,0)</f>
        <v>31365</v>
      </c>
    </row>
    <row r="827" spans="1:11">
      <c r="A827" s="172" t="s">
        <v>207</v>
      </c>
      <c r="B827" s="1"/>
      <c r="C827" s="182">
        <f>152840+171467+34863</f>
        <v>359170</v>
      </c>
      <c r="D827" s="182">
        <f>ROUND((C827/$C$841)*$D$841,0)</f>
        <v>352463</v>
      </c>
      <c r="E827" s="200">
        <v>5.52</v>
      </c>
      <c r="F827" s="200"/>
      <c r="G827" s="2">
        <f>ROUND(E827*$C827,0)</f>
        <v>1982618</v>
      </c>
      <c r="H827" s="2">
        <f>ROUND(E827*$D827,0)</f>
        <v>1945596</v>
      </c>
      <c r="I827" s="200">
        <f>$I$771</f>
        <v>6.03</v>
      </c>
      <c r="J827" s="184"/>
      <c r="K827" s="2">
        <f>ROUND(I827*$D827,0)</f>
        <v>2125352</v>
      </c>
    </row>
    <row r="828" spans="1:11">
      <c r="A828" s="186" t="s">
        <v>230</v>
      </c>
      <c r="B828" s="1"/>
      <c r="C828" s="182"/>
      <c r="D828" s="182"/>
      <c r="E828" s="200" t="s">
        <v>13</v>
      </c>
      <c r="F828" s="200"/>
      <c r="G828" s="2"/>
      <c r="H828" s="2"/>
      <c r="I828" s="200" t="s">
        <v>13</v>
      </c>
      <c r="J828" s="184"/>
      <c r="K828" s="2"/>
    </row>
    <row r="829" spans="1:11">
      <c r="A829" s="186" t="s">
        <v>268</v>
      </c>
      <c r="B829" s="1"/>
      <c r="C829" s="182">
        <f>61181500+18604800+77195004</f>
        <v>156981304</v>
      </c>
      <c r="D829" s="182">
        <f>ROUND((C829/$C$841)*$D$841,0)</f>
        <v>154050076</v>
      </c>
      <c r="E829" s="258">
        <v>3.2050000000000001</v>
      </c>
      <c r="F829" s="184" t="s">
        <v>178</v>
      </c>
      <c r="G829" s="2">
        <f>ROUND(E829/100*$C829,0)</f>
        <v>5031251</v>
      </c>
      <c r="H829" s="2">
        <f>ROUND(E829/100*$D829,0)</f>
        <v>4937305</v>
      </c>
      <c r="I829" s="258">
        <f>$I$773</f>
        <v>3.4990000000000001</v>
      </c>
      <c r="J829" s="184" t="s">
        <v>178</v>
      </c>
      <c r="K829" s="2">
        <f>ROUND(I829/100*$D829,0)</f>
        <v>5390212</v>
      </c>
    </row>
    <row r="830" spans="1:11">
      <c r="A830" s="186" t="s">
        <v>204</v>
      </c>
      <c r="B830" s="1"/>
      <c r="C830" s="182">
        <f>13550+3280+30593</f>
        <v>47423</v>
      </c>
      <c r="D830" s="182">
        <f>ROUND((C830/$C$841)*$D$841,0)</f>
        <v>46537</v>
      </c>
      <c r="E830" s="200">
        <v>0.45</v>
      </c>
      <c r="F830" s="184"/>
      <c r="G830" s="2">
        <f>ROUND(E830*$C830,0)</f>
        <v>21340</v>
      </c>
      <c r="H830" s="2">
        <f>ROUND(E830*$D830,0)</f>
        <v>20942</v>
      </c>
      <c r="I830" s="200">
        <f>$I$774</f>
        <v>0.45</v>
      </c>
      <c r="J830" s="184"/>
      <c r="K830" s="2">
        <f>ROUND(I830*$D830,0)</f>
        <v>20942</v>
      </c>
    </row>
    <row r="831" spans="1:11">
      <c r="A831" s="223" t="s">
        <v>205</v>
      </c>
      <c r="B831" s="1"/>
      <c r="C831" s="182"/>
      <c r="D831" s="182"/>
      <c r="E831" s="195">
        <v>-0.01</v>
      </c>
      <c r="F831" s="195"/>
      <c r="G831" s="2"/>
      <c r="H831" s="2"/>
      <c r="I831" s="195">
        <f>$I$775</f>
        <v>-0.01</v>
      </c>
      <c r="J831" s="224"/>
      <c r="K831" s="2"/>
    </row>
    <row r="832" spans="1:11">
      <c r="A832" s="186" t="s">
        <v>275</v>
      </c>
      <c r="B832" s="1"/>
      <c r="C832" s="182">
        <v>133</v>
      </c>
      <c r="D832" s="182">
        <v>130</v>
      </c>
      <c r="E832" s="197">
        <f>E822</f>
        <v>1100</v>
      </c>
      <c r="F832" s="197"/>
      <c r="G832" s="184">
        <f>ROUND(E832*$C832*$E$803,0)</f>
        <v>-1463</v>
      </c>
      <c r="H832" s="184">
        <f>ROUND(E832*$D832*$E$803,0)</f>
        <v>-1430</v>
      </c>
      <c r="I832" s="197">
        <f>I822</f>
        <v>1205</v>
      </c>
      <c r="J832" s="184"/>
      <c r="K832" s="184">
        <f>ROUND(I832*$D832*$E$803,0)</f>
        <v>-1567</v>
      </c>
    </row>
    <row r="833" spans="1:15">
      <c r="A833" s="186" t="s">
        <v>276</v>
      </c>
      <c r="B833" s="1"/>
      <c r="C833" s="182">
        <v>11</v>
      </c>
      <c r="D833" s="182">
        <v>11</v>
      </c>
      <c r="E833" s="197">
        <f>E823</f>
        <v>1325</v>
      </c>
      <c r="F833" s="197"/>
      <c r="G833" s="184">
        <f>ROUND(E833*$C833*$E$803,0)</f>
        <v>-146</v>
      </c>
      <c r="H833" s="184">
        <f>ROUND(E833*$D833*$E$803,0)</f>
        <v>-146</v>
      </c>
      <c r="I833" s="197">
        <f>I823</f>
        <v>1450</v>
      </c>
      <c r="J833" s="184"/>
      <c r="K833" s="184">
        <f>ROUND(I833*$D833*$E$803,0)</f>
        <v>-160</v>
      </c>
    </row>
    <row r="834" spans="1:15">
      <c r="A834" s="186" t="s">
        <v>277</v>
      </c>
      <c r="B834" s="1"/>
      <c r="C834" s="182">
        <v>192047</v>
      </c>
      <c r="D834" s="182">
        <f>ROUND((C834/$C$841)*$D$841,0)</f>
        <v>188461</v>
      </c>
      <c r="E834" s="197">
        <f>E825</f>
        <v>0.83</v>
      </c>
      <c r="F834" s="197"/>
      <c r="G834" s="184">
        <f>ROUND(E834*$C834*$E$803,0)</f>
        <v>-1594</v>
      </c>
      <c r="H834" s="184">
        <f>ROUND(E834*$D834*$E$803,0)</f>
        <v>-1564</v>
      </c>
      <c r="I834" s="197">
        <f>I825</f>
        <v>0.91</v>
      </c>
      <c r="J834" s="184"/>
      <c r="K834" s="184">
        <f>ROUND(I834*$D834*$E$803,0)</f>
        <v>-1715</v>
      </c>
    </row>
    <row r="835" spans="1:15">
      <c r="A835" s="186" t="s">
        <v>278</v>
      </c>
      <c r="B835" s="1"/>
      <c r="C835" s="182">
        <v>38508</v>
      </c>
      <c r="D835" s="182">
        <f>ROUND((C835/$C$841)*$D$841,0)</f>
        <v>37789</v>
      </c>
      <c r="E835" s="197">
        <f>E826</f>
        <v>0.76</v>
      </c>
      <c r="F835" s="197"/>
      <c r="G835" s="184">
        <f>ROUND(E835*$C835*$E$803,0)</f>
        <v>-293</v>
      </c>
      <c r="H835" s="184">
        <f>ROUND(E835*$D835*$E$803,0)</f>
        <v>-287</v>
      </c>
      <c r="I835" s="197">
        <f>I826</f>
        <v>0.83</v>
      </c>
      <c r="J835" s="184"/>
      <c r="K835" s="184">
        <f>ROUND(I835*$D835*$E$803,0)</f>
        <v>-314</v>
      </c>
    </row>
    <row r="836" spans="1:15">
      <c r="A836" s="172" t="s">
        <v>207</v>
      </c>
      <c r="B836" s="243"/>
      <c r="C836" s="182">
        <f>152840+34863</f>
        <v>187703</v>
      </c>
      <c r="D836" s="182">
        <f>ROUND((C836/$C$841)*$D$841,0)</f>
        <v>184198</v>
      </c>
      <c r="E836" s="197">
        <f>E827</f>
        <v>5.52</v>
      </c>
      <c r="F836" s="200"/>
      <c r="G836" s="184">
        <f>ROUND(E836*$C836*$E$803,0)</f>
        <v>-10361</v>
      </c>
      <c r="H836" s="184">
        <f>ROUND(E836*$D836*$E$803,0)</f>
        <v>-10168</v>
      </c>
      <c r="I836" s="197">
        <f>I827</f>
        <v>6.03</v>
      </c>
      <c r="J836" s="184"/>
      <c r="K836" s="184">
        <f>ROUND(I836*$D836*$E$803,0)</f>
        <v>-11107</v>
      </c>
    </row>
    <row r="837" spans="1:15">
      <c r="A837" s="186" t="s">
        <v>268</v>
      </c>
      <c r="B837" s="1"/>
      <c r="C837" s="182">
        <f>61181500+18604800</f>
        <v>79786300</v>
      </c>
      <c r="D837" s="182">
        <f>ROUND((C837/$C$841)*$D$841,0)</f>
        <v>78296493</v>
      </c>
      <c r="E837" s="198">
        <f>E829</f>
        <v>3.2050000000000001</v>
      </c>
      <c r="F837" s="184" t="s">
        <v>178</v>
      </c>
      <c r="G837" s="184">
        <f>ROUND(E837/100*$C837*$E$803,0)</f>
        <v>-25572</v>
      </c>
      <c r="H837" s="184">
        <f>ROUND(E837/100*$D837*$E$803,0)</f>
        <v>-25094</v>
      </c>
      <c r="I837" s="198">
        <f>I829</f>
        <v>3.4990000000000001</v>
      </c>
      <c r="J837" s="184" t="s">
        <v>178</v>
      </c>
      <c r="K837" s="184">
        <f>ROUND(I837/100*$D837*$E$803,0)</f>
        <v>-27396</v>
      </c>
    </row>
    <row r="838" spans="1:15">
      <c r="A838" s="186" t="s">
        <v>204</v>
      </c>
      <c r="B838" s="1"/>
      <c r="C838" s="182">
        <f>13550+3280</f>
        <v>16830</v>
      </c>
      <c r="D838" s="182">
        <f>ROUND((C838/$C$841)*$D$841,0)</f>
        <v>16516</v>
      </c>
      <c r="E838" s="247">
        <f>E830</f>
        <v>0.45</v>
      </c>
      <c r="F838" s="184"/>
      <c r="G838" s="184">
        <f>ROUND(E838*$C838*$E$803,0)</f>
        <v>-76</v>
      </c>
      <c r="H838" s="184">
        <f>ROUND(E838*$D838*$E$803,0)</f>
        <v>-74</v>
      </c>
      <c r="I838" s="247">
        <f>I830</f>
        <v>0.45</v>
      </c>
      <c r="J838" s="184"/>
      <c r="K838" s="184">
        <f>ROUND(I838*$D838*$E$803,0)</f>
        <v>-74</v>
      </c>
    </row>
    <row r="839" spans="1:15">
      <c r="A839" s="172" t="s">
        <v>279</v>
      </c>
      <c r="B839" s="1"/>
      <c r="C839" s="182">
        <f>133+11</f>
        <v>144</v>
      </c>
      <c r="D839" s="182">
        <v>141</v>
      </c>
      <c r="E839" s="200">
        <v>60</v>
      </c>
      <c r="F839" s="200"/>
      <c r="G839" s="184">
        <f>ROUND(E839*$C839,0)</f>
        <v>8640</v>
      </c>
      <c r="H839" s="184">
        <f>ROUND(E839*$D839,0)</f>
        <v>8460</v>
      </c>
      <c r="I839" s="200">
        <f>$I$783</f>
        <v>60</v>
      </c>
      <c r="J839" s="184"/>
      <c r="K839" s="184">
        <f>ROUND(I839*$D839,0)</f>
        <v>8460</v>
      </c>
    </row>
    <row r="840" spans="1:15">
      <c r="A840" s="172" t="s">
        <v>248</v>
      </c>
      <c r="B840" s="1"/>
      <c r="C840" s="182">
        <f>192047+38508</f>
        <v>230555</v>
      </c>
      <c r="D840" s="182">
        <f>ROUND((C840/$C$841)*$D$841,0)</f>
        <v>226250</v>
      </c>
      <c r="E840" s="200">
        <v>-0.3</v>
      </c>
      <c r="F840" s="184"/>
      <c r="G840" s="184">
        <f>ROUND(E840*$C840,0)</f>
        <v>-69167</v>
      </c>
      <c r="H840" s="184">
        <f>ROUND(E840*$D840,0)</f>
        <v>-67875</v>
      </c>
      <c r="I840" s="200">
        <f>$I$784</f>
        <v>-0.75</v>
      </c>
      <c r="J840" s="184"/>
      <c r="K840" s="184">
        <f>ROUND(I840*$D840,0)</f>
        <v>-169688</v>
      </c>
    </row>
    <row r="841" spans="1:15">
      <c r="A841" s="1" t="s">
        <v>185</v>
      </c>
      <c r="B841" s="1"/>
      <c r="C841" s="182">
        <f>C829</f>
        <v>156981304</v>
      </c>
      <c r="D841" s="182">
        <v>154050076.39425009</v>
      </c>
      <c r="E841" s="193"/>
      <c r="F841" s="2"/>
      <c r="G841" s="2">
        <f>SUM(G822:G840)</f>
        <v>7698008</v>
      </c>
      <c r="H841" s="2">
        <f>SUM(H822:H840)</f>
        <v>7552421</v>
      </c>
      <c r="I841" s="193"/>
      <c r="J841" s="1"/>
      <c r="K841" s="2">
        <f>SUM(K822:K840)</f>
        <v>8151198</v>
      </c>
    </row>
    <row r="842" spans="1:15">
      <c r="A842" s="1" t="s">
        <v>167</v>
      </c>
      <c r="B842" s="1"/>
      <c r="C842" s="182">
        <v>687227.4909941873</v>
      </c>
      <c r="D842" s="182">
        <v>0</v>
      </c>
      <c r="E842" s="172"/>
      <c r="F842" s="172"/>
      <c r="G842" s="204">
        <v>28763.430775107623</v>
      </c>
      <c r="H842" s="204">
        <v>0</v>
      </c>
      <c r="I842" s="172"/>
      <c r="J842" s="172"/>
      <c r="K842" s="204">
        <v>0</v>
      </c>
      <c r="M842" s="152"/>
      <c r="N842" s="152"/>
      <c r="O842" s="153"/>
    </row>
    <row r="843" spans="1:15" ht="16.5" thickBot="1">
      <c r="A843" s="1" t="s">
        <v>186</v>
      </c>
      <c r="B843" s="1"/>
      <c r="C843" s="256">
        <f>SUM(C841)+C842</f>
        <v>157668531.49099419</v>
      </c>
      <c r="D843" s="256">
        <f>SUM(D829)+D842</f>
        <v>154050076</v>
      </c>
      <c r="E843" s="205"/>
      <c r="F843" s="206"/>
      <c r="G843" s="207">
        <f>G841+G842</f>
        <v>7726771.4307751078</v>
      </c>
      <c r="H843" s="207">
        <f>H841+H842</f>
        <v>7552421</v>
      </c>
      <c r="I843" s="205"/>
      <c r="J843" s="208"/>
      <c r="K843" s="207">
        <f>K841+K842</f>
        <v>8151198</v>
      </c>
      <c r="M843" s="154"/>
      <c r="N843" s="154"/>
      <c r="O843" s="155"/>
    </row>
    <row r="844" spans="1:15" ht="16.5" thickTop="1">
      <c r="A844" s="1"/>
      <c r="B844" s="1"/>
      <c r="C844" s="12"/>
      <c r="D844" s="12"/>
      <c r="E844" s="200"/>
      <c r="F844" s="2"/>
      <c r="G844" s="2"/>
      <c r="H844" s="2"/>
      <c r="I844" s="216" t="s">
        <v>13</v>
      </c>
      <c r="J844" s="1"/>
      <c r="K844" s="2" t="s">
        <v>13</v>
      </c>
    </row>
    <row r="845" spans="1:15">
      <c r="A845" s="1"/>
      <c r="B845" s="1"/>
      <c r="C845" s="12"/>
      <c r="D845" s="12"/>
      <c r="E845" s="200"/>
      <c r="F845" s="2"/>
      <c r="G845" s="2"/>
      <c r="H845" s="2"/>
      <c r="I845" s="200"/>
      <c r="J845" s="1"/>
      <c r="K845" s="243"/>
    </row>
    <row r="846" spans="1:15">
      <c r="A846" s="156" t="s">
        <v>280</v>
      </c>
      <c r="B846" s="1"/>
      <c r="C846" s="1"/>
      <c r="D846" s="1"/>
      <c r="E846" s="2"/>
      <c r="F846" s="2"/>
      <c r="G846" s="1"/>
      <c r="H846" s="1"/>
      <c r="I846" s="2"/>
      <c r="J846" s="1"/>
      <c r="K846" s="1"/>
    </row>
    <row r="847" spans="1:15">
      <c r="A847" s="172" t="s">
        <v>284</v>
      </c>
      <c r="B847" s="1"/>
      <c r="C847" s="1"/>
      <c r="D847" s="1"/>
      <c r="E847" s="2"/>
      <c r="F847" s="2"/>
      <c r="G847" s="1"/>
      <c r="H847" s="1"/>
      <c r="I847" s="2"/>
      <c r="J847" s="1"/>
      <c r="K847" s="1"/>
    </row>
    <row r="848" spans="1:15">
      <c r="A848" s="186"/>
      <c r="B848" s="1"/>
      <c r="C848" s="1"/>
      <c r="D848" s="1"/>
      <c r="E848" s="2"/>
      <c r="F848" s="2"/>
      <c r="G848" s="1"/>
      <c r="H848" s="1"/>
      <c r="I848" s="2"/>
      <c r="J848" s="1"/>
      <c r="K848" s="1"/>
    </row>
    <row r="849" spans="1:11">
      <c r="A849" s="186" t="s">
        <v>197</v>
      </c>
      <c r="B849" s="1"/>
      <c r="C849" s="182"/>
      <c r="D849" s="182"/>
      <c r="E849" s="2"/>
      <c r="F849" s="2"/>
      <c r="G849" s="1"/>
      <c r="H849" s="1"/>
      <c r="I849" s="2"/>
      <c r="J849" s="1"/>
      <c r="K849" s="1"/>
    </row>
    <row r="850" spans="1:11">
      <c r="A850" s="186" t="s">
        <v>275</v>
      </c>
      <c r="B850" s="1"/>
      <c r="C850" s="182">
        <f>22+336+6</f>
        <v>364</v>
      </c>
      <c r="D850" s="182">
        <v>362</v>
      </c>
      <c r="E850" s="200">
        <v>1100</v>
      </c>
      <c r="F850" s="200"/>
      <c r="G850" s="2">
        <f>ROUND(E850*$C850,0)</f>
        <v>400400</v>
      </c>
      <c r="H850" s="2">
        <f>ROUND(E850*$D850,0)</f>
        <v>398200</v>
      </c>
      <c r="I850" s="200">
        <f>$I$766</f>
        <v>1205</v>
      </c>
      <c r="J850" s="184"/>
      <c r="K850" s="2">
        <f>ROUND(I850*$D850,0)</f>
        <v>436210</v>
      </c>
    </row>
    <row r="851" spans="1:11">
      <c r="A851" s="186" t="s">
        <v>276</v>
      </c>
      <c r="B851" s="1"/>
      <c r="C851" s="182">
        <f>26+25</f>
        <v>51</v>
      </c>
      <c r="D851" s="182">
        <v>51</v>
      </c>
      <c r="E851" s="200">
        <v>1325</v>
      </c>
      <c r="F851" s="200"/>
      <c r="G851" s="2">
        <f>ROUND(E851*$C851,0)</f>
        <v>67575</v>
      </c>
      <c r="H851" s="2">
        <f>ROUND(E851*$D851,0)</f>
        <v>67575</v>
      </c>
      <c r="I851" s="200">
        <f>$I$767</f>
        <v>1450</v>
      </c>
      <c r="J851" s="187"/>
      <c r="K851" s="2">
        <f>ROUND(I851*$D851,0)</f>
        <v>73950</v>
      </c>
    </row>
    <row r="852" spans="1:11">
      <c r="A852" s="186" t="s">
        <v>198</v>
      </c>
      <c r="B852" s="1"/>
      <c r="C852" s="182">
        <f>SUM(C850:C851)</f>
        <v>415</v>
      </c>
      <c r="D852" s="182">
        <f>SUM(D850:D851)</f>
        <v>413</v>
      </c>
      <c r="E852" s="200" t="s">
        <v>13</v>
      </c>
      <c r="F852" s="200"/>
      <c r="G852" s="2" t="s">
        <v>13</v>
      </c>
      <c r="H852" s="2" t="s">
        <v>13</v>
      </c>
      <c r="I852" s="200" t="s">
        <v>13</v>
      </c>
      <c r="J852" s="184"/>
      <c r="K852" s="2" t="s">
        <v>13</v>
      </c>
    </row>
    <row r="853" spans="1:11">
      <c r="A853" s="186" t="s">
        <v>277</v>
      </c>
      <c r="B853" s="1"/>
      <c r="C853" s="182">
        <f>23526+462664+7635</f>
        <v>493825</v>
      </c>
      <c r="D853" s="182">
        <f>ROUND(($D$869/$C$869)*C853,0)</f>
        <v>523963</v>
      </c>
      <c r="E853" s="200">
        <v>0.83</v>
      </c>
      <c r="F853" s="200"/>
      <c r="G853" s="2">
        <f>ROUND(E853*$C853,0)</f>
        <v>409875</v>
      </c>
      <c r="H853" s="2">
        <f>ROUND(E853*$D853,0)</f>
        <v>434889</v>
      </c>
      <c r="I853" s="200">
        <f>$I$769</f>
        <v>0.91</v>
      </c>
      <c r="J853" s="184"/>
      <c r="K853" s="2">
        <f>ROUND(I853*$D853,0)</f>
        <v>476806</v>
      </c>
    </row>
    <row r="854" spans="1:11">
      <c r="A854" s="186" t="s">
        <v>278</v>
      </c>
      <c r="B854" s="1"/>
      <c r="C854" s="182">
        <f>729270+101203</f>
        <v>830473</v>
      </c>
      <c r="D854" s="182">
        <f>ROUND(($D$869/$C$869)*C854,0)</f>
        <v>881157</v>
      </c>
      <c r="E854" s="200">
        <v>0.76</v>
      </c>
      <c r="F854" s="200"/>
      <c r="G854" s="2">
        <f>ROUND(E854*$C854,0)</f>
        <v>631159</v>
      </c>
      <c r="H854" s="2">
        <f>ROUND(E854*$D854,0)</f>
        <v>669679</v>
      </c>
      <c r="I854" s="200">
        <f>$I$770</f>
        <v>0.83</v>
      </c>
      <c r="J854" s="184"/>
      <c r="K854" s="2">
        <f>ROUND(I854*$D854,0)</f>
        <v>731360</v>
      </c>
    </row>
    <row r="855" spans="1:11">
      <c r="A855" s="172" t="s">
        <v>207</v>
      </c>
      <c r="B855" s="1"/>
      <c r="C855" s="182">
        <f>21282+702601+399599+90949+7532</f>
        <v>1221963</v>
      </c>
      <c r="D855" s="182">
        <f>ROUND(($D$869/$C$869)*C855,0)</f>
        <v>1296540</v>
      </c>
      <c r="E855" s="200">
        <v>5.52</v>
      </c>
      <c r="F855" s="200"/>
      <c r="G855" s="2">
        <f>ROUND(E855*$C855,0)</f>
        <v>6745236</v>
      </c>
      <c r="H855" s="2">
        <f>ROUND(E855*$D855,0)</f>
        <v>7156901</v>
      </c>
      <c r="I855" s="200">
        <f>$I$771</f>
        <v>6.03</v>
      </c>
      <c r="J855" s="184"/>
      <c r="K855" s="2">
        <f>ROUND(I855*$D855,0)</f>
        <v>7818136</v>
      </c>
    </row>
    <row r="856" spans="1:11">
      <c r="A856" s="186" t="s">
        <v>230</v>
      </c>
      <c r="B856" s="1"/>
      <c r="C856" s="182"/>
      <c r="D856" s="182"/>
      <c r="E856" s="200" t="s">
        <v>13</v>
      </c>
      <c r="F856" s="200"/>
      <c r="G856" s="2"/>
      <c r="H856" s="2"/>
      <c r="I856" s="200" t="s">
        <v>13</v>
      </c>
      <c r="J856" s="184"/>
      <c r="K856" s="2"/>
    </row>
    <row r="857" spans="1:11">
      <c r="A857" s="186" t="s">
        <v>268</v>
      </c>
      <c r="B857" s="1"/>
      <c r="C857" s="182">
        <f>6333900+441066001+175276602+45716850+2895600</f>
        <v>671288953</v>
      </c>
      <c r="D857" s="182">
        <f>ROUND(($D$869/$C$869)*C857,0)</f>
        <v>712258072</v>
      </c>
      <c r="E857" s="258">
        <v>3.2050000000000001</v>
      </c>
      <c r="F857" s="184" t="s">
        <v>178</v>
      </c>
      <c r="G857" s="2">
        <f>ROUND(E857/100*$C857,0)</f>
        <v>21514811</v>
      </c>
      <c r="H857" s="2">
        <f>ROUND(E857/100*$D857,0)</f>
        <v>22827871</v>
      </c>
      <c r="I857" s="258">
        <f>$I$773</f>
        <v>3.4990000000000001</v>
      </c>
      <c r="J857" s="184" t="s">
        <v>178</v>
      </c>
      <c r="K857" s="2">
        <f>ROUND(I857/100*$D857,0)</f>
        <v>24921910</v>
      </c>
    </row>
    <row r="858" spans="1:11">
      <c r="A858" s="186" t="s">
        <v>204</v>
      </c>
      <c r="B858" s="1"/>
      <c r="C858" s="182">
        <f>6818+174154+133859+26014+1576</f>
        <v>342421</v>
      </c>
      <c r="D858" s="182">
        <f>ROUND(($D$869/$C$869)*C858,0)</f>
        <v>363319</v>
      </c>
      <c r="E858" s="200">
        <v>0.45</v>
      </c>
      <c r="F858" s="184"/>
      <c r="G858" s="2">
        <f>ROUND(E858*$C858,0)</f>
        <v>154089</v>
      </c>
      <c r="H858" s="2">
        <f>ROUND(E858*$D858,0)</f>
        <v>163494</v>
      </c>
      <c r="I858" s="200">
        <f>$I$774</f>
        <v>0.45</v>
      </c>
      <c r="J858" s="184"/>
      <c r="K858" s="2">
        <f>ROUND(I858*$D858,0)</f>
        <v>163494</v>
      </c>
    </row>
    <row r="859" spans="1:11">
      <c r="A859" s="223" t="s">
        <v>205</v>
      </c>
      <c r="B859" s="1"/>
      <c r="C859" s="182"/>
      <c r="D859" s="182"/>
      <c r="E859" s="195">
        <v>-0.01</v>
      </c>
      <c r="F859" s="195"/>
      <c r="G859" s="2"/>
      <c r="H859" s="2"/>
      <c r="I859" s="195">
        <f>$I$775</f>
        <v>-0.01</v>
      </c>
      <c r="J859" s="224"/>
      <c r="K859" s="2"/>
    </row>
    <row r="860" spans="1:11">
      <c r="A860" s="186" t="s">
        <v>275</v>
      </c>
      <c r="B860" s="1"/>
      <c r="C860" s="182">
        <v>22</v>
      </c>
      <c r="D860" s="182">
        <v>22</v>
      </c>
      <c r="E860" s="197">
        <f>E850</f>
        <v>1100</v>
      </c>
      <c r="F860" s="197"/>
      <c r="G860" s="184">
        <f>ROUND(E860*$C860*$E$803,0)</f>
        <v>-242</v>
      </c>
      <c r="H860" s="184">
        <f>ROUND(E860*$D860*$E$803,0)</f>
        <v>-242</v>
      </c>
      <c r="I860" s="197">
        <f>I850</f>
        <v>1205</v>
      </c>
      <c r="J860" s="184"/>
      <c r="K860" s="184">
        <f>ROUND(I860*$D860*$E$803,0)</f>
        <v>-265</v>
      </c>
    </row>
    <row r="861" spans="1:11">
      <c r="A861" s="186" t="s">
        <v>276</v>
      </c>
      <c r="B861" s="1"/>
      <c r="C861" s="182">
        <v>26</v>
      </c>
      <c r="D861" s="182">
        <v>26</v>
      </c>
      <c r="E861" s="197">
        <f>E851</f>
        <v>1325</v>
      </c>
      <c r="F861" s="197"/>
      <c r="G861" s="184">
        <f>ROUND(E861*$C861*$E$803,0)</f>
        <v>-345</v>
      </c>
      <c r="H861" s="184">
        <f>ROUND(E861*$D861*$E$803,0)</f>
        <v>-345</v>
      </c>
      <c r="I861" s="197">
        <f>I851</f>
        <v>1450</v>
      </c>
      <c r="J861" s="184"/>
      <c r="K861" s="184">
        <f>ROUND(I861*$D861*$E$803,0)</f>
        <v>-377</v>
      </c>
    </row>
    <row r="862" spans="1:11">
      <c r="A862" s="186" t="s">
        <v>277</v>
      </c>
      <c r="B862" s="1"/>
      <c r="C862" s="182">
        <v>23526</v>
      </c>
      <c r="D862" s="182">
        <f>ROUND(($D$869/$C$869)*C862,0)</f>
        <v>24962</v>
      </c>
      <c r="E862" s="197">
        <f>E853</f>
        <v>0.83</v>
      </c>
      <c r="F862" s="197"/>
      <c r="G862" s="184">
        <f>ROUND(E862*$C862*$E$803,0)</f>
        <v>-195</v>
      </c>
      <c r="H862" s="184">
        <f>ROUND(E862*$D862*$E$803,0)</f>
        <v>-207</v>
      </c>
      <c r="I862" s="197">
        <f>I853</f>
        <v>0.91</v>
      </c>
      <c r="J862" s="184"/>
      <c r="K862" s="184">
        <f>ROUND(I862*$D862*$E$803,0)</f>
        <v>-227</v>
      </c>
    </row>
    <row r="863" spans="1:11">
      <c r="A863" s="186" t="s">
        <v>278</v>
      </c>
      <c r="B863" s="1"/>
      <c r="C863" s="182">
        <f>729270</f>
        <v>729270</v>
      </c>
      <c r="D863" s="182">
        <f>ROUND(($D$869/$C$869)*C863,0)</f>
        <v>773778</v>
      </c>
      <c r="E863" s="197">
        <f>E854</f>
        <v>0.76</v>
      </c>
      <c r="F863" s="197"/>
      <c r="G863" s="184">
        <f>ROUND(E863*$C863*$E$803,0)</f>
        <v>-5542</v>
      </c>
      <c r="H863" s="184">
        <f>ROUND(E863*$D863*$E$803,0)</f>
        <v>-5881</v>
      </c>
      <c r="I863" s="197">
        <f>I854</f>
        <v>0.83</v>
      </c>
      <c r="J863" s="184"/>
      <c r="K863" s="184">
        <f>ROUND(I863*$D863*$E$803,0)</f>
        <v>-6422</v>
      </c>
    </row>
    <row r="864" spans="1:11">
      <c r="A864" s="172" t="s">
        <v>207</v>
      </c>
      <c r="B864" s="243"/>
      <c r="C864" s="182">
        <f>21282+702601</f>
        <v>723883</v>
      </c>
      <c r="D864" s="182">
        <f>ROUND(($D$869/$C$869)*C864,0)</f>
        <v>768062</v>
      </c>
      <c r="E864" s="197">
        <f>E855</f>
        <v>5.52</v>
      </c>
      <c r="F864" s="200"/>
      <c r="G864" s="184">
        <f>ROUND(E864*$C864*$E$803,0)</f>
        <v>-39958</v>
      </c>
      <c r="H864" s="184">
        <f>ROUND(E864*$D864*$E$803,0)</f>
        <v>-42397</v>
      </c>
      <c r="I864" s="197">
        <f>I855</f>
        <v>6.03</v>
      </c>
      <c r="J864" s="184"/>
      <c r="K864" s="184">
        <f>ROUND(I864*$D864*$E$803,0)</f>
        <v>-46314</v>
      </c>
    </row>
    <row r="865" spans="1:15">
      <c r="A865" s="186" t="s">
        <v>268</v>
      </c>
      <c r="B865" s="1"/>
      <c r="C865" s="182">
        <f>6333900+441066001</f>
        <v>447399901</v>
      </c>
      <c r="D865" s="182">
        <f>ROUND(($D$869/$C$869)*C865,0)</f>
        <v>474704953</v>
      </c>
      <c r="E865" s="198">
        <f>E857</f>
        <v>3.2050000000000001</v>
      </c>
      <c r="F865" s="184" t="s">
        <v>178</v>
      </c>
      <c r="G865" s="184">
        <f>ROUND(E865/100*$C865*$E$803,0)</f>
        <v>-143392</v>
      </c>
      <c r="H865" s="184">
        <f>ROUND(E865/100*$D865*$E$803,0)</f>
        <v>-152143</v>
      </c>
      <c r="I865" s="198">
        <f>I857</f>
        <v>3.4990000000000001</v>
      </c>
      <c r="J865" s="184" t="s">
        <v>178</v>
      </c>
      <c r="K865" s="184">
        <f>ROUND(I865/100*$D865*$E$803,0)</f>
        <v>-166099</v>
      </c>
    </row>
    <row r="866" spans="1:15">
      <c r="A866" s="186" t="s">
        <v>204</v>
      </c>
      <c r="B866" s="1"/>
      <c r="C866" s="182">
        <f>6818+174154</f>
        <v>180972</v>
      </c>
      <c r="D866" s="182">
        <f>ROUND(($D$869/$C$869)*C866,0)</f>
        <v>192017</v>
      </c>
      <c r="E866" s="247">
        <f>E858</f>
        <v>0.45</v>
      </c>
      <c r="F866" s="184"/>
      <c r="G866" s="184">
        <f>ROUND(E866*$C866*$E$803,0)</f>
        <v>-814</v>
      </c>
      <c r="H866" s="184">
        <f>ROUND(E866*$D866*$E$803,0)</f>
        <v>-864</v>
      </c>
      <c r="I866" s="247">
        <f>I858</f>
        <v>0.45</v>
      </c>
      <c r="J866" s="184"/>
      <c r="K866" s="184">
        <f>ROUND(I866*$D866*$E$803,0)</f>
        <v>-864</v>
      </c>
    </row>
    <row r="867" spans="1:15">
      <c r="A867" s="172" t="s">
        <v>279</v>
      </c>
      <c r="B867" s="1"/>
      <c r="C867" s="182">
        <f>22+26</f>
        <v>48</v>
      </c>
      <c r="D867" s="182">
        <v>48</v>
      </c>
      <c r="E867" s="200">
        <v>60</v>
      </c>
      <c r="F867" s="200"/>
      <c r="G867" s="184">
        <f>ROUND(E867*$C867,0)</f>
        <v>2880</v>
      </c>
      <c r="H867" s="184">
        <f>ROUND(E867*$D867,0)</f>
        <v>2880</v>
      </c>
      <c r="I867" s="200">
        <f>$I$783</f>
        <v>60</v>
      </c>
      <c r="J867" s="184"/>
      <c r="K867" s="184">
        <f>ROUND(I867*$D867,0)</f>
        <v>2880</v>
      </c>
    </row>
    <row r="868" spans="1:15">
      <c r="A868" s="172" t="s">
        <v>248</v>
      </c>
      <c r="B868" s="1"/>
      <c r="C868" s="182">
        <f>23526+729270</f>
        <v>752796</v>
      </c>
      <c r="D868" s="182">
        <f>ROUND(($D$869/$C$869)*C868,0)</f>
        <v>798740</v>
      </c>
      <c r="E868" s="200">
        <v>-0.3</v>
      </c>
      <c r="F868" s="184"/>
      <c r="G868" s="184">
        <f>ROUND(E868*$C868,0)</f>
        <v>-225839</v>
      </c>
      <c r="H868" s="184">
        <f>ROUND(E868*$D868,0)</f>
        <v>-239622</v>
      </c>
      <c r="I868" s="200">
        <f>$I$784</f>
        <v>-0.75</v>
      </c>
      <c r="J868" s="184"/>
      <c r="K868" s="184">
        <f>ROUND(I868*$D868,0)</f>
        <v>-599055</v>
      </c>
    </row>
    <row r="869" spans="1:15">
      <c r="A869" s="1" t="s">
        <v>185</v>
      </c>
      <c r="B869" s="1"/>
      <c r="C869" s="182">
        <f>C857</f>
        <v>671288953</v>
      </c>
      <c r="D869" s="182">
        <v>712258072.33019459</v>
      </c>
      <c r="E869" s="193"/>
      <c r="F869" s="2"/>
      <c r="G869" s="2">
        <f>SUM(G850:G868)</f>
        <v>29509698</v>
      </c>
      <c r="H869" s="2">
        <f>SUM(H850:H868)</f>
        <v>31279788</v>
      </c>
      <c r="I869" s="193"/>
      <c r="J869" s="1"/>
      <c r="K869" s="2">
        <f>SUM(K850:K868)</f>
        <v>33805123</v>
      </c>
    </row>
    <row r="870" spans="1:15">
      <c r="A870" s="1" t="s">
        <v>167</v>
      </c>
      <c r="B870" s="1"/>
      <c r="C870" s="182">
        <v>-15164629.489788763</v>
      </c>
      <c r="D870" s="182">
        <v>0</v>
      </c>
      <c r="E870" s="172"/>
      <c r="F870" s="172"/>
      <c r="G870" s="204">
        <v>-567791.90919455024</v>
      </c>
      <c r="H870" s="204">
        <v>0</v>
      </c>
      <c r="I870" s="172"/>
      <c r="J870" s="172"/>
      <c r="K870" s="204">
        <v>0</v>
      </c>
      <c r="M870" s="152"/>
      <c r="N870" s="152"/>
      <c r="O870" s="153"/>
    </row>
    <row r="871" spans="1:15" ht="16.5" thickBot="1">
      <c r="A871" s="1" t="s">
        <v>186</v>
      </c>
      <c r="B871" s="1"/>
      <c r="C871" s="256">
        <f>SUM(C869)+C870</f>
        <v>656124323.51021123</v>
      </c>
      <c r="D871" s="256">
        <f>SUM(D857)+D870</f>
        <v>712258072</v>
      </c>
      <c r="E871" s="205"/>
      <c r="F871" s="206"/>
      <c r="G871" s="207">
        <f>G869+G870</f>
        <v>28941906.090805449</v>
      </c>
      <c r="H871" s="207">
        <f>H869+H870</f>
        <v>31279788</v>
      </c>
      <c r="I871" s="205"/>
      <c r="J871" s="208"/>
      <c r="K871" s="207">
        <f>K869+K870</f>
        <v>33805123</v>
      </c>
      <c r="M871" s="154"/>
      <c r="N871" s="154"/>
      <c r="O871" s="155"/>
    </row>
    <row r="872" spans="1:15" ht="16.5" thickTop="1">
      <c r="A872" s="1"/>
      <c r="B872" s="1"/>
      <c r="C872" s="12"/>
      <c r="D872" s="12"/>
      <c r="E872" s="200"/>
      <c r="F872" s="2"/>
      <c r="G872" s="2"/>
      <c r="H872" s="2"/>
      <c r="I872" s="216" t="s">
        <v>13</v>
      </c>
      <c r="J872" s="1"/>
      <c r="K872" s="2" t="s">
        <v>13</v>
      </c>
    </row>
    <row r="873" spans="1:15">
      <c r="A873" s="156" t="s">
        <v>285</v>
      </c>
      <c r="B873" s="1"/>
      <c r="C873" s="1"/>
      <c r="D873" s="1"/>
      <c r="E873" s="2"/>
      <c r="F873" s="2"/>
      <c r="G873" s="1"/>
      <c r="H873" s="1"/>
      <c r="I873" s="2"/>
      <c r="J873" s="1"/>
      <c r="K873" s="1"/>
    </row>
    <row r="874" spans="1:15">
      <c r="A874" s="172" t="s">
        <v>284</v>
      </c>
      <c r="B874" s="1"/>
      <c r="C874" s="1"/>
      <c r="D874" s="1"/>
      <c r="E874" s="2"/>
      <c r="F874" s="2"/>
      <c r="G874" s="1"/>
      <c r="H874" s="1"/>
      <c r="I874" s="2"/>
      <c r="J874" s="1"/>
      <c r="K874" s="1"/>
    </row>
    <row r="875" spans="1:15">
      <c r="A875" s="186"/>
      <c r="B875" s="1"/>
      <c r="C875" s="1"/>
      <c r="D875" s="1"/>
      <c r="E875" s="2"/>
      <c r="F875" s="2"/>
      <c r="G875" s="1"/>
      <c r="H875" s="1"/>
      <c r="I875" s="2"/>
      <c r="J875" s="1"/>
      <c r="K875" s="1"/>
    </row>
    <row r="876" spans="1:15">
      <c r="A876" s="186" t="s">
        <v>197</v>
      </c>
      <c r="B876" s="1"/>
      <c r="C876" s="182"/>
      <c r="D876" s="182"/>
      <c r="E876" s="2"/>
      <c r="F876" s="2"/>
      <c r="G876" s="1"/>
      <c r="H876" s="1"/>
      <c r="I876" s="2"/>
      <c r="J876" s="1"/>
      <c r="K876" s="1"/>
    </row>
    <row r="877" spans="1:15">
      <c r="A877" s="186" t="s">
        <v>275</v>
      </c>
      <c r="B877" s="1"/>
      <c r="C877" s="182">
        <v>0</v>
      </c>
      <c r="D877" s="182">
        <v>0</v>
      </c>
      <c r="E877" s="200">
        <v>1100</v>
      </c>
      <c r="F877" s="200"/>
      <c r="G877" s="2">
        <f>ROUND(E877*$C877,0)</f>
        <v>0</v>
      </c>
      <c r="H877" s="2">
        <f>ROUND(E877*$D877,0)</f>
        <v>0</v>
      </c>
      <c r="I877" s="200">
        <f>$I$766</f>
        <v>1205</v>
      </c>
      <c r="J877" s="184"/>
      <c r="K877" s="2">
        <f>ROUND(I877*$D877,0)</f>
        <v>0</v>
      </c>
    </row>
    <row r="878" spans="1:15">
      <c r="A878" s="186" t="s">
        <v>276</v>
      </c>
      <c r="B878" s="1"/>
      <c r="C878" s="182">
        <v>12</v>
      </c>
      <c r="D878" s="182">
        <v>12</v>
      </c>
      <c r="E878" s="200">
        <v>1325</v>
      </c>
      <c r="F878" s="200"/>
      <c r="G878" s="2">
        <f>ROUND(E878*$C878,0)</f>
        <v>15900</v>
      </c>
      <c r="H878" s="2">
        <f>ROUND(E878*$D878,0)</f>
        <v>15900</v>
      </c>
      <c r="I878" s="200">
        <f>$I$767</f>
        <v>1450</v>
      </c>
      <c r="J878" s="187"/>
      <c r="K878" s="2">
        <f>ROUND(I878*$D878,0)</f>
        <v>17400</v>
      </c>
    </row>
    <row r="879" spans="1:15">
      <c r="A879" s="186" t="s">
        <v>198</v>
      </c>
      <c r="B879" s="1"/>
      <c r="C879" s="182">
        <f>SUM(C877:C878)</f>
        <v>12</v>
      </c>
      <c r="D879" s="182">
        <v>12</v>
      </c>
      <c r="E879" s="200" t="s">
        <v>13</v>
      </c>
      <c r="F879" s="200"/>
      <c r="G879" s="2" t="s">
        <v>13</v>
      </c>
      <c r="H879" s="2" t="s">
        <v>13</v>
      </c>
      <c r="I879" s="200" t="s">
        <v>13</v>
      </c>
      <c r="J879" s="184"/>
      <c r="K879" s="2" t="s">
        <v>13</v>
      </c>
    </row>
    <row r="880" spans="1:15">
      <c r="A880" s="186" t="s">
        <v>277</v>
      </c>
      <c r="B880" s="1"/>
      <c r="C880" s="182">
        <v>0</v>
      </c>
      <c r="D880" s="182">
        <v>0</v>
      </c>
      <c r="E880" s="200">
        <v>0.83</v>
      </c>
      <c r="F880" s="200"/>
      <c r="G880" s="2">
        <f>ROUND(E880*$C880,0)</f>
        <v>0</v>
      </c>
      <c r="H880" s="2">
        <f>ROUND(E880*$D880,0)</f>
        <v>0</v>
      </c>
      <c r="I880" s="200">
        <f>$I$769</f>
        <v>0.91</v>
      </c>
      <c r="J880" s="184"/>
      <c r="K880" s="2">
        <f>ROUND(I880*$D880,0)</f>
        <v>0</v>
      </c>
    </row>
    <row r="881" spans="1:11">
      <c r="A881" s="186" t="s">
        <v>278</v>
      </c>
      <c r="B881" s="1"/>
      <c r="C881" s="182">
        <v>205024</v>
      </c>
      <c r="D881" s="182">
        <f>ROUND(($D$896/$C$896)*C881,0)</f>
        <v>124257</v>
      </c>
      <c r="E881" s="200">
        <v>0.76</v>
      </c>
      <c r="F881" s="200"/>
      <c r="G881" s="2">
        <f>ROUND(E881*$C881,0)</f>
        <v>155818</v>
      </c>
      <c r="H881" s="2">
        <f>ROUND(E881*$D881,0)</f>
        <v>94435</v>
      </c>
      <c r="I881" s="200">
        <f>$I$770</f>
        <v>0.83</v>
      </c>
      <c r="J881" s="184"/>
      <c r="K881" s="2">
        <f>ROUND(I881*$D881,0)</f>
        <v>103133</v>
      </c>
    </row>
    <row r="882" spans="1:11">
      <c r="A882" s="172" t="s">
        <v>207</v>
      </c>
      <c r="B882" s="1"/>
      <c r="C882" s="182">
        <v>158638</v>
      </c>
      <c r="D882" s="182">
        <f>ROUND(($D$896/$C$896)*C882,0)</f>
        <v>96144</v>
      </c>
      <c r="E882" s="200">
        <v>5.52</v>
      </c>
      <c r="F882" s="200"/>
      <c r="G882" s="2">
        <f>ROUND(E882*$C882,0)</f>
        <v>875682</v>
      </c>
      <c r="H882" s="2">
        <f>ROUND(E882*$D882,0)</f>
        <v>530715</v>
      </c>
      <c r="I882" s="200">
        <f>$I$771</f>
        <v>6.03</v>
      </c>
      <c r="J882" s="184"/>
      <c r="K882" s="2">
        <f>ROUND(I882*$D882,0)</f>
        <v>579748</v>
      </c>
    </row>
    <row r="883" spans="1:11">
      <c r="A883" s="186" t="s">
        <v>230</v>
      </c>
      <c r="B883" s="1"/>
      <c r="C883" s="182"/>
      <c r="D883" s="182"/>
      <c r="E883" s="200" t="s">
        <v>13</v>
      </c>
      <c r="F883" s="200"/>
      <c r="G883" s="2"/>
      <c r="H883" s="2"/>
      <c r="I883" s="200" t="s">
        <v>13</v>
      </c>
      <c r="J883" s="184"/>
      <c r="K883" s="2"/>
    </row>
    <row r="884" spans="1:11">
      <c r="A884" s="186" t="s">
        <v>268</v>
      </c>
      <c r="B884" s="1"/>
      <c r="C884" s="182">
        <f>43689000</f>
        <v>43689000</v>
      </c>
      <c r="D884" s="182">
        <f>ROUND(($D$896/$C$896)*C884,0)</f>
        <v>26478236</v>
      </c>
      <c r="E884" s="258">
        <v>3.2050000000000001</v>
      </c>
      <c r="F884" s="184" t="s">
        <v>178</v>
      </c>
      <c r="G884" s="2">
        <f>ROUND(E884/100*$C884,0)</f>
        <v>1400232</v>
      </c>
      <c r="H884" s="2">
        <f>ROUND(E884/100*$D884,0)</f>
        <v>848627</v>
      </c>
      <c r="I884" s="258">
        <f>$I$773</f>
        <v>3.4990000000000001</v>
      </c>
      <c r="J884" s="184" t="s">
        <v>178</v>
      </c>
      <c r="K884" s="2">
        <f>ROUND(I884/100*$D884,0)</f>
        <v>926473</v>
      </c>
    </row>
    <row r="885" spans="1:11">
      <c r="A885" s="186" t="s">
        <v>204</v>
      </c>
      <c r="B885" s="1"/>
      <c r="C885" s="182">
        <v>22988</v>
      </c>
      <c r="D885" s="182">
        <f>ROUND(($D$896/$C$896)*C885,0)</f>
        <v>13932</v>
      </c>
      <c r="E885" s="200">
        <v>0.45</v>
      </c>
      <c r="F885" s="184"/>
      <c r="G885" s="2">
        <f>ROUND(E885*$C885,0)</f>
        <v>10345</v>
      </c>
      <c r="H885" s="2">
        <f>ROUND(E885*$D885,0)</f>
        <v>6269</v>
      </c>
      <c r="I885" s="200">
        <f>$I$774</f>
        <v>0.45</v>
      </c>
      <c r="J885" s="184"/>
      <c r="K885" s="2">
        <f>ROUND(I885*$D885,0)</f>
        <v>6269</v>
      </c>
    </row>
    <row r="886" spans="1:11">
      <c r="A886" s="223" t="s">
        <v>205</v>
      </c>
      <c r="B886" s="1"/>
      <c r="C886" s="182"/>
      <c r="D886" s="182"/>
      <c r="E886" s="195">
        <v>-0.01</v>
      </c>
      <c r="F886" s="195"/>
      <c r="G886" s="2"/>
      <c r="H886" s="2"/>
      <c r="I886" s="195">
        <f>$I$775</f>
        <v>-0.01</v>
      </c>
      <c r="J886" s="224"/>
      <c r="K886" s="2"/>
    </row>
    <row r="887" spans="1:11">
      <c r="A887" s="186" t="s">
        <v>275</v>
      </c>
      <c r="B887" s="1"/>
      <c r="C887" s="182">
        <v>0</v>
      </c>
      <c r="D887" s="182">
        <v>0</v>
      </c>
      <c r="E887" s="197">
        <f>E877</f>
        <v>1100</v>
      </c>
      <c r="F887" s="197"/>
      <c r="G887" s="184">
        <f>ROUND(E887*$C887*$E$803,0)</f>
        <v>0</v>
      </c>
      <c r="H887" s="184">
        <f>ROUND(E887*$D887*$E$803,0)</f>
        <v>0</v>
      </c>
      <c r="I887" s="197">
        <f>I877</f>
        <v>1205</v>
      </c>
      <c r="J887" s="184"/>
      <c r="K887" s="184">
        <f>ROUND(I887*$D887*$E$803,0)</f>
        <v>0</v>
      </c>
    </row>
    <row r="888" spans="1:11">
      <c r="A888" s="186" t="s">
        <v>276</v>
      </c>
      <c r="B888" s="1"/>
      <c r="C888" s="182">
        <v>12</v>
      </c>
      <c r="D888" s="182">
        <v>12</v>
      </c>
      <c r="E888" s="197">
        <f>E878</f>
        <v>1325</v>
      </c>
      <c r="F888" s="197"/>
      <c r="G888" s="184">
        <f>ROUND(E888*$C888*$E$803,0)</f>
        <v>-159</v>
      </c>
      <c r="H888" s="184">
        <f>ROUND(E888*$D888*$E$803,0)</f>
        <v>-159</v>
      </c>
      <c r="I888" s="197">
        <f>I878</f>
        <v>1450</v>
      </c>
      <c r="J888" s="184"/>
      <c r="K888" s="184">
        <f>ROUND(I888*$D888*$E$803,0)</f>
        <v>-174</v>
      </c>
    </row>
    <row r="889" spans="1:11">
      <c r="A889" s="186" t="s">
        <v>277</v>
      </c>
      <c r="B889" s="1"/>
      <c r="C889" s="182">
        <v>0</v>
      </c>
      <c r="D889" s="182">
        <v>0</v>
      </c>
      <c r="E889" s="197">
        <f>E880</f>
        <v>0.83</v>
      </c>
      <c r="F889" s="197"/>
      <c r="G889" s="184">
        <f>ROUND(E889*$C889*$E$803,0)</f>
        <v>0</v>
      </c>
      <c r="H889" s="184">
        <f>ROUND(E889*$D889*$E$803,0)</f>
        <v>0</v>
      </c>
      <c r="I889" s="197">
        <f>I880</f>
        <v>0.91</v>
      </c>
      <c r="J889" s="184"/>
      <c r="K889" s="184">
        <f>ROUND(I889*$D889*$E$803,0)</f>
        <v>0</v>
      </c>
    </row>
    <row r="890" spans="1:11">
      <c r="A890" s="186" t="s">
        <v>278</v>
      </c>
      <c r="B890" s="1"/>
      <c r="C890" s="182">
        <v>205024</v>
      </c>
      <c r="D890" s="182">
        <f>ROUND(($D$896/$C$896)*C890,0)</f>
        <v>124257</v>
      </c>
      <c r="E890" s="197">
        <f>E881</f>
        <v>0.76</v>
      </c>
      <c r="F890" s="197"/>
      <c r="G890" s="184">
        <f>ROUND(E890*$C890*$E$803,0)</f>
        <v>-1558</v>
      </c>
      <c r="H890" s="184">
        <f>ROUND(E890*$D890*$E$803,0)</f>
        <v>-944</v>
      </c>
      <c r="I890" s="197">
        <f>I881</f>
        <v>0.83</v>
      </c>
      <c r="J890" s="184"/>
      <c r="K890" s="184">
        <f>ROUND(I890*$D890*$E$803,0)</f>
        <v>-1031</v>
      </c>
    </row>
    <row r="891" spans="1:11">
      <c r="A891" s="172" t="s">
        <v>207</v>
      </c>
      <c r="B891" s="243"/>
      <c r="C891" s="182">
        <v>158638</v>
      </c>
      <c r="D891" s="182">
        <f>ROUND(($D$896/$C$896)*C891,0)</f>
        <v>96144</v>
      </c>
      <c r="E891" s="197">
        <f>E882</f>
        <v>5.52</v>
      </c>
      <c r="F891" s="200"/>
      <c r="G891" s="184">
        <f>ROUND(E891*$C891*$E$803,0)</f>
        <v>-8757</v>
      </c>
      <c r="H891" s="184">
        <f>ROUND(E891*$D891*$E$803,0)</f>
        <v>-5307</v>
      </c>
      <c r="I891" s="197">
        <f>I882</f>
        <v>6.03</v>
      </c>
      <c r="J891" s="184"/>
      <c r="K891" s="184">
        <f>ROUND(I891*$D891*$E$803,0)</f>
        <v>-5797</v>
      </c>
    </row>
    <row r="892" spans="1:11">
      <c r="A892" s="186" t="s">
        <v>268</v>
      </c>
      <c r="B892" s="1"/>
      <c r="C892" s="182">
        <f>C884</f>
        <v>43689000</v>
      </c>
      <c r="D892" s="182">
        <f>ROUND(($D$896/$C$896)*C892,0)</f>
        <v>26478236</v>
      </c>
      <c r="E892" s="198">
        <f>E884</f>
        <v>3.2050000000000001</v>
      </c>
      <c r="F892" s="184" t="s">
        <v>178</v>
      </c>
      <c r="G892" s="184">
        <f>ROUND(E892/100*$C892*$E$803,0)</f>
        <v>-14002</v>
      </c>
      <c r="H892" s="184">
        <f>ROUND(E892/100*$D892*$E$803,0)</f>
        <v>-8486</v>
      </c>
      <c r="I892" s="198">
        <f>I884</f>
        <v>3.4990000000000001</v>
      </c>
      <c r="J892" s="184" t="s">
        <v>178</v>
      </c>
      <c r="K892" s="184">
        <f>ROUND(I892/100*$D892*$E$803,0)</f>
        <v>-9265</v>
      </c>
    </row>
    <row r="893" spans="1:11">
      <c r="A893" s="186" t="s">
        <v>204</v>
      </c>
      <c r="B893" s="1"/>
      <c r="C893" s="182">
        <v>22988</v>
      </c>
      <c r="D893" s="182">
        <f>ROUND(($D$896/$C$896)*C893,0)</f>
        <v>13932</v>
      </c>
      <c r="E893" s="247">
        <f>E885</f>
        <v>0.45</v>
      </c>
      <c r="F893" s="184"/>
      <c r="G893" s="184">
        <f>ROUND(E893*$C893*$E$803,0)</f>
        <v>-103</v>
      </c>
      <c r="H893" s="184">
        <f>ROUND(E893*$D893*$E$803,0)</f>
        <v>-63</v>
      </c>
      <c r="I893" s="247">
        <f>I885</f>
        <v>0.45</v>
      </c>
      <c r="J893" s="184"/>
      <c r="K893" s="184">
        <f>ROUND(I893*$D893*$E$803,0)</f>
        <v>-63</v>
      </c>
    </row>
    <row r="894" spans="1:11">
      <c r="A894" s="172" t="s">
        <v>279</v>
      </c>
      <c r="B894" s="1"/>
      <c r="C894" s="182">
        <v>12</v>
      </c>
      <c r="D894" s="182">
        <v>12</v>
      </c>
      <c r="E894" s="200">
        <v>60</v>
      </c>
      <c r="F894" s="200"/>
      <c r="G894" s="184">
        <f>ROUND(E894*$C894,0)</f>
        <v>720</v>
      </c>
      <c r="H894" s="184">
        <f>ROUND(E894*$D894,0)</f>
        <v>720</v>
      </c>
      <c r="I894" s="200">
        <f>$I$783</f>
        <v>60</v>
      </c>
      <c r="J894" s="184"/>
      <c r="K894" s="184">
        <f>ROUND(I894*$D894,0)</f>
        <v>720</v>
      </c>
    </row>
    <row r="895" spans="1:11">
      <c r="A895" s="172" t="s">
        <v>248</v>
      </c>
      <c r="B895" s="1"/>
      <c r="C895" s="182">
        <v>205024</v>
      </c>
      <c r="D895" s="182">
        <f>ROUND(($D$896/$C$896)*C895,0)</f>
        <v>124257</v>
      </c>
      <c r="E895" s="200">
        <v>-0.3</v>
      </c>
      <c r="F895" s="184"/>
      <c r="G895" s="184">
        <f>ROUND(E895*$C895,0)</f>
        <v>-61507</v>
      </c>
      <c r="H895" s="184">
        <f>ROUND(E895*$D895,0)</f>
        <v>-37277</v>
      </c>
      <c r="I895" s="200">
        <f>$I$784</f>
        <v>-0.75</v>
      </c>
      <c r="J895" s="184"/>
      <c r="K895" s="184">
        <f>ROUND(I895*$D895,0)</f>
        <v>-93193</v>
      </c>
    </row>
    <row r="896" spans="1:11">
      <c r="A896" s="1" t="s">
        <v>185</v>
      </c>
      <c r="B896" s="1"/>
      <c r="C896" s="182">
        <f>C884</f>
        <v>43689000</v>
      </c>
      <c r="D896" s="182">
        <v>26478236.454041336</v>
      </c>
      <c r="E896" s="193"/>
      <c r="F896" s="2"/>
      <c r="G896" s="2">
        <f>SUM(G877:G895)</f>
        <v>2372611</v>
      </c>
      <c r="H896" s="2">
        <f>SUM(H877:H895)</f>
        <v>1444430</v>
      </c>
      <c r="I896" s="193"/>
      <c r="J896" s="1"/>
      <c r="K896" s="2">
        <f>SUM(K877:K895)</f>
        <v>1524220</v>
      </c>
    </row>
    <row r="897" spans="1:24">
      <c r="A897" s="1" t="s">
        <v>167</v>
      </c>
      <c r="B897" s="1"/>
      <c r="C897" s="182">
        <v>-984756.22694993159</v>
      </c>
      <c r="D897" s="182">
        <v>0</v>
      </c>
      <c r="E897" s="172"/>
      <c r="F897" s="172"/>
      <c r="G897" s="204">
        <v>-45079.171949096344</v>
      </c>
      <c r="H897" s="204">
        <v>0</v>
      </c>
      <c r="I897" s="172"/>
      <c r="J897" s="172"/>
      <c r="K897" s="204">
        <v>0</v>
      </c>
      <c r="M897" s="152"/>
      <c r="N897" s="152"/>
      <c r="O897" s="153"/>
    </row>
    <row r="898" spans="1:24" ht="16.5" thickBot="1">
      <c r="A898" s="1" t="s">
        <v>186</v>
      </c>
      <c r="B898" s="1"/>
      <c r="C898" s="256">
        <f>SUM(C896)+C897</f>
        <v>42704243.77305007</v>
      </c>
      <c r="D898" s="256">
        <f>SUM(D884)+D897</f>
        <v>26478236</v>
      </c>
      <c r="E898" s="205"/>
      <c r="F898" s="206"/>
      <c r="G898" s="207">
        <f>G896+G897</f>
        <v>2327531.8280509035</v>
      </c>
      <c r="H898" s="207">
        <f>H896+H897</f>
        <v>1444430</v>
      </c>
      <c r="I898" s="205"/>
      <c r="J898" s="208"/>
      <c r="K898" s="207">
        <f>K896+K897</f>
        <v>1524220</v>
      </c>
      <c r="M898" s="154"/>
      <c r="N898" s="154"/>
      <c r="O898" s="155"/>
    </row>
    <row r="899" spans="1:24" ht="16.5" thickTop="1">
      <c r="A899" s="1"/>
      <c r="B899" s="1"/>
      <c r="C899" s="12"/>
      <c r="D899" s="12"/>
      <c r="E899" s="200"/>
      <c r="F899" s="2"/>
      <c r="G899" s="2"/>
      <c r="H899" s="2"/>
      <c r="I899" s="216" t="s">
        <v>13</v>
      </c>
      <c r="J899" s="1"/>
      <c r="K899" s="2" t="s">
        <v>13</v>
      </c>
    </row>
    <row r="900" spans="1:24">
      <c r="A900" s="156" t="s">
        <v>286</v>
      </c>
      <c r="B900" s="1"/>
      <c r="C900" s="1"/>
      <c r="D900" s="1"/>
      <c r="E900" s="1"/>
      <c r="F900" s="1"/>
      <c r="G900" s="2"/>
      <c r="H900" s="2"/>
      <c r="I900" s="1"/>
      <c r="J900" s="1"/>
      <c r="K900" s="1"/>
    </row>
    <row r="901" spans="1:24">
      <c r="A901" s="1" t="s">
        <v>287</v>
      </c>
      <c r="B901" s="1"/>
      <c r="C901" s="1"/>
      <c r="D901" s="1"/>
      <c r="E901" s="1"/>
      <c r="F901" s="1"/>
      <c r="G901" s="2"/>
      <c r="H901" s="2"/>
      <c r="I901" s="1"/>
      <c r="J901" s="1"/>
      <c r="K901" s="1"/>
      <c r="M901" s="140"/>
      <c r="N901" s="140"/>
      <c r="O901" s="140"/>
      <c r="P901" s="140"/>
      <c r="Q901" s="140"/>
      <c r="R901" s="140"/>
      <c r="S901" s="140"/>
      <c r="T901" s="140"/>
      <c r="U901" s="140"/>
      <c r="V901" s="140"/>
      <c r="W901" s="140"/>
      <c r="X901" s="140"/>
    </row>
    <row r="902" spans="1:24">
      <c r="A902" s="1"/>
      <c r="B902" s="1"/>
      <c r="C902" s="1"/>
      <c r="D902" s="1"/>
      <c r="E902" s="1"/>
      <c r="F902" s="1"/>
      <c r="G902" s="2"/>
      <c r="H902" s="2"/>
      <c r="I902" s="1"/>
      <c r="J902" s="1"/>
      <c r="K902" s="1"/>
      <c r="M902" s="140"/>
      <c r="N902" s="140"/>
      <c r="O902" s="140"/>
      <c r="P902" s="140"/>
      <c r="Q902" s="140"/>
      <c r="R902" s="140"/>
      <c r="S902" s="140"/>
      <c r="T902" s="140"/>
      <c r="U902" s="140"/>
      <c r="V902" s="140"/>
      <c r="W902" s="140"/>
      <c r="X902" s="140"/>
    </row>
    <row r="903" spans="1:24">
      <c r="A903" s="1" t="s">
        <v>288</v>
      </c>
      <c r="B903" s="1"/>
      <c r="C903" s="1"/>
      <c r="D903" s="1"/>
      <c r="E903" s="1"/>
      <c r="F903" s="1"/>
      <c r="G903" s="2"/>
      <c r="H903" s="2"/>
      <c r="I903" s="1"/>
      <c r="J903" s="1"/>
      <c r="K903" s="1"/>
      <c r="M903" s="140"/>
      <c r="N903" s="140"/>
      <c r="O903" s="140"/>
      <c r="Q903" s="260"/>
      <c r="R903" s="143"/>
      <c r="S903" s="144"/>
      <c r="T903" s="145"/>
      <c r="U903" s="141"/>
      <c r="V903" s="141"/>
      <c r="W903" s="141"/>
      <c r="X903" s="141"/>
    </row>
    <row r="904" spans="1:24">
      <c r="A904" s="3" t="s">
        <v>162</v>
      </c>
      <c r="C904" s="127">
        <f>15247</f>
        <v>15247</v>
      </c>
      <c r="D904" s="127">
        <f>ROUND(($D$909/$C$909)*C904,0)</f>
        <v>15700</v>
      </c>
      <c r="E904" s="128">
        <v>7.61</v>
      </c>
      <c r="G904" s="2">
        <f>ROUND(E904*$C904,0)</f>
        <v>116030</v>
      </c>
      <c r="H904" s="2">
        <f>ROUND(E904*$D904,0)</f>
        <v>119477</v>
      </c>
      <c r="I904" s="128">
        <v>7.61</v>
      </c>
      <c r="K904" s="2">
        <f>ROUND(I904*$D904,0)</f>
        <v>119477</v>
      </c>
      <c r="M904" s="42">
        <f>I904*D904</f>
        <v>119477</v>
      </c>
      <c r="O904" s="261">
        <v>31</v>
      </c>
      <c r="P904" s="262">
        <f>O904*D904</f>
        <v>486700</v>
      </c>
      <c r="Q904" s="263" t="e">
        <f>$P$910*O904</f>
        <v>#REF!</v>
      </c>
      <c r="R904" s="264" t="e">
        <f>ROUND(E904+Q904,2)</f>
        <v>#REF!</v>
      </c>
      <c r="S904" s="147"/>
      <c r="T904" s="141"/>
      <c r="U904" s="144"/>
      <c r="V904" s="144"/>
      <c r="W904" s="148"/>
      <c r="X904" s="144"/>
    </row>
    <row r="905" spans="1:24">
      <c r="A905" s="3" t="s">
        <v>289</v>
      </c>
      <c r="C905" s="127">
        <f>14583</f>
        <v>14583</v>
      </c>
      <c r="D905" s="127">
        <f>ROUND(($D$909/$C$909)*C905,0)</f>
        <v>15016</v>
      </c>
      <c r="E905" s="128">
        <v>9.1300000000000008</v>
      </c>
      <c r="G905" s="2">
        <f>ROUND(E905*$C905,0)</f>
        <v>133143</v>
      </c>
      <c r="H905" s="2">
        <f>ROUND(E905*$D905,0)</f>
        <v>137096</v>
      </c>
      <c r="I905" s="128">
        <v>9.1300000000000008</v>
      </c>
      <c r="K905" s="2">
        <f>ROUND(I905*$D905,0)</f>
        <v>137096</v>
      </c>
      <c r="M905" s="42">
        <f>I905*D905</f>
        <v>137096.08000000002</v>
      </c>
      <c r="O905" s="265">
        <v>44</v>
      </c>
      <c r="P905" s="38">
        <f>O905*D905</f>
        <v>660704</v>
      </c>
      <c r="Q905" s="266" t="e">
        <f>$P$910*O905</f>
        <v>#REF!</v>
      </c>
      <c r="R905" s="267" t="e">
        <f>ROUND(E905+Q905,2)</f>
        <v>#REF!</v>
      </c>
      <c r="S905" s="141"/>
      <c r="T905" s="141"/>
      <c r="U905" s="144"/>
      <c r="V905" s="144"/>
      <c r="W905" s="148"/>
      <c r="X905" s="144"/>
    </row>
    <row r="906" spans="1:24">
      <c r="A906" s="3" t="s">
        <v>163</v>
      </c>
      <c r="C906" s="127">
        <f>17554</f>
        <v>17554</v>
      </c>
      <c r="D906" s="127">
        <f>ROUND(($D$909/$C$909)*C906,0)</f>
        <v>18075</v>
      </c>
      <c r="E906" s="128">
        <v>13.33</v>
      </c>
      <c r="G906" s="2">
        <f>ROUND(E906*$C906,0)</f>
        <v>233995</v>
      </c>
      <c r="H906" s="2">
        <f>ROUND(E906*$D906,0)</f>
        <v>240940</v>
      </c>
      <c r="I906" s="128">
        <v>13.33</v>
      </c>
      <c r="K906" s="2">
        <f>ROUND(I906*$D906,0)</f>
        <v>240940</v>
      </c>
      <c r="M906" s="42">
        <f>I906*D906</f>
        <v>240939.75</v>
      </c>
      <c r="O906" s="265">
        <v>85</v>
      </c>
      <c r="P906" s="38">
        <f>O906*D906</f>
        <v>1536375</v>
      </c>
      <c r="Q906" s="266" t="e">
        <f>$P$910*O906</f>
        <v>#REF!</v>
      </c>
      <c r="R906" s="267" t="e">
        <f>ROUND(E906+Q906,2)</f>
        <v>#REF!</v>
      </c>
      <c r="S906" s="141"/>
      <c r="T906" s="141"/>
      <c r="U906" s="144"/>
      <c r="V906" s="144"/>
      <c r="W906" s="148"/>
      <c r="X906" s="144"/>
    </row>
    <row r="907" spans="1:24">
      <c r="A907" s="3" t="s">
        <v>164</v>
      </c>
      <c r="C907" s="127">
        <f>1478</f>
        <v>1478</v>
      </c>
      <c r="D907" s="127">
        <f>ROUND(($D$909/$C$909)*C907,0)</f>
        <v>1522</v>
      </c>
      <c r="E907" s="128">
        <v>22.32</v>
      </c>
      <c r="G907" s="2">
        <f>ROUND(E907*$C907,0)</f>
        <v>32989</v>
      </c>
      <c r="H907" s="2">
        <f>ROUND(E907*$D907,0)</f>
        <v>33971</v>
      </c>
      <c r="I907" s="128">
        <v>22.32</v>
      </c>
      <c r="K907" s="2">
        <f>ROUND(I907*$D907,0)</f>
        <v>33971</v>
      </c>
      <c r="M907" s="42">
        <f>I907*D907</f>
        <v>33971.040000000001</v>
      </c>
      <c r="O907" s="265">
        <v>176</v>
      </c>
      <c r="P907" s="38">
        <f>O907*D907</f>
        <v>267872</v>
      </c>
      <c r="Q907" s="266" t="e">
        <f>$P$910*O907</f>
        <v>#REF!</v>
      </c>
      <c r="R907" s="267" t="e">
        <f>ROUND(E907+Q907,2)</f>
        <v>#REF!</v>
      </c>
      <c r="S907" s="141"/>
      <c r="T907" s="141"/>
      <c r="U907" s="144"/>
      <c r="V907" s="144"/>
      <c r="W907" s="148"/>
      <c r="X907" s="144"/>
    </row>
    <row r="908" spans="1:24">
      <c r="A908" s="3" t="s">
        <v>166</v>
      </c>
      <c r="C908" s="127">
        <f>178*12</f>
        <v>2136</v>
      </c>
      <c r="D908" s="127">
        <v>1874</v>
      </c>
      <c r="E908" s="128"/>
      <c r="G908" s="2"/>
      <c r="H908" s="2"/>
      <c r="I908" s="128"/>
      <c r="K908" s="2"/>
      <c r="O908" s="265"/>
      <c r="P908" s="38">
        <f>SUM(P904:P907)</f>
        <v>2951651</v>
      </c>
      <c r="Q908" s="266"/>
      <c r="R908" s="267"/>
      <c r="S908" s="141"/>
      <c r="T908" s="141"/>
      <c r="U908" s="144"/>
      <c r="V908" s="144"/>
      <c r="W908" s="144"/>
      <c r="X908" s="144"/>
    </row>
    <row r="909" spans="1:24">
      <c r="A909" s="3" t="s">
        <v>185</v>
      </c>
      <c r="C909" s="127">
        <v>2866398.1098855259</v>
      </c>
      <c r="D909" s="127">
        <v>2951534.6465794938</v>
      </c>
      <c r="E909" s="132"/>
      <c r="F909" s="11"/>
      <c r="G909" s="135">
        <f>SUM(G904:G907)</f>
        <v>516157</v>
      </c>
      <c r="H909" s="135">
        <f>SUM(H904:H907)</f>
        <v>531484</v>
      </c>
      <c r="I909" s="132"/>
      <c r="J909" s="11"/>
      <c r="K909" s="135">
        <f>SUM(K904:K907)</f>
        <v>531484</v>
      </c>
      <c r="M909" s="42">
        <f>SUM(M904:M908)</f>
        <v>531483.87</v>
      </c>
      <c r="O909" s="265"/>
      <c r="P909" s="268" t="e">
        <f>O911-H911</f>
        <v>#REF!</v>
      </c>
      <c r="Q909" s="11"/>
      <c r="R909" s="269"/>
      <c r="S909" s="141"/>
      <c r="T909" s="141"/>
      <c r="U909" s="151"/>
      <c r="V909" s="141"/>
      <c r="W909" s="141"/>
      <c r="X909" s="141"/>
    </row>
    <row r="910" spans="1:24">
      <c r="A910" s="3" t="s">
        <v>167</v>
      </c>
      <c r="C910" s="127">
        <v>35840.593415054755</v>
      </c>
      <c r="D910" s="127">
        <v>0</v>
      </c>
      <c r="E910" s="132"/>
      <c r="F910" s="11"/>
      <c r="G910" s="135">
        <v>6155.2420195719942</v>
      </c>
      <c r="H910" s="135">
        <v>0</v>
      </c>
      <c r="I910" s="132"/>
      <c r="J910" s="11"/>
      <c r="K910" s="135">
        <v>0</v>
      </c>
      <c r="M910" s="152"/>
      <c r="N910" s="152"/>
      <c r="O910" s="270"/>
      <c r="P910" s="271" t="e">
        <f>P909/P908</f>
        <v>#REF!</v>
      </c>
      <c r="Q910" s="50"/>
      <c r="R910" s="272"/>
      <c r="S910" s="144"/>
      <c r="T910" s="141"/>
      <c r="U910" s="11"/>
      <c r="V910" s="11"/>
      <c r="W910" s="11"/>
      <c r="X910" s="11"/>
    </row>
    <row r="911" spans="1:24" ht="16.5" thickBot="1">
      <c r="A911" s="3" t="s">
        <v>1</v>
      </c>
      <c r="C911" s="136">
        <f>C909+C910</f>
        <v>2902238.7033005808</v>
      </c>
      <c r="D911" s="136">
        <f>D909+D910</f>
        <v>2951534.6465794938</v>
      </c>
      <c r="E911" s="137"/>
      <c r="F911" s="137"/>
      <c r="G911" s="137">
        <f>G909+G910</f>
        <v>522312.242019572</v>
      </c>
      <c r="H911" s="137">
        <f>H909+H910</f>
        <v>531484</v>
      </c>
      <c r="I911" s="137"/>
      <c r="J911" s="137"/>
      <c r="K911" s="137">
        <f>K909+K910</f>
        <v>531484</v>
      </c>
      <c r="M911" s="154"/>
      <c r="N911" s="140" t="s">
        <v>213</v>
      </c>
      <c r="O911" s="273" t="e">
        <f>#REF!*1000</f>
        <v>#REF!</v>
      </c>
      <c r="P911" s="140"/>
      <c r="S911" s="141"/>
      <c r="T911" s="141"/>
      <c r="U911" s="11"/>
      <c r="V911" s="11"/>
      <c r="W911" s="11"/>
      <c r="X911" s="11"/>
    </row>
    <row r="912" spans="1:24" ht="16.5" thickTop="1">
      <c r="A912" s="1"/>
      <c r="B912" s="1"/>
      <c r="C912" s="12"/>
      <c r="D912" s="12"/>
      <c r="E912" s="12"/>
      <c r="F912" s="12"/>
      <c r="G912" s="2"/>
      <c r="H912" s="2"/>
      <c r="I912" s="12" t="s">
        <v>13</v>
      </c>
      <c r="J912" s="12"/>
      <c r="K912" s="2" t="s">
        <v>13</v>
      </c>
      <c r="M912" s="140"/>
      <c r="N912" s="140" t="s">
        <v>114</v>
      </c>
      <c r="O912" s="274" t="e">
        <f>O911-K911</f>
        <v>#REF!</v>
      </c>
      <c r="P912" s="8" t="e">
        <f>(O911-K911)/K911</f>
        <v>#REF!</v>
      </c>
      <c r="Q912" s="140"/>
      <c r="R912" s="140"/>
      <c r="S912" s="140"/>
      <c r="T912" s="140"/>
    </row>
    <row r="913" spans="1:24">
      <c r="A913" s="156" t="s">
        <v>290</v>
      </c>
      <c r="B913" s="1"/>
      <c r="C913" s="1"/>
      <c r="D913" s="1"/>
      <c r="E913" s="1"/>
      <c r="F913" s="1"/>
      <c r="G913" s="1"/>
      <c r="H913" s="1"/>
      <c r="I913" s="1"/>
      <c r="J913" s="1"/>
      <c r="K913" s="1"/>
      <c r="M913" s="140"/>
      <c r="N913" s="140"/>
      <c r="O913" s="153"/>
      <c r="P913" s="140"/>
      <c r="T913" s="140"/>
      <c r="U913" s="140"/>
      <c r="V913" s="140"/>
      <c r="W913" s="140"/>
      <c r="X913" s="140"/>
    </row>
    <row r="914" spans="1:24">
      <c r="A914" s="1" t="s">
        <v>291</v>
      </c>
      <c r="B914" s="1"/>
      <c r="C914" s="1"/>
      <c r="D914" s="1"/>
      <c r="E914" s="1"/>
      <c r="F914" s="1"/>
      <c r="G914" s="1"/>
      <c r="H914" s="1"/>
      <c r="I914" s="1"/>
      <c r="J914" s="1"/>
      <c r="K914" s="1"/>
      <c r="T914" s="140"/>
      <c r="U914" s="140"/>
      <c r="V914" s="140"/>
      <c r="W914" s="140"/>
      <c r="X914" s="140"/>
    </row>
    <row r="915" spans="1:2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T915" s="140"/>
      <c r="U915" s="140"/>
      <c r="V915" s="140"/>
      <c r="W915" s="140"/>
      <c r="X915" s="140"/>
    </row>
    <row r="916" spans="1:24">
      <c r="A916" s="1" t="s">
        <v>292</v>
      </c>
      <c r="B916" s="1"/>
      <c r="C916" s="12"/>
      <c r="D916" s="12"/>
      <c r="E916" s="161"/>
      <c r="F916" s="1"/>
      <c r="G916" s="275">
        <v>30454.32</v>
      </c>
      <c r="H916" s="275">
        <v>30454.32</v>
      </c>
      <c r="I916" s="161"/>
      <c r="J916" s="1"/>
      <c r="K916" s="2">
        <f>G916</f>
        <v>30454.32</v>
      </c>
      <c r="M916" s="42">
        <f>K916</f>
        <v>30454.32</v>
      </c>
      <c r="N916" s="11"/>
      <c r="O916" s="38"/>
      <c r="P916" s="38"/>
      <c r="Q916" s="11"/>
      <c r="R916" s="11"/>
      <c r="S916" s="11"/>
      <c r="T916" s="11"/>
      <c r="U916" s="11"/>
      <c r="V916" s="11"/>
      <c r="W916" s="11"/>
      <c r="X916" s="11"/>
    </row>
    <row r="917" spans="1:24">
      <c r="A917" s="1" t="s">
        <v>293</v>
      </c>
      <c r="B917" s="1"/>
      <c r="C917" s="127">
        <f>460481</f>
        <v>460481</v>
      </c>
      <c r="D917" s="182">
        <f>ROUND(($D$920/$C$920)*C917,0)</f>
        <v>453966</v>
      </c>
      <c r="E917" s="276">
        <v>6.4050000000000002</v>
      </c>
      <c r="F917" s="1" t="s">
        <v>178</v>
      </c>
      <c r="G917" s="277">
        <f>ROUND(C917*E917/100,0)</f>
        <v>29494</v>
      </c>
      <c r="H917" s="277">
        <f>ROUND(D917*E917/100,0)</f>
        <v>29077</v>
      </c>
      <c r="I917" s="276">
        <v>6.4050000000000002</v>
      </c>
      <c r="J917" s="1" t="s">
        <v>178</v>
      </c>
      <c r="K917" s="2">
        <f>ROUND(I917*D917/100,0)</f>
        <v>29077</v>
      </c>
      <c r="M917" s="42">
        <f>(I917/100)*D917</f>
        <v>29076.522299999997</v>
      </c>
      <c r="N917" s="11"/>
      <c r="O917" s="38"/>
      <c r="P917" s="38"/>
      <c r="Q917" s="11"/>
      <c r="R917" s="11"/>
      <c r="S917" s="11"/>
      <c r="T917" s="11"/>
      <c r="U917" s="11"/>
      <c r="V917" s="11"/>
      <c r="W917" s="11"/>
      <c r="X917" s="11"/>
    </row>
    <row r="918" spans="1:24">
      <c r="A918" s="1" t="s">
        <v>294</v>
      </c>
      <c r="B918" s="1"/>
      <c r="C918" s="127">
        <v>0</v>
      </c>
      <c r="D918" s="182">
        <f>ROUND(($D$920/$C$920)*C918,0)</f>
        <v>0</v>
      </c>
      <c r="E918" s="276">
        <v>7.1669999999999998</v>
      </c>
      <c r="F918" s="1" t="s">
        <v>178</v>
      </c>
      <c r="G918" s="277">
        <f>ROUND(C918*E918/100,0)</f>
        <v>0</v>
      </c>
      <c r="H918" s="277">
        <f>ROUND(D918*E918/100,0)</f>
        <v>0</v>
      </c>
      <c r="I918" s="276">
        <v>7.1669999999999998</v>
      </c>
      <c r="J918" s="1" t="s">
        <v>178</v>
      </c>
      <c r="K918" s="2">
        <f>ROUND(I918*D918/100,0)</f>
        <v>0</v>
      </c>
      <c r="M918" s="42">
        <f>(I918/100)*D918</f>
        <v>0</v>
      </c>
      <c r="N918" s="11"/>
      <c r="O918" s="38"/>
      <c r="P918" s="11"/>
      <c r="Q918" s="11"/>
      <c r="R918" s="11"/>
      <c r="S918" s="11"/>
      <c r="T918" s="11"/>
      <c r="U918" s="11"/>
      <c r="V918" s="11"/>
      <c r="W918" s="11"/>
      <c r="X918" s="11"/>
    </row>
    <row r="919" spans="1:24">
      <c r="A919" s="1" t="s">
        <v>166</v>
      </c>
      <c r="B919" s="1"/>
      <c r="C919" s="127">
        <f>30*12</f>
        <v>360</v>
      </c>
      <c r="D919" s="182">
        <v>241</v>
      </c>
      <c r="E919" s="278"/>
      <c r="F919" s="1"/>
      <c r="G919" s="2"/>
      <c r="H919" s="2"/>
      <c r="I919" s="278"/>
      <c r="J919" s="1"/>
      <c r="K919" s="2"/>
      <c r="M919" s="11"/>
      <c r="N919" s="11"/>
      <c r="O919" s="38"/>
      <c r="P919" s="38"/>
      <c r="Q919" s="11"/>
      <c r="R919" s="11"/>
      <c r="S919" s="11"/>
      <c r="T919" s="11"/>
      <c r="U919" s="11"/>
      <c r="V919" s="11"/>
      <c r="W919" s="11"/>
      <c r="X919" s="11"/>
    </row>
    <row r="920" spans="1:24">
      <c r="A920" s="3" t="s">
        <v>295</v>
      </c>
      <c r="C920" s="127">
        <f>SUM(C917:C918)</f>
        <v>460481</v>
      </c>
      <c r="D920" s="127">
        <v>453965.95876460936</v>
      </c>
      <c r="E920" s="132"/>
      <c r="F920" s="11"/>
      <c r="G920" s="135">
        <f>SUM(G916:G918)</f>
        <v>59948.32</v>
      </c>
      <c r="H920" s="135">
        <f>SUM(H916:H918)</f>
        <v>59531.32</v>
      </c>
      <c r="I920" s="132"/>
      <c r="J920" s="11"/>
      <c r="K920" s="135">
        <f>SUM(K916:K918)</f>
        <v>59531.32</v>
      </c>
      <c r="M920" s="279">
        <f>SUM(M916:M919)</f>
        <v>59530.842299999997</v>
      </c>
      <c r="N920" s="11"/>
      <c r="O920" s="38"/>
      <c r="P920" s="38"/>
      <c r="Q920" s="11"/>
      <c r="R920" s="11"/>
      <c r="S920" s="11"/>
      <c r="T920" s="11"/>
      <c r="U920" s="11"/>
      <c r="V920" s="11"/>
      <c r="W920" s="11"/>
      <c r="X920" s="11"/>
    </row>
    <row r="921" spans="1:24">
      <c r="A921" s="3" t="s">
        <v>296</v>
      </c>
      <c r="C921" s="127">
        <v>5757.7672357238089</v>
      </c>
      <c r="D921" s="127">
        <v>0</v>
      </c>
      <c r="E921" s="132"/>
      <c r="F921" s="11"/>
      <c r="G921" s="135">
        <v>721.95019570943907</v>
      </c>
      <c r="H921" s="135">
        <v>0</v>
      </c>
      <c r="I921" s="132"/>
      <c r="J921" s="11"/>
      <c r="K921" s="135">
        <v>0</v>
      </c>
      <c r="M921" s="152"/>
      <c r="N921" s="152"/>
      <c r="O921" s="153"/>
      <c r="P921" s="38"/>
      <c r="S921" s="11"/>
      <c r="T921" s="11"/>
      <c r="U921" s="11"/>
      <c r="V921" s="11"/>
      <c r="W921" s="11"/>
      <c r="X921" s="11"/>
    </row>
    <row r="922" spans="1:24" ht="16.5" thickBot="1">
      <c r="A922" s="1" t="s">
        <v>1</v>
      </c>
      <c r="B922" s="1"/>
      <c r="C922" s="256">
        <f>C920+C921</f>
        <v>466238.76723572379</v>
      </c>
      <c r="D922" s="256">
        <f>D920+D921</f>
        <v>453965.95876460936</v>
      </c>
      <c r="E922" s="280"/>
      <c r="F922" s="281"/>
      <c r="G922" s="137">
        <f>G920+G921</f>
        <v>60670.27019570944</v>
      </c>
      <c r="H922" s="137">
        <f>H920+H921</f>
        <v>59531.32</v>
      </c>
      <c r="I922" s="280"/>
      <c r="J922" s="281"/>
      <c r="K922" s="137">
        <f>K920+K921</f>
        <v>59531.32</v>
      </c>
      <c r="M922" s="154"/>
      <c r="N922" s="140" t="s">
        <v>213</v>
      </c>
      <c r="O922" s="279" t="e">
        <f>#REF!*1000</f>
        <v>#REF!</v>
      </c>
      <c r="P922" s="38"/>
      <c r="S922" s="11"/>
      <c r="T922" s="11"/>
      <c r="U922" s="11"/>
      <c r="V922" s="11"/>
      <c r="W922" s="11"/>
      <c r="X922" s="11"/>
    </row>
    <row r="923" spans="1:24" ht="16.5" thickTop="1">
      <c r="A923" s="1"/>
      <c r="B923" s="1"/>
      <c r="C923" s="1"/>
      <c r="D923" s="1"/>
      <c r="E923" s="282"/>
      <c r="F923" s="1"/>
      <c r="G923" s="1"/>
      <c r="H923" s="1"/>
      <c r="I923" s="282" t="s">
        <v>13</v>
      </c>
      <c r="J923" s="1"/>
      <c r="K923" s="2" t="s">
        <v>13</v>
      </c>
      <c r="M923" s="11"/>
      <c r="N923" s="140" t="s">
        <v>114</v>
      </c>
      <c r="O923" s="279" t="e">
        <f>O922-K922</f>
        <v>#REF!</v>
      </c>
      <c r="P923" s="8" t="e">
        <f>(O922-K922)/K922</f>
        <v>#REF!</v>
      </c>
      <c r="Q923" s="11"/>
      <c r="R923" s="11"/>
      <c r="S923" s="11"/>
      <c r="T923" s="11"/>
      <c r="U923" s="11"/>
      <c r="V923" s="11"/>
      <c r="W923" s="11"/>
      <c r="X923" s="11"/>
    </row>
    <row r="924" spans="1:24">
      <c r="A924" s="156" t="s">
        <v>297</v>
      </c>
      <c r="B924" s="1"/>
      <c r="C924" s="1"/>
      <c r="D924" s="1"/>
      <c r="E924" s="1"/>
      <c r="F924" s="1"/>
      <c r="G924" s="1"/>
      <c r="H924" s="1"/>
      <c r="I924" s="1"/>
      <c r="J924" s="1"/>
      <c r="K924" s="1"/>
      <c r="M924" s="11"/>
      <c r="N924" s="11"/>
      <c r="O924" s="38"/>
      <c r="P924" s="283"/>
      <c r="Q924" s="11"/>
      <c r="R924" s="11"/>
      <c r="S924" s="11"/>
      <c r="T924" s="11"/>
      <c r="U924" s="11"/>
      <c r="V924" s="11"/>
      <c r="W924" s="11"/>
      <c r="X924" s="11"/>
    </row>
    <row r="925" spans="1:24">
      <c r="A925" s="1" t="s">
        <v>298</v>
      </c>
      <c r="B925" s="1"/>
      <c r="C925" s="1"/>
      <c r="D925" s="1"/>
      <c r="E925" s="1"/>
      <c r="F925" s="1"/>
      <c r="G925" s="1"/>
      <c r="H925" s="1"/>
      <c r="I925" s="1"/>
      <c r="J925" s="1"/>
      <c r="K925" s="1"/>
      <c r="M925" s="11"/>
      <c r="N925" s="11"/>
      <c r="O925" s="38"/>
      <c r="P925" s="38"/>
      <c r="Q925" s="11"/>
      <c r="R925" s="11"/>
      <c r="S925" s="11"/>
      <c r="T925" s="11"/>
      <c r="U925" s="11"/>
      <c r="V925" s="11"/>
      <c r="W925" s="11"/>
      <c r="X925" s="11"/>
    </row>
    <row r="926" spans="1:24">
      <c r="A926" s="1"/>
      <c r="B926" s="1"/>
      <c r="C926" s="1"/>
      <c r="D926" s="1"/>
      <c r="E926" s="282"/>
      <c r="F926" s="1"/>
      <c r="G926" s="1"/>
      <c r="H926" s="1"/>
      <c r="I926" s="282"/>
      <c r="J926" s="1"/>
      <c r="K926" s="1"/>
      <c r="M926" s="11"/>
      <c r="N926" s="11"/>
      <c r="O926" s="38"/>
      <c r="P926" s="38"/>
      <c r="Q926" s="11"/>
      <c r="R926" s="11"/>
      <c r="S926" s="11"/>
      <c r="T926" s="11"/>
      <c r="U926" s="11"/>
      <c r="V926" s="11"/>
      <c r="W926" s="11"/>
      <c r="X926" s="11"/>
    </row>
    <row r="927" spans="1:24">
      <c r="A927" s="1" t="s">
        <v>292</v>
      </c>
      <c r="B927" s="1"/>
      <c r="C927" s="12"/>
      <c r="D927" s="12"/>
      <c r="E927" s="161"/>
      <c r="F927" s="1"/>
      <c r="G927" s="275">
        <f t="shared" ref="G927:H929" si="72">G938+G949</f>
        <v>2349.2199999999998</v>
      </c>
      <c r="H927" s="275">
        <f t="shared" si="72"/>
        <v>2349.2199999999998</v>
      </c>
      <c r="I927" s="161"/>
      <c r="J927" s="1"/>
      <c r="K927" s="2">
        <f>G927</f>
        <v>2349.2199999999998</v>
      </c>
      <c r="M927" s="279">
        <f>K927</f>
        <v>2349.2199999999998</v>
      </c>
      <c r="N927" s="11"/>
      <c r="O927" s="38"/>
      <c r="P927" s="38"/>
      <c r="Q927" s="11"/>
      <c r="R927" s="11"/>
      <c r="S927" s="11"/>
      <c r="T927" s="11"/>
      <c r="U927" s="11"/>
      <c r="V927" s="11"/>
      <c r="W927" s="11"/>
      <c r="X927" s="11"/>
    </row>
    <row r="928" spans="1:24">
      <c r="A928" s="1" t="s">
        <v>299</v>
      </c>
      <c r="B928" s="1"/>
      <c r="C928" s="127">
        <f t="shared" ref="C928:D932" si="73">C939+C950</f>
        <v>127219</v>
      </c>
      <c r="D928" s="127">
        <f t="shared" si="73"/>
        <v>128106</v>
      </c>
      <c r="E928" s="276">
        <v>6.1459999999999999</v>
      </c>
      <c r="F928" s="1" t="s">
        <v>178</v>
      </c>
      <c r="G928" s="277">
        <f t="shared" si="72"/>
        <v>7819</v>
      </c>
      <c r="H928" s="277">
        <f t="shared" si="72"/>
        <v>7873</v>
      </c>
      <c r="I928" s="276">
        <v>6.1459999999999999</v>
      </c>
      <c r="J928" s="1" t="s">
        <v>178</v>
      </c>
      <c r="K928" s="2">
        <f>K939+K950</f>
        <v>7873</v>
      </c>
      <c r="M928" s="42">
        <f>(I928/100)*D928</f>
        <v>7873.3947600000001</v>
      </c>
      <c r="N928" s="11"/>
      <c r="O928" s="38"/>
      <c r="P928" s="38"/>
      <c r="Q928" s="11"/>
      <c r="R928" s="11"/>
      <c r="S928" s="11"/>
      <c r="T928" s="11"/>
      <c r="U928" s="11"/>
      <c r="V928" s="11"/>
      <c r="W928" s="11"/>
      <c r="X928" s="11"/>
    </row>
    <row r="929" spans="1:24">
      <c r="A929" s="1" t="s">
        <v>300</v>
      </c>
      <c r="B929" s="1"/>
      <c r="C929" s="127">
        <f t="shared" si="73"/>
        <v>4317144</v>
      </c>
      <c r="D929" s="127">
        <f t="shared" si="73"/>
        <v>4311224</v>
      </c>
      <c r="E929" s="284">
        <f>E928</f>
        <v>6.1459999999999999</v>
      </c>
      <c r="F929" s="1" t="s">
        <v>178</v>
      </c>
      <c r="G929" s="277">
        <f t="shared" si="72"/>
        <v>265332</v>
      </c>
      <c r="H929" s="277">
        <f t="shared" si="72"/>
        <v>264968</v>
      </c>
      <c r="I929" s="284">
        <f>I928</f>
        <v>6.1459999999999999</v>
      </c>
      <c r="J929" s="1" t="s">
        <v>178</v>
      </c>
      <c r="K929" s="2">
        <f>K940+K951</f>
        <v>264968</v>
      </c>
      <c r="M929" s="42">
        <f>(I929/100)*D929</f>
        <v>264967.82704</v>
      </c>
      <c r="N929" s="11"/>
      <c r="O929" s="38"/>
      <c r="P929" s="38"/>
      <c r="Q929" s="11"/>
      <c r="R929" s="11"/>
      <c r="S929" s="11"/>
      <c r="T929" s="11"/>
      <c r="U929" s="11"/>
      <c r="V929" s="11"/>
      <c r="W929" s="11"/>
      <c r="X929" s="11"/>
    </row>
    <row r="930" spans="1:24">
      <c r="A930" s="1" t="s">
        <v>166</v>
      </c>
      <c r="B930" s="1"/>
      <c r="C930" s="127">
        <f t="shared" si="73"/>
        <v>3268</v>
      </c>
      <c r="D930" s="127">
        <f t="shared" si="73"/>
        <v>3401</v>
      </c>
      <c r="E930" s="278"/>
      <c r="F930" s="1"/>
      <c r="G930" s="2"/>
      <c r="H930" s="2"/>
      <c r="I930" s="278"/>
      <c r="J930" s="1"/>
      <c r="K930" s="2"/>
      <c r="M930" s="11"/>
      <c r="N930" s="11"/>
      <c r="O930" s="38"/>
      <c r="P930" s="38"/>
      <c r="Q930" s="11"/>
      <c r="R930" s="11"/>
      <c r="S930" s="11"/>
      <c r="T930" s="11"/>
      <c r="U930" s="11"/>
      <c r="V930" s="11"/>
      <c r="W930" s="11"/>
      <c r="X930" s="11"/>
    </row>
    <row r="931" spans="1:24">
      <c r="A931" s="3" t="s">
        <v>295</v>
      </c>
      <c r="C931" s="127">
        <f t="shared" si="73"/>
        <v>4444363</v>
      </c>
      <c r="D931" s="127">
        <f t="shared" si="73"/>
        <v>4439329.75109665</v>
      </c>
      <c r="E931" s="132"/>
      <c r="F931" s="11"/>
      <c r="G931" s="135">
        <f>G942+G953</f>
        <v>275500.21999999997</v>
      </c>
      <c r="H931" s="135">
        <f>H942+H953</f>
        <v>275190.21999999997</v>
      </c>
      <c r="I931" s="132"/>
      <c r="J931" s="11"/>
      <c r="K931" s="135">
        <f>K942+K953</f>
        <v>275190.21999999997</v>
      </c>
      <c r="M931" s="279">
        <f>SUM(M927:M930)</f>
        <v>275190.44180000003</v>
      </c>
      <c r="N931" s="11"/>
      <c r="O931" s="38"/>
      <c r="P931" s="38"/>
      <c r="Q931" s="11"/>
      <c r="R931" s="11"/>
      <c r="S931" s="11"/>
      <c r="T931" s="11"/>
      <c r="U931" s="11"/>
      <c r="V931" s="11"/>
      <c r="W931" s="11"/>
      <c r="X931" s="11"/>
    </row>
    <row r="932" spans="1:24">
      <c r="A932" s="3" t="s">
        <v>296</v>
      </c>
      <c r="C932" s="127">
        <f t="shared" si="73"/>
        <v>55568.648757006318</v>
      </c>
      <c r="D932" s="127">
        <f t="shared" si="73"/>
        <v>0</v>
      </c>
      <c r="E932" s="132"/>
      <c r="F932" s="11"/>
      <c r="G932" s="135">
        <f>G943+G954</f>
        <v>3332.8497590767615</v>
      </c>
      <c r="H932" s="135">
        <f>H943+H954</f>
        <v>0</v>
      </c>
      <c r="I932" s="132"/>
      <c r="J932" s="11"/>
      <c r="K932" s="135">
        <f>K943+K954</f>
        <v>0</v>
      </c>
      <c r="M932" s="152"/>
      <c r="N932" s="152"/>
      <c r="O932" s="153"/>
      <c r="P932" s="38"/>
      <c r="S932" s="11"/>
      <c r="T932" s="11"/>
      <c r="U932" s="11"/>
      <c r="V932" s="11"/>
      <c r="W932" s="11"/>
      <c r="X932" s="11"/>
    </row>
    <row r="933" spans="1:24" ht="16.5" thickBot="1">
      <c r="A933" s="1" t="s">
        <v>1</v>
      </c>
      <c r="B933" s="1"/>
      <c r="C933" s="256">
        <f>C931+C932</f>
        <v>4499931.648757006</v>
      </c>
      <c r="D933" s="256">
        <f>D931+D932</f>
        <v>4439329.75109665</v>
      </c>
      <c r="E933" s="280"/>
      <c r="F933" s="281"/>
      <c r="G933" s="137">
        <f>G931+G932</f>
        <v>278833.06975907675</v>
      </c>
      <c r="H933" s="137">
        <f>H931+H932</f>
        <v>275190.21999999997</v>
      </c>
      <c r="I933" s="280"/>
      <c r="J933" s="281"/>
      <c r="K933" s="137">
        <f>K931+K932</f>
        <v>275190.21999999997</v>
      </c>
      <c r="M933" s="154"/>
      <c r="N933" s="140" t="s">
        <v>213</v>
      </c>
      <c r="O933" s="279" t="e">
        <f>#REF!*1000</f>
        <v>#REF!</v>
      </c>
      <c r="P933" s="38"/>
      <c r="S933" s="11"/>
      <c r="T933" s="11"/>
      <c r="U933" s="11"/>
      <c r="V933" s="11"/>
      <c r="W933" s="11"/>
      <c r="X933" s="11"/>
    </row>
    <row r="934" spans="1:24" ht="16.5" thickTop="1">
      <c r="A934" s="1"/>
      <c r="B934" s="1"/>
      <c r="C934" s="16"/>
      <c r="D934" s="16"/>
      <c r="E934" s="285"/>
      <c r="F934" s="14"/>
      <c r="G934" s="20"/>
      <c r="H934" s="20"/>
      <c r="I934" s="285" t="s">
        <v>13</v>
      </c>
      <c r="J934" s="14"/>
      <c r="K934" s="20" t="s">
        <v>13</v>
      </c>
      <c r="M934" s="11"/>
      <c r="N934" s="140" t="s">
        <v>114</v>
      </c>
      <c r="O934" s="279" t="e">
        <f>O933-K933</f>
        <v>#REF!</v>
      </c>
      <c r="P934" s="8" t="e">
        <f>(O933-K933)/K933</f>
        <v>#REF!</v>
      </c>
      <c r="Q934" s="11"/>
      <c r="R934" s="11"/>
      <c r="S934" s="11"/>
      <c r="T934" s="11"/>
      <c r="U934" s="11"/>
      <c r="V934" s="11"/>
      <c r="W934" s="11"/>
      <c r="X934" s="11"/>
    </row>
    <row r="935" spans="1:24">
      <c r="A935" s="156" t="s">
        <v>301</v>
      </c>
      <c r="B935" s="1"/>
      <c r="C935" s="1"/>
      <c r="D935" s="1"/>
      <c r="E935" s="1"/>
      <c r="F935" s="1"/>
      <c r="G935" s="1"/>
      <c r="H935" s="1"/>
      <c r="I935" s="1"/>
      <c r="J935" s="1"/>
      <c r="K935" s="1"/>
      <c r="M935" s="279"/>
      <c r="N935" s="279"/>
      <c r="O935" s="38"/>
      <c r="P935" s="38"/>
      <c r="Q935" s="11"/>
      <c r="R935" s="11"/>
      <c r="S935" s="11"/>
      <c r="T935" s="11"/>
      <c r="U935" s="11"/>
      <c r="V935" s="11"/>
      <c r="W935" s="11"/>
      <c r="X935" s="11"/>
    </row>
    <row r="936" spans="1:24">
      <c r="A936" s="1" t="s">
        <v>302</v>
      </c>
      <c r="B936" s="1"/>
      <c r="C936" s="1"/>
      <c r="D936" s="1"/>
      <c r="E936" s="1"/>
      <c r="F936" s="1"/>
      <c r="G936" s="1"/>
      <c r="H936" s="1"/>
      <c r="I936" s="1"/>
      <c r="J936" s="1"/>
      <c r="K936" s="1"/>
      <c r="M936" s="11"/>
      <c r="N936" s="11"/>
      <c r="O936" s="286" t="e">
        <f>O934/(H933-H927)</f>
        <v>#REF!</v>
      </c>
      <c r="P936" s="38"/>
      <c r="Q936" s="11"/>
      <c r="R936" s="11"/>
      <c r="S936" s="11"/>
      <c r="T936" s="11"/>
      <c r="U936" s="11"/>
      <c r="V936" s="11"/>
      <c r="W936" s="11"/>
      <c r="X936" s="11"/>
    </row>
    <row r="937" spans="1:24">
      <c r="A937" s="1"/>
      <c r="B937" s="1"/>
      <c r="C937" s="1"/>
      <c r="D937" s="1"/>
      <c r="E937" s="282"/>
      <c r="F937" s="1"/>
      <c r="G937" s="1"/>
      <c r="H937" s="1"/>
      <c r="I937" s="282"/>
      <c r="J937" s="1"/>
      <c r="K937" s="1"/>
      <c r="M937" s="11"/>
      <c r="N937" s="11"/>
      <c r="O937" s="38"/>
      <c r="P937" s="38"/>
      <c r="Q937" s="11"/>
      <c r="R937" s="11"/>
      <c r="S937" s="11"/>
      <c r="T937" s="11"/>
      <c r="U937" s="11"/>
      <c r="V937" s="11"/>
      <c r="W937" s="11"/>
      <c r="X937" s="11"/>
    </row>
    <row r="938" spans="1:24">
      <c r="A938" s="1" t="s">
        <v>292</v>
      </c>
      <c r="B938" s="1"/>
      <c r="C938" s="12"/>
      <c r="D938" s="12"/>
      <c r="E938" s="161"/>
      <c r="F938" s="1"/>
      <c r="G938" s="275">
        <v>2349.2199999999998</v>
      </c>
      <c r="H938" s="275">
        <v>2349.2199999999998</v>
      </c>
      <c r="I938" s="161"/>
      <c r="J938" s="1"/>
      <c r="K938" s="2">
        <f>G938</f>
        <v>2349.2199999999998</v>
      </c>
      <c r="M938" s="11"/>
      <c r="N938" s="11"/>
      <c r="O938" s="38"/>
      <c r="P938" s="38"/>
      <c r="Q938" s="11"/>
      <c r="R938" s="11"/>
      <c r="S938" s="11"/>
      <c r="T938" s="11"/>
      <c r="U938" s="11"/>
      <c r="V938" s="11"/>
      <c r="W938" s="11"/>
      <c r="X938" s="11"/>
    </row>
    <row r="939" spans="1:24">
      <c r="A939" s="1" t="s">
        <v>299</v>
      </c>
      <c r="B939" s="1"/>
      <c r="C939" s="127">
        <f>127219</f>
        <v>127219</v>
      </c>
      <c r="D939" s="182">
        <f>ROUND(($D$942/$C$942)*C939,0)</f>
        <v>128106</v>
      </c>
      <c r="E939" s="276">
        <v>6.1459999999999999</v>
      </c>
      <c r="F939" s="1" t="s">
        <v>178</v>
      </c>
      <c r="G939" s="277">
        <f>ROUND(C939*E939/100,0)</f>
        <v>7819</v>
      </c>
      <c r="H939" s="277">
        <f>ROUND(D939*E939/100,0)</f>
        <v>7873</v>
      </c>
      <c r="I939" s="245">
        <f>I928</f>
        <v>6.1459999999999999</v>
      </c>
      <c r="J939" s="1" t="s">
        <v>178</v>
      </c>
      <c r="K939" s="2">
        <f>ROUND(I939*D939/100,0)</f>
        <v>7873</v>
      </c>
      <c r="M939" s="11"/>
      <c r="N939" s="11"/>
      <c r="O939" s="38"/>
      <c r="P939" s="38"/>
      <c r="Q939" s="11"/>
      <c r="R939" s="11"/>
      <c r="S939" s="11"/>
      <c r="T939" s="11"/>
      <c r="U939" s="11"/>
      <c r="V939" s="11"/>
      <c r="W939" s="11"/>
      <c r="X939" s="11"/>
    </row>
    <row r="940" spans="1:24">
      <c r="A940" s="1" t="s">
        <v>300</v>
      </c>
      <c r="B940" s="1"/>
      <c r="C940" s="127">
        <f>3303301</f>
        <v>3303301</v>
      </c>
      <c r="D940" s="182">
        <f>ROUND(($D$942/$C$942)*C940,0)</f>
        <v>3326331</v>
      </c>
      <c r="E940" s="284">
        <f>E939</f>
        <v>6.1459999999999999</v>
      </c>
      <c r="F940" s="1" t="s">
        <v>178</v>
      </c>
      <c r="G940" s="277">
        <f>ROUND(C940*E940/100,0)</f>
        <v>203021</v>
      </c>
      <c r="H940" s="277">
        <f>ROUND(D940*E940/100,0)</f>
        <v>204436</v>
      </c>
      <c r="I940" s="287">
        <f>I939</f>
        <v>6.1459999999999999</v>
      </c>
      <c r="J940" s="1" t="s">
        <v>178</v>
      </c>
      <c r="K940" s="2">
        <f>ROUND(I940*D940/100,0)</f>
        <v>204436</v>
      </c>
      <c r="M940" s="11"/>
      <c r="N940" s="11"/>
      <c r="O940" s="38"/>
      <c r="P940" s="38"/>
      <c r="Q940" s="11"/>
      <c r="R940" s="11"/>
      <c r="S940" s="11"/>
      <c r="T940" s="11"/>
      <c r="U940" s="11"/>
      <c r="V940" s="11"/>
      <c r="W940" s="11"/>
      <c r="X940" s="11"/>
    </row>
    <row r="941" spans="1:24">
      <c r="A941" s="1" t="s">
        <v>166</v>
      </c>
      <c r="B941" s="1"/>
      <c r="C941" s="127">
        <f>60+2185</f>
        <v>2245</v>
      </c>
      <c r="D941" s="182">
        <v>2369</v>
      </c>
      <c r="E941" s="278"/>
      <c r="F941" s="1"/>
      <c r="G941" s="2"/>
      <c r="H941" s="2"/>
      <c r="I941" s="278"/>
      <c r="J941" s="1"/>
      <c r="K941" s="2"/>
      <c r="M941" s="11"/>
      <c r="N941" s="11"/>
      <c r="O941" s="38"/>
      <c r="P941" s="38"/>
      <c r="Q941" s="11"/>
      <c r="R941" s="11"/>
      <c r="S941" s="11"/>
      <c r="T941" s="11"/>
      <c r="U941" s="11"/>
      <c r="V941" s="11"/>
      <c r="W941" s="11"/>
      <c r="X941" s="11"/>
    </row>
    <row r="942" spans="1:24">
      <c r="A942" s="3" t="s">
        <v>295</v>
      </c>
      <c r="C942" s="127">
        <f>C939+C940</f>
        <v>3430520</v>
      </c>
      <c r="D942" s="127">
        <v>3454436.4805654008</v>
      </c>
      <c r="E942" s="132"/>
      <c r="F942" s="11"/>
      <c r="G942" s="135">
        <f>SUM(G938:G940)</f>
        <v>213189.22</v>
      </c>
      <c r="H942" s="135">
        <f>SUM(H938:H940)</f>
        <v>214658.22</v>
      </c>
      <c r="I942" s="132"/>
      <c r="J942" s="11"/>
      <c r="K942" s="135">
        <f>SUM(K938:K940)</f>
        <v>214658.22</v>
      </c>
      <c r="M942" s="11"/>
      <c r="N942" s="11"/>
      <c r="O942" s="38"/>
      <c r="P942" s="38"/>
      <c r="Q942" s="11"/>
      <c r="R942" s="11"/>
      <c r="S942" s="11"/>
      <c r="T942" s="11"/>
      <c r="U942" s="11"/>
      <c r="V942" s="11"/>
      <c r="W942" s="11"/>
      <c r="X942" s="11"/>
    </row>
    <row r="943" spans="1:24">
      <c r="A943" s="3" t="s">
        <v>296</v>
      </c>
      <c r="C943" s="127">
        <v>42879.146799479597</v>
      </c>
      <c r="D943" s="127">
        <v>0</v>
      </c>
      <c r="E943" s="132"/>
      <c r="F943" s="11"/>
      <c r="G943" s="135">
        <v>2578.7840543150201</v>
      </c>
      <c r="H943" s="135">
        <v>0</v>
      </c>
      <c r="I943" s="132"/>
      <c r="J943" s="11"/>
      <c r="K943" s="135">
        <v>0</v>
      </c>
      <c r="M943" s="152"/>
      <c r="N943" s="152"/>
      <c r="O943" s="153"/>
      <c r="P943" s="38"/>
      <c r="Q943" s="11"/>
      <c r="R943" s="11"/>
      <c r="S943" s="11"/>
      <c r="T943" s="11"/>
      <c r="U943" s="11"/>
      <c r="V943" s="11"/>
      <c r="W943" s="11"/>
      <c r="X943" s="11"/>
    </row>
    <row r="944" spans="1:24" ht="16.5" thickBot="1">
      <c r="A944" s="1" t="s">
        <v>1</v>
      </c>
      <c r="B944" s="1"/>
      <c r="C944" s="256">
        <f>C942+C943</f>
        <v>3473399.1467994796</v>
      </c>
      <c r="D944" s="256">
        <f>D942+D943</f>
        <v>3454436.4805654008</v>
      </c>
      <c r="E944" s="280"/>
      <c r="F944" s="281"/>
      <c r="G944" s="137">
        <f>G942+G943</f>
        <v>215768.00405431501</v>
      </c>
      <c r="H944" s="137">
        <f>H942+H943</f>
        <v>214658.22</v>
      </c>
      <c r="I944" s="280"/>
      <c r="J944" s="281"/>
      <c r="K944" s="137">
        <f>K942+K943</f>
        <v>214658.22</v>
      </c>
      <c r="M944" s="154"/>
      <c r="N944" s="154"/>
      <c r="O944" s="155"/>
      <c r="P944" s="38"/>
      <c r="Q944" s="11"/>
      <c r="R944" s="11"/>
      <c r="S944" s="11"/>
      <c r="T944" s="11"/>
      <c r="U944" s="11"/>
      <c r="V944" s="11"/>
      <c r="W944" s="11"/>
      <c r="X944" s="11"/>
    </row>
    <row r="945" spans="1:24" ht="16.5" thickTop="1">
      <c r="A945" s="1"/>
      <c r="B945" s="1"/>
      <c r="C945" s="16"/>
      <c r="D945" s="16"/>
      <c r="E945" s="285"/>
      <c r="F945" s="14"/>
      <c r="G945" s="20"/>
      <c r="H945" s="20"/>
      <c r="I945" s="285" t="s">
        <v>13</v>
      </c>
      <c r="J945" s="14"/>
      <c r="K945" s="20" t="s">
        <v>13</v>
      </c>
      <c r="M945" s="11"/>
      <c r="N945" s="11"/>
      <c r="O945" s="38"/>
      <c r="P945" s="38"/>
      <c r="Q945" s="11"/>
      <c r="R945" s="11"/>
      <c r="S945" s="11"/>
      <c r="T945" s="11"/>
      <c r="U945" s="11"/>
      <c r="V945" s="11"/>
      <c r="W945" s="11"/>
      <c r="X945" s="11"/>
    </row>
    <row r="946" spans="1:24">
      <c r="A946" s="156" t="s">
        <v>303</v>
      </c>
      <c r="B946" s="1"/>
      <c r="C946" s="1"/>
      <c r="D946" s="1"/>
      <c r="E946" s="1"/>
      <c r="F946" s="1"/>
      <c r="G946" s="1"/>
      <c r="H946" s="1"/>
      <c r="I946" s="1"/>
      <c r="J946" s="1"/>
      <c r="K946" s="1"/>
      <c r="M946" s="11"/>
      <c r="N946" s="11"/>
      <c r="O946" s="38"/>
      <c r="P946" s="38"/>
      <c r="Q946" s="11"/>
      <c r="R946" s="11"/>
      <c r="S946" s="11"/>
      <c r="T946" s="11"/>
      <c r="U946" s="11"/>
      <c r="V946" s="11"/>
      <c r="W946" s="11"/>
      <c r="X946" s="11"/>
    </row>
    <row r="947" spans="1:24">
      <c r="A947" s="1" t="s">
        <v>304</v>
      </c>
      <c r="B947" s="1"/>
      <c r="C947" s="1"/>
      <c r="D947" s="1"/>
      <c r="E947" s="1"/>
      <c r="F947" s="1"/>
      <c r="G947" s="1"/>
      <c r="H947" s="1"/>
      <c r="I947" s="1"/>
      <c r="J947" s="1"/>
      <c r="K947" s="1"/>
      <c r="M947" s="11"/>
      <c r="N947" s="11"/>
      <c r="O947" s="38"/>
      <c r="P947" s="38"/>
      <c r="Q947" s="11"/>
      <c r="R947" s="11"/>
      <c r="S947" s="11"/>
      <c r="T947" s="11"/>
      <c r="U947" s="11"/>
      <c r="V947" s="11"/>
      <c r="W947" s="11"/>
      <c r="X947" s="11"/>
    </row>
    <row r="948" spans="1:24">
      <c r="A948" s="1"/>
      <c r="B948" s="1"/>
      <c r="C948" s="1"/>
      <c r="D948" s="1"/>
      <c r="E948" s="282"/>
      <c r="F948" s="1"/>
      <c r="G948" s="1"/>
      <c r="H948" s="1"/>
      <c r="I948" s="282"/>
      <c r="J948" s="1"/>
      <c r="K948" s="1"/>
      <c r="M948" s="11"/>
      <c r="N948" s="11"/>
      <c r="O948" s="38"/>
      <c r="P948" s="38"/>
      <c r="Q948" s="11"/>
      <c r="R948" s="11"/>
      <c r="S948" s="11"/>
      <c r="T948" s="11"/>
      <c r="U948" s="11"/>
      <c r="V948" s="11"/>
      <c r="W948" s="11"/>
      <c r="X948" s="11"/>
    </row>
    <row r="949" spans="1:24">
      <c r="A949" s="1" t="s">
        <v>292</v>
      </c>
      <c r="B949" s="1"/>
      <c r="C949" s="12"/>
      <c r="D949" s="12"/>
      <c r="E949" s="161"/>
      <c r="F949" s="1"/>
      <c r="G949" s="275">
        <v>0</v>
      </c>
      <c r="H949" s="275">
        <v>0</v>
      </c>
      <c r="I949" s="161"/>
      <c r="J949" s="1"/>
      <c r="K949" s="2">
        <f>G949</f>
        <v>0</v>
      </c>
      <c r="M949" s="11"/>
      <c r="N949" s="11"/>
      <c r="O949" s="38"/>
      <c r="P949" s="38"/>
      <c r="Q949" s="11"/>
      <c r="R949" s="11"/>
      <c r="S949" s="11"/>
      <c r="T949" s="11"/>
      <c r="U949" s="11"/>
      <c r="V949" s="11"/>
      <c r="W949" s="11"/>
      <c r="X949" s="11"/>
    </row>
    <row r="950" spans="1:24">
      <c r="A950" s="1" t="s">
        <v>299</v>
      </c>
      <c r="B950" s="1"/>
      <c r="C950" s="127">
        <v>0</v>
      </c>
      <c r="D950" s="182">
        <f>ROUND(($D$953/$C$953)*C950,0)</f>
        <v>0</v>
      </c>
      <c r="E950" s="276">
        <v>6.1459999999999999</v>
      </c>
      <c r="F950" s="1" t="s">
        <v>178</v>
      </c>
      <c r="G950" s="277">
        <f>ROUND(C950*E950/100,0)</f>
        <v>0</v>
      </c>
      <c r="H950" s="277">
        <f>ROUND(D950*E950/100,0)</f>
        <v>0</v>
      </c>
      <c r="I950" s="245">
        <f>I928</f>
        <v>6.1459999999999999</v>
      </c>
      <c r="J950" s="1" t="s">
        <v>178</v>
      </c>
      <c r="K950" s="2">
        <f>ROUND(I950*D950/100,0)</f>
        <v>0</v>
      </c>
      <c r="M950" s="11"/>
      <c r="N950" s="11"/>
      <c r="O950" s="38"/>
      <c r="P950" s="38"/>
      <c r="Q950" s="11"/>
      <c r="R950" s="11"/>
      <c r="S950" s="11"/>
      <c r="T950" s="11"/>
      <c r="U950" s="11"/>
      <c r="V950" s="11"/>
      <c r="W950" s="11"/>
      <c r="X950" s="11"/>
    </row>
    <row r="951" spans="1:24">
      <c r="A951" s="1" t="s">
        <v>300</v>
      </c>
      <c r="B951" s="1"/>
      <c r="C951" s="127">
        <f>1013843</f>
        <v>1013843</v>
      </c>
      <c r="D951" s="182">
        <f>ROUND(($D$953/$C$953)*C951,0)</f>
        <v>984893</v>
      </c>
      <c r="E951" s="284">
        <f>E950</f>
        <v>6.1459999999999999</v>
      </c>
      <c r="F951" s="1" t="s">
        <v>178</v>
      </c>
      <c r="G951" s="277">
        <f>ROUND(C951*E951/100,0)</f>
        <v>62311</v>
      </c>
      <c r="H951" s="277">
        <f>ROUND(D951*E951/100,0)</f>
        <v>60532</v>
      </c>
      <c r="I951" s="287">
        <f>I950</f>
        <v>6.1459999999999999</v>
      </c>
      <c r="J951" s="1" t="s">
        <v>178</v>
      </c>
      <c r="K951" s="2">
        <f>ROUND(I951*D951/100,0)</f>
        <v>60532</v>
      </c>
      <c r="M951" s="11"/>
      <c r="N951" s="11"/>
      <c r="O951" s="38"/>
      <c r="P951" s="38"/>
      <c r="Q951" s="11"/>
      <c r="R951" s="11"/>
      <c r="S951" s="11"/>
      <c r="T951" s="11"/>
      <c r="U951" s="11"/>
      <c r="V951" s="11"/>
      <c r="W951" s="11"/>
      <c r="X951" s="11"/>
    </row>
    <row r="952" spans="1:24">
      <c r="A952" s="1" t="s">
        <v>166</v>
      </c>
      <c r="B952" s="1"/>
      <c r="C952" s="127">
        <f>1023</f>
        <v>1023</v>
      </c>
      <c r="D952" s="182">
        <v>1032</v>
      </c>
      <c r="E952" s="278"/>
      <c r="F952" s="1"/>
      <c r="G952" s="2"/>
      <c r="H952" s="2"/>
      <c r="I952" s="278"/>
      <c r="J952" s="1"/>
      <c r="K952" s="2"/>
      <c r="M952" s="11"/>
      <c r="N952" s="11"/>
      <c r="O952" s="38"/>
      <c r="P952" s="38"/>
      <c r="Q952" s="11"/>
      <c r="R952" s="11"/>
      <c r="S952" s="11"/>
      <c r="T952" s="11"/>
      <c r="U952" s="11"/>
      <c r="V952" s="11"/>
      <c r="W952" s="11"/>
      <c r="X952" s="11"/>
    </row>
    <row r="953" spans="1:24">
      <c r="A953" s="3" t="s">
        <v>295</v>
      </c>
      <c r="C953" s="127">
        <f>C950+C951</f>
        <v>1013843</v>
      </c>
      <c r="D953" s="127">
        <v>984893.270531249</v>
      </c>
      <c r="E953" s="132"/>
      <c r="F953" s="11"/>
      <c r="G953" s="135">
        <f>SUM(G949:G951)</f>
        <v>62311</v>
      </c>
      <c r="H953" s="135">
        <f>SUM(H949:H951)</f>
        <v>60532</v>
      </c>
      <c r="I953" s="132"/>
      <c r="J953" s="11"/>
      <c r="K953" s="135">
        <f>SUM(K949:K951)</f>
        <v>60532</v>
      </c>
      <c r="M953" s="11"/>
      <c r="N953" s="11"/>
      <c r="O953" s="38"/>
      <c r="P953" s="38"/>
      <c r="Q953" s="11"/>
      <c r="R953" s="11"/>
      <c r="S953" s="11"/>
      <c r="T953" s="11"/>
      <c r="U953" s="11"/>
      <c r="V953" s="11"/>
      <c r="W953" s="11"/>
      <c r="X953" s="11"/>
    </row>
    <row r="954" spans="1:24">
      <c r="A954" s="3" t="s">
        <v>296</v>
      </c>
      <c r="C954" s="127">
        <v>12689.501957526723</v>
      </c>
      <c r="D954" s="127">
        <v>0</v>
      </c>
      <c r="E954" s="132"/>
      <c r="F954" s="11"/>
      <c r="G954" s="135">
        <v>754.06570476174147</v>
      </c>
      <c r="H954" s="135">
        <v>0</v>
      </c>
      <c r="I954" s="132"/>
      <c r="J954" s="11"/>
      <c r="K954" s="135">
        <v>0</v>
      </c>
      <c r="M954" s="152"/>
      <c r="N954" s="152"/>
      <c r="O954" s="153"/>
      <c r="P954" s="38"/>
      <c r="Q954" s="11"/>
      <c r="R954" s="11"/>
      <c r="S954" s="11"/>
      <c r="T954" s="11"/>
      <c r="U954" s="11"/>
      <c r="V954" s="11"/>
      <c r="W954" s="11"/>
      <c r="X954" s="11"/>
    </row>
    <row r="955" spans="1:24" ht="16.5" thickBot="1">
      <c r="A955" s="1" t="s">
        <v>1</v>
      </c>
      <c r="B955" s="1"/>
      <c r="C955" s="256">
        <f>C953+C954</f>
        <v>1026532.5019575268</v>
      </c>
      <c r="D955" s="256">
        <f>D953+D954</f>
        <v>984893.270531249</v>
      </c>
      <c r="E955" s="280"/>
      <c r="F955" s="281"/>
      <c r="G955" s="137">
        <f>G953+G954</f>
        <v>63065.065704761742</v>
      </c>
      <c r="H955" s="137">
        <f>H953+H954</f>
        <v>60532</v>
      </c>
      <c r="I955" s="280"/>
      <c r="J955" s="281"/>
      <c r="K955" s="137">
        <f>K953+K954</f>
        <v>60532</v>
      </c>
      <c r="M955" s="154"/>
      <c r="N955" s="154"/>
      <c r="O955" s="155"/>
      <c r="P955" s="38"/>
      <c r="Q955" s="11"/>
      <c r="R955" s="11"/>
      <c r="S955" s="11"/>
      <c r="T955" s="11"/>
      <c r="U955" s="11"/>
      <c r="V955" s="11"/>
      <c r="W955" s="11"/>
      <c r="X955" s="11"/>
    </row>
    <row r="956" spans="1:24" ht="16.5" thickTop="1">
      <c r="A956" s="1"/>
      <c r="B956" s="1"/>
      <c r="C956" s="16"/>
      <c r="D956" s="16"/>
      <c r="E956" s="285"/>
      <c r="F956" s="14"/>
      <c r="G956" s="20"/>
      <c r="H956" s="20"/>
      <c r="I956" s="285" t="s">
        <v>13</v>
      </c>
      <c r="J956" s="14"/>
      <c r="K956" s="20" t="s">
        <v>13</v>
      </c>
      <c r="M956" s="11"/>
      <c r="N956" s="11"/>
      <c r="O956" s="38"/>
      <c r="P956" s="38"/>
      <c r="Q956" s="11"/>
      <c r="R956" s="11"/>
      <c r="S956" s="11"/>
      <c r="T956" s="11"/>
      <c r="U956" s="11"/>
      <c r="V956" s="11"/>
      <c r="W956" s="11"/>
      <c r="X956" s="11"/>
    </row>
    <row r="957" spans="1:24">
      <c r="A957" s="156" t="s">
        <v>305</v>
      </c>
      <c r="B957" s="1"/>
      <c r="C957" s="1"/>
      <c r="D957" s="1"/>
      <c r="E957" s="1"/>
      <c r="F957" s="1"/>
      <c r="G957" s="1"/>
      <c r="H957" s="1"/>
      <c r="I957" s="1"/>
      <c r="J957" s="1"/>
      <c r="K957" s="1" t="s">
        <v>13</v>
      </c>
      <c r="M957" s="11"/>
      <c r="N957" s="11"/>
      <c r="O957" s="38"/>
      <c r="P957" s="38"/>
      <c r="Q957" s="11"/>
      <c r="R957" s="11"/>
      <c r="S957" s="11"/>
      <c r="T957" s="11"/>
      <c r="U957" s="11"/>
      <c r="V957" s="11"/>
      <c r="W957" s="11"/>
      <c r="X957" s="11"/>
    </row>
    <row r="958" spans="1:24">
      <c r="A958" s="1" t="s">
        <v>80</v>
      </c>
      <c r="B958" s="1"/>
      <c r="C958" s="1"/>
      <c r="D958" s="1"/>
      <c r="E958" s="1"/>
      <c r="F958" s="1"/>
      <c r="G958" s="1"/>
      <c r="H958" s="1"/>
      <c r="I958" s="1"/>
      <c r="J958" s="1"/>
      <c r="K958" s="1"/>
      <c r="M958" s="11"/>
      <c r="N958" s="11"/>
      <c r="O958" s="38"/>
      <c r="P958" s="38"/>
      <c r="Q958" s="11"/>
      <c r="R958" s="11"/>
      <c r="S958" s="11"/>
      <c r="T958" s="11"/>
      <c r="U958" s="11"/>
      <c r="V958" s="11"/>
      <c r="W958" s="11"/>
      <c r="X958" s="11"/>
    </row>
    <row r="959" spans="1:2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M959" s="11"/>
      <c r="N959" s="11"/>
      <c r="O959" s="38"/>
      <c r="P959" s="38"/>
      <c r="Q959" s="11"/>
      <c r="R959" s="11"/>
      <c r="S959" s="11"/>
      <c r="T959" s="11"/>
      <c r="U959" s="11"/>
      <c r="V959" s="11"/>
      <c r="W959" s="11"/>
      <c r="X959" s="11"/>
    </row>
    <row r="960" spans="1:24">
      <c r="A960" s="1" t="s">
        <v>306</v>
      </c>
      <c r="B960" s="1"/>
      <c r="C960" s="12">
        <v>192</v>
      </c>
      <c r="D960" s="182">
        <v>191</v>
      </c>
      <c r="E960" s="161">
        <v>3.5</v>
      </c>
      <c r="F960" s="1"/>
      <c r="G960" s="2">
        <f>ROUND(E960*C960,0)</f>
        <v>672</v>
      </c>
      <c r="H960" s="2">
        <f>ROUND(E960*D960,0)</f>
        <v>669</v>
      </c>
      <c r="I960" s="161">
        <v>3.5</v>
      </c>
      <c r="J960" s="1"/>
      <c r="K960" s="2">
        <f>ROUND(I960*D960,0)</f>
        <v>669</v>
      </c>
      <c r="M960" s="42">
        <f>I960*D960</f>
        <v>668.5</v>
      </c>
      <c r="N960" s="11"/>
      <c r="O960" s="288"/>
      <c r="P960" s="288"/>
      <c r="Q960" s="11"/>
      <c r="R960" s="11"/>
      <c r="S960" s="11"/>
      <c r="T960" s="11"/>
      <c r="U960" s="11"/>
      <c r="V960" s="11"/>
      <c r="W960" s="11"/>
      <c r="X960" s="11"/>
    </row>
    <row r="961" spans="1:28">
      <c r="A961" s="1" t="s">
        <v>307</v>
      </c>
      <c r="B961" s="1"/>
      <c r="C961" s="12">
        <v>144</v>
      </c>
      <c r="D961" s="182">
        <v>144</v>
      </c>
      <c r="E961" s="161">
        <v>6.5</v>
      </c>
      <c r="F961" s="1"/>
      <c r="G961" s="2">
        <f>ROUND(E961*C961,0)</f>
        <v>936</v>
      </c>
      <c r="H961" s="2">
        <f>ROUND(E961*D961,0)</f>
        <v>936</v>
      </c>
      <c r="I961" s="161">
        <v>6.5</v>
      </c>
      <c r="J961" s="1"/>
      <c r="K961" s="2">
        <f>ROUND(I961*D961,0)</f>
        <v>936</v>
      </c>
      <c r="M961" s="42">
        <f>I961*D961</f>
        <v>936</v>
      </c>
      <c r="N961" s="11"/>
      <c r="O961" s="288"/>
      <c r="P961" s="288"/>
      <c r="Q961" s="11"/>
      <c r="R961" s="11"/>
      <c r="S961" s="11"/>
      <c r="T961" s="11"/>
      <c r="U961" s="11"/>
      <c r="V961" s="11"/>
      <c r="W961" s="11"/>
      <c r="X961" s="11"/>
    </row>
    <row r="962" spans="1:28">
      <c r="A962" s="1" t="s">
        <v>308</v>
      </c>
      <c r="B962" s="1"/>
      <c r="C962" s="12">
        <f>SUM(C960:C961)</f>
        <v>336</v>
      </c>
      <c r="D962" s="182">
        <v>335</v>
      </c>
      <c r="E962" s="237"/>
      <c r="F962" s="1"/>
      <c r="G962" s="277"/>
      <c r="H962" s="277"/>
      <c r="I962" s="237"/>
      <c r="J962" s="1"/>
      <c r="K962" s="2"/>
      <c r="M962" s="11"/>
      <c r="N962" s="11"/>
      <c r="O962" s="288"/>
      <c r="P962" s="288"/>
      <c r="Q962" s="11"/>
      <c r="R962" s="11"/>
      <c r="S962" s="11"/>
      <c r="T962" s="11"/>
      <c r="U962" s="11"/>
      <c r="V962" s="11"/>
      <c r="W962" s="11"/>
      <c r="X962" s="11"/>
    </row>
    <row r="963" spans="1:28">
      <c r="A963" s="1" t="s">
        <v>268</v>
      </c>
      <c r="B963" s="1"/>
      <c r="C963" s="12">
        <f>94703+138152</f>
        <v>232855</v>
      </c>
      <c r="D963" s="182">
        <v>235030</v>
      </c>
      <c r="E963" s="289">
        <v>7.2930000000000001</v>
      </c>
      <c r="F963" s="1" t="s">
        <v>178</v>
      </c>
      <c r="G963" s="277">
        <f>ROUND(C963*E963/100,0)</f>
        <v>16982</v>
      </c>
      <c r="H963" s="277">
        <f>ROUND(D963*E963/100,0)</f>
        <v>17141</v>
      </c>
      <c r="I963" s="289">
        <v>7.2930000000000001</v>
      </c>
      <c r="J963" s="2" t="s">
        <v>178</v>
      </c>
      <c r="K963" s="2">
        <f>ROUND(I963*D963/100,0)</f>
        <v>17141</v>
      </c>
      <c r="M963" s="42">
        <f>(I963/100)*D963</f>
        <v>17140.7379</v>
      </c>
      <c r="N963" s="11"/>
      <c r="O963" s="288"/>
      <c r="P963" s="288"/>
      <c r="Q963" s="11"/>
      <c r="R963" s="11"/>
      <c r="S963" s="11"/>
      <c r="T963" s="11"/>
      <c r="U963" s="11"/>
      <c r="V963" s="11"/>
      <c r="W963" s="11"/>
      <c r="X963" s="11"/>
    </row>
    <row r="964" spans="1:28">
      <c r="A964" s="1" t="s">
        <v>185</v>
      </c>
      <c r="B964" s="1"/>
      <c r="C964" s="182">
        <f>SUM(C963)</f>
        <v>232855</v>
      </c>
      <c r="D964" s="182">
        <f>SUM(D963)</f>
        <v>235030</v>
      </c>
      <c r="E964" s="12"/>
      <c r="F964" s="12"/>
      <c r="G964" s="277">
        <f>SUM(G960:G963)</f>
        <v>18590</v>
      </c>
      <c r="H964" s="277">
        <f>SUM(H960:H963)</f>
        <v>18746</v>
      </c>
      <c r="I964" s="12"/>
      <c r="J964" s="2"/>
      <c r="K964" s="277">
        <f>SUM(K960:K963)</f>
        <v>18746</v>
      </c>
      <c r="M964" s="279">
        <f>SUM(M960:M963)</f>
        <v>18745.2379</v>
      </c>
      <c r="N964" s="11"/>
      <c r="O964" s="38"/>
      <c r="P964" s="38"/>
      <c r="Q964" s="11"/>
      <c r="R964" s="11"/>
      <c r="S964" s="11"/>
      <c r="T964" s="11"/>
      <c r="U964" s="11"/>
      <c r="V964" s="11"/>
      <c r="W964" s="11"/>
      <c r="X964" s="11"/>
    </row>
    <row r="965" spans="1:28">
      <c r="A965" s="1" t="s">
        <v>167</v>
      </c>
      <c r="B965" s="1"/>
      <c r="C965" s="212">
        <v>1006.7724689934877</v>
      </c>
      <c r="D965" s="212">
        <v>0</v>
      </c>
      <c r="E965" s="290"/>
      <c r="F965" s="290"/>
      <c r="G965" s="291">
        <v>69.249899021408055</v>
      </c>
      <c r="H965" s="291">
        <v>0</v>
      </c>
      <c r="I965" s="290"/>
      <c r="J965" s="290"/>
      <c r="K965" s="291">
        <v>0</v>
      </c>
      <c r="M965" s="152"/>
      <c r="N965" s="152"/>
      <c r="O965" s="153"/>
      <c r="P965" s="38"/>
      <c r="S965" s="11"/>
      <c r="T965" s="11"/>
      <c r="U965" s="11"/>
      <c r="V965" s="11"/>
      <c r="W965" s="11"/>
      <c r="X965" s="11"/>
    </row>
    <row r="966" spans="1:28" ht="16.5" thickBot="1">
      <c r="A966" s="1" t="s">
        <v>186</v>
      </c>
      <c r="B966" s="1"/>
      <c r="C966" s="229">
        <f>C964+C965</f>
        <v>233861.7724689935</v>
      </c>
      <c r="D966" s="229">
        <f>D963+D965</f>
        <v>235030</v>
      </c>
      <c r="E966" s="208"/>
      <c r="F966" s="208"/>
      <c r="G966" s="175">
        <f>G964+G965</f>
        <v>18659.249899021408</v>
      </c>
      <c r="H966" s="175">
        <f>H964+H965</f>
        <v>18746</v>
      </c>
      <c r="I966" s="208"/>
      <c r="J966" s="208"/>
      <c r="K966" s="175">
        <f>K964+K965</f>
        <v>18746</v>
      </c>
      <c r="M966" s="154"/>
      <c r="N966" s="140" t="s">
        <v>213</v>
      </c>
      <c r="O966" s="292" t="e">
        <f>#REF!*1000</f>
        <v>#REF!</v>
      </c>
      <c r="P966" s="38"/>
      <c r="S966" s="11"/>
      <c r="T966" s="11"/>
      <c r="U966" s="11"/>
      <c r="V966" s="11"/>
      <c r="W966" s="11"/>
      <c r="X966" s="11"/>
    </row>
    <row r="967" spans="1:28" ht="16.5" thickTop="1">
      <c r="A967" s="1"/>
      <c r="B967" s="176"/>
      <c r="C967" s="1"/>
      <c r="D967" s="1"/>
      <c r="E967" s="1"/>
      <c r="F967" s="1"/>
      <c r="G967" s="1"/>
      <c r="H967" s="1"/>
      <c r="I967" s="1" t="s">
        <v>13</v>
      </c>
      <c r="J967" s="1"/>
      <c r="K967" s="2" t="s">
        <v>13</v>
      </c>
      <c r="M967" s="11"/>
      <c r="N967" s="140" t="s">
        <v>114</v>
      </c>
      <c r="O967" s="279" t="e">
        <f>O966-K966</f>
        <v>#REF!</v>
      </c>
      <c r="P967" s="139" t="e">
        <f>(O966-K966)/K966</f>
        <v>#REF!</v>
      </c>
      <c r="Q967" s="11"/>
      <c r="R967" s="11"/>
      <c r="S967" s="11"/>
      <c r="T967" s="11"/>
      <c r="U967" s="11"/>
      <c r="V967" s="11"/>
      <c r="W967" s="11"/>
      <c r="X967" s="11"/>
    </row>
    <row r="968" spans="1:28">
      <c r="A968" s="125" t="s">
        <v>309</v>
      </c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</row>
    <row r="969" spans="1:28">
      <c r="A969" s="166" t="s">
        <v>310</v>
      </c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M969" s="140"/>
      <c r="N969" s="140"/>
      <c r="O969" s="140"/>
      <c r="P969" s="140"/>
      <c r="Q969" s="140"/>
      <c r="R969" s="140"/>
      <c r="S969" s="140"/>
      <c r="T969" s="140"/>
      <c r="U969" s="140"/>
      <c r="V969" s="140"/>
      <c r="W969" s="140"/>
      <c r="X969" s="140"/>
    </row>
    <row r="970" spans="1:28">
      <c r="A970" s="293" t="s">
        <v>311</v>
      </c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M970" s="140"/>
      <c r="N970" s="140"/>
      <c r="O970" s="140"/>
      <c r="P970" s="140"/>
      <c r="Q970" s="140"/>
      <c r="R970" s="140"/>
      <c r="S970" s="140"/>
      <c r="T970" s="140"/>
      <c r="U970" s="140"/>
      <c r="V970" s="140"/>
      <c r="W970" s="140"/>
      <c r="X970" s="140"/>
    </row>
    <row r="971" spans="1:28">
      <c r="A971" s="3" t="s">
        <v>312</v>
      </c>
      <c r="G971" s="126"/>
      <c r="H971" s="126"/>
      <c r="M971" s="140"/>
      <c r="N971" s="143"/>
      <c r="O971" s="143"/>
      <c r="P971" s="38"/>
      <c r="Q971" s="142"/>
      <c r="R971" s="143"/>
      <c r="S971" s="294"/>
      <c r="T971" s="145"/>
      <c r="U971" s="141"/>
      <c r="V971" s="141"/>
      <c r="W971" s="141"/>
      <c r="X971" s="141"/>
      <c r="Y971" s="11"/>
      <c r="Z971" s="11"/>
      <c r="AA971" s="11"/>
      <c r="AB971" s="11"/>
    </row>
    <row r="972" spans="1:28">
      <c r="A972" s="3" t="s">
        <v>158</v>
      </c>
      <c r="C972" s="127">
        <f>10751</f>
        <v>10751</v>
      </c>
      <c r="D972" s="127">
        <f>ROUND(($D$1001/$C$1001)*C972,0)</f>
        <v>10394</v>
      </c>
      <c r="E972" s="128">
        <v>8.7799999999999994</v>
      </c>
      <c r="G972" s="2">
        <f>ROUND(E972*$C972,0)</f>
        <v>94394</v>
      </c>
      <c r="H972" s="2">
        <f>ROUND(E972*$D972,0)</f>
        <v>91259</v>
      </c>
      <c r="I972" s="128">
        <v>8.7799999999999994</v>
      </c>
      <c r="K972" s="2">
        <f>ROUND(I972*$D972,0)</f>
        <v>91259</v>
      </c>
      <c r="M972" s="42">
        <f>I972*D972</f>
        <v>91259.319999999992</v>
      </c>
      <c r="N972" s="11"/>
      <c r="O972" s="261">
        <v>76</v>
      </c>
      <c r="P972" s="262">
        <f>O972*D972</f>
        <v>789944</v>
      </c>
      <c r="Q972" s="263" t="e">
        <f>O972*$P$1001</f>
        <v>#REF!</v>
      </c>
      <c r="R972" s="264" t="e">
        <f>ROUND(E972+Q972,2)</f>
        <v>#REF!</v>
      </c>
      <c r="S972" s="147"/>
      <c r="T972" s="141"/>
      <c r="U972" s="144"/>
      <c r="V972" s="144"/>
      <c r="W972" s="295"/>
      <c r="X972" s="144"/>
      <c r="Y972" s="11"/>
      <c r="Z972" s="11"/>
      <c r="AA972" s="11"/>
      <c r="AB972" s="11"/>
    </row>
    <row r="973" spans="1:28">
      <c r="A973" s="3" t="s">
        <v>159</v>
      </c>
      <c r="C973" s="127">
        <f>1951</f>
        <v>1951</v>
      </c>
      <c r="D973" s="127">
        <f>ROUND(($D$1001/$C$1001)*C973,0)</f>
        <v>1886</v>
      </c>
      <c r="E973" s="128">
        <v>16.079999999999998</v>
      </c>
      <c r="G973" s="2">
        <f>ROUND(E973*$C973,0)</f>
        <v>31372</v>
      </c>
      <c r="H973" s="2">
        <f>ROUND(E973*$D973,0)</f>
        <v>30327</v>
      </c>
      <c r="I973" s="128">
        <v>16.079999999999998</v>
      </c>
      <c r="K973" s="2">
        <f>ROUND(I973*$D973,0)</f>
        <v>30327</v>
      </c>
      <c r="M973" s="42">
        <f>I973*D973</f>
        <v>30326.879999999997</v>
      </c>
      <c r="N973" s="11"/>
      <c r="O973" s="265">
        <v>172</v>
      </c>
      <c r="P973" s="38">
        <f>O973*D973</f>
        <v>324392</v>
      </c>
      <c r="Q973" s="266" t="e">
        <f>O973*$P$1001</f>
        <v>#REF!</v>
      </c>
      <c r="R973" s="267" t="e">
        <f>ROUND(E973+Q973,2)</f>
        <v>#REF!</v>
      </c>
      <c r="S973" s="141"/>
      <c r="T973" s="141"/>
      <c r="U973" s="144"/>
      <c r="V973" s="144"/>
      <c r="W973" s="295"/>
      <c r="X973" s="144"/>
      <c r="Y973" s="11"/>
      <c r="Z973" s="11"/>
      <c r="AA973" s="11"/>
      <c r="AB973" s="11"/>
    </row>
    <row r="974" spans="1:28">
      <c r="A974" s="3" t="s">
        <v>160</v>
      </c>
      <c r="C974" s="127">
        <f>12</f>
        <v>12</v>
      </c>
      <c r="D974" s="127">
        <f>ROUND(($D$1001/$C$1001)*C974,0)</f>
        <v>12</v>
      </c>
      <c r="E974" s="128">
        <v>32.53</v>
      </c>
      <c r="G974" s="2">
        <f>ROUND(E974*$C974,0)</f>
        <v>390</v>
      </c>
      <c r="H974" s="2">
        <f>ROUND(E974*$D974,0)</f>
        <v>390</v>
      </c>
      <c r="I974" s="128">
        <v>32.53</v>
      </c>
      <c r="K974" s="2">
        <f>ROUND(I974*$D974,0)</f>
        <v>390</v>
      </c>
      <c r="M974" s="42">
        <f>I974*D974</f>
        <v>390.36</v>
      </c>
      <c r="N974" s="11"/>
      <c r="O974" s="265">
        <v>412</v>
      </c>
      <c r="P974" s="38">
        <f>O974*D974</f>
        <v>4944</v>
      </c>
      <c r="Q974" s="266" t="e">
        <f>O974*$P$1001</f>
        <v>#REF!</v>
      </c>
      <c r="R974" s="267" t="e">
        <f>ROUND(E974+Q974,2)</f>
        <v>#REF!</v>
      </c>
      <c r="S974" s="141"/>
      <c r="T974" s="141"/>
      <c r="U974" s="144"/>
      <c r="V974" s="144"/>
      <c r="W974" s="295"/>
      <c r="X974" s="144"/>
      <c r="Y974" s="11"/>
      <c r="Z974" s="11"/>
      <c r="AA974" s="11"/>
      <c r="AB974" s="11"/>
    </row>
    <row r="975" spans="1:28">
      <c r="A975" s="3" t="s">
        <v>313</v>
      </c>
      <c r="C975" s="127"/>
      <c r="D975" s="127"/>
      <c r="E975" s="296"/>
      <c r="G975" s="126"/>
      <c r="H975" s="126"/>
      <c r="I975" s="296"/>
      <c r="N975" s="11"/>
      <c r="O975" s="265"/>
      <c r="P975" s="38"/>
      <c r="Q975" s="11"/>
      <c r="R975" s="269"/>
      <c r="S975" s="141"/>
      <c r="T975" s="141"/>
      <c r="U975" s="144"/>
      <c r="V975" s="144"/>
      <c r="W975" s="295"/>
      <c r="X975" s="144"/>
      <c r="Y975" s="11"/>
      <c r="Z975" s="11"/>
      <c r="AA975" s="11"/>
      <c r="AB975" s="11"/>
    </row>
    <row r="976" spans="1:28">
      <c r="A976" s="3" t="s">
        <v>158</v>
      </c>
      <c r="C976" s="127">
        <f>5858</f>
        <v>5858</v>
      </c>
      <c r="D976" s="127">
        <f>ROUND(($D$1001/$C$1001)*C976,0)</f>
        <v>5664</v>
      </c>
      <c r="E976" s="128">
        <v>8.23</v>
      </c>
      <c r="G976" s="2">
        <f>ROUND(E976*$C976,0)</f>
        <v>48211</v>
      </c>
      <c r="H976" s="2">
        <f>ROUND(E976*$D976,0)</f>
        <v>46615</v>
      </c>
      <c r="I976" s="128">
        <v>8.23</v>
      </c>
      <c r="K976" s="2">
        <f>ROUND(I976*$D976,0)</f>
        <v>46615</v>
      </c>
      <c r="M976" s="42">
        <f>I976*D976</f>
        <v>46614.720000000001</v>
      </c>
      <c r="N976" s="11"/>
      <c r="O976" s="265">
        <v>76</v>
      </c>
      <c r="P976" s="38">
        <f>O976*D976</f>
        <v>430464</v>
      </c>
      <c r="Q976" s="266" t="e">
        <f>O976*$P$1001</f>
        <v>#REF!</v>
      </c>
      <c r="R976" s="267" t="e">
        <f>ROUND(E976+Q976,2)</f>
        <v>#REF!</v>
      </c>
      <c r="S976" s="11"/>
      <c r="T976" s="11"/>
      <c r="U976" s="144"/>
      <c r="V976" s="144"/>
      <c r="W976" s="295"/>
      <c r="X976" s="144"/>
      <c r="Y976" s="11"/>
      <c r="Z976" s="11"/>
      <c r="AA976" s="11"/>
      <c r="AB976" s="11"/>
    </row>
    <row r="977" spans="1:28">
      <c r="A977" s="3" t="s">
        <v>159</v>
      </c>
      <c r="C977" s="127">
        <f>8</f>
        <v>8</v>
      </c>
      <c r="D977" s="127">
        <f>ROUND(($D$1001/$C$1001)*C977,0)</f>
        <v>8</v>
      </c>
      <c r="E977" s="128">
        <v>15</v>
      </c>
      <c r="G977" s="2">
        <f>ROUND(E977*$C977,0)</f>
        <v>120</v>
      </c>
      <c r="H977" s="2">
        <f>ROUND(E977*$D977,0)</f>
        <v>120</v>
      </c>
      <c r="I977" s="128">
        <v>15</v>
      </c>
      <c r="K977" s="2">
        <f>ROUND(I977*$D977,0)</f>
        <v>120</v>
      </c>
      <c r="M977" s="42">
        <f>I977*D977</f>
        <v>120</v>
      </c>
      <c r="N977" s="11"/>
      <c r="O977" s="265">
        <v>172</v>
      </c>
      <c r="P977" s="38">
        <f>O977*D977</f>
        <v>1376</v>
      </c>
      <c r="Q977" s="266" t="e">
        <f>O977*$P$1001</f>
        <v>#REF!</v>
      </c>
      <c r="R977" s="267" t="e">
        <f>ROUND(E977+Q977,2)</f>
        <v>#REF!</v>
      </c>
      <c r="S977" s="11"/>
      <c r="T977" s="11"/>
      <c r="U977" s="144"/>
      <c r="V977" s="144"/>
      <c r="W977" s="295"/>
      <c r="X977" s="144"/>
      <c r="Y977" s="11"/>
      <c r="Z977" s="11"/>
      <c r="AA977" s="11"/>
      <c r="AB977" s="11"/>
    </row>
    <row r="978" spans="1:28">
      <c r="A978" s="293" t="s">
        <v>314</v>
      </c>
      <c r="C978" s="127"/>
      <c r="D978" s="127"/>
      <c r="E978" s="128"/>
      <c r="G978" s="2"/>
      <c r="H978" s="2"/>
      <c r="I978" s="128"/>
      <c r="K978" s="2"/>
      <c r="N978" s="11"/>
      <c r="O978" s="265"/>
      <c r="P978" s="38"/>
      <c r="Q978" s="11"/>
      <c r="R978" s="39"/>
      <c r="S978" s="11"/>
      <c r="T978" s="11"/>
      <c r="U978" s="11"/>
      <c r="V978" s="11"/>
      <c r="W978" s="295"/>
      <c r="X978" s="11"/>
      <c r="Y978" s="11"/>
      <c r="Z978" s="11"/>
      <c r="AA978" s="11"/>
      <c r="AB978" s="11"/>
    </row>
    <row r="979" spans="1:28">
      <c r="A979" s="3" t="s">
        <v>312</v>
      </c>
      <c r="C979" s="127"/>
      <c r="D979" s="127"/>
      <c r="E979" s="296"/>
      <c r="G979" s="126"/>
      <c r="H979" s="126"/>
      <c r="I979" s="296"/>
      <c r="N979" s="11"/>
      <c r="O979" s="297"/>
      <c r="P979" s="38"/>
      <c r="Q979" s="11"/>
      <c r="R979" s="39"/>
      <c r="S979" s="11"/>
      <c r="T979" s="11"/>
      <c r="U979" s="11"/>
      <c r="V979" s="11"/>
      <c r="W979" s="295"/>
      <c r="X979" s="11"/>
      <c r="Y979" s="11"/>
      <c r="Z979" s="11"/>
      <c r="AA979" s="11"/>
      <c r="AB979" s="11"/>
    </row>
    <row r="980" spans="1:28">
      <c r="A980" s="3" t="s">
        <v>158</v>
      </c>
      <c r="C980" s="127">
        <f>91</f>
        <v>91</v>
      </c>
      <c r="D980" s="127">
        <f>ROUND(($D$1001/$C$1001)*C980,0)</f>
        <v>88</v>
      </c>
      <c r="E980" s="128">
        <v>11.47</v>
      </c>
      <c r="G980" s="2">
        <f>ROUND(E980*$C980,0)</f>
        <v>1044</v>
      </c>
      <c r="H980" s="2">
        <f>ROUND(E980*$D980,0)</f>
        <v>1009</v>
      </c>
      <c r="I980" s="128">
        <v>11.47</v>
      </c>
      <c r="K980" s="2">
        <f>ROUND(I980*$D980,0)</f>
        <v>1009</v>
      </c>
      <c r="M980" s="42">
        <f>I980*D980</f>
        <v>1009.36</v>
      </c>
      <c r="N980" s="11"/>
      <c r="O980" s="265">
        <v>76</v>
      </c>
      <c r="P980" s="38">
        <f>O980*D980</f>
        <v>6688</v>
      </c>
      <c r="Q980" s="266" t="e">
        <f>O980*$P$1001</f>
        <v>#REF!</v>
      </c>
      <c r="R980" s="267" t="e">
        <f>ROUND(E980+Q980,2)</f>
        <v>#REF!</v>
      </c>
      <c r="S980" s="11"/>
      <c r="T980" s="11"/>
      <c r="U980" s="144"/>
      <c r="V980" s="144"/>
      <c r="W980" s="295"/>
      <c r="X980" s="144"/>
      <c r="Y980" s="11"/>
      <c r="Z980" s="11"/>
      <c r="AA980" s="11"/>
      <c r="AB980" s="11"/>
    </row>
    <row r="981" spans="1:28">
      <c r="A981" s="3" t="s">
        <v>159</v>
      </c>
      <c r="C981" s="127">
        <f>324</f>
        <v>324</v>
      </c>
      <c r="D981" s="127">
        <f>ROUND(($D$1001/$C$1001)*C981,0)</f>
        <v>313</v>
      </c>
      <c r="E981" s="128">
        <v>19.260000000000002</v>
      </c>
      <c r="G981" s="2">
        <f>ROUND(E981*$C981,0)</f>
        <v>6240</v>
      </c>
      <c r="H981" s="2">
        <f>ROUND(E981*$D981,0)</f>
        <v>6028</v>
      </c>
      <c r="I981" s="128">
        <v>19.260000000000002</v>
      </c>
      <c r="K981" s="2">
        <f>ROUND(I981*$D981,0)</f>
        <v>6028</v>
      </c>
      <c r="M981" s="42">
        <f>I981*D981</f>
        <v>6028.38</v>
      </c>
      <c r="N981" s="11"/>
      <c r="O981" s="265">
        <v>172</v>
      </c>
      <c r="P981" s="38">
        <f>O981*D981</f>
        <v>53836</v>
      </c>
      <c r="Q981" s="266" t="e">
        <f>O981*$P$1001</f>
        <v>#REF!</v>
      </c>
      <c r="R981" s="267" t="e">
        <f>ROUND(E981+Q981,2)</f>
        <v>#REF!</v>
      </c>
      <c r="S981" s="292"/>
      <c r="T981" s="292"/>
      <c r="U981" s="144"/>
      <c r="V981" s="144"/>
      <c r="W981" s="295"/>
      <c r="X981" s="144"/>
      <c r="Y981" s="11"/>
      <c r="Z981" s="11"/>
      <c r="AA981" s="11"/>
      <c r="AB981" s="11"/>
    </row>
    <row r="982" spans="1:28">
      <c r="A982" s="3" t="s">
        <v>160</v>
      </c>
      <c r="C982" s="127">
        <v>0</v>
      </c>
      <c r="D982" s="127">
        <f>ROUND(($D$1001/$C$1001)*C982,0)</f>
        <v>0</v>
      </c>
      <c r="E982" s="128">
        <v>35.75</v>
      </c>
      <c r="G982" s="2">
        <f>ROUND(E982*$C982,0)</f>
        <v>0</v>
      </c>
      <c r="H982" s="2">
        <f>ROUND(E982*$D982,0)</f>
        <v>0</v>
      </c>
      <c r="I982" s="128">
        <v>35.75</v>
      </c>
      <c r="K982" s="2">
        <f>ROUND(I982*$D982,0)</f>
        <v>0</v>
      </c>
      <c r="M982" s="42">
        <f>I982*D982</f>
        <v>0</v>
      </c>
      <c r="N982" s="11"/>
      <c r="O982" s="265">
        <v>412</v>
      </c>
      <c r="P982" s="38">
        <f>O982*D982</f>
        <v>0</v>
      </c>
      <c r="Q982" s="266" t="e">
        <f>O982*$P$1001</f>
        <v>#REF!</v>
      </c>
      <c r="R982" s="267" t="e">
        <f>ROUND(E982+Q982,2)</f>
        <v>#REF!</v>
      </c>
      <c r="S982" s="292"/>
      <c r="T982" s="292"/>
      <c r="U982" s="144"/>
      <c r="V982" s="144"/>
      <c r="W982" s="295"/>
      <c r="X982" s="144"/>
      <c r="Y982" s="11"/>
      <c r="Z982" s="11"/>
      <c r="AA982" s="11"/>
      <c r="AB982" s="11"/>
    </row>
    <row r="983" spans="1:28">
      <c r="A983" s="3" t="s">
        <v>313</v>
      </c>
      <c r="C983" s="127"/>
      <c r="D983" s="127"/>
      <c r="E983" s="296"/>
      <c r="G983" s="126"/>
      <c r="H983" s="126"/>
      <c r="I983" s="296"/>
      <c r="M983" s="11"/>
      <c r="N983" s="11"/>
      <c r="O983" s="19"/>
      <c r="P983" s="298"/>
      <c r="Q983" s="298"/>
      <c r="R983" s="299"/>
      <c r="S983" s="292"/>
      <c r="T983" s="292"/>
      <c r="U983" s="300"/>
      <c r="V983" s="11"/>
      <c r="W983" s="295"/>
      <c r="X983" s="11"/>
      <c r="Y983" s="11"/>
      <c r="Z983" s="11"/>
      <c r="AA983" s="11"/>
      <c r="AB983" s="11"/>
    </row>
    <row r="984" spans="1:28">
      <c r="A984" s="3" t="s">
        <v>158</v>
      </c>
      <c r="C984" s="127">
        <v>0</v>
      </c>
      <c r="D984" s="127">
        <f>ROUND(($D$1001/$C$1001)*C984,0)</f>
        <v>0</v>
      </c>
      <c r="E984" s="128">
        <v>10.86</v>
      </c>
      <c r="G984" s="2">
        <f>ROUND(E984*$C984,0)</f>
        <v>0</v>
      </c>
      <c r="H984" s="2">
        <f>ROUND(E984*$D984,0)</f>
        <v>0</v>
      </c>
      <c r="I984" s="128">
        <v>10.86</v>
      </c>
      <c r="K984" s="2">
        <f>ROUND(I984*$D984,0)</f>
        <v>0</v>
      </c>
      <c r="M984" s="42">
        <f>I984*D984</f>
        <v>0</v>
      </c>
      <c r="N984" s="11"/>
      <c r="O984" s="265">
        <v>76</v>
      </c>
      <c r="P984" s="38">
        <f>O984*D984</f>
        <v>0</v>
      </c>
      <c r="Q984" s="266" t="e">
        <f>O984*$P$1001</f>
        <v>#REF!</v>
      </c>
      <c r="R984" s="267" t="e">
        <f>ROUND(E984+Q984,2)</f>
        <v>#REF!</v>
      </c>
      <c r="S984" s="292"/>
      <c r="T984" s="292"/>
      <c r="U984" s="144"/>
      <c r="V984" s="144"/>
      <c r="W984" s="295"/>
      <c r="X984" s="144"/>
      <c r="Y984" s="11"/>
      <c r="Z984" s="11"/>
      <c r="AA984" s="11"/>
      <c r="AB984" s="11"/>
    </row>
    <row r="985" spans="1:28">
      <c r="A985" s="3" t="s">
        <v>159</v>
      </c>
      <c r="C985" s="127">
        <v>0</v>
      </c>
      <c r="D985" s="127">
        <f>ROUND(($D$1001/$C$1001)*C985,0)</f>
        <v>0</v>
      </c>
      <c r="E985" s="128">
        <v>18.21</v>
      </c>
      <c r="G985" s="2">
        <f>ROUND(E985*$C985,0)</f>
        <v>0</v>
      </c>
      <c r="H985" s="2">
        <f>ROUND(E985*$D985,0)</f>
        <v>0</v>
      </c>
      <c r="I985" s="128">
        <v>18.21</v>
      </c>
      <c r="K985" s="2">
        <f>ROUND(I985*$D985,0)</f>
        <v>0</v>
      </c>
      <c r="M985" s="42">
        <f>I985*D985</f>
        <v>0</v>
      </c>
      <c r="N985" s="11"/>
      <c r="O985" s="265">
        <v>172</v>
      </c>
      <c r="P985" s="38">
        <f>O985*D985</f>
        <v>0</v>
      </c>
      <c r="Q985" s="266" t="e">
        <f>O985*$P$1001</f>
        <v>#REF!</v>
      </c>
      <c r="R985" s="267" t="e">
        <f>ROUND(E985+Q985,2)</f>
        <v>#REF!</v>
      </c>
      <c r="S985" s="292"/>
      <c r="T985" s="292"/>
      <c r="U985" s="144"/>
      <c r="V985" s="144"/>
      <c r="W985" s="295"/>
      <c r="X985" s="144"/>
      <c r="Y985" s="11"/>
      <c r="Z985" s="11"/>
      <c r="AA985" s="11"/>
      <c r="AB985" s="11"/>
    </row>
    <row r="986" spans="1:28">
      <c r="A986" s="293" t="s">
        <v>315</v>
      </c>
      <c r="B986" s="166"/>
      <c r="C986" s="127"/>
      <c r="D986" s="127"/>
      <c r="E986" s="296"/>
      <c r="F986" s="166"/>
      <c r="G986" s="166"/>
      <c r="H986" s="166"/>
      <c r="I986" s="296"/>
      <c r="J986" s="166"/>
      <c r="K986" s="166"/>
      <c r="M986" s="11"/>
      <c r="N986" s="11"/>
      <c r="O986" s="19"/>
      <c r="P986" s="298"/>
      <c r="Q986" s="298"/>
      <c r="R986" s="299"/>
      <c r="S986" s="292"/>
      <c r="T986" s="292"/>
      <c r="U986" s="300"/>
      <c r="V986" s="11"/>
      <c r="W986" s="295"/>
      <c r="X986" s="11"/>
      <c r="Y986" s="11"/>
      <c r="Z986" s="11"/>
      <c r="AA986" s="11"/>
      <c r="AB986" s="11"/>
    </row>
    <row r="987" spans="1:28">
      <c r="A987" s="3" t="s">
        <v>312</v>
      </c>
      <c r="C987" s="127"/>
      <c r="D987" s="127"/>
      <c r="E987" s="296"/>
      <c r="G987" s="126"/>
      <c r="H987" s="126"/>
      <c r="I987" s="296"/>
      <c r="M987" s="11"/>
      <c r="N987" s="11"/>
      <c r="O987" s="19"/>
      <c r="P987" s="298"/>
      <c r="Q987" s="298"/>
      <c r="R987" s="299"/>
      <c r="S987" s="292"/>
      <c r="T987" s="292"/>
      <c r="U987" s="300"/>
      <c r="V987" s="11"/>
      <c r="W987" s="295"/>
      <c r="X987" s="11"/>
      <c r="Y987" s="11"/>
      <c r="Z987" s="11"/>
      <c r="AA987" s="11"/>
      <c r="AB987" s="11"/>
    </row>
    <row r="988" spans="1:28">
      <c r="A988" s="3" t="s">
        <v>158</v>
      </c>
      <c r="C988" s="127">
        <v>0</v>
      </c>
      <c r="D988" s="127">
        <f>ROUND(($D$1001/$C$1001)*C988,0)</f>
        <v>0</v>
      </c>
      <c r="E988" s="128">
        <v>11.47</v>
      </c>
      <c r="G988" s="2">
        <f>ROUND(E988*$C988,0)</f>
        <v>0</v>
      </c>
      <c r="H988" s="2">
        <f>ROUND(E988*$D988,0)</f>
        <v>0</v>
      </c>
      <c r="I988" s="128">
        <v>11.47</v>
      </c>
      <c r="K988" s="2">
        <f>ROUND(I988*$D988,0)</f>
        <v>0</v>
      </c>
      <c r="M988" s="42">
        <f>I988*D988</f>
        <v>0</v>
      </c>
      <c r="N988" s="11"/>
      <c r="O988" s="265">
        <v>76</v>
      </c>
      <c r="P988" s="38">
        <f>O988*D988</f>
        <v>0</v>
      </c>
      <c r="Q988" s="266" t="e">
        <f>O988*$P$1001</f>
        <v>#REF!</v>
      </c>
      <c r="R988" s="267" t="e">
        <f>ROUND(E988+Q988,2)</f>
        <v>#REF!</v>
      </c>
      <c r="S988" s="292"/>
      <c r="T988" s="292"/>
      <c r="U988" s="144"/>
      <c r="V988" s="144"/>
      <c r="W988" s="295"/>
      <c r="X988" s="144"/>
      <c r="Y988" s="11"/>
      <c r="Z988" s="11"/>
      <c r="AA988" s="11"/>
      <c r="AB988" s="11"/>
    </row>
    <row r="989" spans="1:28">
      <c r="A989" s="3" t="s">
        <v>159</v>
      </c>
      <c r="C989" s="127">
        <v>0</v>
      </c>
      <c r="D989" s="127">
        <f>ROUND(($D$1001/$C$1001)*C989,0)</f>
        <v>0</v>
      </c>
      <c r="E989" s="128">
        <v>18.649999999999999</v>
      </c>
      <c r="G989" s="2">
        <f>ROUND(E989*$C989,0)</f>
        <v>0</v>
      </c>
      <c r="H989" s="2">
        <f>ROUND(E989*$D989,0)</f>
        <v>0</v>
      </c>
      <c r="I989" s="128">
        <v>18.649999999999999</v>
      </c>
      <c r="K989" s="2">
        <f>ROUND(I989*$D989,0)</f>
        <v>0</v>
      </c>
      <c r="M989" s="42">
        <f>I989*D989</f>
        <v>0</v>
      </c>
      <c r="N989" s="11"/>
      <c r="O989" s="265">
        <v>172</v>
      </c>
      <c r="P989" s="38">
        <f>O989*D989</f>
        <v>0</v>
      </c>
      <c r="Q989" s="266" t="e">
        <f>O989*$P$1001</f>
        <v>#REF!</v>
      </c>
      <c r="R989" s="267" t="e">
        <f>ROUND(E989+Q989,2)</f>
        <v>#REF!</v>
      </c>
      <c r="S989" s="292"/>
      <c r="T989" s="292"/>
      <c r="U989" s="144"/>
      <c r="V989" s="144"/>
      <c r="W989" s="295"/>
      <c r="X989" s="144"/>
      <c r="Y989" s="11"/>
      <c r="Z989" s="11"/>
      <c r="AA989" s="11"/>
      <c r="AB989" s="11"/>
    </row>
    <row r="990" spans="1:28">
      <c r="A990" s="3" t="s">
        <v>160</v>
      </c>
      <c r="C990" s="127">
        <v>0</v>
      </c>
      <c r="D990" s="127">
        <f>ROUND(($D$1001/$C$1001)*C990,0)</f>
        <v>0</v>
      </c>
      <c r="E990" s="128">
        <v>35.130000000000003</v>
      </c>
      <c r="G990" s="2">
        <f>ROUND(E990*$C990,0)</f>
        <v>0</v>
      </c>
      <c r="H990" s="2">
        <f>ROUND(E990*$D990,0)</f>
        <v>0</v>
      </c>
      <c r="I990" s="128">
        <v>35.130000000000003</v>
      </c>
      <c r="K990" s="2">
        <f>ROUND(I990*$D990,0)</f>
        <v>0</v>
      </c>
      <c r="M990" s="42">
        <f>I990*D990</f>
        <v>0</v>
      </c>
      <c r="N990" s="11"/>
      <c r="O990" s="265">
        <v>412</v>
      </c>
      <c r="P990" s="38">
        <f>O990*D990</f>
        <v>0</v>
      </c>
      <c r="Q990" s="266" t="e">
        <f>O990*$P$1001</f>
        <v>#REF!</v>
      </c>
      <c r="R990" s="267" t="e">
        <f>ROUND(E990+Q990,2)</f>
        <v>#REF!</v>
      </c>
      <c r="S990" s="292"/>
      <c r="T990" s="292"/>
      <c r="U990" s="144"/>
      <c r="V990" s="144"/>
      <c r="W990" s="295"/>
      <c r="X990" s="144"/>
      <c r="Y990" s="11"/>
      <c r="Z990" s="11"/>
      <c r="AA990" s="11"/>
      <c r="AB990" s="11"/>
    </row>
    <row r="991" spans="1:28">
      <c r="A991" s="3" t="s">
        <v>313</v>
      </c>
      <c r="C991" s="127"/>
      <c r="D991" s="127"/>
      <c r="E991" s="296"/>
      <c r="G991" s="126"/>
      <c r="H991" s="126"/>
      <c r="I991" s="296"/>
      <c r="M991" s="11"/>
      <c r="N991" s="11"/>
      <c r="O991" s="19"/>
      <c r="P991" s="298"/>
      <c r="Q991" s="298"/>
      <c r="R991" s="299"/>
      <c r="S991" s="292"/>
      <c r="T991" s="292"/>
      <c r="U991" s="300"/>
      <c r="V991" s="11"/>
      <c r="W991" s="295"/>
      <c r="X991" s="11"/>
      <c r="Y991" s="11"/>
      <c r="Z991" s="11"/>
      <c r="AA991" s="11"/>
      <c r="AB991" s="11"/>
    </row>
    <row r="992" spans="1:28">
      <c r="A992" s="3" t="s">
        <v>158</v>
      </c>
      <c r="C992" s="127">
        <v>0</v>
      </c>
      <c r="D992" s="127">
        <f>ROUND(($D$1001/$C$1001)*C992,0)</f>
        <v>0</v>
      </c>
      <c r="E992" s="128">
        <v>10.86</v>
      </c>
      <c r="G992" s="2">
        <f>ROUND(E992*$C992,0)</f>
        <v>0</v>
      </c>
      <c r="H992" s="2">
        <f>ROUND(E992*$D992,0)</f>
        <v>0</v>
      </c>
      <c r="I992" s="128">
        <v>10.86</v>
      </c>
      <c r="K992" s="2">
        <f>ROUND(I992*$D992,0)</f>
        <v>0</v>
      </c>
      <c r="M992" s="42">
        <f>I992*D992</f>
        <v>0</v>
      </c>
      <c r="N992" s="11"/>
      <c r="O992" s="265">
        <v>76</v>
      </c>
      <c r="P992" s="38">
        <f>O992*D992</f>
        <v>0</v>
      </c>
      <c r="Q992" s="266" t="e">
        <f>O992*$P$1001</f>
        <v>#REF!</v>
      </c>
      <c r="R992" s="267" t="e">
        <f>ROUND(E992+Q992,2)</f>
        <v>#REF!</v>
      </c>
      <c r="S992" s="292"/>
      <c r="T992" s="292"/>
      <c r="U992" s="144"/>
      <c r="V992" s="144"/>
      <c r="W992" s="295"/>
      <c r="X992" s="144"/>
      <c r="Y992" s="11"/>
      <c r="Z992" s="11"/>
      <c r="AA992" s="11"/>
      <c r="AB992" s="11"/>
    </row>
    <row r="993" spans="1:28">
      <c r="A993" s="3" t="s">
        <v>159</v>
      </c>
      <c r="C993" s="127">
        <v>0</v>
      </c>
      <c r="D993" s="127">
        <f>ROUND(($D$1001/$C$1001)*C993,0)</f>
        <v>0</v>
      </c>
      <c r="E993" s="128">
        <v>17.600000000000001</v>
      </c>
      <c r="G993" s="2">
        <f>ROUND(E993*$C993,0)</f>
        <v>0</v>
      </c>
      <c r="H993" s="2">
        <f>ROUND(E993*$D993,0)</f>
        <v>0</v>
      </c>
      <c r="I993" s="128">
        <v>17.600000000000001</v>
      </c>
      <c r="K993" s="2">
        <f>ROUND(I993*$D993,0)</f>
        <v>0</v>
      </c>
      <c r="M993" s="42">
        <f>I993*D993</f>
        <v>0</v>
      </c>
      <c r="N993" s="11"/>
      <c r="O993" s="265">
        <v>172</v>
      </c>
      <c r="P993" s="38">
        <f>O993*D993</f>
        <v>0</v>
      </c>
      <c r="Q993" s="266" t="e">
        <f>O993*$P$1001</f>
        <v>#REF!</v>
      </c>
      <c r="R993" s="267" t="e">
        <f>ROUND(E993+Q993,2)</f>
        <v>#REF!</v>
      </c>
      <c r="S993" s="292"/>
      <c r="T993" s="292"/>
      <c r="U993" s="144"/>
      <c r="V993" s="144"/>
      <c r="W993" s="295"/>
      <c r="X993" s="144"/>
      <c r="Y993" s="11"/>
      <c r="Z993" s="11"/>
      <c r="AA993" s="11"/>
      <c r="AB993" s="11"/>
    </row>
    <row r="994" spans="1:28">
      <c r="A994" s="293" t="s">
        <v>316</v>
      </c>
      <c r="B994" s="166"/>
      <c r="C994" s="127"/>
      <c r="D994" s="127"/>
      <c r="E994" s="296"/>
      <c r="F994" s="166"/>
      <c r="G994" s="166"/>
      <c r="H994" s="166"/>
      <c r="I994" s="296"/>
      <c r="J994" s="166"/>
      <c r="K994" s="166"/>
      <c r="M994" s="11"/>
      <c r="N994" s="11"/>
      <c r="O994" s="19"/>
      <c r="P994" s="298"/>
      <c r="Q994" s="298"/>
      <c r="R994" s="299"/>
      <c r="S994" s="292"/>
      <c r="T994" s="292"/>
      <c r="U994" s="300"/>
      <c r="V994" s="11"/>
      <c r="W994" s="295"/>
      <c r="X994" s="11"/>
      <c r="Y994" s="11"/>
      <c r="Z994" s="11"/>
      <c r="AA994" s="11"/>
      <c r="AB994" s="11"/>
    </row>
    <row r="995" spans="1:28">
      <c r="A995" s="3" t="s">
        <v>158</v>
      </c>
      <c r="C995" s="127">
        <f>2270</f>
        <v>2270</v>
      </c>
      <c r="D995" s="127">
        <f>ROUND(($D$1001/$C$1001)*C995,0)</f>
        <v>2195</v>
      </c>
      <c r="E995" s="128">
        <v>9.18</v>
      </c>
      <c r="G995" s="2">
        <f>ROUND(E995*$C995,0)</f>
        <v>20839</v>
      </c>
      <c r="H995" s="2">
        <f>ROUND(E995*$D995,0)</f>
        <v>20150</v>
      </c>
      <c r="I995" s="128">
        <v>9.18</v>
      </c>
      <c r="K995" s="2">
        <f>ROUND(I995*$D995,0)</f>
        <v>20150</v>
      </c>
      <c r="M995" s="42">
        <f>I995*D995</f>
        <v>20150.099999999999</v>
      </c>
      <c r="N995" s="11"/>
      <c r="O995" s="265">
        <v>76</v>
      </c>
      <c r="P995" s="38">
        <f>O995*D995</f>
        <v>166820</v>
      </c>
      <c r="Q995" s="266" t="e">
        <f>O995*$P$1001</f>
        <v>#REF!</v>
      </c>
      <c r="R995" s="267" t="e">
        <f>ROUND(E995+Q995,2)</f>
        <v>#REF!</v>
      </c>
      <c r="S995" s="292"/>
      <c r="T995" s="292"/>
      <c r="U995" s="144"/>
      <c r="V995" s="144"/>
      <c r="W995" s="295"/>
      <c r="X995" s="144"/>
      <c r="Y995" s="11"/>
      <c r="Z995" s="11"/>
      <c r="AA995" s="11"/>
      <c r="AB995" s="11"/>
    </row>
    <row r="996" spans="1:28">
      <c r="A996" s="3" t="s">
        <v>159</v>
      </c>
      <c r="C996" s="127">
        <f>1694</f>
        <v>1694</v>
      </c>
      <c r="D996" s="127">
        <f>ROUND(($D$1001/$C$1001)*C996,0)</f>
        <v>1638</v>
      </c>
      <c r="E996" s="128">
        <v>16.079999999999998</v>
      </c>
      <c r="G996" s="2">
        <f>ROUND(E996*$C996,0)</f>
        <v>27240</v>
      </c>
      <c r="H996" s="2">
        <f>ROUND(E996*$D996,0)</f>
        <v>26339</v>
      </c>
      <c r="I996" s="128">
        <v>16.079999999999998</v>
      </c>
      <c r="K996" s="2">
        <f>ROUND(I996*$D996,0)</f>
        <v>26339</v>
      </c>
      <c r="M996" s="42">
        <f>I996*D996</f>
        <v>26339.039999999997</v>
      </c>
      <c r="N996" s="11"/>
      <c r="O996" s="265">
        <v>172</v>
      </c>
      <c r="P996" s="38">
        <f>O996*D996</f>
        <v>281736</v>
      </c>
      <c r="Q996" s="266" t="e">
        <f>O996*$P$1001</f>
        <v>#REF!</v>
      </c>
      <c r="R996" s="267" t="e">
        <f>ROUND(E996+Q996,2)</f>
        <v>#REF!</v>
      </c>
      <c r="S996" s="292"/>
      <c r="T996" s="292"/>
      <c r="U996" s="144"/>
      <c r="V996" s="144"/>
      <c r="W996" s="295"/>
      <c r="X996" s="144"/>
      <c r="Y996" s="11"/>
      <c r="Z996" s="11"/>
      <c r="AA996" s="11"/>
      <c r="AB996" s="11"/>
    </row>
    <row r="997" spans="1:28">
      <c r="A997" s="3" t="s">
        <v>160</v>
      </c>
      <c r="C997" s="127">
        <v>0</v>
      </c>
      <c r="D997" s="127">
        <f>ROUND(($D$1001/$C$1001)*C997,0)</f>
        <v>0</v>
      </c>
      <c r="E997" s="128">
        <v>34.340000000000003</v>
      </c>
      <c r="G997" s="2">
        <f>ROUND(E997*$C997,0)</f>
        <v>0</v>
      </c>
      <c r="H997" s="2">
        <f>ROUND(E997*$D997,0)</f>
        <v>0</v>
      </c>
      <c r="I997" s="128">
        <v>34.340000000000003</v>
      </c>
      <c r="K997" s="2">
        <f>ROUND(I997*$D997,0)</f>
        <v>0</v>
      </c>
      <c r="M997" s="42">
        <f>I997*D997</f>
        <v>0</v>
      </c>
      <c r="N997" s="11"/>
      <c r="O997" s="265">
        <v>412</v>
      </c>
      <c r="P997" s="38">
        <f>O997*D997</f>
        <v>0</v>
      </c>
      <c r="Q997" s="266" t="e">
        <f>O997*$P$1001</f>
        <v>#REF!</v>
      </c>
      <c r="R997" s="267" t="e">
        <f>ROUND(E997+Q997,2)</f>
        <v>#REF!</v>
      </c>
      <c r="S997" s="292"/>
      <c r="T997" s="292"/>
      <c r="U997" s="144"/>
      <c r="V997" s="144"/>
      <c r="W997" s="295"/>
      <c r="X997" s="144"/>
      <c r="Y997" s="11"/>
      <c r="Z997" s="11"/>
      <c r="AA997" s="11"/>
      <c r="AB997" s="11"/>
    </row>
    <row r="998" spans="1:28">
      <c r="A998" s="5" t="s">
        <v>317</v>
      </c>
      <c r="C998" s="127"/>
      <c r="D998" s="127"/>
      <c r="E998" s="128"/>
      <c r="G998" s="2"/>
      <c r="H998" s="2"/>
      <c r="I998" s="128"/>
      <c r="K998" s="2"/>
      <c r="M998" s="11"/>
      <c r="N998" s="11"/>
      <c r="O998" s="19"/>
      <c r="P998" s="298"/>
      <c r="Q998" s="298"/>
      <c r="R998" s="301"/>
      <c r="S998" s="292"/>
      <c r="T998" s="292"/>
      <c r="U998" s="300"/>
      <c r="V998" s="11"/>
      <c r="W998" s="295"/>
      <c r="X998" s="11"/>
      <c r="Y998" s="11"/>
      <c r="Z998" s="11"/>
      <c r="AA998" s="11"/>
      <c r="AB998" s="11"/>
    </row>
    <row r="999" spans="1:28">
      <c r="A999" s="3" t="s">
        <v>318</v>
      </c>
      <c r="C999" s="127">
        <f>96</f>
        <v>96</v>
      </c>
      <c r="D999" s="127">
        <f>ROUND(($D$1001/$C$1001)*C999,0)</f>
        <v>93</v>
      </c>
      <c r="E999" s="128">
        <v>32.950000000000003</v>
      </c>
      <c r="G999" s="2">
        <f>ROUND(E999*$C999,0)</f>
        <v>3163</v>
      </c>
      <c r="H999" s="2">
        <f>ROUND(E999*$D999,0)</f>
        <v>3064</v>
      </c>
      <c r="I999" s="128">
        <v>32.950000000000003</v>
      </c>
      <c r="K999" s="2">
        <f>ROUND(I999*$D999,0)</f>
        <v>3064</v>
      </c>
      <c r="M999" s="42">
        <f>I999*D999</f>
        <v>3064.3500000000004</v>
      </c>
      <c r="N999" s="11"/>
      <c r="O999" s="265">
        <v>172</v>
      </c>
      <c r="P999" s="38">
        <f>O999*D999</f>
        <v>15996</v>
      </c>
      <c r="Q999" s="266" t="e">
        <f>O999*$P$1001</f>
        <v>#REF!</v>
      </c>
      <c r="R999" s="267" t="e">
        <f>ROUND(E999+Q999,2)</f>
        <v>#REF!</v>
      </c>
      <c r="S999" s="292"/>
      <c r="T999" s="292"/>
      <c r="U999" s="144"/>
      <c r="V999" s="144"/>
      <c r="W999" s="295"/>
      <c r="X999" s="144"/>
      <c r="Y999" s="11"/>
      <c r="Z999" s="11"/>
      <c r="AA999" s="11"/>
      <c r="AB999" s="11"/>
    </row>
    <row r="1000" spans="1:28">
      <c r="A1000" s="3" t="s">
        <v>166</v>
      </c>
      <c r="C1000" s="127">
        <f>608</f>
        <v>608</v>
      </c>
      <c r="D1000" s="127">
        <v>588</v>
      </c>
      <c r="E1000" s="302"/>
      <c r="G1000" s="2"/>
      <c r="H1000" s="2"/>
      <c r="I1000" s="302"/>
      <c r="K1000" s="2"/>
      <c r="N1000" s="11"/>
      <c r="O1000" s="265"/>
      <c r="P1000" s="303" t="e">
        <f>O1003-H1003</f>
        <v>#REF!</v>
      </c>
      <c r="Q1000" s="11"/>
      <c r="R1000" s="269"/>
      <c r="S1000" s="141"/>
      <c r="T1000" s="141"/>
      <c r="U1000" s="144"/>
      <c r="V1000" s="144"/>
      <c r="W1000" s="144"/>
      <c r="X1000" s="144"/>
      <c r="Y1000" s="11"/>
      <c r="Z1000" s="11"/>
      <c r="AA1000" s="11"/>
      <c r="AB1000" s="11"/>
    </row>
    <row r="1001" spans="1:28">
      <c r="A1001" s="3" t="s">
        <v>185</v>
      </c>
      <c r="C1001" s="127">
        <v>2147214</v>
      </c>
      <c r="D1001" s="127">
        <v>2075987.7990116791</v>
      </c>
      <c r="E1001" s="132"/>
      <c r="F1001" s="11"/>
      <c r="G1001" s="135">
        <f>SUM(G972:G999)</f>
        <v>233013</v>
      </c>
      <c r="H1001" s="135">
        <f>SUM(H972:H999)</f>
        <v>225301</v>
      </c>
      <c r="I1001" s="132"/>
      <c r="J1001" s="11"/>
      <c r="K1001" s="135">
        <f>SUM(K972:K999)</f>
        <v>225301</v>
      </c>
      <c r="M1001" s="42">
        <f>SUM(M972:M1000)</f>
        <v>225302.50999999998</v>
      </c>
      <c r="N1001" s="11"/>
      <c r="O1001" s="304"/>
      <c r="P1001" s="305" t="e">
        <f>P1000/SUM(P972:P999)</f>
        <v>#REF!</v>
      </c>
      <c r="Q1001" s="50"/>
      <c r="R1001" s="306"/>
      <c r="S1001" s="141"/>
      <c r="T1001" s="141"/>
      <c r="U1001" s="151"/>
      <c r="V1001" s="141"/>
      <c r="W1001" s="141"/>
      <c r="X1001" s="141"/>
      <c r="Y1001" s="11"/>
      <c r="Z1001" s="11"/>
      <c r="AA1001" s="11"/>
      <c r="AB1001" s="11"/>
    </row>
    <row r="1002" spans="1:28">
      <c r="A1002" s="3" t="s">
        <v>167</v>
      </c>
      <c r="C1002" s="127">
        <v>26832.990592215094</v>
      </c>
      <c r="D1002" s="127">
        <v>0</v>
      </c>
      <c r="E1002" s="132"/>
      <c r="F1002" s="11"/>
      <c r="G1002" s="135">
        <v>2789.9580256418058</v>
      </c>
      <c r="H1002" s="135">
        <v>0</v>
      </c>
      <c r="I1002" s="132"/>
      <c r="J1002" s="11"/>
      <c r="K1002" s="135">
        <v>0</v>
      </c>
      <c r="M1002" s="152"/>
      <c r="N1002" s="307"/>
      <c r="O1002" s="150"/>
      <c r="P1002" s="141"/>
      <c r="Q1002" s="141"/>
      <c r="R1002" s="146"/>
      <c r="S1002" s="144"/>
      <c r="T1002" s="141"/>
      <c r="U1002" s="11"/>
      <c r="V1002" s="11"/>
      <c r="W1002" s="11"/>
      <c r="X1002" s="11"/>
      <c r="Y1002" s="11"/>
      <c r="Z1002" s="11"/>
      <c r="AA1002" s="11"/>
      <c r="AB1002" s="11"/>
    </row>
    <row r="1003" spans="1:28" ht="16.5" thickBot="1">
      <c r="A1003" s="3" t="s">
        <v>1</v>
      </c>
      <c r="C1003" s="136">
        <f>C1001+C1002</f>
        <v>2174046.9905922152</v>
      </c>
      <c r="D1003" s="136">
        <f>D1001+D1002</f>
        <v>2075987.7990116791</v>
      </c>
      <c r="E1003" s="137"/>
      <c r="F1003" s="137"/>
      <c r="G1003" s="137">
        <f>G1001+G1002</f>
        <v>235802.9580256418</v>
      </c>
      <c r="H1003" s="137">
        <f>H1001+H1002</f>
        <v>225301</v>
      </c>
      <c r="I1003" s="137"/>
      <c r="J1003" s="137"/>
      <c r="K1003" s="137">
        <f>K1001+K1002</f>
        <v>225301</v>
      </c>
      <c r="M1003" s="154"/>
      <c r="N1003" s="140" t="s">
        <v>213</v>
      </c>
      <c r="O1003" s="292" t="e">
        <f>#REF!*1000</f>
        <v>#REF!</v>
      </c>
      <c r="P1003" s="38"/>
      <c r="Q1003" s="141"/>
      <c r="R1003" s="141"/>
      <c r="S1003" s="141"/>
      <c r="T1003" s="141"/>
      <c r="U1003" s="11"/>
      <c r="V1003" s="11"/>
      <c r="W1003" s="11"/>
      <c r="X1003" s="11"/>
      <c r="Y1003" s="11"/>
      <c r="Z1003" s="11"/>
      <c r="AA1003" s="11"/>
      <c r="AB1003" s="11"/>
    </row>
    <row r="1004" spans="1:28" ht="16.5" thickTop="1">
      <c r="C1004" s="138"/>
      <c r="D1004" s="138"/>
      <c r="E1004" s="138"/>
      <c r="F1004" s="138"/>
      <c r="G1004" s="126"/>
      <c r="H1004" s="126"/>
      <c r="I1004" s="138" t="s">
        <v>13</v>
      </c>
      <c r="J1004" s="138"/>
      <c r="K1004" s="2" t="s">
        <v>13</v>
      </c>
      <c r="M1004" s="140"/>
      <c r="N1004" s="140" t="s">
        <v>114</v>
      </c>
      <c r="O1004" s="279" t="e">
        <f>O1003-K1003</f>
        <v>#REF!</v>
      </c>
      <c r="P1004" s="157" t="e">
        <f>(O1003-K1003)/K1003</f>
        <v>#REF!</v>
      </c>
      <c r="Q1004" s="141"/>
      <c r="R1004" s="141"/>
      <c r="S1004" s="141"/>
      <c r="T1004" s="141"/>
      <c r="U1004" s="11"/>
      <c r="V1004" s="11"/>
      <c r="W1004" s="11"/>
      <c r="X1004" s="11"/>
      <c r="Y1004" s="11"/>
      <c r="Z1004" s="11"/>
      <c r="AA1004" s="11"/>
      <c r="AB1004" s="11"/>
    </row>
    <row r="1005" spans="1:28">
      <c r="A1005" s="166"/>
      <c r="B1005" s="176"/>
      <c r="C1005" s="308"/>
      <c r="D1005" s="308"/>
      <c r="E1005" s="309"/>
      <c r="F1005" s="2"/>
      <c r="G1005" s="2"/>
      <c r="H1005" s="2"/>
      <c r="I1005" s="309"/>
      <c r="J1005" s="166"/>
      <c r="K1005" s="2"/>
      <c r="M1005" s="11"/>
      <c r="N1005" s="11"/>
      <c r="O1005" s="38"/>
      <c r="P1005" s="38"/>
      <c r="Q1005" s="11"/>
      <c r="R1005" s="11"/>
      <c r="S1005" s="11"/>
      <c r="T1005" s="11"/>
      <c r="U1005" s="11"/>
      <c r="V1005" s="11"/>
      <c r="W1005" s="11"/>
      <c r="X1005" s="11"/>
    </row>
    <row r="1006" spans="1:28" s="4" customFormat="1" ht="19.899999999999999" customHeight="1" thickBot="1">
      <c r="A1006" s="310" t="s">
        <v>319</v>
      </c>
      <c r="B1006" s="311"/>
      <c r="C1006" s="312">
        <f>C27+C91+C176+C474+C508+C627+C760+C787+C911+C922+C933+C966+C1003</f>
        <v>4024330101.6098857</v>
      </c>
      <c r="D1006" s="312">
        <f>D27+D91+D176+D474+D508+D627+D760+D787+D911+D922+D933+D966+D1003</f>
        <v>4081125561.3610039</v>
      </c>
      <c r="E1006" s="313"/>
      <c r="F1006" s="314"/>
      <c r="G1006" s="314">
        <f>G27+G91+G176+G474+G508+G627+G760+G787+G911+G922+G933+G966+G1003</f>
        <v>236218228.53999999</v>
      </c>
      <c r="H1006" s="314">
        <f>H27+H91+H176+H474+H508+H627+H760+H787+H911+H922+H933+H966+H1003</f>
        <v>238933609.53999999</v>
      </c>
      <c r="I1006" s="313"/>
      <c r="J1006" s="314"/>
      <c r="K1006" s="314">
        <f>K27+K91+K176+K474+K508+K627+K760+K787+K911+K922+K933+K966+K1003</f>
        <v>257330671.53999999</v>
      </c>
      <c r="M1006" s="11"/>
      <c r="N1006" s="11"/>
      <c r="O1006" s="38"/>
      <c r="P1006" s="315"/>
      <c r="Q1006" s="6"/>
      <c r="R1006" s="6"/>
      <c r="S1006" s="6"/>
      <c r="T1006" s="6"/>
      <c r="U1006" s="6"/>
      <c r="V1006" s="6"/>
      <c r="W1006" s="6"/>
      <c r="X1006" s="6"/>
    </row>
    <row r="1007" spans="1:28" ht="16.5" thickTop="1">
      <c r="A1007" s="1"/>
      <c r="B1007" s="176"/>
      <c r="C1007" s="12"/>
      <c r="D1007" s="12"/>
      <c r="E1007" s="200"/>
      <c r="F1007" s="2"/>
      <c r="G1007" s="2"/>
      <c r="H1007" s="2"/>
      <c r="I1007" s="216" t="s">
        <v>13</v>
      </c>
      <c r="J1007" s="1"/>
      <c r="K1007" s="2" t="s">
        <v>13</v>
      </c>
      <c r="M1007" s="11"/>
      <c r="N1007" s="11"/>
      <c r="O1007" s="38"/>
      <c r="P1007" s="38"/>
      <c r="Q1007" s="11"/>
      <c r="R1007" s="11"/>
      <c r="S1007" s="11"/>
      <c r="T1007" s="11"/>
      <c r="U1007" s="11"/>
      <c r="V1007" s="11"/>
      <c r="W1007" s="11"/>
      <c r="X1007" s="11"/>
    </row>
    <row r="1008" spans="1:28">
      <c r="A1008" s="1" t="s">
        <v>14</v>
      </c>
      <c r="B1008" s="176"/>
      <c r="C1008" s="316"/>
      <c r="D1008" s="316"/>
      <c r="E1008" s="317"/>
      <c r="F1008" s="318"/>
      <c r="G1008" s="318">
        <v>311006.74</v>
      </c>
      <c r="H1008" s="318">
        <v>311006.74</v>
      </c>
      <c r="I1008" s="319"/>
      <c r="J1008" s="320"/>
      <c r="K1008" s="318">
        <f>G1008</f>
        <v>311006.74</v>
      </c>
      <c r="M1008" s="11"/>
      <c r="N1008" s="6" t="s">
        <v>213</v>
      </c>
      <c r="O1008" s="321" t="e">
        <f>#REF!*1000</f>
        <v>#REF!</v>
      </c>
      <c r="P1008" s="38"/>
      <c r="Q1008" s="11"/>
      <c r="R1008" s="11"/>
      <c r="S1008" s="11"/>
      <c r="T1008" s="11"/>
      <c r="U1008" s="11"/>
      <c r="V1008" s="11"/>
      <c r="W1008" s="11"/>
      <c r="X1008" s="11"/>
    </row>
    <row r="1009" spans="1:24" s="4" customFormat="1" ht="19.899999999999999" customHeight="1" thickBot="1">
      <c r="A1009" s="322" t="s">
        <v>320</v>
      </c>
      <c r="B1009" s="323"/>
      <c r="C1009" s="324">
        <f>C1006+C1008</f>
        <v>4024330101.6098857</v>
      </c>
      <c r="D1009" s="324">
        <f>D1006+D1008</f>
        <v>4081125561.3610039</v>
      </c>
      <c r="E1009" s="325"/>
      <c r="F1009" s="326"/>
      <c r="G1009" s="327">
        <f>G1006+G1008</f>
        <v>236529235.28</v>
      </c>
      <c r="H1009" s="327">
        <f>H1006+H1008</f>
        <v>239244616.28</v>
      </c>
      <c r="I1009" s="328"/>
      <c r="J1009" s="326"/>
      <c r="K1009" s="324">
        <f>K1006+K1008</f>
        <v>257641678.28</v>
      </c>
      <c r="M1009" s="6"/>
      <c r="N1009" s="11" t="s">
        <v>114</v>
      </c>
      <c r="O1009" s="38" t="e">
        <f>O1008-K1009</f>
        <v>#REF!</v>
      </c>
      <c r="P1009" s="177" t="e">
        <f>(O1008-K1009)/K1009</f>
        <v>#REF!</v>
      </c>
      <c r="Q1009" s="6"/>
      <c r="R1009" s="6"/>
      <c r="S1009" s="6"/>
      <c r="T1009" s="6"/>
      <c r="U1009" s="6"/>
      <c r="V1009" s="6"/>
      <c r="W1009" s="6"/>
      <c r="X1009" s="6"/>
    </row>
    <row r="1010" spans="1:24" ht="16.5" thickTop="1">
      <c r="A1010" s="1"/>
      <c r="B1010" s="176"/>
      <c r="C1010" s="12"/>
      <c r="D1010" s="12"/>
      <c r="E1010" s="329">
        <v>0</v>
      </c>
      <c r="F1010" s="2"/>
      <c r="G1010" s="2" t="s">
        <v>13</v>
      </c>
      <c r="H1010" s="2" t="s">
        <v>13</v>
      </c>
      <c r="I1010" s="200"/>
      <c r="J1010" s="1"/>
      <c r="K1010" s="2"/>
      <c r="M1010" s="11"/>
      <c r="P1010" s="38"/>
      <c r="Q1010" s="11"/>
      <c r="R1010" s="11"/>
      <c r="S1010" s="11"/>
      <c r="T1010" s="11"/>
      <c r="U1010" s="11"/>
      <c r="V1010" s="11"/>
      <c r="W1010" s="11"/>
      <c r="X1010" s="11"/>
    </row>
    <row r="1011" spans="1:24">
      <c r="C1011" s="330"/>
      <c r="D1011" s="330"/>
      <c r="E1011" s="133"/>
      <c r="H1011" s="331"/>
      <c r="M1011" s="11"/>
      <c r="N1011" s="11"/>
      <c r="O1011" s="38"/>
      <c r="P1011" s="38"/>
      <c r="Q1011" s="11"/>
      <c r="R1011" s="11"/>
      <c r="S1011" s="11"/>
      <c r="T1011" s="11"/>
      <c r="U1011" s="11"/>
      <c r="V1011" s="11"/>
      <c r="W1011" s="11"/>
      <c r="X1011" s="11"/>
    </row>
    <row r="1012" spans="1:24">
      <c r="A1012" s="332"/>
      <c r="K1012" s="127">
        <f>K1009-H1009</f>
        <v>18397062</v>
      </c>
      <c r="M1012" s="11"/>
      <c r="N1012" s="279"/>
      <c r="O1012" s="38"/>
      <c r="P1012" s="38"/>
      <c r="Q1012" s="11"/>
      <c r="R1012" s="11"/>
      <c r="S1012" s="11"/>
      <c r="T1012" s="11"/>
      <c r="U1012" s="11"/>
      <c r="V1012" s="11"/>
      <c r="W1012" s="11"/>
      <c r="X1012" s="11"/>
    </row>
    <row r="1013" spans="1:24">
      <c r="A1013" s="1" t="s">
        <v>71</v>
      </c>
      <c r="B1013" s="3" t="s">
        <v>321</v>
      </c>
      <c r="C1013" s="127">
        <v>4024330100</v>
      </c>
      <c r="D1013" s="127">
        <v>4081125563.3743143</v>
      </c>
      <c r="G1013" s="42">
        <v>236529235.27999997</v>
      </c>
      <c r="H1013" s="42">
        <v>239244616.27999997</v>
      </c>
      <c r="M1013" s="11"/>
      <c r="N1013" s="11"/>
      <c r="O1013" s="38"/>
      <c r="P1013" s="38"/>
      <c r="Q1013" s="11"/>
      <c r="R1013" s="11"/>
      <c r="S1013" s="11"/>
      <c r="T1013" s="11"/>
      <c r="U1013" s="11"/>
      <c r="V1013" s="11"/>
      <c r="W1013" s="11"/>
      <c r="X1013" s="11"/>
    </row>
    <row r="1014" spans="1:24">
      <c r="B1014" s="3" t="s">
        <v>322</v>
      </c>
      <c r="C1014" s="127">
        <v>4024330100</v>
      </c>
      <c r="D1014" s="127">
        <v>4081125563.3743143</v>
      </c>
      <c r="G1014" s="42">
        <v>236529235.27999997</v>
      </c>
      <c r="H1014" s="42">
        <v>239244616.27999997</v>
      </c>
      <c r="M1014" s="11"/>
      <c r="N1014" s="11"/>
      <c r="O1014" s="38"/>
      <c r="P1014" s="38"/>
      <c r="Q1014" s="11"/>
      <c r="R1014" s="11"/>
      <c r="S1014" s="11"/>
      <c r="T1014" s="11"/>
      <c r="U1014" s="11"/>
      <c r="V1014" s="11"/>
      <c r="W1014" s="11"/>
      <c r="X1014" s="11"/>
    </row>
    <row r="1015" spans="1:24">
      <c r="M1015" s="11"/>
      <c r="N1015" s="11"/>
      <c r="O1015" s="38"/>
      <c r="P1015" s="38"/>
      <c r="Q1015" s="11"/>
      <c r="R1015" s="11"/>
      <c r="S1015" s="11"/>
      <c r="T1015" s="11"/>
      <c r="U1015" s="11"/>
      <c r="V1015" s="11"/>
      <c r="W1015" s="11"/>
      <c r="X1015" s="11"/>
    </row>
    <row r="1016" spans="1:24">
      <c r="B1016" s="3" t="s">
        <v>111</v>
      </c>
      <c r="C1016" s="127">
        <f>C1009-C1014</f>
        <v>1.6098856925964355</v>
      </c>
      <c r="D1016" s="127">
        <f>D1009-D1014</f>
        <v>-2.013310432434082</v>
      </c>
      <c r="G1016" s="127">
        <f>G1009-G1014</f>
        <v>0</v>
      </c>
      <c r="H1016" s="127">
        <f>H1009-H1014</f>
        <v>0</v>
      </c>
      <c r="M1016" s="11"/>
      <c r="N1016" s="11"/>
      <c r="O1016" s="38"/>
      <c r="P1016" s="38"/>
      <c r="Q1016" s="11"/>
      <c r="R1016" s="11"/>
      <c r="S1016" s="11"/>
      <c r="T1016" s="11"/>
      <c r="U1016" s="11"/>
      <c r="V1016" s="11"/>
      <c r="W1016" s="11"/>
      <c r="X1016" s="11"/>
    </row>
    <row r="1017" spans="1:24">
      <c r="M1017" s="11"/>
      <c r="N1017" s="11"/>
      <c r="O1017" s="38"/>
      <c r="P1017" s="38"/>
      <c r="Q1017" s="11"/>
      <c r="R1017" s="11"/>
      <c r="S1017" s="11"/>
      <c r="T1017" s="11"/>
      <c r="U1017" s="11"/>
      <c r="V1017" s="11"/>
      <c r="W1017" s="11"/>
      <c r="X1017" s="11"/>
    </row>
    <row r="1019" spans="1:24">
      <c r="B1019" s="3" t="s">
        <v>323</v>
      </c>
      <c r="C1019" s="127">
        <f>C24+C83+C157+C483+C587+C737+C768+C908+C919+C930+C962+C1000</f>
        <v>1450753</v>
      </c>
      <c r="D1019" s="127">
        <f>D24+D83+D157+D483+D587+D737+D768+D908+D919+D930+D962+D1000</f>
        <v>1466661.75</v>
      </c>
    </row>
    <row r="1020" spans="1:24">
      <c r="B1020" s="3" t="s">
        <v>18</v>
      </c>
      <c r="C1020" s="127">
        <f>((C83+C186+C271+C483+C737+C768+C908+C919+C930+C962+C1000)/12)+C358+C587+C24</f>
        <v>128412.75</v>
      </c>
      <c r="D1020" s="127">
        <f>((D83+D186+D271+D483+D737+D768+D908+D919+D930+D962+D1000)/12)+D358+D587+D24</f>
        <v>129738.25</v>
      </c>
    </row>
    <row r="1022" spans="1:24">
      <c r="B1022" s="3" t="s">
        <v>111</v>
      </c>
      <c r="C1022" s="127">
        <v>0</v>
      </c>
      <c r="D1022" s="127">
        <v>0</v>
      </c>
    </row>
  </sheetData>
  <phoneticPr fontId="0" type="noConversion"/>
  <printOptions horizontalCentered="1"/>
  <pageMargins left="0.5" right="0.5" top="0.5" bottom="0.55000000000000004" header="0.5" footer="0.25"/>
  <pageSetup scale="45" fitToHeight="17" orientation="portrait" r:id="rId1"/>
  <headerFooter alignWithMargins="0">
    <oddFooter>&amp;LPrepared by Pricing &amp;D&amp;CPage &amp;P of &amp;N&amp;R&amp;F&amp;A</oddFooter>
  </headerFooter>
  <rowBreaks count="11" manualBreakCount="11">
    <brk id="105" max="14" man="1"/>
    <brk id="205" max="14" man="1"/>
    <brk id="291" max="14" man="1"/>
    <brk id="379" max="14" man="1"/>
    <brk id="475" max="14" man="1"/>
    <brk id="542" max="14" man="1"/>
    <brk id="628" max="14" man="1"/>
    <brk id="730" max="14" man="1"/>
    <brk id="815" max="14" man="1"/>
    <brk id="899" max="14" man="1"/>
    <brk id="967" max="1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330CA06-58B9-41B8-845D-1AD59E04E421}"/>
</file>

<file path=customXml/itemProps2.xml><?xml version="1.0" encoding="utf-8"?>
<ds:datastoreItem xmlns:ds="http://schemas.openxmlformats.org/officeDocument/2006/customXml" ds:itemID="{0CCB16EB-E445-4D66-AB5A-95B927BAFBC2}"/>
</file>

<file path=customXml/itemProps3.xml><?xml version="1.0" encoding="utf-8"?>
<ds:datastoreItem xmlns:ds="http://schemas.openxmlformats.org/officeDocument/2006/customXml" ds:itemID="{E01D860B-538B-4734-8D44-0533D7EE0EEF}"/>
</file>

<file path=customXml/itemProps4.xml><?xml version="1.0" encoding="utf-8"?>
<ds:datastoreItem xmlns:ds="http://schemas.openxmlformats.org/officeDocument/2006/customXml" ds:itemID="{D2B0ECBD-F0A1-47A7-B650-6D5A746CC4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Exhibit No.__(RMM-2)pg1</vt:lpstr>
      <vt:lpstr>Exhibit No.__(RMM-2)pg2</vt:lpstr>
      <vt:lpstr>Exhibit No.__(RMM-3)</vt:lpstr>
      <vt:lpstr>Exhibit No.__(RMM-4) p1</vt:lpstr>
      <vt:lpstr>Exhibit No.__(RMM-4) p2</vt:lpstr>
      <vt:lpstr>Exhibit No.__(RMM-4) p3</vt:lpstr>
      <vt:lpstr>Exhibit No.__(RMM-4) p4</vt:lpstr>
      <vt:lpstr>Exhibit No.__(RMM-4) p5</vt:lpstr>
      <vt:lpstr>Exhibit No.__(RMM-4) p6</vt:lpstr>
      <vt:lpstr>Exhibit No.__(RMM-4) p7</vt:lpstr>
      <vt:lpstr>Not Exhibit &gt;&gt;&gt;&gt;</vt:lpstr>
      <vt:lpstr>G+T+D+C+CO (GRC Settlement)</vt:lpstr>
      <vt:lpstr>Rate Design Work-Res NM</vt:lpstr>
      <vt:lpstr>Table A by class</vt:lpstr>
      <vt:lpstr>SBC (Old)</vt:lpstr>
      <vt:lpstr>Billing Determinants (2)</vt:lpstr>
      <vt:lpstr>Blocking - detail</vt:lpstr>
      <vt:lpstr>'Billing Determinants (2)'!Print_Area</vt:lpstr>
      <vt:lpstr>'Blocking - detail'!Print_Area</vt:lpstr>
      <vt:lpstr>'Exhibit No.__(RMM-3)'!Print_Area</vt:lpstr>
      <vt:lpstr>'Exhibit No.__(RMM-4) p1'!Print_Area</vt:lpstr>
      <vt:lpstr>'Exhibit No.__(RMM-4) p2'!Print_Area</vt:lpstr>
      <vt:lpstr>'Exhibit No.__(RMM-4) p3'!Print_Area</vt:lpstr>
      <vt:lpstr>'Exhibit No.__(RMM-4) p4'!Print_Area</vt:lpstr>
      <vt:lpstr>'Exhibit No.__(RMM-4) p5'!Print_Area</vt:lpstr>
      <vt:lpstr>'Exhibit No.__(RMM-4) p6'!Print_Area</vt:lpstr>
      <vt:lpstr>'Exhibit No.__(RMM-4) p7'!Print_Area</vt:lpstr>
      <vt:lpstr>'G+T+D+C+CO (GRC Settlement)'!Print_Area</vt:lpstr>
      <vt:lpstr>'Rate Design Work-Res NM'!Print_Area</vt:lpstr>
      <vt:lpstr>'Table A by class'!Print_Area</vt:lpstr>
      <vt:lpstr>'Billing Determinants (2)'!Print_Titles</vt:lpstr>
      <vt:lpstr>'Blocking - detail'!Print_Titles</vt:lpstr>
      <vt:lpstr>'Rate Design Work-Res NM'!Print_Titles</vt:lpstr>
      <vt:lpstr>'Table A by class'!Print_Titles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McNay, Kaley</cp:lastModifiedBy>
  <cp:lastPrinted>2021-07-01T15:28:42Z</cp:lastPrinted>
  <dcterms:created xsi:type="dcterms:W3CDTF">1997-08-20T18:29:19Z</dcterms:created>
  <dcterms:modified xsi:type="dcterms:W3CDTF">2021-07-01T15:29:07Z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0x0101006E56B4D1795A2E4DB2F0B01679ED314A002FDB890DE267284EA2E995D4D4EF8915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