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WP CBR\WWP 2019-12 CBR\2.10 WEATHER NORMALIZATION\"/>
    </mc:Choice>
  </mc:AlternateContent>
  <bookViews>
    <workbookView xWindow="8370" yWindow="0" windowWidth="27870" windowHeight="14310" firstSheet="1" activeTab="1"/>
  </bookViews>
  <sheets>
    <sheet name="Acerno_Cache_XXXXX" sheetId="20" state="veryHidden" r:id="rId1"/>
    <sheet name="Elec by Mo" sheetId="22" r:id="rId2"/>
    <sheet name="Electric Factors" sheetId="21" r:id="rId3"/>
    <sheet name="DDH" sheetId="1" r:id="rId4"/>
    <sheet name="30 yr avg Heating " sheetId="13" r:id="rId5"/>
    <sheet name="30 yr avg Cooling " sheetId="14" r:id="rId6"/>
    <sheet name="PS WC" sheetId="6" state="hidden" r:id="rId7"/>
    <sheet name="Cust Data" sheetId="10" r:id="rId8"/>
    <sheet name="WA Adj Summary" sheetId="18" state="hidden" r:id="rId9"/>
  </sheets>
  <definedNames>
    <definedName name="_xlnm.Print_Area" localSheetId="5">'30 yr avg Cooling '!$A$1:$O$37</definedName>
    <definedName name="_xlnm.Print_Area" localSheetId="4">'30 yr avg Heating '!$A$1:$O$37</definedName>
    <definedName name="_xlnm.Print_Area" localSheetId="7">'Cust Data'!$A$118:$Q$155</definedName>
    <definedName name="_xlnm.Print_Area" localSheetId="3">DDH!$A$1:$G$24</definedName>
    <definedName name="_xlnm.Print_Area" localSheetId="1">'Elec by Mo'!$A$1:$O$189</definedName>
    <definedName name="_xlnm.Print_Area" localSheetId="2">'Electric Factors'!$A$1:$J$34</definedName>
    <definedName name="_xlnm.Print_Area" localSheetId="6">'PS WC'!$A$1:$L$42</definedName>
    <definedName name="_xlnm.Print_Titles" localSheetId="1">'Elec by Mo'!$1:$1</definedName>
    <definedName name="TableName">"Dummy"</definedName>
  </definedNames>
  <calcPr calcId="152511" fullPrecision="0"/>
</workbook>
</file>

<file path=xl/calcChain.xml><?xml version="1.0" encoding="utf-8"?>
<calcChain xmlns="http://schemas.openxmlformats.org/spreadsheetml/2006/main">
  <c r="E20" i="18" l="1"/>
  <c r="E14" i="18"/>
  <c r="E10" i="18"/>
  <c r="B39" i="6" l="1"/>
  <c r="B38" i="6"/>
  <c r="B37" i="6"/>
  <c r="B36" i="6"/>
  <c r="B35" i="6"/>
  <c r="B34" i="6"/>
  <c r="B33" i="6"/>
  <c r="B32" i="6"/>
  <c r="B31" i="6"/>
  <c r="B30" i="6"/>
  <c r="B29" i="6"/>
  <c r="B28" i="6"/>
  <c r="N79" i="22" l="1"/>
  <c r="M79" i="22"/>
  <c r="L79" i="22"/>
  <c r="K79" i="22"/>
  <c r="J79" i="22"/>
  <c r="I79" i="22"/>
  <c r="H79" i="22"/>
  <c r="G79" i="22"/>
  <c r="O78" i="22"/>
  <c r="N78" i="22"/>
  <c r="M78" i="22"/>
  <c r="I78" i="22"/>
  <c r="H78" i="22"/>
  <c r="G78" i="22"/>
  <c r="F78" i="22"/>
  <c r="E78" i="22"/>
  <c r="D78" i="22"/>
  <c r="N74" i="22"/>
  <c r="M74" i="22"/>
  <c r="L74" i="22"/>
  <c r="K74" i="22"/>
  <c r="J74" i="22"/>
  <c r="I74" i="22"/>
  <c r="H74" i="22"/>
  <c r="G74" i="22"/>
  <c r="O73" i="22"/>
  <c r="N73" i="22"/>
  <c r="M73" i="22"/>
  <c r="I73" i="22"/>
  <c r="H73" i="22"/>
  <c r="G73" i="22"/>
  <c r="F73" i="22"/>
  <c r="E73" i="22"/>
  <c r="D73" i="22"/>
  <c r="N69" i="22"/>
  <c r="M69" i="22"/>
  <c r="L69" i="22"/>
  <c r="K69" i="22"/>
  <c r="J69" i="22"/>
  <c r="I69" i="22"/>
  <c r="H69" i="22"/>
  <c r="G69" i="22"/>
  <c r="O68" i="22"/>
  <c r="N68" i="22"/>
  <c r="M68" i="22"/>
  <c r="I68" i="22"/>
  <c r="H68" i="22"/>
  <c r="G68" i="22"/>
  <c r="F68" i="22"/>
  <c r="E68" i="22"/>
  <c r="D68" i="22"/>
  <c r="N64" i="22"/>
  <c r="M64" i="22"/>
  <c r="L64" i="22"/>
  <c r="K64" i="22"/>
  <c r="J64" i="22"/>
  <c r="I64" i="22"/>
  <c r="H64" i="22"/>
  <c r="G64" i="22"/>
  <c r="O63" i="22"/>
  <c r="N63" i="22"/>
  <c r="M63" i="22"/>
  <c r="I63" i="22"/>
  <c r="H63" i="22"/>
  <c r="G63" i="22"/>
  <c r="F63" i="22"/>
  <c r="E63" i="22"/>
  <c r="D63" i="22"/>
  <c r="N59" i="22"/>
  <c r="M59" i="22"/>
  <c r="L59" i="22"/>
  <c r="K59" i="22"/>
  <c r="J59" i="22"/>
  <c r="I59" i="22"/>
  <c r="H59" i="22"/>
  <c r="G59" i="22"/>
  <c r="O58" i="22"/>
  <c r="N58" i="22"/>
  <c r="M58" i="22"/>
  <c r="I58" i="22"/>
  <c r="H58" i="22"/>
  <c r="G58" i="22"/>
  <c r="F58" i="22"/>
  <c r="E58" i="22"/>
  <c r="D58" i="22"/>
  <c r="N54" i="22"/>
  <c r="M54" i="22"/>
  <c r="L54" i="22"/>
  <c r="K54" i="22"/>
  <c r="J54" i="22"/>
  <c r="I54" i="22"/>
  <c r="H54" i="22"/>
  <c r="G54" i="22"/>
  <c r="O53" i="22"/>
  <c r="N53" i="22"/>
  <c r="M53" i="22"/>
  <c r="I53" i="22"/>
  <c r="H53" i="22"/>
  <c r="G53" i="22"/>
  <c r="F53" i="22"/>
  <c r="E53" i="22"/>
  <c r="D53" i="22"/>
  <c r="N49" i="22"/>
  <c r="M49" i="22"/>
  <c r="L49" i="22"/>
  <c r="K49" i="22"/>
  <c r="J49" i="22"/>
  <c r="I49" i="22"/>
  <c r="H49" i="22"/>
  <c r="G49" i="22"/>
  <c r="O48" i="22"/>
  <c r="N48" i="22"/>
  <c r="M48" i="22"/>
  <c r="I48" i="22"/>
  <c r="H48" i="22"/>
  <c r="G48" i="22"/>
  <c r="F48" i="22"/>
  <c r="E48" i="22"/>
  <c r="D48" i="22"/>
  <c r="N44" i="22"/>
  <c r="M44" i="22"/>
  <c r="L44" i="22"/>
  <c r="K44" i="22"/>
  <c r="J44" i="22"/>
  <c r="I44" i="22"/>
  <c r="H44" i="22"/>
  <c r="G44" i="22"/>
  <c r="O43" i="22"/>
  <c r="N43" i="22"/>
  <c r="M43" i="22"/>
  <c r="I43" i="22"/>
  <c r="H43" i="22"/>
  <c r="G43" i="22"/>
  <c r="F43" i="22"/>
  <c r="E43" i="22"/>
  <c r="D43" i="22"/>
  <c r="N39" i="22"/>
  <c r="M39" i="22"/>
  <c r="L39" i="22"/>
  <c r="K39" i="22"/>
  <c r="J39" i="22"/>
  <c r="I39" i="22"/>
  <c r="H39" i="22"/>
  <c r="G39" i="22"/>
  <c r="O38" i="22"/>
  <c r="N38" i="22"/>
  <c r="M38" i="22"/>
  <c r="I38" i="22"/>
  <c r="H38" i="22"/>
  <c r="G38" i="22"/>
  <c r="F38" i="22"/>
  <c r="E38" i="22"/>
  <c r="D38" i="22"/>
  <c r="N34" i="22"/>
  <c r="M34" i="22"/>
  <c r="L34" i="22"/>
  <c r="K34" i="22"/>
  <c r="J34" i="22"/>
  <c r="I34" i="22"/>
  <c r="H34" i="22"/>
  <c r="G34" i="22"/>
  <c r="O33" i="22"/>
  <c r="N33" i="22"/>
  <c r="M33" i="22"/>
  <c r="I33" i="22"/>
  <c r="H33" i="22"/>
  <c r="G33" i="22"/>
  <c r="F33" i="22"/>
  <c r="E33" i="22"/>
  <c r="D33" i="22"/>
  <c r="N29" i="22"/>
  <c r="M29" i="22"/>
  <c r="L29" i="22"/>
  <c r="K29" i="22"/>
  <c r="J29" i="22"/>
  <c r="I29" i="22"/>
  <c r="H29" i="22"/>
  <c r="G29" i="22"/>
  <c r="O28" i="22"/>
  <c r="N28" i="22"/>
  <c r="M28" i="22"/>
  <c r="I28" i="22"/>
  <c r="H28" i="22"/>
  <c r="G28" i="22"/>
  <c r="F28" i="22"/>
  <c r="E28" i="22"/>
  <c r="D28" i="22"/>
  <c r="N24" i="22"/>
  <c r="M24" i="22"/>
  <c r="L24" i="22"/>
  <c r="K24" i="22"/>
  <c r="J24" i="22"/>
  <c r="I24" i="22"/>
  <c r="H24" i="22"/>
  <c r="G24" i="22"/>
  <c r="O23" i="22"/>
  <c r="N23" i="22"/>
  <c r="M23" i="22"/>
  <c r="I23" i="22"/>
  <c r="H23" i="22"/>
  <c r="G23" i="22"/>
  <c r="F23" i="22"/>
  <c r="E23" i="22"/>
  <c r="D23" i="22"/>
  <c r="N19" i="22"/>
  <c r="M19" i="22"/>
  <c r="L19" i="22"/>
  <c r="K19" i="22"/>
  <c r="J19" i="22"/>
  <c r="I19" i="22"/>
  <c r="H19" i="22"/>
  <c r="G19" i="22"/>
  <c r="O18" i="22"/>
  <c r="N18" i="22"/>
  <c r="M18" i="22"/>
  <c r="I18" i="22"/>
  <c r="H18" i="22"/>
  <c r="G18" i="22"/>
  <c r="F18" i="22"/>
  <c r="E18" i="22"/>
  <c r="D18" i="22"/>
  <c r="N14" i="22"/>
  <c r="M14" i="22"/>
  <c r="L14" i="22"/>
  <c r="K14" i="22"/>
  <c r="J14" i="22"/>
  <c r="I14" i="22"/>
  <c r="H14" i="22"/>
  <c r="G14" i="22"/>
  <c r="O13" i="22"/>
  <c r="N13" i="22"/>
  <c r="M13" i="22"/>
  <c r="I13" i="22"/>
  <c r="H13" i="22"/>
  <c r="G13" i="22"/>
  <c r="F13" i="22"/>
  <c r="E13" i="22"/>
  <c r="D13" i="22"/>
  <c r="N187" i="22"/>
  <c r="E187" i="22"/>
  <c r="E185" i="22" s="1"/>
  <c r="C186" i="22"/>
  <c r="N185" i="22"/>
  <c r="L185" i="22"/>
  <c r="N184" i="22"/>
  <c r="L184" i="22"/>
  <c r="G184" i="22"/>
  <c r="E184" i="22"/>
  <c r="N182" i="22"/>
  <c r="E182" i="22"/>
  <c r="C181" i="22"/>
  <c r="N180" i="22"/>
  <c r="L180" i="22"/>
  <c r="N179" i="22"/>
  <c r="L179" i="22"/>
  <c r="G179" i="22"/>
  <c r="E179" i="22"/>
  <c r="N177" i="22"/>
  <c r="E177" i="22"/>
  <c r="E176" i="22"/>
  <c r="F174" i="22" s="1"/>
  <c r="C176" i="22"/>
  <c r="N175" i="22"/>
  <c r="L175" i="22"/>
  <c r="E175" i="22"/>
  <c r="N174" i="22"/>
  <c r="L174" i="22"/>
  <c r="G174" i="22"/>
  <c r="E174" i="22"/>
  <c r="E170" i="22"/>
  <c r="C169" i="22"/>
  <c r="G167" i="22"/>
  <c r="E167" i="22"/>
  <c r="E168" i="22" s="1"/>
  <c r="E165" i="22"/>
  <c r="C164" i="22"/>
  <c r="E163" i="22"/>
  <c r="G162" i="22"/>
  <c r="E162" i="22"/>
  <c r="E160" i="22"/>
  <c r="C159" i="22"/>
  <c r="G158" i="22"/>
  <c r="E156" i="22"/>
  <c r="G156" i="22" s="1"/>
  <c r="O154" i="22"/>
  <c r="E154" i="22"/>
  <c r="F154" i="22" s="1"/>
  <c r="G154" i="22" s="1"/>
  <c r="H154" i="22" s="1"/>
  <c r="I154" i="22" s="1"/>
  <c r="J154" i="22" s="1"/>
  <c r="K154" i="22" s="1"/>
  <c r="L154" i="22" s="1"/>
  <c r="M154" i="22" s="1"/>
  <c r="N154" i="22" s="1"/>
  <c r="D154" i="22"/>
  <c r="E149" i="22"/>
  <c r="F149" i="22" s="1"/>
  <c r="G149" i="22" s="1"/>
  <c r="H149" i="22" s="1"/>
  <c r="I149" i="22" s="1"/>
  <c r="J149" i="22" s="1"/>
  <c r="K149" i="22" s="1"/>
  <c r="L149" i="22" s="1"/>
  <c r="M149" i="22" s="1"/>
  <c r="N149" i="22" s="1"/>
  <c r="O149" i="22" s="1"/>
  <c r="D149" i="22"/>
  <c r="O123" i="22"/>
  <c r="D123" i="22"/>
  <c r="E123" i="22" s="1"/>
  <c r="D105" i="22"/>
  <c r="O77" i="22"/>
  <c r="N77" i="22"/>
  <c r="M77" i="22"/>
  <c r="L77" i="22"/>
  <c r="K77" i="22"/>
  <c r="J77" i="22"/>
  <c r="I77" i="22"/>
  <c r="H77" i="22"/>
  <c r="G77" i="22"/>
  <c r="F77" i="22"/>
  <c r="E77" i="22"/>
  <c r="D77" i="22"/>
  <c r="O72" i="22"/>
  <c r="N72" i="22"/>
  <c r="M72" i="22"/>
  <c r="L72" i="22"/>
  <c r="K72" i="22"/>
  <c r="J72" i="22"/>
  <c r="I72" i="22"/>
  <c r="H72" i="22"/>
  <c r="G72" i="22"/>
  <c r="F72" i="22"/>
  <c r="E72" i="22"/>
  <c r="D72" i="22"/>
  <c r="O67" i="22"/>
  <c r="N67" i="22"/>
  <c r="M67" i="22"/>
  <c r="L67" i="22"/>
  <c r="K67" i="22"/>
  <c r="J67" i="22"/>
  <c r="I67" i="22"/>
  <c r="H67" i="22"/>
  <c r="G67" i="22"/>
  <c r="F67" i="22"/>
  <c r="E67" i="22"/>
  <c r="D67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C47" i="22" s="1"/>
  <c r="O42" i="22"/>
  <c r="N42" i="22"/>
  <c r="M42" i="22"/>
  <c r="L42" i="22"/>
  <c r="K42" i="22"/>
  <c r="J42" i="22"/>
  <c r="I42" i="22"/>
  <c r="H42" i="22"/>
  <c r="G42" i="22"/>
  <c r="F42" i="22"/>
  <c r="E42" i="22"/>
  <c r="D42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 s="1"/>
  <c r="O32" i="22"/>
  <c r="N32" i="22"/>
  <c r="M32" i="22"/>
  <c r="L32" i="22"/>
  <c r="K32" i="22"/>
  <c r="J32" i="22"/>
  <c r="I32" i="22"/>
  <c r="H32" i="22"/>
  <c r="G32" i="22"/>
  <c r="F32" i="22"/>
  <c r="E32" i="22"/>
  <c r="D32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O16" i="22"/>
  <c r="O17" i="22"/>
  <c r="N17" i="22"/>
  <c r="M17" i="22"/>
  <c r="L17" i="22"/>
  <c r="L16" i="22" s="1"/>
  <c r="K17" i="22"/>
  <c r="J17" i="22"/>
  <c r="I17" i="22"/>
  <c r="H17" i="22"/>
  <c r="G17" i="22"/>
  <c r="F17" i="22"/>
  <c r="E17" i="22"/>
  <c r="D17" i="22"/>
  <c r="F11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 s="1"/>
  <c r="O6" i="22"/>
  <c r="N6" i="22"/>
  <c r="M6" i="22"/>
  <c r="L6" i="22"/>
  <c r="K6" i="22"/>
  <c r="J6" i="22"/>
  <c r="I6" i="22"/>
  <c r="H6" i="22"/>
  <c r="G6" i="22"/>
  <c r="F6" i="22"/>
  <c r="E6" i="22"/>
  <c r="D6" i="22"/>
  <c r="C6" i="22" s="1"/>
  <c r="O5" i="22"/>
  <c r="N5" i="22"/>
  <c r="M5" i="22"/>
  <c r="L5" i="22"/>
  <c r="K5" i="22"/>
  <c r="J5" i="22"/>
  <c r="I5" i="22"/>
  <c r="H5" i="22"/>
  <c r="G5" i="22"/>
  <c r="C5" i="22" s="1"/>
  <c r="F5" i="22"/>
  <c r="E5" i="22"/>
  <c r="D5" i="22"/>
  <c r="L4" i="22"/>
  <c r="L21" i="22" s="1"/>
  <c r="D4" i="22"/>
  <c r="D46" i="22" s="1"/>
  <c r="O3" i="22"/>
  <c r="N3" i="22"/>
  <c r="M3" i="22"/>
  <c r="M4" i="22" s="1"/>
  <c r="L3" i="22"/>
  <c r="K3" i="22"/>
  <c r="J3" i="22"/>
  <c r="I3" i="22"/>
  <c r="C3" i="22" s="1"/>
  <c r="H3" i="22"/>
  <c r="G3" i="22"/>
  <c r="F3" i="22"/>
  <c r="E3" i="22"/>
  <c r="E4" i="22" s="1"/>
  <c r="D3" i="22"/>
  <c r="O2" i="22"/>
  <c r="O4" i="22" s="1"/>
  <c r="N2" i="22"/>
  <c r="N4" i="22" s="1"/>
  <c r="M2" i="22"/>
  <c r="L2" i="22"/>
  <c r="K2" i="22"/>
  <c r="K4" i="22" s="1"/>
  <c r="J2" i="22"/>
  <c r="J4" i="22" s="1"/>
  <c r="I2" i="22"/>
  <c r="I4" i="22" s="1"/>
  <c r="H2" i="22"/>
  <c r="H4" i="22" s="1"/>
  <c r="G2" i="22"/>
  <c r="G4" i="22" s="1"/>
  <c r="F2" i="22"/>
  <c r="F4" i="22" s="1"/>
  <c r="E2" i="22"/>
  <c r="D2" i="22"/>
  <c r="C2" i="22" s="1"/>
  <c r="F27" i="21"/>
  <c r="F26" i="21"/>
  <c r="F25" i="21"/>
  <c r="F24" i="21"/>
  <c r="F23" i="21"/>
  <c r="F22" i="21"/>
  <c r="F21" i="21"/>
  <c r="F20" i="21"/>
  <c r="F19" i="21"/>
  <c r="F16" i="21"/>
  <c r="F15" i="21"/>
  <c r="F14" i="21"/>
  <c r="F13" i="21"/>
  <c r="F12" i="21"/>
  <c r="F11" i="21"/>
  <c r="F10" i="21"/>
  <c r="F9" i="21"/>
  <c r="F8" i="21"/>
  <c r="D16" i="22" l="1"/>
  <c r="C42" i="22"/>
  <c r="K11" i="22"/>
  <c r="F21" i="22"/>
  <c r="I26" i="22"/>
  <c r="I51" i="22"/>
  <c r="I16" i="22"/>
  <c r="I31" i="22"/>
  <c r="I71" i="22"/>
  <c r="F90" i="22"/>
  <c r="J66" i="22"/>
  <c r="J26" i="22"/>
  <c r="J76" i="22"/>
  <c r="J36" i="22"/>
  <c r="J31" i="22"/>
  <c r="J41" i="22"/>
  <c r="J56" i="22"/>
  <c r="J11" i="22"/>
  <c r="K51" i="22"/>
  <c r="K76" i="22"/>
  <c r="K36" i="22"/>
  <c r="K61" i="22"/>
  <c r="K66" i="22"/>
  <c r="K21" i="22"/>
  <c r="K16" i="22"/>
  <c r="K26" i="22"/>
  <c r="K41" i="22"/>
  <c r="H66" i="22"/>
  <c r="H26" i="22"/>
  <c r="H46" i="22"/>
  <c r="H11" i="22"/>
  <c r="M61" i="22"/>
  <c r="M46" i="22"/>
  <c r="M31" i="22"/>
  <c r="M76" i="22"/>
  <c r="M36" i="22"/>
  <c r="M51" i="22"/>
  <c r="M16" i="22"/>
  <c r="M21" i="22"/>
  <c r="K90" i="22"/>
  <c r="E11" i="22"/>
  <c r="I11" i="22"/>
  <c r="F31" i="22"/>
  <c r="F56" i="22"/>
  <c r="F76" i="22"/>
  <c r="F36" i="22"/>
  <c r="G11" i="22"/>
  <c r="O11" i="22"/>
  <c r="N11" i="22"/>
  <c r="J16" i="22"/>
  <c r="F16" i="22"/>
  <c r="F84" i="22" s="1"/>
  <c r="E71" i="22"/>
  <c r="E31" i="22"/>
  <c r="E26" i="22"/>
  <c r="E51" i="22"/>
  <c r="E16" i="22"/>
  <c r="H21" i="22"/>
  <c r="E21" i="22"/>
  <c r="M11" i="22"/>
  <c r="H16" i="22"/>
  <c r="N46" i="22"/>
  <c r="N31" i="22"/>
  <c r="N56" i="22"/>
  <c r="N61" i="22"/>
  <c r="N76" i="22"/>
  <c r="N21" i="22"/>
  <c r="N36" i="22"/>
  <c r="N16" i="22"/>
  <c r="G41" i="22"/>
  <c r="G16" i="22"/>
  <c r="G21" i="22"/>
  <c r="G61" i="22"/>
  <c r="O71" i="22"/>
  <c r="O31" i="22"/>
  <c r="O41" i="22"/>
  <c r="O46" i="22"/>
  <c r="O61" i="22"/>
  <c r="O21" i="22"/>
  <c r="O91" i="22" s="1"/>
  <c r="D94" i="22"/>
  <c r="G26" i="22"/>
  <c r="O26" i="22"/>
  <c r="G56" i="22"/>
  <c r="O56" i="22"/>
  <c r="H61" i="22"/>
  <c r="I66" i="22"/>
  <c r="K71" i="22"/>
  <c r="G71" i="22"/>
  <c r="I21" i="22"/>
  <c r="L41" i="22"/>
  <c r="E46" i="22"/>
  <c r="F51" i="22"/>
  <c r="N51" i="22"/>
  <c r="I61" i="22"/>
  <c r="E61" i="22"/>
  <c r="D66" i="22"/>
  <c r="D71" i="22"/>
  <c r="C72" i="22"/>
  <c r="L71" i="22"/>
  <c r="H71" i="22"/>
  <c r="L76" i="22"/>
  <c r="L36" i="22"/>
  <c r="L46" i="22"/>
  <c r="L51" i="22"/>
  <c r="J21" i="22"/>
  <c r="D26" i="22"/>
  <c r="K31" i="22"/>
  <c r="G31" i="22"/>
  <c r="E41" i="22"/>
  <c r="M41" i="22"/>
  <c r="I41" i="22"/>
  <c r="G51" i="22"/>
  <c r="O51" i="22"/>
  <c r="J61" i="22"/>
  <c r="F61" i="22"/>
  <c r="L66" i="22"/>
  <c r="C17" i="22"/>
  <c r="D31" i="22"/>
  <c r="C32" i="22"/>
  <c r="L31" i="22"/>
  <c r="H31" i="22"/>
  <c r="F41" i="22"/>
  <c r="N41" i="22"/>
  <c r="H51" i="22"/>
  <c r="D51" i="22"/>
  <c r="F71" i="22"/>
  <c r="N71" i="22"/>
  <c r="M71" i="22"/>
  <c r="C77" i="22"/>
  <c r="O76" i="22"/>
  <c r="G163" i="22"/>
  <c r="G164" i="22" s="1"/>
  <c r="H162" i="22" s="1"/>
  <c r="F163" i="22"/>
  <c r="F176" i="22"/>
  <c r="D21" i="22"/>
  <c r="L26" i="22"/>
  <c r="L91" i="22" s="1"/>
  <c r="C27" i="22"/>
  <c r="G36" i="22"/>
  <c r="H41" i="22"/>
  <c r="I46" i="22"/>
  <c r="J51" i="22"/>
  <c r="C57" i="22"/>
  <c r="L56" i="22"/>
  <c r="H56" i="22"/>
  <c r="C67" i="22"/>
  <c r="N66" i="22"/>
  <c r="I76" i="22"/>
  <c r="E76" i="22"/>
  <c r="D11" i="22"/>
  <c r="L61" i="22"/>
  <c r="M66" i="22"/>
  <c r="D76" i="22"/>
  <c r="C22" i="22"/>
  <c r="H36" i="22"/>
  <c r="D36" i="22"/>
  <c r="O36" i="22"/>
  <c r="J46" i="22"/>
  <c r="F46" i="22"/>
  <c r="E56" i="22"/>
  <c r="M56" i="22"/>
  <c r="I56" i="22"/>
  <c r="G66" i="22"/>
  <c r="O66" i="22"/>
  <c r="G168" i="22"/>
  <c r="E169" i="22"/>
  <c r="F167" i="22" s="1"/>
  <c r="L11" i="22"/>
  <c r="K56" i="22"/>
  <c r="D61" i="22"/>
  <c r="E66" i="22"/>
  <c r="H76" i="22"/>
  <c r="C4" i="22"/>
  <c r="F26" i="22"/>
  <c r="N26" i="22"/>
  <c r="M26" i="22"/>
  <c r="I36" i="22"/>
  <c r="E36" i="22"/>
  <c r="K46" i="22"/>
  <c r="G46" i="22"/>
  <c r="C52" i="22"/>
  <c r="J71" i="22"/>
  <c r="G185" i="22"/>
  <c r="E186" i="22"/>
  <c r="F185" i="22" s="1"/>
  <c r="D41" i="22"/>
  <c r="C62" i="22"/>
  <c r="G76" i="22"/>
  <c r="E157" i="22"/>
  <c r="G169" i="22"/>
  <c r="H167" i="22" s="1"/>
  <c r="H184" i="22"/>
  <c r="G186" i="22"/>
  <c r="D56" i="22"/>
  <c r="F66" i="22"/>
  <c r="F96" i="22" s="1"/>
  <c r="F175" i="22"/>
  <c r="G175" i="22"/>
  <c r="F123" i="22"/>
  <c r="E164" i="22"/>
  <c r="F162" i="22"/>
  <c r="E180" i="22"/>
  <c r="E105" i="22"/>
  <c r="O95" i="22" l="1"/>
  <c r="C16" i="22"/>
  <c r="D91" i="22"/>
  <c r="F92" i="22"/>
  <c r="D86" i="22"/>
  <c r="H96" i="22"/>
  <c r="H95" i="22"/>
  <c r="G92" i="22"/>
  <c r="O92" i="22"/>
  <c r="J91" i="22"/>
  <c r="K95" i="22"/>
  <c r="J95" i="22"/>
  <c r="J169" i="22"/>
  <c r="L169" i="22"/>
  <c r="F138" i="22"/>
  <c r="N164" i="22"/>
  <c r="D147" i="22" s="1"/>
  <c r="D139" i="22"/>
  <c r="G180" i="22"/>
  <c r="H168" i="22"/>
  <c r="H169" i="22" s="1"/>
  <c r="G157" i="22"/>
  <c r="E158" i="22"/>
  <c r="I94" i="22"/>
  <c r="I86" i="22"/>
  <c r="I139" i="22" s="1"/>
  <c r="E90" i="22"/>
  <c r="E84" i="22"/>
  <c r="O96" i="22"/>
  <c r="N95" i="22"/>
  <c r="O90" i="22"/>
  <c r="O84" i="22"/>
  <c r="G96" i="22"/>
  <c r="K92" i="22"/>
  <c r="G123" i="22"/>
  <c r="C41" i="22"/>
  <c r="H185" i="22"/>
  <c r="C61" i="22"/>
  <c r="L92" i="22"/>
  <c r="C26" i="22"/>
  <c r="E86" i="22"/>
  <c r="E139" i="22" s="1"/>
  <c r="E94" i="22"/>
  <c r="N86" i="22"/>
  <c r="N139" i="22" s="1"/>
  <c r="N94" i="22"/>
  <c r="E92" i="22"/>
  <c r="H90" i="22"/>
  <c r="H84" i="22"/>
  <c r="F86" i="22"/>
  <c r="F139" i="22" s="1"/>
  <c r="F94" i="22"/>
  <c r="D84" i="22"/>
  <c r="C11" i="22"/>
  <c r="D90" i="22"/>
  <c r="F164" i="22"/>
  <c r="G94" i="22"/>
  <c r="G86" i="22"/>
  <c r="G139" i="22" s="1"/>
  <c r="L96" i="22"/>
  <c r="I96" i="22"/>
  <c r="M86" i="22"/>
  <c r="M139" i="22" s="1"/>
  <c r="M94" i="22"/>
  <c r="E96" i="22"/>
  <c r="N96" i="22"/>
  <c r="H92" i="22"/>
  <c r="N92" i="22"/>
  <c r="K91" i="22"/>
  <c r="H186" i="22"/>
  <c r="J186" i="22"/>
  <c r="O153" i="22" s="1"/>
  <c r="C76" i="22"/>
  <c r="O94" i="22"/>
  <c r="O86" i="22"/>
  <c r="O139" i="22" s="1"/>
  <c r="N91" i="22"/>
  <c r="H91" i="22"/>
  <c r="M91" i="22"/>
  <c r="H94" i="22"/>
  <c r="H86" i="22"/>
  <c r="H139" i="22" s="1"/>
  <c r="K96" i="22"/>
  <c r="J92" i="22"/>
  <c r="I92" i="22"/>
  <c r="J86" i="22"/>
  <c r="J139" i="22" s="1"/>
  <c r="J94" i="22"/>
  <c r="C46" i="22"/>
  <c r="I90" i="22"/>
  <c r="I84" i="22"/>
  <c r="F168" i="22"/>
  <c r="E91" i="22"/>
  <c r="M92" i="22"/>
  <c r="J96" i="22"/>
  <c r="F186" i="22"/>
  <c r="F184" i="22"/>
  <c r="E95" i="22"/>
  <c r="J90" i="22"/>
  <c r="J84" i="22"/>
  <c r="C56" i="22"/>
  <c r="K94" i="22"/>
  <c r="K86" i="22"/>
  <c r="K139" i="22" s="1"/>
  <c r="F95" i="22"/>
  <c r="G91" i="22"/>
  <c r="G90" i="22"/>
  <c r="G84" i="22"/>
  <c r="K84" i="22"/>
  <c r="E181" i="22"/>
  <c r="F180" i="22" s="1"/>
  <c r="F105" i="22"/>
  <c r="L84" i="22"/>
  <c r="L90" i="22"/>
  <c r="M96" i="22"/>
  <c r="C21" i="22"/>
  <c r="D92" i="22"/>
  <c r="C31" i="22"/>
  <c r="G95" i="22"/>
  <c r="L95" i="22"/>
  <c r="C71" i="22"/>
  <c r="M90" i="22"/>
  <c r="M84" i="22"/>
  <c r="M95" i="22"/>
  <c r="I91" i="22"/>
  <c r="L94" i="22"/>
  <c r="L86" i="22"/>
  <c r="L139" i="22" s="1"/>
  <c r="D96" i="22"/>
  <c r="C66" i="22"/>
  <c r="F91" i="22"/>
  <c r="I95" i="22"/>
  <c r="F169" i="22"/>
  <c r="C51" i="22"/>
  <c r="D95" i="22"/>
  <c r="G176" i="22"/>
  <c r="H174" i="22" s="1"/>
  <c r="H163" i="22"/>
  <c r="H164" i="22" s="1"/>
  <c r="N90" i="22"/>
  <c r="N84" i="22"/>
  <c r="C36" i="22"/>
  <c r="C23" i="1"/>
  <c r="B22" i="1"/>
  <c r="E23" i="1"/>
  <c r="D22" i="1"/>
  <c r="M39" i="1"/>
  <c r="L39" i="1"/>
  <c r="C91" i="22" l="1"/>
  <c r="O120" i="22"/>
  <c r="O126" i="22" s="1"/>
  <c r="C94" i="22"/>
  <c r="M138" i="22"/>
  <c r="M140" i="22" s="1"/>
  <c r="M81" i="22"/>
  <c r="C84" i="22"/>
  <c r="D138" i="22"/>
  <c r="D81" i="22"/>
  <c r="G159" i="22"/>
  <c r="J164" i="22"/>
  <c r="E138" i="22"/>
  <c r="E140" i="22" s="1"/>
  <c r="E81" i="22"/>
  <c r="L164" i="22"/>
  <c r="L81" i="22"/>
  <c r="L138" i="22"/>
  <c r="L140" i="22" s="1"/>
  <c r="F81" i="22"/>
  <c r="G138" i="22"/>
  <c r="G140" i="22" s="1"/>
  <c r="G81" i="22"/>
  <c r="E147" i="22"/>
  <c r="D101" i="22"/>
  <c r="C96" i="22"/>
  <c r="G105" i="22"/>
  <c r="H138" i="22"/>
  <c r="H140" i="22" s="1"/>
  <c r="H81" i="22"/>
  <c r="G181" i="22"/>
  <c r="H179" i="22" s="1"/>
  <c r="F140" i="22"/>
  <c r="I138" i="22"/>
  <c r="I140" i="22" s="1"/>
  <c r="I81" i="22"/>
  <c r="H123" i="22"/>
  <c r="F181" i="22"/>
  <c r="F179" i="22"/>
  <c r="N186" i="22"/>
  <c r="D153" i="22" s="1"/>
  <c r="L186" i="22"/>
  <c r="E159" i="22"/>
  <c r="C139" i="22"/>
  <c r="N169" i="22"/>
  <c r="D148" i="22" s="1"/>
  <c r="N81" i="22"/>
  <c r="N138" i="22"/>
  <c r="N140" i="22" s="1"/>
  <c r="H175" i="22"/>
  <c r="L176" i="22" s="1"/>
  <c r="O81" i="22"/>
  <c r="O138" i="22"/>
  <c r="O140" i="22" s="1"/>
  <c r="C86" i="22"/>
  <c r="C95" i="22"/>
  <c r="C92" i="22"/>
  <c r="K138" i="22"/>
  <c r="K140" i="22" s="1"/>
  <c r="K81" i="22"/>
  <c r="J138" i="22"/>
  <c r="J140" i="22" s="1"/>
  <c r="J81" i="22"/>
  <c r="C90" i="22"/>
  <c r="R113" i="10"/>
  <c r="R110" i="10"/>
  <c r="R108" i="10"/>
  <c r="R105" i="10"/>
  <c r="R103" i="10"/>
  <c r="R101" i="10"/>
  <c r="R99" i="10"/>
  <c r="R97" i="10"/>
  <c r="R92" i="10"/>
  <c r="R90" i="10"/>
  <c r="R85" i="10"/>
  <c r="R83" i="10"/>
  <c r="R81" i="10"/>
  <c r="R78" i="10"/>
  <c r="R76" i="10"/>
  <c r="R71" i="10"/>
  <c r="R66" i="10"/>
  <c r="R63" i="10"/>
  <c r="R58" i="10"/>
  <c r="R55" i="10"/>
  <c r="R52" i="10"/>
  <c r="R50" i="10"/>
  <c r="R46" i="10"/>
  <c r="R43" i="10"/>
  <c r="R39" i="10"/>
  <c r="R37" i="10"/>
  <c r="R34" i="10"/>
  <c r="R30" i="10"/>
  <c r="R25" i="10"/>
  <c r="R23" i="10"/>
  <c r="R20" i="10"/>
  <c r="R18" i="10"/>
  <c r="R14" i="10"/>
  <c r="R12" i="10"/>
  <c r="R8" i="10"/>
  <c r="R112" i="10"/>
  <c r="R111" i="10"/>
  <c r="R109" i="10"/>
  <c r="R107" i="10"/>
  <c r="R106" i="10"/>
  <c r="R104" i="10"/>
  <c r="R102" i="10"/>
  <c r="R100" i="10"/>
  <c r="R98" i="10"/>
  <c r="R96" i="10"/>
  <c r="R95" i="10"/>
  <c r="R94" i="10"/>
  <c r="R93" i="10"/>
  <c r="R91" i="10"/>
  <c r="R89" i="10"/>
  <c r="R88" i="10"/>
  <c r="R87" i="10"/>
  <c r="R86" i="10"/>
  <c r="R84" i="10"/>
  <c r="R82" i="10"/>
  <c r="R80" i="10"/>
  <c r="R79" i="10"/>
  <c r="R77" i="10"/>
  <c r="R75" i="10"/>
  <c r="R74" i="10"/>
  <c r="R73" i="10"/>
  <c r="R72" i="10"/>
  <c r="R70" i="10"/>
  <c r="R69" i="10"/>
  <c r="R68" i="10"/>
  <c r="R67" i="10"/>
  <c r="R65" i="10"/>
  <c r="R64" i="10"/>
  <c r="R62" i="10"/>
  <c r="R61" i="10"/>
  <c r="R60" i="10"/>
  <c r="R59" i="10"/>
  <c r="R57" i="10"/>
  <c r="R56" i="10"/>
  <c r="R54" i="10"/>
  <c r="R53" i="10"/>
  <c r="R51" i="10"/>
  <c r="R49" i="10"/>
  <c r="R48" i="10"/>
  <c r="R47" i="10"/>
  <c r="R45" i="10"/>
  <c r="R44" i="10"/>
  <c r="R42" i="10"/>
  <c r="R41" i="10"/>
  <c r="R40" i="10"/>
  <c r="R38" i="10"/>
  <c r="R36" i="10"/>
  <c r="R35" i="10"/>
  <c r="R33" i="10"/>
  <c r="R32" i="10"/>
  <c r="R31" i="10"/>
  <c r="R29" i="10"/>
  <c r="R28" i="10"/>
  <c r="R27" i="10"/>
  <c r="R26" i="10"/>
  <c r="R24" i="10"/>
  <c r="R22" i="10"/>
  <c r="R21" i="10"/>
  <c r="R19" i="10"/>
  <c r="R17" i="10"/>
  <c r="R16" i="10"/>
  <c r="R15" i="10"/>
  <c r="R13" i="10"/>
  <c r="R11" i="10"/>
  <c r="R10" i="10"/>
  <c r="R9" i="10"/>
  <c r="R7" i="10"/>
  <c r="R6" i="10"/>
  <c r="O133" i="22" l="1"/>
  <c r="I123" i="22"/>
  <c r="H156" i="22"/>
  <c r="H158" i="22"/>
  <c r="E148" i="22"/>
  <c r="D102" i="22"/>
  <c r="H105" i="22"/>
  <c r="H157" i="22"/>
  <c r="C81" i="22"/>
  <c r="F156" i="22"/>
  <c r="F157" i="22"/>
  <c r="D140" i="22"/>
  <c r="C138" i="22"/>
  <c r="C140" i="22" s="1"/>
  <c r="H176" i="22"/>
  <c r="D107" i="22"/>
  <c r="N176" i="22"/>
  <c r="D151" i="22" s="1"/>
  <c r="J176" i="22"/>
  <c r="O151" i="22" s="1"/>
  <c r="O118" i="22" s="1"/>
  <c r="D120" i="22"/>
  <c r="E153" i="22"/>
  <c r="J181" i="22"/>
  <c r="O152" i="22" s="1"/>
  <c r="O119" i="22" s="1"/>
  <c r="F147" i="22"/>
  <c r="E101" i="22"/>
  <c r="H180" i="22"/>
  <c r="N181" i="22" s="1"/>
  <c r="D152" i="22" s="1"/>
  <c r="F158" i="22"/>
  <c r="D119" i="22" l="1"/>
  <c r="E152" i="22"/>
  <c r="L181" i="22"/>
  <c r="H181" i="22"/>
  <c r="D114" i="22"/>
  <c r="J123" i="22"/>
  <c r="I105" i="22"/>
  <c r="D108" i="22"/>
  <c r="D115" i="22"/>
  <c r="D126" i="22"/>
  <c r="D133" i="22" s="1"/>
  <c r="F148" i="22"/>
  <c r="E102" i="22"/>
  <c r="E107" i="22"/>
  <c r="O121" i="22"/>
  <c r="O124" i="22"/>
  <c r="O125" i="22"/>
  <c r="O132" i="22" s="1"/>
  <c r="F153" i="22"/>
  <c r="E120" i="22"/>
  <c r="F101" i="22"/>
  <c r="G147" i="22"/>
  <c r="D118" i="22"/>
  <c r="E151" i="22"/>
  <c r="F159" i="22"/>
  <c r="N159" i="22"/>
  <c r="D146" i="22" s="1"/>
  <c r="L159" i="22"/>
  <c r="J159" i="22"/>
  <c r="H159" i="22"/>
  <c r="O127" i="22" l="1"/>
  <c r="D111" i="22"/>
  <c r="E126" i="22"/>
  <c r="E133" i="22" s="1"/>
  <c r="E114" i="22"/>
  <c r="D124" i="22"/>
  <c r="D131" i="22" s="1"/>
  <c r="D121" i="22"/>
  <c r="E108" i="22"/>
  <c r="E115" i="22" s="1"/>
  <c r="J105" i="22"/>
  <c r="G101" i="22"/>
  <c r="H147" i="22"/>
  <c r="F107" i="22"/>
  <c r="F114" i="22"/>
  <c r="G153" i="22"/>
  <c r="F120" i="22"/>
  <c r="K123" i="22"/>
  <c r="D125" i="22"/>
  <c r="D132" i="22"/>
  <c r="D100" i="22"/>
  <c r="E146" i="22"/>
  <c r="F102" i="22"/>
  <c r="G148" i="22"/>
  <c r="F152" i="22"/>
  <c r="E119" i="22"/>
  <c r="F151" i="22"/>
  <c r="E118" i="22"/>
  <c r="O131" i="22"/>
  <c r="O134" i="22" s="1"/>
  <c r="E121" i="22" l="1"/>
  <c r="E124" i="22"/>
  <c r="E131" i="22" s="1"/>
  <c r="G120" i="22"/>
  <c r="H153" i="22"/>
  <c r="E125" i="22"/>
  <c r="E129" i="22" s="1"/>
  <c r="F119" i="22"/>
  <c r="G152" i="22"/>
  <c r="D129" i="22"/>
  <c r="H101" i="22"/>
  <c r="I147" i="22"/>
  <c r="E111" i="22"/>
  <c r="G151" i="22"/>
  <c r="F118" i="22"/>
  <c r="D134" i="22"/>
  <c r="G102" i="22"/>
  <c r="H148" i="22"/>
  <c r="L123" i="22"/>
  <c r="G107" i="22"/>
  <c r="G114" i="22" s="1"/>
  <c r="D127" i="22"/>
  <c r="F108" i="22"/>
  <c r="F111" i="22" s="1"/>
  <c r="F115" i="22"/>
  <c r="K105" i="22"/>
  <c r="E100" i="22"/>
  <c r="F146" i="22"/>
  <c r="D106" i="22"/>
  <c r="D113" i="22" s="1"/>
  <c r="D103" i="22"/>
  <c r="F126" i="22"/>
  <c r="F133" i="22"/>
  <c r="E132" i="22" l="1"/>
  <c r="E134" i="22" s="1"/>
  <c r="H102" i="22"/>
  <c r="I148" i="22"/>
  <c r="D136" i="22"/>
  <c r="D109" i="22"/>
  <c r="G146" i="22"/>
  <c r="F100" i="22"/>
  <c r="F121" i="22"/>
  <c r="F124" i="22"/>
  <c r="G119" i="22"/>
  <c r="H152" i="22"/>
  <c r="H120" i="22"/>
  <c r="I153" i="22"/>
  <c r="G108" i="22"/>
  <c r="G111" i="22" s="1"/>
  <c r="G118" i="22"/>
  <c r="H151" i="22"/>
  <c r="F125" i="22"/>
  <c r="G126" i="22"/>
  <c r="G133" i="22"/>
  <c r="J147" i="22"/>
  <c r="I101" i="22"/>
  <c r="E103" i="22"/>
  <c r="E106" i="22"/>
  <c r="E109" i="22" s="1"/>
  <c r="D116" i="22"/>
  <c r="D142" i="22" s="1"/>
  <c r="H107" i="22"/>
  <c r="L105" i="22"/>
  <c r="M123" i="22"/>
  <c r="E127" i="22"/>
  <c r="J28" i="6"/>
  <c r="G115" i="22" l="1"/>
  <c r="K147" i="22"/>
  <c r="J101" i="22"/>
  <c r="H126" i="22"/>
  <c r="H133" i="22" s="1"/>
  <c r="H114" i="22"/>
  <c r="D122" i="22"/>
  <c r="F127" i="22"/>
  <c r="D104" i="22"/>
  <c r="J148" i="22"/>
  <c r="I102" i="22"/>
  <c r="G121" i="22"/>
  <c r="G124" i="22"/>
  <c r="G131" i="22" s="1"/>
  <c r="H119" i="22"/>
  <c r="I152" i="22"/>
  <c r="G125" i="22"/>
  <c r="G129" i="22" s="1"/>
  <c r="N123" i="22"/>
  <c r="M105" i="22"/>
  <c r="E136" i="22"/>
  <c r="E122" i="22" s="1"/>
  <c r="E104" i="22"/>
  <c r="F129" i="22"/>
  <c r="F131" i="22"/>
  <c r="H108" i="22"/>
  <c r="H115" i="22" s="1"/>
  <c r="E113" i="22"/>
  <c r="F132" i="22"/>
  <c r="F103" i="22"/>
  <c r="F106" i="22"/>
  <c r="F113" i="22"/>
  <c r="F116" i="22" s="1"/>
  <c r="I114" i="22"/>
  <c r="I107" i="22"/>
  <c r="H118" i="22"/>
  <c r="I151" i="22"/>
  <c r="J153" i="22"/>
  <c r="I120" i="22"/>
  <c r="H146" i="22"/>
  <c r="G100" i="22"/>
  <c r="H111" i="22" l="1"/>
  <c r="F136" i="22"/>
  <c r="F122" i="22" s="1"/>
  <c r="F104" i="22"/>
  <c r="J151" i="22"/>
  <c r="I118" i="22"/>
  <c r="E116" i="22"/>
  <c r="E142" i="22" s="1"/>
  <c r="N105" i="22"/>
  <c r="I119" i="22"/>
  <c r="J152" i="22"/>
  <c r="I108" i="22"/>
  <c r="I111" i="22" s="1"/>
  <c r="H124" i="22"/>
  <c r="H131" i="22" s="1"/>
  <c r="H121" i="22"/>
  <c r="H125" i="22"/>
  <c r="H129" i="22" s="1"/>
  <c r="J102" i="22"/>
  <c r="K148" i="22"/>
  <c r="I126" i="22"/>
  <c r="I133" i="22" s="1"/>
  <c r="K153" i="22"/>
  <c r="J120" i="22"/>
  <c r="F134" i="22"/>
  <c r="G106" i="22"/>
  <c r="G109" i="22" s="1"/>
  <c r="G113" i="22"/>
  <c r="G116" i="22" s="1"/>
  <c r="G103" i="22"/>
  <c r="F142" i="22"/>
  <c r="J107" i="22"/>
  <c r="J114" i="22" s="1"/>
  <c r="H100" i="22"/>
  <c r="I146" i="22"/>
  <c r="F109" i="22"/>
  <c r="G132" i="22"/>
  <c r="G134" i="22" s="1"/>
  <c r="G127" i="22"/>
  <c r="K101" i="22"/>
  <c r="L147" i="22"/>
  <c r="H132" i="22" l="1"/>
  <c r="H134" i="22"/>
  <c r="H106" i="22"/>
  <c r="H113" i="22"/>
  <c r="H116" i="22" s="1"/>
  <c r="H142" i="22" s="1"/>
  <c r="H103" i="22"/>
  <c r="H127" i="22"/>
  <c r="K102" i="22"/>
  <c r="L148" i="22"/>
  <c r="K120" i="22"/>
  <c r="L153" i="22"/>
  <c r="O105" i="22"/>
  <c r="L101" i="22"/>
  <c r="M147" i="22"/>
  <c r="K107" i="22"/>
  <c r="K114" i="22"/>
  <c r="J108" i="22"/>
  <c r="J111" i="22" s="1"/>
  <c r="I115" i="22"/>
  <c r="I124" i="22"/>
  <c r="I121" i="22"/>
  <c r="G142" i="22"/>
  <c r="K151" i="22"/>
  <c r="J118" i="22"/>
  <c r="K152" i="22"/>
  <c r="J119" i="22"/>
  <c r="J146" i="22"/>
  <c r="I100" i="22"/>
  <c r="G136" i="22"/>
  <c r="G122" i="22" s="1"/>
  <c r="J126" i="22"/>
  <c r="J133" i="22" s="1"/>
  <c r="I125" i="22"/>
  <c r="I129" i="22" s="1"/>
  <c r="K39" i="1"/>
  <c r="J39" i="1"/>
  <c r="I132" i="22" l="1"/>
  <c r="I127" i="22"/>
  <c r="L107" i="22"/>
  <c r="L114" i="22" s="1"/>
  <c r="K108" i="22"/>
  <c r="K111" i="22" s="1"/>
  <c r="H109" i="22"/>
  <c r="J121" i="22"/>
  <c r="J124" i="22"/>
  <c r="J131" i="22" s="1"/>
  <c r="G104" i="22"/>
  <c r="L151" i="22"/>
  <c r="K118" i="22"/>
  <c r="J115" i="22"/>
  <c r="L152" i="22"/>
  <c r="K119" i="22"/>
  <c r="N147" i="22"/>
  <c r="M101" i="22"/>
  <c r="L102" i="22"/>
  <c r="M148" i="22"/>
  <c r="L120" i="22"/>
  <c r="M153" i="22"/>
  <c r="I103" i="22"/>
  <c r="I106" i="22"/>
  <c r="I109" i="22" s="1"/>
  <c r="K126" i="22"/>
  <c r="K133" i="22" s="1"/>
  <c r="K146" i="22"/>
  <c r="J100" i="22"/>
  <c r="J125" i="22"/>
  <c r="I131" i="22"/>
  <c r="H136" i="22"/>
  <c r="H122" i="22" s="1"/>
  <c r="K28" i="6"/>
  <c r="L28" i="6" s="1"/>
  <c r="J29" i="6"/>
  <c r="J30" i="6"/>
  <c r="J31" i="6"/>
  <c r="J32" i="6"/>
  <c r="J33" i="6"/>
  <c r="J34" i="6"/>
  <c r="J35" i="6"/>
  <c r="J36" i="6"/>
  <c r="J37" i="6"/>
  <c r="J38" i="6"/>
  <c r="J39" i="6"/>
  <c r="O40" i="6"/>
  <c r="K115" i="22" l="1"/>
  <c r="L119" i="22"/>
  <c r="M152" i="22"/>
  <c r="N153" i="22"/>
  <c r="N120" i="22" s="1"/>
  <c r="M120" i="22"/>
  <c r="H104" i="22"/>
  <c r="K100" i="22"/>
  <c r="L146" i="22"/>
  <c r="L126" i="22"/>
  <c r="L133" i="22" s="1"/>
  <c r="N148" i="22"/>
  <c r="M102" i="22"/>
  <c r="K121" i="22"/>
  <c r="K124" i="22"/>
  <c r="J103" i="22"/>
  <c r="J106" i="22"/>
  <c r="J109" i="22" s="1"/>
  <c r="I134" i="22"/>
  <c r="L108" i="22"/>
  <c r="L115" i="22" s="1"/>
  <c r="L118" i="22"/>
  <c r="M151" i="22"/>
  <c r="J129" i="22"/>
  <c r="M107" i="22"/>
  <c r="M114" i="22" s="1"/>
  <c r="J132" i="22"/>
  <c r="J134" i="22" s="1"/>
  <c r="I113" i="22"/>
  <c r="N101" i="22"/>
  <c r="O147" i="22"/>
  <c r="O101" i="22" s="1"/>
  <c r="I136" i="22"/>
  <c r="I122" i="22" s="1"/>
  <c r="K125" i="22"/>
  <c r="K129" i="22" s="1"/>
  <c r="J127" i="22"/>
  <c r="K132" i="22" l="1"/>
  <c r="I104" i="22"/>
  <c r="I116" i="22"/>
  <c r="I142" i="22" s="1"/>
  <c r="K127" i="22"/>
  <c r="L125" i="22"/>
  <c r="L132" i="22" s="1"/>
  <c r="L100" i="22"/>
  <c r="M146" i="22"/>
  <c r="K131" i="22"/>
  <c r="K106" i="22"/>
  <c r="K109" i="22" s="1"/>
  <c r="K103" i="22"/>
  <c r="M108" i="22"/>
  <c r="M115" i="22" s="1"/>
  <c r="N152" i="22"/>
  <c r="N119" i="22" s="1"/>
  <c r="M119" i="22"/>
  <c r="J136" i="22"/>
  <c r="J122" i="22" s="1"/>
  <c r="N102" i="22"/>
  <c r="O148" i="22"/>
  <c r="O102" i="22" s="1"/>
  <c r="O107" i="22"/>
  <c r="O114" i="22" s="1"/>
  <c r="C101" i="22"/>
  <c r="N151" i="22"/>
  <c r="N118" i="22" s="1"/>
  <c r="M118" i="22"/>
  <c r="J113" i="22"/>
  <c r="J116" i="22" s="1"/>
  <c r="J142" i="22" s="1"/>
  <c r="M126" i="22"/>
  <c r="M133" i="22" s="1"/>
  <c r="N107" i="22"/>
  <c r="N114" i="22" s="1"/>
  <c r="L124" i="22"/>
  <c r="L121" i="22"/>
  <c r="L131" i="22"/>
  <c r="N126" i="22"/>
  <c r="C120" i="22"/>
  <c r="F8" i="1"/>
  <c r="G8" i="1"/>
  <c r="K134" i="22" l="1"/>
  <c r="K113" i="22"/>
  <c r="K116" i="22" s="1"/>
  <c r="K142" i="22" s="1"/>
  <c r="C126" i="22"/>
  <c r="L127" i="22"/>
  <c r="L134" i="22"/>
  <c r="C114" i="22"/>
  <c r="N108" i="22"/>
  <c r="N115" i="22" s="1"/>
  <c r="N125" i="22"/>
  <c r="C119" i="22"/>
  <c r="L106" i="22"/>
  <c r="L109" i="22" s="1"/>
  <c r="L103" i="22"/>
  <c r="M121" i="22"/>
  <c r="M124" i="22"/>
  <c r="M131" i="22" s="1"/>
  <c r="C107" i="22"/>
  <c r="N133" i="22"/>
  <c r="C133" i="22" s="1"/>
  <c r="O108" i="22"/>
  <c r="C102" i="22"/>
  <c r="K136" i="22"/>
  <c r="K122" i="22" s="1"/>
  <c r="J104" i="22"/>
  <c r="N121" i="22"/>
  <c r="N124" i="22"/>
  <c r="C118" i="22"/>
  <c r="C121" i="22" s="1"/>
  <c r="M125" i="22"/>
  <c r="M132" i="22" s="1"/>
  <c r="M100" i="22"/>
  <c r="N146" i="22"/>
  <c r="L113" i="22" l="1"/>
  <c r="L116" i="22" s="1"/>
  <c r="L142" i="22" s="1"/>
  <c r="K104" i="22"/>
  <c r="C108" i="22"/>
  <c r="O115" i="22"/>
  <c r="C115" i="22" s="1"/>
  <c r="M134" i="22"/>
  <c r="N127" i="22"/>
  <c r="C124" i="22"/>
  <c r="L136" i="22"/>
  <c r="L122" i="22" s="1"/>
  <c r="N131" i="22"/>
  <c r="C125" i="22"/>
  <c r="O146" i="22"/>
  <c r="O100" i="22" s="1"/>
  <c r="N100" i="22"/>
  <c r="M103" i="22"/>
  <c r="M106" i="22"/>
  <c r="M109" i="22" s="1"/>
  <c r="N132" i="22"/>
  <c r="C132" i="22" s="1"/>
  <c r="M127" i="22"/>
  <c r="M136" i="22" l="1"/>
  <c r="M122" i="22" s="1"/>
  <c r="M104" i="22"/>
  <c r="M113" i="22"/>
  <c r="M116" i="22" s="1"/>
  <c r="M142" i="22" s="1"/>
  <c r="L104" i="22"/>
  <c r="N134" i="22"/>
  <c r="C131" i="22"/>
  <c r="C134" i="22" s="1"/>
  <c r="N103" i="22"/>
  <c r="N106" i="22"/>
  <c r="N109" i="22" s="1"/>
  <c r="C127" i="22"/>
  <c r="O106" i="22"/>
  <c r="O113" i="22" s="1"/>
  <c r="O103" i="22"/>
  <c r="C100" i="22"/>
  <c r="C103" i="22" s="1"/>
  <c r="C18" i="1"/>
  <c r="C19" i="1"/>
  <c r="O116" i="22" l="1"/>
  <c r="O142" i="22" s="1"/>
  <c r="N136" i="22"/>
  <c r="N122" i="22" s="1"/>
  <c r="N104" i="22"/>
  <c r="O136" i="22"/>
  <c r="O104" i="22" s="1"/>
  <c r="O109" i="22"/>
  <c r="C106" i="22"/>
  <c r="C109" i="22" s="1"/>
  <c r="C128" i="22"/>
  <c r="C129" i="22" s="1"/>
  <c r="N113" i="22"/>
  <c r="N116" i="22" s="1"/>
  <c r="N142" i="22" s="1"/>
  <c r="K39" i="6"/>
  <c r="K38" i="6"/>
  <c r="K37" i="6"/>
  <c r="K36" i="6"/>
  <c r="K35" i="6"/>
  <c r="K34" i="6"/>
  <c r="K33" i="6"/>
  <c r="K32" i="6"/>
  <c r="K31" i="6"/>
  <c r="K30" i="6"/>
  <c r="K29" i="6"/>
  <c r="C142" i="22" l="1"/>
  <c r="C110" i="22"/>
  <c r="C111" i="22" s="1"/>
  <c r="O122" i="22"/>
  <c r="C136" i="22"/>
  <c r="C113" i="22"/>
  <c r="C116" i="22" s="1"/>
  <c r="C122" i="22" l="1"/>
  <c r="C104" i="22"/>
  <c r="E37" i="6" l="1"/>
  <c r="F37" i="6" s="1"/>
  <c r="L37" i="6" l="1"/>
  <c r="L39" i="6"/>
  <c r="L30" i="6"/>
  <c r="L29" i="6"/>
  <c r="A9" i="1" l="1"/>
  <c r="L31" i="6" l="1"/>
  <c r="L32" i="6"/>
  <c r="L33" i="6"/>
  <c r="L34" i="6"/>
  <c r="L35" i="6"/>
  <c r="L36" i="6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N40" i="6" l="1"/>
  <c r="K40" i="6"/>
  <c r="J40" i="6"/>
  <c r="D40" i="6"/>
  <c r="E39" i="6"/>
  <c r="F39" i="6" s="1"/>
  <c r="E38" i="6"/>
  <c r="F38" i="6" s="1"/>
  <c r="L38" i="6"/>
  <c r="E36" i="6"/>
  <c r="F36" i="6" s="1"/>
  <c r="E35" i="6"/>
  <c r="F35" i="6" s="1"/>
  <c r="E34" i="6"/>
  <c r="F34" i="6" s="1"/>
  <c r="E33" i="6"/>
  <c r="F33" i="6" s="1"/>
  <c r="E32" i="6"/>
  <c r="F32" i="6" s="1"/>
  <c r="E31" i="6"/>
  <c r="F31" i="6" s="1"/>
  <c r="E30" i="6"/>
  <c r="F30" i="6" s="1"/>
  <c r="E29" i="6"/>
  <c r="F29" i="6" s="1"/>
  <c r="E28" i="6"/>
  <c r="E40" i="6" l="1"/>
  <c r="F28" i="6"/>
  <c r="F40" i="6" l="1"/>
  <c r="H28" i="6" s="1"/>
  <c r="D20" i="1"/>
  <c r="H30" i="6" l="1"/>
  <c r="H39" i="6"/>
  <c r="H31" i="6"/>
  <c r="H36" i="6"/>
  <c r="H35" i="6"/>
  <c r="H38" i="6"/>
  <c r="H32" i="6"/>
  <c r="H37" i="6"/>
  <c r="H33" i="6"/>
  <c r="H29" i="6"/>
  <c r="H34" i="6"/>
  <c r="O20" i="1"/>
  <c r="N20" i="1"/>
  <c r="H40" i="6" l="1"/>
  <c r="O38" i="14" l="1"/>
  <c r="O38" i="13"/>
  <c r="F162" i="10" l="1"/>
  <c r="G162" i="10"/>
  <c r="H162" i="10"/>
  <c r="I162" i="10"/>
  <c r="J162" i="10"/>
  <c r="K162" i="10"/>
  <c r="L162" i="10"/>
  <c r="M162" i="10"/>
  <c r="N162" i="10"/>
  <c r="O162" i="10"/>
  <c r="P162" i="10"/>
  <c r="Q162" i="10"/>
  <c r="F163" i="10"/>
  <c r="G163" i="10"/>
  <c r="H163" i="10"/>
  <c r="I163" i="10"/>
  <c r="J163" i="10"/>
  <c r="K163" i="10"/>
  <c r="L163" i="10"/>
  <c r="M163" i="10"/>
  <c r="N163" i="10"/>
  <c r="O163" i="10"/>
  <c r="P163" i="10"/>
  <c r="Q163" i="10"/>
  <c r="F164" i="10"/>
  <c r="G164" i="10"/>
  <c r="H164" i="10"/>
  <c r="I164" i="10"/>
  <c r="J164" i="10"/>
  <c r="K164" i="10"/>
  <c r="L164" i="10"/>
  <c r="M164" i="10"/>
  <c r="N164" i="10"/>
  <c r="O164" i="10"/>
  <c r="P164" i="10"/>
  <c r="Q164" i="10"/>
  <c r="F165" i="10"/>
  <c r="G165" i="10"/>
  <c r="H165" i="10"/>
  <c r="I165" i="10"/>
  <c r="J165" i="10"/>
  <c r="K165" i="10"/>
  <c r="L165" i="10"/>
  <c r="M165" i="10"/>
  <c r="N165" i="10"/>
  <c r="O165" i="10"/>
  <c r="P165" i="10"/>
  <c r="Q165" i="10"/>
  <c r="F166" i="10"/>
  <c r="G166" i="10"/>
  <c r="H166" i="10"/>
  <c r="I166" i="10"/>
  <c r="J166" i="10"/>
  <c r="K166" i="10"/>
  <c r="L166" i="10"/>
  <c r="M166" i="10"/>
  <c r="N166" i="10"/>
  <c r="O166" i="10"/>
  <c r="P166" i="10"/>
  <c r="Q166" i="10"/>
  <c r="F167" i="10"/>
  <c r="G167" i="10"/>
  <c r="H167" i="10"/>
  <c r="I167" i="10"/>
  <c r="J167" i="10"/>
  <c r="K167" i="10"/>
  <c r="L167" i="10"/>
  <c r="M167" i="10"/>
  <c r="N167" i="10"/>
  <c r="O167" i="10"/>
  <c r="P167" i="10"/>
  <c r="Q167" i="10"/>
  <c r="F168" i="10"/>
  <c r="G168" i="10"/>
  <c r="H168" i="10"/>
  <c r="I168" i="10"/>
  <c r="J168" i="10"/>
  <c r="K168" i="10"/>
  <c r="L168" i="10"/>
  <c r="M168" i="10"/>
  <c r="N168" i="10"/>
  <c r="O168" i="10"/>
  <c r="P168" i="10"/>
  <c r="Q168" i="10"/>
  <c r="F169" i="10"/>
  <c r="G169" i="10"/>
  <c r="H169" i="10"/>
  <c r="I169" i="10"/>
  <c r="J169" i="10"/>
  <c r="K169" i="10"/>
  <c r="L169" i="10"/>
  <c r="M169" i="10"/>
  <c r="N169" i="10"/>
  <c r="O169" i="10"/>
  <c r="P169" i="10"/>
  <c r="Q169" i="10"/>
  <c r="F170" i="10"/>
  <c r="G170" i="10"/>
  <c r="H170" i="10"/>
  <c r="I170" i="10"/>
  <c r="J170" i="10"/>
  <c r="K170" i="10"/>
  <c r="L170" i="10"/>
  <c r="M170" i="10"/>
  <c r="N170" i="10"/>
  <c r="O170" i="10"/>
  <c r="P170" i="10"/>
  <c r="Q170" i="10"/>
  <c r="F171" i="10"/>
  <c r="G171" i="10"/>
  <c r="H171" i="10"/>
  <c r="I171" i="10"/>
  <c r="J171" i="10"/>
  <c r="K171" i="10"/>
  <c r="L171" i="10"/>
  <c r="M171" i="10"/>
  <c r="N171" i="10"/>
  <c r="O171" i="10"/>
  <c r="P171" i="10"/>
  <c r="Q171" i="10"/>
  <c r="F172" i="10"/>
  <c r="G172" i="10"/>
  <c r="H172" i="10"/>
  <c r="I172" i="10"/>
  <c r="J172" i="10"/>
  <c r="K172" i="10"/>
  <c r="L172" i="10"/>
  <c r="M172" i="10"/>
  <c r="N172" i="10"/>
  <c r="O172" i="10"/>
  <c r="P172" i="10"/>
  <c r="Q172" i="10"/>
  <c r="F173" i="10"/>
  <c r="G173" i="10"/>
  <c r="H173" i="10"/>
  <c r="I173" i="10"/>
  <c r="J173" i="10"/>
  <c r="K173" i="10"/>
  <c r="L173" i="10"/>
  <c r="M173" i="10"/>
  <c r="N173" i="10"/>
  <c r="O173" i="10"/>
  <c r="P173" i="10"/>
  <c r="Q173" i="10"/>
  <c r="F174" i="10"/>
  <c r="G174" i="10"/>
  <c r="H174" i="10"/>
  <c r="I174" i="10"/>
  <c r="J174" i="10"/>
  <c r="K174" i="10"/>
  <c r="L174" i="10"/>
  <c r="M174" i="10"/>
  <c r="N174" i="10"/>
  <c r="O174" i="10"/>
  <c r="P174" i="10"/>
  <c r="Q174" i="10"/>
  <c r="F175" i="10"/>
  <c r="G175" i="10"/>
  <c r="H175" i="10"/>
  <c r="I175" i="10"/>
  <c r="J175" i="10"/>
  <c r="K175" i="10"/>
  <c r="L175" i="10"/>
  <c r="M175" i="10"/>
  <c r="N175" i="10"/>
  <c r="O175" i="10"/>
  <c r="P175" i="10"/>
  <c r="Q175" i="10"/>
  <c r="F176" i="10"/>
  <c r="G176" i="10"/>
  <c r="H176" i="10"/>
  <c r="I176" i="10"/>
  <c r="J176" i="10"/>
  <c r="K176" i="10"/>
  <c r="L176" i="10"/>
  <c r="M176" i="10"/>
  <c r="N176" i="10"/>
  <c r="O176" i="10"/>
  <c r="P176" i="10"/>
  <c r="Q176" i="10"/>
  <c r="F177" i="10"/>
  <c r="G177" i="10"/>
  <c r="H177" i="10"/>
  <c r="I177" i="10"/>
  <c r="J177" i="10"/>
  <c r="K177" i="10"/>
  <c r="L177" i="10"/>
  <c r="M177" i="10"/>
  <c r="N177" i="10"/>
  <c r="O177" i="10"/>
  <c r="P177" i="10"/>
  <c r="Q177" i="10"/>
  <c r="F178" i="10"/>
  <c r="G178" i="10"/>
  <c r="H178" i="10"/>
  <c r="I178" i="10"/>
  <c r="J178" i="10"/>
  <c r="K178" i="10"/>
  <c r="L178" i="10"/>
  <c r="M178" i="10"/>
  <c r="N178" i="10"/>
  <c r="O178" i="10"/>
  <c r="P178" i="10"/>
  <c r="Q178" i="10"/>
  <c r="F179" i="10"/>
  <c r="G179" i="10"/>
  <c r="H179" i="10"/>
  <c r="I179" i="10"/>
  <c r="J179" i="10"/>
  <c r="K179" i="10"/>
  <c r="L179" i="10"/>
  <c r="M179" i="10"/>
  <c r="N179" i="10"/>
  <c r="O179" i="10"/>
  <c r="P179" i="10"/>
  <c r="Q179" i="10"/>
  <c r="F180" i="10"/>
  <c r="G180" i="10"/>
  <c r="H180" i="10"/>
  <c r="I180" i="10"/>
  <c r="J180" i="10"/>
  <c r="K180" i="10"/>
  <c r="L180" i="10"/>
  <c r="M180" i="10"/>
  <c r="N180" i="10"/>
  <c r="O180" i="10"/>
  <c r="P180" i="10"/>
  <c r="Q180" i="10"/>
  <c r="F181" i="10"/>
  <c r="G181" i="10"/>
  <c r="H181" i="10"/>
  <c r="I181" i="10"/>
  <c r="J181" i="10"/>
  <c r="K181" i="10"/>
  <c r="L181" i="10"/>
  <c r="M181" i="10"/>
  <c r="N181" i="10"/>
  <c r="O181" i="10"/>
  <c r="P181" i="10"/>
  <c r="Q181" i="10"/>
  <c r="F182" i="10"/>
  <c r="G182" i="10"/>
  <c r="H182" i="10"/>
  <c r="I182" i="10"/>
  <c r="J182" i="10"/>
  <c r="K182" i="10"/>
  <c r="L182" i="10"/>
  <c r="M182" i="10"/>
  <c r="N182" i="10"/>
  <c r="O182" i="10"/>
  <c r="P182" i="10"/>
  <c r="Q182" i="10"/>
  <c r="F183" i="10"/>
  <c r="G183" i="10"/>
  <c r="H183" i="10"/>
  <c r="I183" i="10"/>
  <c r="J183" i="10"/>
  <c r="K183" i="10"/>
  <c r="L183" i="10"/>
  <c r="M183" i="10"/>
  <c r="N183" i="10"/>
  <c r="O183" i="10"/>
  <c r="P183" i="10"/>
  <c r="Q183" i="10"/>
  <c r="F184" i="10"/>
  <c r="G184" i="10"/>
  <c r="H184" i="10"/>
  <c r="I184" i="10"/>
  <c r="J184" i="10"/>
  <c r="K184" i="10"/>
  <c r="L184" i="10"/>
  <c r="M184" i="10"/>
  <c r="N184" i="10"/>
  <c r="O184" i="10"/>
  <c r="P184" i="10"/>
  <c r="Q184" i="10"/>
  <c r="F185" i="10"/>
  <c r="G185" i="10"/>
  <c r="H185" i="10"/>
  <c r="I185" i="10"/>
  <c r="J185" i="10"/>
  <c r="K185" i="10"/>
  <c r="L185" i="10"/>
  <c r="M185" i="10"/>
  <c r="N185" i="10"/>
  <c r="O185" i="10"/>
  <c r="P185" i="10"/>
  <c r="Q185" i="10"/>
  <c r="F186" i="10"/>
  <c r="G186" i="10"/>
  <c r="H186" i="10"/>
  <c r="I186" i="10"/>
  <c r="J186" i="10"/>
  <c r="K186" i="10"/>
  <c r="L186" i="10"/>
  <c r="M186" i="10"/>
  <c r="N186" i="10"/>
  <c r="O186" i="10"/>
  <c r="P186" i="10"/>
  <c r="Q186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F138" i="10"/>
  <c r="G138" i="10"/>
  <c r="H138" i="10"/>
  <c r="I138" i="10"/>
  <c r="J138" i="10"/>
  <c r="K138" i="10"/>
  <c r="L138" i="10"/>
  <c r="M138" i="10"/>
  <c r="N138" i="10"/>
  <c r="O138" i="10"/>
  <c r="P138" i="10"/>
  <c r="Q138" i="10"/>
  <c r="F139" i="10"/>
  <c r="G139" i="10"/>
  <c r="H139" i="10"/>
  <c r="I139" i="10"/>
  <c r="J139" i="10"/>
  <c r="K139" i="10"/>
  <c r="L139" i="10"/>
  <c r="M139" i="10"/>
  <c r="N139" i="10"/>
  <c r="O139" i="10"/>
  <c r="P139" i="10"/>
  <c r="Q139" i="10"/>
  <c r="F140" i="10"/>
  <c r="G140" i="10"/>
  <c r="H140" i="10"/>
  <c r="I140" i="10"/>
  <c r="J140" i="10"/>
  <c r="K140" i="10"/>
  <c r="L140" i="10"/>
  <c r="M140" i="10"/>
  <c r="N140" i="10"/>
  <c r="O140" i="10"/>
  <c r="P140" i="10"/>
  <c r="Q140" i="10"/>
  <c r="F141" i="10"/>
  <c r="G141" i="10"/>
  <c r="H141" i="10"/>
  <c r="I141" i="10"/>
  <c r="J141" i="10"/>
  <c r="K141" i="10"/>
  <c r="L141" i="10"/>
  <c r="M141" i="10"/>
  <c r="N141" i="10"/>
  <c r="O141" i="10"/>
  <c r="P141" i="10"/>
  <c r="Q141" i="10"/>
  <c r="F142" i="10"/>
  <c r="G142" i="10"/>
  <c r="H142" i="10"/>
  <c r="I142" i="10"/>
  <c r="J142" i="10"/>
  <c r="K142" i="10"/>
  <c r="L142" i="10"/>
  <c r="M142" i="10"/>
  <c r="N142" i="10"/>
  <c r="O142" i="10"/>
  <c r="P142" i="10"/>
  <c r="Q142" i="10"/>
  <c r="F143" i="10"/>
  <c r="G143" i="10"/>
  <c r="H143" i="10"/>
  <c r="I143" i="10"/>
  <c r="J143" i="10"/>
  <c r="K143" i="10"/>
  <c r="L143" i="10"/>
  <c r="M143" i="10"/>
  <c r="N143" i="10"/>
  <c r="O143" i="10"/>
  <c r="P143" i="10"/>
  <c r="Q143" i="10"/>
  <c r="F144" i="10"/>
  <c r="G144" i="10"/>
  <c r="H144" i="10"/>
  <c r="I144" i="10"/>
  <c r="J144" i="10"/>
  <c r="K144" i="10"/>
  <c r="L144" i="10"/>
  <c r="M144" i="10"/>
  <c r="N144" i="10"/>
  <c r="O144" i="10"/>
  <c r="P144" i="10"/>
  <c r="Q144" i="10"/>
  <c r="F145" i="10"/>
  <c r="G145" i="10"/>
  <c r="H145" i="10"/>
  <c r="I145" i="10"/>
  <c r="J145" i="10"/>
  <c r="K145" i="10"/>
  <c r="L145" i="10"/>
  <c r="M145" i="10"/>
  <c r="N145" i="10"/>
  <c r="O145" i="10"/>
  <c r="P145" i="10"/>
  <c r="Q145" i="10"/>
  <c r="F146" i="10"/>
  <c r="G146" i="10"/>
  <c r="H146" i="10"/>
  <c r="I146" i="10"/>
  <c r="J146" i="10"/>
  <c r="K146" i="10"/>
  <c r="L146" i="10"/>
  <c r="M146" i="10"/>
  <c r="N146" i="10"/>
  <c r="O146" i="10"/>
  <c r="P146" i="10"/>
  <c r="Q146" i="10"/>
  <c r="F147" i="10"/>
  <c r="G147" i="10"/>
  <c r="H147" i="10"/>
  <c r="I147" i="10"/>
  <c r="J147" i="10"/>
  <c r="K147" i="10"/>
  <c r="L147" i="10"/>
  <c r="M147" i="10"/>
  <c r="N147" i="10"/>
  <c r="O147" i="10"/>
  <c r="P147" i="10"/>
  <c r="Q147" i="10"/>
  <c r="F148" i="10"/>
  <c r="G148" i="10"/>
  <c r="H148" i="10"/>
  <c r="I148" i="10"/>
  <c r="J148" i="10"/>
  <c r="K148" i="10"/>
  <c r="L148" i="10"/>
  <c r="M148" i="10"/>
  <c r="N148" i="10"/>
  <c r="O148" i="10"/>
  <c r="P148" i="10"/>
  <c r="Q148" i="10"/>
  <c r="F149" i="10"/>
  <c r="G149" i="10"/>
  <c r="H149" i="10"/>
  <c r="I149" i="10"/>
  <c r="J149" i="10"/>
  <c r="K149" i="10"/>
  <c r="L149" i="10"/>
  <c r="M149" i="10"/>
  <c r="N149" i="10"/>
  <c r="O149" i="10"/>
  <c r="P149" i="10"/>
  <c r="Q149" i="10"/>
  <c r="F150" i="10"/>
  <c r="G150" i="10"/>
  <c r="H150" i="10"/>
  <c r="I150" i="10"/>
  <c r="J150" i="10"/>
  <c r="K150" i="10"/>
  <c r="L150" i="10"/>
  <c r="M150" i="10"/>
  <c r="N150" i="10"/>
  <c r="O150" i="10"/>
  <c r="P150" i="10"/>
  <c r="Q150" i="10"/>
  <c r="F151" i="10"/>
  <c r="G151" i="10"/>
  <c r="H151" i="10"/>
  <c r="I151" i="10"/>
  <c r="J151" i="10"/>
  <c r="K151" i="10"/>
  <c r="L151" i="10"/>
  <c r="M151" i="10"/>
  <c r="N151" i="10"/>
  <c r="O151" i="10"/>
  <c r="P151" i="10"/>
  <c r="Q151" i="10"/>
  <c r="F152" i="10"/>
  <c r="G152" i="10"/>
  <c r="H152" i="10"/>
  <c r="I152" i="10"/>
  <c r="J152" i="10"/>
  <c r="K152" i="10"/>
  <c r="L152" i="10"/>
  <c r="M152" i="10"/>
  <c r="N152" i="10"/>
  <c r="O152" i="10"/>
  <c r="P152" i="10"/>
  <c r="Q152" i="10"/>
  <c r="F153" i="10"/>
  <c r="G153" i="10"/>
  <c r="H153" i="10"/>
  <c r="I153" i="10"/>
  <c r="J153" i="10"/>
  <c r="K153" i="10"/>
  <c r="L153" i="10"/>
  <c r="M153" i="10"/>
  <c r="N153" i="10"/>
  <c r="O153" i="10"/>
  <c r="P153" i="10"/>
  <c r="Q153" i="10"/>
  <c r="F154" i="10"/>
  <c r="G154" i="10"/>
  <c r="H154" i="10"/>
  <c r="I154" i="10"/>
  <c r="J154" i="10"/>
  <c r="K154" i="10"/>
  <c r="L154" i="10"/>
  <c r="M154" i="10"/>
  <c r="N154" i="10"/>
  <c r="O154" i="10"/>
  <c r="P154" i="10"/>
  <c r="Q154" i="10"/>
  <c r="G122" i="10"/>
  <c r="H122" i="10"/>
  <c r="I122" i="10"/>
  <c r="J122" i="10"/>
  <c r="K122" i="10"/>
  <c r="L122" i="10"/>
  <c r="M122" i="10"/>
  <c r="N122" i="10"/>
  <c r="O122" i="10"/>
  <c r="P122" i="10"/>
  <c r="Q122" i="10"/>
  <c r="G123" i="10"/>
  <c r="H123" i="10"/>
  <c r="I123" i="10"/>
  <c r="J123" i="10"/>
  <c r="K123" i="10"/>
  <c r="L123" i="10"/>
  <c r="M123" i="10"/>
  <c r="N123" i="10"/>
  <c r="O123" i="10"/>
  <c r="P123" i="10"/>
  <c r="Q123" i="10"/>
  <c r="G124" i="10"/>
  <c r="H124" i="10"/>
  <c r="I124" i="10"/>
  <c r="J124" i="10"/>
  <c r="K124" i="10"/>
  <c r="L124" i="10"/>
  <c r="M124" i="10"/>
  <c r="N124" i="10"/>
  <c r="O124" i="10"/>
  <c r="P124" i="10"/>
  <c r="Q124" i="10"/>
  <c r="G125" i="10"/>
  <c r="H125" i="10"/>
  <c r="I125" i="10"/>
  <c r="J125" i="10"/>
  <c r="K125" i="10"/>
  <c r="L125" i="10"/>
  <c r="M125" i="10"/>
  <c r="N125" i="10"/>
  <c r="O125" i="10"/>
  <c r="P125" i="10"/>
  <c r="Q125" i="10"/>
  <c r="G126" i="10"/>
  <c r="H126" i="10"/>
  <c r="I126" i="10"/>
  <c r="J126" i="10"/>
  <c r="K126" i="10"/>
  <c r="L126" i="10"/>
  <c r="M126" i="10"/>
  <c r="N126" i="10"/>
  <c r="O126" i="10"/>
  <c r="P126" i="10"/>
  <c r="Q126" i="10"/>
  <c r="G127" i="10"/>
  <c r="H127" i="10"/>
  <c r="I127" i="10"/>
  <c r="J127" i="10"/>
  <c r="K127" i="10"/>
  <c r="L127" i="10"/>
  <c r="M127" i="10"/>
  <c r="N127" i="10"/>
  <c r="O127" i="10"/>
  <c r="P127" i="10"/>
  <c r="Q127" i="10"/>
  <c r="G128" i="10"/>
  <c r="H128" i="10"/>
  <c r="I128" i="10"/>
  <c r="J128" i="10"/>
  <c r="K128" i="10"/>
  <c r="L128" i="10"/>
  <c r="M128" i="10"/>
  <c r="N128" i="10"/>
  <c r="O128" i="10"/>
  <c r="P128" i="10"/>
  <c r="Q128" i="10"/>
  <c r="G129" i="10"/>
  <c r="H129" i="10"/>
  <c r="I129" i="10"/>
  <c r="J129" i="10"/>
  <c r="K129" i="10"/>
  <c r="L129" i="10"/>
  <c r="M129" i="10"/>
  <c r="N129" i="10"/>
  <c r="O129" i="10"/>
  <c r="P129" i="10"/>
  <c r="Q129" i="10"/>
  <c r="G130" i="10"/>
  <c r="H130" i="10"/>
  <c r="I130" i="10"/>
  <c r="J130" i="10"/>
  <c r="K130" i="10"/>
  <c r="L130" i="10"/>
  <c r="M130" i="10"/>
  <c r="N130" i="10"/>
  <c r="O130" i="10"/>
  <c r="P130" i="10"/>
  <c r="Q130" i="10"/>
  <c r="G131" i="10"/>
  <c r="H131" i="10"/>
  <c r="I131" i="10"/>
  <c r="J131" i="10"/>
  <c r="K131" i="10"/>
  <c r="L131" i="10"/>
  <c r="M131" i="10"/>
  <c r="N131" i="10"/>
  <c r="O131" i="10"/>
  <c r="P131" i="10"/>
  <c r="Q131" i="10"/>
  <c r="G132" i="10"/>
  <c r="H132" i="10"/>
  <c r="I132" i="10"/>
  <c r="J132" i="10"/>
  <c r="K132" i="10"/>
  <c r="L132" i="10"/>
  <c r="M132" i="10"/>
  <c r="N132" i="10"/>
  <c r="O132" i="10"/>
  <c r="P132" i="10"/>
  <c r="Q132" i="10"/>
  <c r="G133" i="10"/>
  <c r="H133" i="10"/>
  <c r="I133" i="10"/>
  <c r="J133" i="10"/>
  <c r="K133" i="10"/>
  <c r="L133" i="10"/>
  <c r="M133" i="10"/>
  <c r="N133" i="10"/>
  <c r="O133" i="10"/>
  <c r="P133" i="10"/>
  <c r="Q133" i="10"/>
  <c r="G134" i="10"/>
  <c r="H134" i="10"/>
  <c r="I134" i="10"/>
  <c r="J134" i="10"/>
  <c r="K134" i="10"/>
  <c r="L134" i="10"/>
  <c r="M134" i="10"/>
  <c r="N134" i="10"/>
  <c r="O134" i="10"/>
  <c r="P134" i="10"/>
  <c r="Q134" i="10"/>
  <c r="G135" i="10"/>
  <c r="H135" i="10"/>
  <c r="I135" i="10"/>
  <c r="J135" i="10"/>
  <c r="K135" i="10"/>
  <c r="L135" i="10"/>
  <c r="M135" i="10"/>
  <c r="N135" i="10"/>
  <c r="O135" i="10"/>
  <c r="P135" i="10"/>
  <c r="Q135" i="10"/>
  <c r="G136" i="10"/>
  <c r="H136" i="10"/>
  <c r="I136" i="10"/>
  <c r="J136" i="10"/>
  <c r="K136" i="10"/>
  <c r="L136" i="10"/>
  <c r="M136" i="10"/>
  <c r="N136" i="10"/>
  <c r="O136" i="10"/>
  <c r="P136" i="10"/>
  <c r="Q136" i="10"/>
  <c r="G137" i="10"/>
  <c r="H137" i="10"/>
  <c r="I137" i="10"/>
  <c r="J137" i="10"/>
  <c r="K137" i="10"/>
  <c r="L137" i="10"/>
  <c r="M137" i="10"/>
  <c r="N137" i="10"/>
  <c r="O137" i="10"/>
  <c r="P137" i="10"/>
  <c r="Q137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22" i="10"/>
  <c r="G160" i="10"/>
  <c r="H160" i="10"/>
  <c r="I160" i="10"/>
  <c r="J160" i="10"/>
  <c r="K160" i="10"/>
  <c r="L160" i="10"/>
  <c r="M160" i="10"/>
  <c r="N160" i="10"/>
  <c r="O160" i="10"/>
  <c r="P160" i="10"/>
  <c r="Q160" i="10"/>
  <c r="F160" i="10"/>
  <c r="G121" i="10"/>
  <c r="H121" i="10"/>
  <c r="I121" i="10"/>
  <c r="J121" i="10"/>
  <c r="K121" i="10"/>
  <c r="L121" i="10"/>
  <c r="M121" i="10"/>
  <c r="N121" i="10"/>
  <c r="O121" i="10"/>
  <c r="P121" i="10"/>
  <c r="Q121" i="10"/>
  <c r="F121" i="10"/>
  <c r="O5" i="14"/>
  <c r="C36" i="14"/>
  <c r="D36" i="14"/>
  <c r="D40" i="14" s="1"/>
  <c r="E36" i="14"/>
  <c r="F36" i="14"/>
  <c r="G36" i="14"/>
  <c r="H36" i="14"/>
  <c r="I36" i="14"/>
  <c r="J36" i="14"/>
  <c r="K36" i="14"/>
  <c r="L36" i="14"/>
  <c r="M36" i="14"/>
  <c r="N36" i="14"/>
  <c r="O42" i="14"/>
  <c r="O5" i="13"/>
  <c r="C36" i="13"/>
  <c r="D36" i="13"/>
  <c r="E36" i="13"/>
  <c r="F36" i="13"/>
  <c r="G36" i="13"/>
  <c r="H36" i="13"/>
  <c r="I36" i="13"/>
  <c r="J36" i="13"/>
  <c r="K36" i="13"/>
  <c r="L36" i="13"/>
  <c r="M36" i="13"/>
  <c r="N36" i="13"/>
  <c r="O42" i="13"/>
  <c r="M20" i="1"/>
  <c r="L20" i="1"/>
  <c r="F9" i="1"/>
  <c r="F10" i="1"/>
  <c r="F11" i="1"/>
  <c r="F12" i="1"/>
  <c r="F13" i="1"/>
  <c r="F14" i="1"/>
  <c r="F15" i="1"/>
  <c r="F16" i="1"/>
  <c r="F17" i="1"/>
  <c r="F18" i="1"/>
  <c r="F1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G19" i="1"/>
  <c r="G9" i="1"/>
  <c r="G10" i="1"/>
  <c r="G11" i="1"/>
  <c r="G12" i="1"/>
  <c r="G13" i="1"/>
  <c r="G14" i="1"/>
  <c r="G15" i="1"/>
  <c r="G16" i="1"/>
  <c r="G17" i="1"/>
  <c r="G18" i="1"/>
  <c r="E7" i="6"/>
  <c r="D7" i="6"/>
  <c r="K20" i="1"/>
  <c r="J9" i="1"/>
  <c r="J20" i="1" s="1"/>
  <c r="C20" i="1"/>
  <c r="E20" i="1"/>
  <c r="B20" i="1"/>
  <c r="I57" i="1"/>
  <c r="A10" i="6"/>
  <c r="A28" i="6" s="1"/>
  <c r="E10" i="6"/>
  <c r="G10" i="6" s="1"/>
  <c r="E11" i="6"/>
  <c r="G11" i="6" s="1"/>
  <c r="E12" i="6"/>
  <c r="E13" i="6"/>
  <c r="E14" i="6"/>
  <c r="E15" i="6"/>
  <c r="E16" i="6"/>
  <c r="E17" i="6"/>
  <c r="E18" i="6"/>
  <c r="E19" i="6"/>
  <c r="E20" i="6"/>
  <c r="E21" i="6"/>
  <c r="D10" i="6"/>
  <c r="D11" i="6"/>
  <c r="D12" i="6"/>
  <c r="D13" i="6"/>
  <c r="D14" i="6"/>
  <c r="D15" i="6"/>
  <c r="D16" i="6"/>
  <c r="D17" i="6"/>
  <c r="D18" i="6"/>
  <c r="D19" i="6"/>
  <c r="D20" i="6"/>
  <c r="D21" i="6"/>
  <c r="C10" i="6"/>
  <c r="C11" i="6"/>
  <c r="C12" i="6"/>
  <c r="G12" i="6" s="1"/>
  <c r="C13" i="6"/>
  <c r="G13" i="6" s="1"/>
  <c r="C14" i="6"/>
  <c r="G14" i="6" s="1"/>
  <c r="C15" i="6"/>
  <c r="G15" i="6" s="1"/>
  <c r="C16" i="6"/>
  <c r="G16" i="6" s="1"/>
  <c r="C17" i="6"/>
  <c r="G17" i="6" s="1"/>
  <c r="C18" i="6"/>
  <c r="C19" i="6"/>
  <c r="G19" i="6" s="1"/>
  <c r="C20" i="6"/>
  <c r="C21" i="6"/>
  <c r="G21" i="6" s="1"/>
  <c r="B10" i="6"/>
  <c r="F10" i="6" s="1"/>
  <c r="B11" i="6"/>
  <c r="F11" i="6" s="1"/>
  <c r="B12" i="6"/>
  <c r="F12" i="6" s="1"/>
  <c r="B13" i="6"/>
  <c r="B14" i="6"/>
  <c r="B15" i="6"/>
  <c r="F15" i="6" s="1"/>
  <c r="B16" i="6"/>
  <c r="B17" i="6"/>
  <c r="F17" i="6" s="1"/>
  <c r="B18" i="6"/>
  <c r="F18" i="6" s="1"/>
  <c r="B19" i="6"/>
  <c r="F19" i="6" s="1"/>
  <c r="B20" i="6"/>
  <c r="F20" i="6" s="1"/>
  <c r="B21" i="6"/>
  <c r="F21" i="6" s="1"/>
  <c r="G9" i="6"/>
  <c r="F9" i="6"/>
  <c r="E9" i="6"/>
  <c r="D9" i="6"/>
  <c r="C9" i="6"/>
  <c r="B9" i="6"/>
  <c r="G8" i="6"/>
  <c r="F8" i="6"/>
  <c r="E8" i="6"/>
  <c r="D8" i="6"/>
  <c r="C8" i="6"/>
  <c r="B8" i="6"/>
  <c r="G18" i="6" l="1"/>
  <c r="G20" i="6"/>
  <c r="F16" i="6"/>
  <c r="F14" i="6"/>
  <c r="F13" i="6"/>
  <c r="G23" i="1"/>
  <c r="F22" i="6"/>
  <c r="F22" i="1"/>
  <c r="E22" i="6"/>
  <c r="D44" i="14"/>
  <c r="O36" i="14"/>
  <c r="G20" i="1"/>
  <c r="M44" i="14"/>
  <c r="M40" i="14"/>
  <c r="K44" i="14"/>
  <c r="K40" i="14"/>
  <c r="I44" i="14"/>
  <c r="I40" i="14"/>
  <c r="G44" i="14"/>
  <c r="G40" i="14"/>
  <c r="E44" i="14"/>
  <c r="E40" i="14"/>
  <c r="C44" i="14"/>
  <c r="C40" i="14"/>
  <c r="N44" i="14"/>
  <c r="N40" i="14"/>
  <c r="L44" i="14"/>
  <c r="L40" i="14"/>
  <c r="J44" i="14"/>
  <c r="J40" i="14"/>
  <c r="H44" i="14"/>
  <c r="H40" i="14"/>
  <c r="F44" i="14"/>
  <c r="F40" i="14"/>
  <c r="M44" i="13"/>
  <c r="M40" i="13"/>
  <c r="K44" i="13"/>
  <c r="K40" i="13"/>
  <c r="I44" i="13"/>
  <c r="I40" i="13"/>
  <c r="G44" i="13"/>
  <c r="G40" i="13"/>
  <c r="E44" i="13"/>
  <c r="E40" i="13"/>
  <c r="C44" i="13"/>
  <c r="C40" i="13"/>
  <c r="N44" i="13"/>
  <c r="N40" i="13"/>
  <c r="L44" i="13"/>
  <c r="L40" i="13"/>
  <c r="J44" i="13"/>
  <c r="J40" i="13"/>
  <c r="H44" i="13"/>
  <c r="H40" i="13"/>
  <c r="F44" i="13"/>
  <c r="F40" i="13"/>
  <c r="D44" i="13"/>
  <c r="D40" i="13"/>
  <c r="C22" i="6"/>
  <c r="B22" i="6"/>
  <c r="F20" i="1"/>
  <c r="D22" i="6"/>
  <c r="A11" i="6"/>
  <c r="O36" i="13"/>
  <c r="A12" i="6" l="1"/>
  <c r="A29" i="6"/>
  <c r="O44" i="14"/>
  <c r="O44" i="13"/>
  <c r="G22" i="6"/>
  <c r="O40" i="14"/>
  <c r="O40" i="13"/>
  <c r="A13" i="6" l="1"/>
  <c r="A30" i="6"/>
  <c r="G28" i="6"/>
  <c r="G38" i="6"/>
  <c r="G34" i="6"/>
  <c r="G30" i="6" l="1"/>
  <c r="G32" i="6"/>
  <c r="A14" i="6"/>
  <c r="A31" i="6"/>
  <c r="G36" i="6"/>
  <c r="G31" i="6"/>
  <c r="G39" i="6"/>
  <c r="G33" i="6"/>
  <c r="G29" i="6"/>
  <c r="G35" i="6"/>
  <c r="G37" i="6"/>
  <c r="A15" i="6" l="1"/>
  <c r="A32" i="6"/>
  <c r="B40" i="6"/>
  <c r="G40" i="6"/>
  <c r="I28" i="6" s="1"/>
  <c r="A16" i="6" l="1"/>
  <c r="A33" i="6"/>
  <c r="E24" i="18"/>
  <c r="I30" i="6"/>
  <c r="I36" i="6"/>
  <c r="I32" i="6"/>
  <c r="I34" i="6"/>
  <c r="I38" i="6"/>
  <c r="I39" i="6"/>
  <c r="I31" i="6"/>
  <c r="I33" i="6"/>
  <c r="I29" i="6"/>
  <c r="I35" i="6"/>
  <c r="I37" i="6"/>
  <c r="A17" i="6" l="1"/>
  <c r="A34" i="6"/>
  <c r="I40" i="6"/>
  <c r="A18" i="6" l="1"/>
  <c r="A35" i="6"/>
  <c r="A19" i="6" l="1"/>
  <c r="A36" i="6"/>
  <c r="A20" i="6" l="1"/>
  <c r="A37" i="6"/>
  <c r="A21" i="6" l="1"/>
  <c r="A39" i="6" s="1"/>
  <c r="A38" i="6"/>
  <c r="E37" i="18" l="1"/>
  <c r="E32" i="18"/>
  <c r="E29" i="18"/>
  <c r="E13" i="18" l="1"/>
  <c r="E15" i="18" l="1"/>
  <c r="E40" i="18"/>
  <c r="E30" i="18"/>
  <c r="E41" i="18" l="1"/>
  <c r="E43" i="18" s="1"/>
</calcChain>
</file>

<file path=xl/sharedStrings.xml><?xml version="1.0" encoding="utf-8"?>
<sst xmlns="http://schemas.openxmlformats.org/spreadsheetml/2006/main" count="797" uniqueCount="429">
  <si>
    <t xml:space="preserve">ELECTRIC WEATHER NORMALIZATION </t>
  </si>
  <si>
    <t>1961-1990</t>
  </si>
  <si>
    <t>NORMAL</t>
  </si>
  <si>
    <t>ACTUAL</t>
  </si>
  <si>
    <t>DDH</t>
  </si>
  <si>
    <t xml:space="preserve">CALENDAR    </t>
  </si>
  <si>
    <t>WEATHER CORRECTION</t>
  </si>
  <si>
    <t>AVISTA UTILITIES</t>
  </si>
  <si>
    <t>MONTHLY DDH &amp; DDC</t>
  </si>
  <si>
    <t>DDC</t>
  </si>
  <si>
    <t>ADJUSTMENT</t>
  </si>
  <si>
    <t>Rate Group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</si>
  <si>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</si>
  <si>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</si>
  <si>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</si>
  <si>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</si>
  <si>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</si>
  <si>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</si>
  <si>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</si>
  <si>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</si>
  <si>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</si>
  <si>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</si>
  <si>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</si>
  <si>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</si>
  <si>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</si>
  <si>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Unbilled DDH</t>
  </si>
  <si>
    <t>Unbilled DDC</t>
  </si>
  <si>
    <t>WA Res Sched 1</t>
  </si>
  <si>
    <t xml:space="preserve">     No of Cust</t>
  </si>
  <si>
    <t xml:space="preserve">     Usage/DDH</t>
  </si>
  <si>
    <t xml:space="preserve">     Usage/DDC</t>
  </si>
  <si>
    <t>WA Res Sched 11</t>
  </si>
  <si>
    <t>WA Com Sched 11</t>
  </si>
  <si>
    <t>WA Ind Sched 11</t>
  </si>
  <si>
    <t>WA Res Sched 21</t>
  </si>
  <si>
    <t>ID Res Sched 11</t>
  </si>
  <si>
    <t>ID Com Sched 11</t>
  </si>
  <si>
    <t>ID Ind Sched 11</t>
  </si>
  <si>
    <t>ID Res Sched 21</t>
  </si>
  <si>
    <t>ID Res Sched 1</t>
  </si>
  <si>
    <t>Total Electric Adjustment</t>
  </si>
  <si>
    <t>NORM - ACT</t>
  </si>
  <si>
    <t xml:space="preserve">TOTAL 12 MO ENDED </t>
  </si>
  <si>
    <t>BY MONTH</t>
  </si>
  <si>
    <t>WA subtotal</t>
  </si>
  <si>
    <t>ID subtotal</t>
  </si>
  <si>
    <t xml:space="preserve">KWH </t>
  </si>
  <si>
    <t>The monthly adjustment reflects a weather sensitivity calculation which includes the effect of both Heating and Cooling load.</t>
  </si>
  <si>
    <t>Summarize by Schedule</t>
  </si>
  <si>
    <t>WA Sch 1</t>
  </si>
  <si>
    <t>WA Sch 11</t>
  </si>
  <si>
    <t>WA Sch 21</t>
  </si>
  <si>
    <t>ID Sch 1</t>
  </si>
  <si>
    <t>ID Sch 11</t>
  </si>
  <si>
    <t>ID Sch 21</t>
  </si>
  <si>
    <t>Adj</t>
  </si>
  <si>
    <t>Dependent</t>
  </si>
  <si>
    <t>Usage/Cust</t>
  </si>
  <si>
    <t>Variable</t>
  </si>
  <si>
    <t>Base Load</t>
  </si>
  <si>
    <t>WR101</t>
  </si>
  <si>
    <t>WC101</t>
  </si>
  <si>
    <t>WI101</t>
  </si>
  <si>
    <t>WT101</t>
  </si>
  <si>
    <t>WR111</t>
  </si>
  <si>
    <t>WC111</t>
  </si>
  <si>
    <t>WI111</t>
  </si>
  <si>
    <t>WC121</t>
  </si>
  <si>
    <t>IR101</t>
  </si>
  <si>
    <t>IC101</t>
  </si>
  <si>
    <t>II101</t>
  </si>
  <si>
    <t>IT101</t>
  </si>
  <si>
    <t>IR111</t>
  </si>
  <si>
    <t>IC111</t>
  </si>
  <si>
    <t>II111</t>
  </si>
  <si>
    <t>Dependent Variable Name Code</t>
  </si>
  <si>
    <t>1st letter</t>
  </si>
  <si>
    <t>2nd letter</t>
  </si>
  <si>
    <t>Numerical reference</t>
  </si>
  <si>
    <t>W = Washington Jurisdiction</t>
  </si>
  <si>
    <t>R = Residential Class</t>
  </si>
  <si>
    <t>Rate Schedule</t>
  </si>
  <si>
    <t xml:space="preserve"> I  = Idaho Jurisdiction</t>
  </si>
  <si>
    <t>C = Commercial Class</t>
  </si>
  <si>
    <t xml:space="preserve"> I  = Industrial Class</t>
  </si>
  <si>
    <t>Heating</t>
  </si>
  <si>
    <t>Cooling</t>
  </si>
  <si>
    <t xml:space="preserve">Washington Electric </t>
  </si>
  <si>
    <t>WR1</t>
  </si>
  <si>
    <t>WR11</t>
  </si>
  <si>
    <t>WC11</t>
  </si>
  <si>
    <t>WI11</t>
  </si>
  <si>
    <t>WT11</t>
  </si>
  <si>
    <t>WR21</t>
  </si>
  <si>
    <t xml:space="preserve">Idaho Electric </t>
  </si>
  <si>
    <t>IR1</t>
  </si>
  <si>
    <t>IR11</t>
  </si>
  <si>
    <t>IC11</t>
  </si>
  <si>
    <t>II11</t>
  </si>
  <si>
    <t>IT11</t>
  </si>
  <si>
    <t>IR21</t>
  </si>
  <si>
    <t>No Autocorrelation</t>
  </si>
  <si>
    <t>Period</t>
  </si>
  <si>
    <t>Service</t>
  </si>
  <si>
    <t>State Cde</t>
  </si>
  <si>
    <t>Rate Schedule Num</t>
  </si>
  <si>
    <t>Revenue Class</t>
  </si>
  <si>
    <t>Electric</t>
  </si>
  <si>
    <t>ID</t>
  </si>
  <si>
    <t>01</t>
  </si>
  <si>
    <t>21</t>
  </si>
  <si>
    <t>80</t>
  </si>
  <si>
    <t>31</t>
  </si>
  <si>
    <t>025P</t>
  </si>
  <si>
    <t>39</t>
  </si>
  <si>
    <t>WA</t>
  </si>
  <si>
    <t>WC21</t>
  </si>
  <si>
    <t>WI21</t>
  </si>
  <si>
    <t>WT21</t>
  </si>
  <si>
    <t>WC25</t>
  </si>
  <si>
    <t>WI25</t>
  </si>
  <si>
    <t>WT25</t>
  </si>
  <si>
    <t>WI31</t>
  </si>
  <si>
    <t>WC31</t>
  </si>
  <si>
    <t>WR31</t>
  </si>
  <si>
    <t>WT31</t>
  </si>
  <si>
    <t>IC21</t>
  </si>
  <si>
    <t>II21</t>
  </si>
  <si>
    <t>IT21</t>
  </si>
  <si>
    <t>IC25</t>
  </si>
  <si>
    <t>II25</t>
  </si>
  <si>
    <t>IT25</t>
  </si>
  <si>
    <t>IC31</t>
  </si>
  <si>
    <t>II31</t>
  </si>
  <si>
    <t>IR31</t>
  </si>
  <si>
    <t>IT31</t>
  </si>
  <si>
    <t>WA Residential Sch 1</t>
  </si>
  <si>
    <t>WA Residential Sch 11</t>
  </si>
  <si>
    <t>WA Commercial Sch 11</t>
  </si>
  <si>
    <t>WA Industrial Sch 11</t>
  </si>
  <si>
    <t>WA Total Sch 11</t>
  </si>
  <si>
    <t>WA Residential Sch 21</t>
  </si>
  <si>
    <t>WA Commercial Sch 21</t>
  </si>
  <si>
    <t>WA Industrial Sch 21</t>
  </si>
  <si>
    <t>WA Total Sch 21</t>
  </si>
  <si>
    <t>WA Commercial Sch 25</t>
  </si>
  <si>
    <t>WA Industrial Sch 25</t>
  </si>
  <si>
    <t>WA Total Sch 25</t>
  </si>
  <si>
    <t>WA Residential Sch 31</t>
  </si>
  <si>
    <t>WA Commercial Sch 31</t>
  </si>
  <si>
    <t>WA Industrial Sch 31</t>
  </si>
  <si>
    <t>WA Total Sch 31</t>
  </si>
  <si>
    <t>ID Residential Sch 1</t>
  </si>
  <si>
    <t>ID Residential Sch 11</t>
  </si>
  <si>
    <t>ID Commercial Sch 11</t>
  </si>
  <si>
    <t>ID Industrial Sch 11</t>
  </si>
  <si>
    <t>ID Total Sch 11</t>
  </si>
  <si>
    <t>ID Residential Sch 21</t>
  </si>
  <si>
    <t>ID Commercial Sch 21</t>
  </si>
  <si>
    <t>ID Industrial Sch 21</t>
  </si>
  <si>
    <t>ID Total Sch 21</t>
  </si>
  <si>
    <t>ID Commercial Sch 25</t>
  </si>
  <si>
    <t>ID Industrial Sch 25</t>
  </si>
  <si>
    <t>ID Total Sch 25</t>
  </si>
  <si>
    <t>ID Residential Sch 31</t>
  </si>
  <si>
    <t>ID Commercial Sch 31</t>
  </si>
  <si>
    <t>ID Industrial Sch 31</t>
  </si>
  <si>
    <t>ID Total Sch 31</t>
  </si>
  <si>
    <t>Summarize No of Customers by Code</t>
  </si>
  <si>
    <t>Shoulder Mo.</t>
  </si>
  <si>
    <t>Winter Mo</t>
  </si>
  <si>
    <t>Durbin Watson</t>
  </si>
  <si>
    <t>test results</t>
  </si>
  <si>
    <t>Shoulder Mo</t>
  </si>
  <si>
    <t>Gas</t>
  </si>
  <si>
    <t>IT111</t>
  </si>
  <si>
    <t>IC121</t>
  </si>
  <si>
    <t>II121</t>
  </si>
  <si>
    <t>91</t>
  </si>
  <si>
    <t>IT121</t>
  </si>
  <si>
    <t>IT131</t>
  </si>
  <si>
    <t>22</t>
  </si>
  <si>
    <t>92</t>
  </si>
  <si>
    <t>WT111</t>
  </si>
  <si>
    <t>WI121</t>
  </si>
  <si>
    <t>WT121</t>
  </si>
  <si>
    <t>WT131</t>
  </si>
  <si>
    <t>93</t>
  </si>
  <si>
    <t>WA Residential Sch 101</t>
  </si>
  <si>
    <t>WA Commercial Sch 101</t>
  </si>
  <si>
    <t>WA Industrial Sch 101</t>
  </si>
  <si>
    <t>WA Total Sch 101</t>
  </si>
  <si>
    <t>WA Residential Sch 111</t>
  </si>
  <si>
    <t>WA Commercial Sch 111</t>
  </si>
  <si>
    <t>WA Industrial Sch 111</t>
  </si>
  <si>
    <t>WA Total Sch 111</t>
  </si>
  <si>
    <t>WA Residential 121</t>
  </si>
  <si>
    <t>WR121</t>
  </si>
  <si>
    <t>WA Commercial Sch 121</t>
  </si>
  <si>
    <t>WA Industrial Sch 121</t>
  </si>
  <si>
    <t>WA Total Sch 121</t>
  </si>
  <si>
    <t>WA Total Sch 131</t>
  </si>
  <si>
    <t>ID Residential Sch 101</t>
  </si>
  <si>
    <t>ID Commercial Sch 101</t>
  </si>
  <si>
    <t>ID Industrial Sch 101</t>
  </si>
  <si>
    <t>ID Total Sch 101</t>
  </si>
  <si>
    <t>ID ResidentIial Sch 111</t>
  </si>
  <si>
    <t>ID Commercial Sch 111</t>
  </si>
  <si>
    <t>ID Industrial Sch 111</t>
  </si>
  <si>
    <t>ID Total Sch 111</t>
  </si>
  <si>
    <t>ID Commercial Sch 121</t>
  </si>
  <si>
    <t>ID Industrial Sch 121</t>
  </si>
  <si>
    <t>ID Total Sch 121</t>
  </si>
  <si>
    <t>ID Total Sch 131</t>
  </si>
  <si>
    <t>Apr, May, Jun, Oct, Nov</t>
  </si>
  <si>
    <t>Dec, Jan, Feb, Mar</t>
  </si>
  <si>
    <t>Jun, Jul, Aug, Sep</t>
  </si>
  <si>
    <t>Apr, May, Oct, Nov</t>
  </si>
  <si>
    <t>Summer Mo</t>
  </si>
  <si>
    <t>Weather Normalization</t>
  </si>
  <si>
    <t>Degree Day Comparison</t>
  </si>
  <si>
    <t>1971 - 2000</t>
  </si>
  <si>
    <t>Spokane AP Weather Station</t>
  </si>
  <si>
    <t>Season</t>
  </si>
  <si>
    <t>2006 - 2007</t>
  </si>
  <si>
    <t>2005 - 2006</t>
  </si>
  <si>
    <t>2004 - 2005</t>
  </si>
  <si>
    <t>2003 - 2004</t>
  </si>
  <si>
    <t>2002 - 2003</t>
  </si>
  <si>
    <t>2001 - 2002</t>
  </si>
  <si>
    <t>2000 - 2001</t>
  </si>
  <si>
    <t>1999 - 2000</t>
  </si>
  <si>
    <t>1998 - 1999</t>
  </si>
  <si>
    <t>1997 - 1998</t>
  </si>
  <si>
    <t>1996 - 1997</t>
  </si>
  <si>
    <t>1995 - 1996</t>
  </si>
  <si>
    <t>1994 - 1995</t>
  </si>
  <si>
    <t>1993 - 1994</t>
  </si>
  <si>
    <t>1992 - 1993</t>
  </si>
  <si>
    <t>1991 - 1992</t>
  </si>
  <si>
    <t>1990 - 1991</t>
  </si>
  <si>
    <t>1989 - 1990</t>
  </si>
  <si>
    <t>NOAA 1971 - 2000 Normal</t>
  </si>
  <si>
    <t>Normal DDH</t>
  </si>
  <si>
    <t>Actual DDH</t>
  </si>
  <si>
    <t>2007 - 2008</t>
  </si>
  <si>
    <t>Normal DDC</t>
  </si>
  <si>
    <t>Actual DDC</t>
  </si>
  <si>
    <t>Heating Degree Day History</t>
  </si>
  <si>
    <t xml:space="preserve"> 30 Year vs NOAA Change</t>
  </si>
  <si>
    <t>30 YEAR AVG</t>
  </si>
  <si>
    <t>2008 - 2009</t>
  </si>
  <si>
    <t>Meters</t>
  </si>
  <si>
    <t>Total for 025P</t>
  </si>
  <si>
    <t>Corrected with AR(1)</t>
  </si>
  <si>
    <t>Corrected with AR(1),(2)</t>
  </si>
  <si>
    <t>Weighted Block Rate Calculation</t>
  </si>
  <si>
    <t>Baseload Usage</t>
  </si>
  <si>
    <t>Percentage</t>
  </si>
  <si>
    <t>WS Usage</t>
  </si>
  <si>
    <t>Block 1</t>
  </si>
  <si>
    <t>Block 2</t>
  </si>
  <si>
    <t>Block 3</t>
  </si>
  <si>
    <t>WS weighted block Base Rates (Excluding Adder Schedules ERM, BPA ResX, and PP Rider)</t>
  </si>
  <si>
    <t>Revenue Adjustment</t>
  </si>
  <si>
    <t xml:space="preserve">     Total WA</t>
  </si>
  <si>
    <t xml:space="preserve">     Total ID</t>
  </si>
  <si>
    <t>WA Schedule 1</t>
  </si>
  <si>
    <t>WA Schedule 11</t>
  </si>
  <si>
    <t>WA Schedule 21</t>
  </si>
  <si>
    <t>ID Schedule 1</t>
  </si>
  <si>
    <t>ID Schedule 11</t>
  </si>
  <si>
    <t>ID Schedule 21</t>
  </si>
  <si>
    <t>WS weighted block Base Rates (Excluding Adder Schedules PCA, BPA ResX, SIT, and PP Rider)</t>
  </si>
  <si>
    <r>
      <t>R</t>
    </r>
    <r>
      <rPr>
        <b/>
        <vertAlign val="superscript"/>
        <sz val="10"/>
        <rFont val="Times New Roman"/>
        <family val="1"/>
      </rPr>
      <t>2</t>
    </r>
  </si>
  <si>
    <t>2010 - 2011</t>
  </si>
  <si>
    <t>NOAA 1981 - 2010 Normal</t>
  </si>
  <si>
    <t>1981-2010</t>
  </si>
  <si>
    <t>WA ERM RRC</t>
  </si>
  <si>
    <t>ID PCA LCAR</t>
  </si>
  <si>
    <t>Total Expense</t>
  </si>
  <si>
    <t>Total Revenue</t>
  </si>
  <si>
    <t>2011 - 2012</t>
  </si>
  <si>
    <t>2009 - 2010</t>
  </si>
  <si>
    <t>Cooling Degree Day History</t>
  </si>
  <si>
    <t>Estimated Margin</t>
  </si>
  <si>
    <t>2012 - 2013</t>
  </si>
  <si>
    <t>BILLED</t>
  </si>
  <si>
    <t>UNBILLED</t>
  </si>
  <si>
    <t>BOOKED</t>
  </si>
  <si>
    <t xml:space="preserve">WEATHER </t>
  </si>
  <si>
    <t>USAGE</t>
  </si>
  <si>
    <t>ADJUSTED</t>
  </si>
  <si>
    <t>KWH</t>
  </si>
  <si>
    <t>Unbilled Add</t>
  </si>
  <si>
    <t>Unbilled Ded</t>
  </si>
  <si>
    <t>WA Com Sched 21</t>
  </si>
  <si>
    <t>ID Com Sched 21</t>
  </si>
  <si>
    <t>ID Ind Sched 21</t>
  </si>
  <si>
    <t>2013 - 2014</t>
  </si>
  <si>
    <t>Booked</t>
  </si>
  <si>
    <t>% of Annual</t>
  </si>
  <si>
    <t>Load</t>
  </si>
  <si>
    <t>Weather Adj</t>
  </si>
  <si>
    <t>Avista Utilities</t>
  </si>
  <si>
    <t>Washington Electric</t>
  </si>
  <si>
    <t>Line No.</t>
  </si>
  <si>
    <t>DESCRIPTION</t>
  </si>
  <si>
    <t>Conversion Factor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</si>
  <si>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</si>
  <si>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</si>
  <si>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</si>
  <si>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</si>
  <si>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</si>
  <si>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</si>
  <si>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</si>
  <si>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</si>
  <si>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</si>
  <si>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</si>
  <si>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</si>
  <si>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</si>
  <si>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</si>
  <si>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</si>
  <si>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</si>
  <si>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</si>
  <si>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</si>
  <si>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</si>
  <si>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</si>
  <si>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</si>
  <si>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</si>
  <si>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</si>
  <si>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</si>
  <si>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</si>
  <si>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</si>
  <si>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>Weather Normalization Adjustment</t>
  </si>
  <si>
    <t>Electric Weather Normalization</t>
  </si>
  <si>
    <t>$000's</t>
  </si>
  <si>
    <t>ERM RRC</t>
  </si>
  <si>
    <t>ERM RRC rate</t>
  </si>
  <si>
    <t>PCA LCAR</t>
  </si>
  <si>
    <t>Decoupling Revenue Offset</t>
  </si>
  <si>
    <t>Revenue not captured in Decoupling</t>
  </si>
  <si>
    <t>2014 - 2015</t>
  </si>
  <si>
    <t>0002</t>
  </si>
  <si>
    <t>Total for 0002</t>
  </si>
  <si>
    <t>0102</t>
  </si>
  <si>
    <t>Total for 0102</t>
  </si>
  <si>
    <t>2015 - 2016</t>
  </si>
  <si>
    <t>1987 - 2016 30-Year Average</t>
  </si>
  <si>
    <t>Decoupling RRA rate</t>
  </si>
  <si>
    <t>Fixed Cost Adjustment RRA rate</t>
  </si>
  <si>
    <t>For Analysis Purposes Only</t>
  </si>
  <si>
    <t>0101</t>
  </si>
  <si>
    <t>0111</t>
  </si>
  <si>
    <t>0121</t>
  </si>
  <si>
    <t>0122</t>
  </si>
  <si>
    <t>0132</t>
  </si>
  <si>
    <t>0146</t>
  </si>
  <si>
    <t>0147</t>
  </si>
  <si>
    <t>0148</t>
  </si>
  <si>
    <t>Total for 0101</t>
  </si>
  <si>
    <t>Total for 0111</t>
  </si>
  <si>
    <t>Total for 0121</t>
  </si>
  <si>
    <t>Total for 0122</t>
  </si>
  <si>
    <t>Total for 0132</t>
  </si>
  <si>
    <t>Total for 0146</t>
  </si>
  <si>
    <t>Total for 0147</t>
  </si>
  <si>
    <t>Total for 0148</t>
  </si>
  <si>
    <t>0112</t>
  </si>
  <si>
    <t>Total for 0112</t>
  </si>
  <si>
    <t>0159</t>
  </si>
  <si>
    <t>Total for 0159</t>
  </si>
  <si>
    <t>0001</t>
  </si>
  <si>
    <t>Total for 0001</t>
  </si>
  <si>
    <t>0011</t>
  </si>
  <si>
    <t>Total for 0011</t>
  </si>
  <si>
    <t>0012</t>
  </si>
  <si>
    <t>Total for 0012</t>
  </si>
  <si>
    <t>0021</t>
  </si>
  <si>
    <t>Total for 0021</t>
  </si>
  <si>
    <t>0022</t>
  </si>
  <si>
    <t>Total for 0022</t>
  </si>
  <si>
    <t>0025</t>
  </si>
  <si>
    <t>Total for 0025</t>
  </si>
  <si>
    <t>0031</t>
  </si>
  <si>
    <t>Total for 0031</t>
  </si>
  <si>
    <t>0032</t>
  </si>
  <si>
    <t>Total for 0032</t>
  </si>
  <si>
    <t>0030</t>
  </si>
  <si>
    <t>Total for 0030</t>
  </si>
  <si>
    <t>Decoupling Mechanism revenue conversion factor</t>
  </si>
  <si>
    <t>FCA Revenue Offset</t>
  </si>
  <si>
    <t>Revenue not captured in FCA</t>
  </si>
  <si>
    <t>Decoupling Adjustment</t>
  </si>
  <si>
    <t>Revenue Related Expenses</t>
  </si>
  <si>
    <t>FCA Adjustment</t>
  </si>
  <si>
    <t>Fixed Cost Adjustment Mechanism revenue conversion factor</t>
  </si>
  <si>
    <t>WA Ind Sched 21</t>
  </si>
  <si>
    <t>2016 - 2017</t>
  </si>
  <si>
    <t>1988 - 2017</t>
  </si>
  <si>
    <t>Unbilled</t>
  </si>
  <si>
    <t>Percent</t>
  </si>
  <si>
    <t>of Billed</t>
  </si>
  <si>
    <t>2017 - 2018</t>
  </si>
  <si>
    <t>1989 - 2018</t>
  </si>
  <si>
    <t>17 GRC Block Usage, Bills &amp; Baseload</t>
  </si>
  <si>
    <t>SYSTEM 12.2018</t>
  </si>
  <si>
    <t>201901</t>
  </si>
  <si>
    <t>201902</t>
  </si>
  <si>
    <t>201903</t>
  </si>
  <si>
    <t>201904</t>
  </si>
  <si>
    <t>201905</t>
  </si>
  <si>
    <t>Revenue Meters Report by Location  Twelve Months Ended  for Report Date : '12/31/2019'</t>
  </si>
  <si>
    <t>Twelve Months Ended December 31, 2019</t>
  </si>
  <si>
    <t>201907</t>
  </si>
  <si>
    <t>201908</t>
  </si>
  <si>
    <t>201909</t>
  </si>
  <si>
    <t>201910</t>
  </si>
  <si>
    <t>201911</t>
  </si>
  <si>
    <t>201912</t>
  </si>
  <si>
    <t>Heating Season Totals</t>
  </si>
  <si>
    <t>Summer Season Totals</t>
  </si>
  <si>
    <t>2018 - 2019</t>
  </si>
  <si>
    <t>1990 - 2019 30-Year Average</t>
  </si>
  <si>
    <t>1990- 2019</t>
  </si>
  <si>
    <t>1990 - 2019</t>
  </si>
  <si>
    <t>Weather Sensitivity Regression Summary for January 2009 through December 2018</t>
  </si>
  <si>
    <t>2018 Low</t>
  </si>
  <si>
    <t xml:space="preserve"> FOR THE TWELVE MONTHS ENDED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</si>
</sst>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4" formatCode="_(&quot;$&quot;* #,##0.00_);_(&quot;$&quot;* \(#,##0.00\);_(&quot;$&quot;* &quot;-&quot;??_);_(@_)"/>
    <numFmt numFmtId="164" formatCode="0.0"/>
    <numFmt numFmtId="165" formatCode="0.000"/>
    <numFmt numFmtId="166" formatCode="0.00000"/>
    <numFmt numFmtId="167" formatCode="0.0000"/>
    <numFmt numFmtId="168" formatCode="#,##0.000"/>
    <numFmt numFmtId="169" formatCode="mmm\ \-\ yy"/>
    <numFmt numFmtId="170" formatCode="_(* #,##0_);_(* \(#,##0\);_(* &quot;-&quot;??_);_(@_)"/>
    <numFmt numFmtId="171" formatCode="#,##0.00000"/>
    <numFmt numFmtId="172" formatCode="0.0%"/>
    <numFmt numFmtId="173" formatCode="_(&quot;$&quot;* #,##0_);_(&quot;$&quot;* \(#,##0\);_(&quot;$&quot;* &quot;-&quot;??_);_(@_)"/>
    <numFmt numFmtId="174" formatCode="_(* #,##0.000000_);_(* \(#,##0.000000\);_(* &quot;-&quot;??_);_(@_)"/>
    <numFmt numFmtId="175" formatCode="0.000%"/>
    <numFmt numFmtId="176" formatCode="#,##0.000000"/>
    <numFmt numFmtId="177" formatCode="0.000\¢"/>
  </numFmts>
  <fonts count="37">
    <font>
      <sz val="9"/>
      <name val="Courier"/>
    </font>
    <font>
      <sz val="10"/>
      <name val="Arial"/>
      <family val="2"/>
    </font>
    <font>
      <sz val="10"/>
      <name val="Geneva"/>
    </font>
    <font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sz val="10"/>
      <color indexed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sz val="8"/>
      <name val="Courier"/>
      <family val="3"/>
    </font>
    <font>
      <sz val="10"/>
      <name val="Courier"/>
      <family val="3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"/>
      <color indexed="8"/>
      <name val="Arial"/>
      <family val="2"/>
    </font>
    <font>
      <sz val="10"/>
      <color indexed="8"/>
      <name val="Times New Roman"/>
      <family val="1"/>
    </font>
    <font>
      <sz val="10"/>
      <name val="Courier"/>
      <family val="3"/>
    </font>
    <font>
      <sz val="9"/>
      <name val="Courier"/>
      <family val="3"/>
    </font>
    <font>
      <sz val="10"/>
      <name val="Calibri"/>
      <family val="2"/>
    </font>
    <font>
      <sz val="10"/>
      <color rgb="FF0000CC"/>
      <name val="Times New Roman"/>
      <family val="1"/>
    </font>
    <font>
      <sz val="10"/>
      <color rgb="FFFF0000"/>
      <name val="Times New Roman"/>
      <family val="1"/>
    </font>
    <font>
      <b/>
      <vertAlign val="superscript"/>
      <sz val="10"/>
      <name val="Times New Roman"/>
      <family val="1"/>
    </font>
    <font>
      <sz val="10"/>
      <name val="Calibri"/>
      <family val="2"/>
      <scheme val="minor"/>
    </font>
    <font>
      <sz val="10"/>
      <color rgb="FF0000FF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name val="Geneva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9"/>
      <color rgb="FFFF0000"/>
      <name val="Courier"/>
      <family val="3"/>
    </font>
    <font>
      <sz val="8"/>
      <color rgb="FF454545"/>
      <name val="Arial"/>
      <family val="2"/>
    </font>
    <font>
      <b/>
      <sz val="8"/>
      <color rgb="FF222222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b/>
      <sz val="8"/>
      <color rgb="FF44444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9E4FF"/>
      </patternFill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E1E6EC"/>
      </left>
      <right style="medium">
        <color rgb="FFE1E6EC"/>
      </right>
      <top/>
      <bottom style="medium">
        <color rgb="FFE1E6EC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</borders>
  <cellStyleXfs count="13">
    <xf numFmtId="0" fontId="0" fillId="0" borderId="0"/>
    <xf numFmtId="4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0" fontId="12" fillId="0" borderId="0"/>
    <xf numFmtId="0" fontId="8" fillId="0" borderId="0"/>
    <xf numFmtId="0" fontId="2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19" fillId="0" borderId="0"/>
    <xf numFmtId="0" fontId="28" fillId="0" borderId="0"/>
    <xf numFmtId="0" fontId="29" fillId="0" borderId="0"/>
  </cellStyleXfs>
  <cellXfs count="249">
    <xf numFmtId="0" fontId="0" fillId="0" borderId="0" xfId="0"/>
    <xf numFmtId="164" fontId="3" fillId="0" borderId="0" xfId="0" applyNumberFormat="1" applyFont="1" applyAlignment="1" applyProtection="1">
      <alignment horizontal="centerContinuous"/>
      <protection locked="0"/>
    </xf>
    <xf numFmtId="164" fontId="3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Protection="1">
      <protection locked="0"/>
    </xf>
    <xf numFmtId="3" fontId="3" fillId="0" borderId="1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169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169" fontId="3" fillId="0" borderId="0" xfId="0" applyNumberFormat="1" applyFont="1" applyProtection="1">
      <protection locked="0"/>
    </xf>
    <xf numFmtId="164" fontId="3" fillId="0" borderId="0" xfId="0" applyNumberFormat="1" applyFont="1" applyBorder="1" applyAlignment="1" applyProtection="1">
      <alignment horizontal="center"/>
      <protection locked="0"/>
    </xf>
    <xf numFmtId="17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0" fillId="0" borderId="0" xfId="0" applyNumberFormat="1"/>
    <xf numFmtId="164" fontId="4" fillId="0" borderId="0" xfId="0" applyNumberFormat="1" applyFont="1" applyAlignment="1" applyProtection="1">
      <alignment horizontal="right"/>
      <protection locked="0"/>
    </xf>
    <xf numFmtId="3" fontId="3" fillId="0" borderId="0" xfId="0" quotePrefix="1" applyNumberFormat="1" applyFont="1" applyBorder="1" applyAlignment="1" applyProtection="1">
      <alignment horizontal="center"/>
      <protection locked="0"/>
    </xf>
    <xf numFmtId="164" fontId="3" fillId="0" borderId="0" xfId="0" quotePrefix="1" applyNumberFormat="1" applyFont="1" applyAlignment="1" applyProtection="1">
      <alignment horizontal="center"/>
      <protection locked="0"/>
    </xf>
    <xf numFmtId="3" fontId="4" fillId="0" borderId="1" xfId="1" applyNumberFormat="1" applyFont="1" applyBorder="1" applyProtection="1">
      <protection locked="0"/>
    </xf>
    <xf numFmtId="3" fontId="4" fillId="0" borderId="0" xfId="1" applyNumberFormat="1" applyFont="1" applyProtection="1">
      <protection locked="0"/>
    </xf>
    <xf numFmtId="164" fontId="3" fillId="0" borderId="0" xfId="0" quotePrefix="1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Border="1" applyProtection="1">
      <protection locked="0"/>
    </xf>
    <xf numFmtId="0" fontId="0" fillId="0" borderId="0" xfId="0" applyAlignment="1">
      <alignment horizontal="center"/>
    </xf>
    <xf numFmtId="0" fontId="8" fillId="0" borderId="0" xfId="4" applyAlignment="1">
      <alignment horizontal="center"/>
    </xf>
    <xf numFmtId="0" fontId="8" fillId="0" borderId="0" xfId="4"/>
    <xf numFmtId="3" fontId="8" fillId="0" borderId="0" xfId="4" applyNumberFormat="1"/>
    <xf numFmtId="3" fontId="14" fillId="0" borderId="0" xfId="3" applyNumberFormat="1" applyFont="1" applyAlignment="1">
      <alignment horizontal="center"/>
    </xf>
    <xf numFmtId="1" fontId="8" fillId="0" borderId="0" xfId="4" applyNumberFormat="1"/>
    <xf numFmtId="0" fontId="0" fillId="0" borderId="0" xfId="0" applyFill="1"/>
    <xf numFmtId="0" fontId="16" fillId="0" borderId="5" xfId="0" applyFont="1" applyFill="1" applyBorder="1" applyAlignment="1">
      <alignment horizontal="right" vertical="top"/>
    </xf>
    <xf numFmtId="0" fontId="16" fillId="0" borderId="6" xfId="0" applyFont="1" applyFill="1" applyBorder="1" applyAlignment="1">
      <alignment horizontal="right" vertical="top"/>
    </xf>
    <xf numFmtId="0" fontId="16" fillId="0" borderId="7" xfId="0" applyFont="1" applyFill="1" applyBorder="1" applyAlignment="1">
      <alignment horizontal="right" vertical="top"/>
    </xf>
    <xf numFmtId="0" fontId="17" fillId="0" borderId="8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right" vertical="top"/>
    </xf>
    <xf numFmtId="0" fontId="16" fillId="0" borderId="13" xfId="0" applyFont="1" applyFill="1" applyBorder="1" applyAlignment="1">
      <alignment horizontal="right" vertical="top"/>
    </xf>
    <xf numFmtId="0" fontId="16" fillId="0" borderId="14" xfId="0" applyFont="1" applyFill="1" applyBorder="1" applyAlignment="1">
      <alignment horizontal="right" vertical="top"/>
    </xf>
    <xf numFmtId="0" fontId="17" fillId="0" borderId="8" xfId="0" applyFont="1" applyFill="1" applyBorder="1" applyAlignment="1">
      <alignment horizontal="left" vertical="top"/>
    </xf>
    <xf numFmtId="0" fontId="17" fillId="0" borderId="8" xfId="0" applyFont="1" applyFill="1" applyBorder="1" applyAlignment="1">
      <alignment horizontal="left" vertical="top" wrapText="1"/>
    </xf>
    <xf numFmtId="0" fontId="15" fillId="0" borderId="8" xfId="0" applyFont="1" applyFill="1" applyBorder="1" applyAlignment="1">
      <alignment horizontal="left" vertical="top"/>
    </xf>
    <xf numFmtId="0" fontId="17" fillId="0" borderId="15" xfId="0" applyFont="1" applyFill="1" applyBorder="1" applyAlignment="1">
      <alignment horizontal="left" vertical="top"/>
    </xf>
    <xf numFmtId="0" fontId="17" fillId="0" borderId="15" xfId="0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left" vertical="top"/>
    </xf>
    <xf numFmtId="0" fontId="17" fillId="0" borderId="16" xfId="0" applyFont="1" applyFill="1" applyBorder="1" applyAlignment="1">
      <alignment horizontal="left" vertical="top"/>
    </xf>
    <xf numFmtId="0" fontId="17" fillId="0" borderId="16" xfId="0" applyFont="1" applyFill="1" applyBorder="1" applyAlignment="1">
      <alignment horizontal="left" vertical="top" wrapText="1"/>
    </xf>
    <xf numFmtId="0" fontId="15" fillId="0" borderId="16" xfId="0" applyFont="1" applyFill="1" applyBorder="1" applyAlignment="1">
      <alignment horizontal="left" vertical="top"/>
    </xf>
    <xf numFmtId="0" fontId="15" fillId="0" borderId="17" xfId="0" applyFont="1" applyFill="1" applyBorder="1" applyAlignment="1">
      <alignment horizontal="left" vertical="top"/>
    </xf>
    <xf numFmtId="0" fontId="15" fillId="0" borderId="8" xfId="0" applyFont="1" applyFill="1" applyBorder="1" applyAlignment="1">
      <alignment horizontal="right" vertical="top"/>
    </xf>
    <xf numFmtId="0" fontId="18" fillId="0" borderId="0" xfId="0" applyFont="1" applyFill="1"/>
    <xf numFmtId="0" fontId="18" fillId="0" borderId="0" xfId="0" applyFont="1"/>
    <xf numFmtId="0" fontId="20" fillId="0" borderId="0" xfId="4" applyFont="1" applyAlignment="1">
      <alignment horizontal="center"/>
    </xf>
    <xf numFmtId="0" fontId="20" fillId="0" borderId="0" xfId="4" applyFont="1"/>
    <xf numFmtId="3" fontId="20" fillId="0" borderId="0" xfId="3" applyNumberFormat="1" applyFont="1" applyAlignment="1">
      <alignment horizontal="center"/>
    </xf>
    <xf numFmtId="3" fontId="20" fillId="0" borderId="0" xfId="4" applyNumberFormat="1" applyFont="1"/>
    <xf numFmtId="0" fontId="20" fillId="0" borderId="0" xfId="4" applyFont="1" applyAlignment="1">
      <alignment horizontal="right"/>
    </xf>
    <xf numFmtId="3" fontId="20" fillId="0" borderId="0" xfId="4" applyNumberFormat="1" applyFont="1" applyAlignment="1">
      <alignment horizontal="center"/>
    </xf>
    <xf numFmtId="0" fontId="20" fillId="0" borderId="0" xfId="4" applyFont="1" applyBorder="1" applyAlignment="1">
      <alignment horizontal="right"/>
    </xf>
    <xf numFmtId="3" fontId="20" fillId="0" borderId="0" xfId="4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170" fontId="3" fillId="0" borderId="0" xfId="1" applyNumberFormat="1" applyFont="1"/>
    <xf numFmtId="0" fontId="3" fillId="0" borderId="4" xfId="0" applyFont="1" applyBorder="1" applyAlignment="1">
      <alignment horizontal="right"/>
    </xf>
    <xf numFmtId="0" fontId="3" fillId="0" borderId="0" xfId="0" applyFont="1" applyFill="1"/>
    <xf numFmtId="17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/>
    <xf numFmtId="0" fontId="3" fillId="0" borderId="1" xfId="0" applyFont="1" applyBorder="1"/>
    <xf numFmtId="3" fontId="3" fillId="0" borderId="0" xfId="0" applyNumberFormat="1" applyFont="1"/>
    <xf numFmtId="168" fontId="3" fillId="0" borderId="0" xfId="0" applyNumberFormat="1" applyFont="1"/>
    <xf numFmtId="3" fontId="3" fillId="0" borderId="0" xfId="1" applyNumberFormat="1" applyFont="1"/>
    <xf numFmtId="171" fontId="3" fillId="0" borderId="0" xfId="0" applyNumberFormat="1" applyFont="1" applyFill="1"/>
    <xf numFmtId="166" fontId="7" fillId="0" borderId="0" xfId="0" applyNumberFormat="1" applyFont="1" applyFill="1"/>
    <xf numFmtId="166" fontId="3" fillId="0" borderId="0" xfId="0" applyNumberFormat="1" applyFont="1" applyFill="1"/>
    <xf numFmtId="5" fontId="3" fillId="0" borderId="0" xfId="0" applyNumberFormat="1" applyFont="1"/>
    <xf numFmtId="5" fontId="3" fillId="0" borderId="0" xfId="6" applyNumberFormat="1" applyFont="1"/>
    <xf numFmtId="5" fontId="9" fillId="0" borderId="0" xfId="0" applyNumberFormat="1" applyFont="1" applyBorder="1"/>
    <xf numFmtId="171" fontId="9" fillId="0" borderId="0" xfId="1" applyNumberFormat="1" applyFont="1"/>
    <xf numFmtId="166" fontId="9" fillId="0" borderId="0" xfId="0" applyNumberFormat="1" applyFont="1"/>
    <xf numFmtId="0" fontId="9" fillId="0" borderId="0" xfId="0" applyFont="1"/>
    <xf numFmtId="0" fontId="22" fillId="0" borderId="0" xfId="0" applyFont="1" applyFill="1"/>
    <xf numFmtId="165" fontId="3" fillId="0" borderId="2" xfId="5" applyNumberFormat="1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167" fontId="3" fillId="0" borderId="2" xfId="5" applyNumberFormat="1" applyFont="1" applyBorder="1" applyAlignment="1">
      <alignment horizontal="right" vertical="center"/>
    </xf>
    <xf numFmtId="165" fontId="3" fillId="0" borderId="2" xfId="2" applyNumberFormat="1" applyFont="1" applyBorder="1" applyAlignment="1">
      <alignment vertical="center"/>
    </xf>
    <xf numFmtId="3" fontId="3" fillId="0" borderId="2" xfId="1" applyNumberFormat="1" applyFont="1" applyFill="1" applyBorder="1" applyAlignment="1">
      <alignment horizontal="right" vertical="center"/>
    </xf>
    <xf numFmtId="0" fontId="3" fillId="0" borderId="0" xfId="5" applyFont="1" applyAlignment="1">
      <alignment vertical="center"/>
    </xf>
    <xf numFmtId="165" fontId="3" fillId="0" borderId="3" xfId="5" applyNumberFormat="1" applyFont="1" applyBorder="1" applyAlignment="1">
      <alignment vertical="center"/>
    </xf>
    <xf numFmtId="0" fontId="3" fillId="0" borderId="3" xfId="5" applyFont="1" applyBorder="1" applyAlignment="1">
      <alignment horizontal="center" vertical="center"/>
    </xf>
    <xf numFmtId="167" fontId="3" fillId="0" borderId="3" xfId="5" applyNumberFormat="1" applyFont="1" applyBorder="1" applyAlignment="1">
      <alignment horizontal="right" vertical="center"/>
    </xf>
    <xf numFmtId="3" fontId="3" fillId="0" borderId="3" xfId="1" applyNumberFormat="1" applyFont="1" applyFill="1" applyBorder="1" applyAlignment="1">
      <alignment horizontal="right" vertical="center"/>
    </xf>
    <xf numFmtId="165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 applyAlignment="1">
      <alignment horizontal="center" vertical="center"/>
    </xf>
    <xf numFmtId="167" fontId="3" fillId="0" borderId="3" xfId="5" applyNumberFormat="1" applyFont="1" applyFill="1" applyBorder="1" applyAlignment="1">
      <alignment horizontal="right" vertical="center"/>
    </xf>
    <xf numFmtId="165" fontId="3" fillId="0" borderId="3" xfId="5" applyNumberFormat="1" applyFont="1" applyFill="1" applyBorder="1" applyAlignment="1">
      <alignment horizontal="right" vertical="center"/>
    </xf>
    <xf numFmtId="0" fontId="3" fillId="0" borderId="0" xfId="5" applyFont="1" applyFill="1" applyAlignment="1">
      <alignment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horizontal="right" vertical="center"/>
    </xf>
    <xf numFmtId="165" fontId="3" fillId="0" borderId="0" xfId="5" applyNumberFormat="1" applyFont="1" applyAlignment="1">
      <alignment vertical="center"/>
    </xf>
    <xf numFmtId="0" fontId="9" fillId="0" borderId="0" xfId="5" applyFont="1" applyAlignment="1">
      <alignment vertical="center"/>
    </xf>
    <xf numFmtId="165" fontId="3" fillId="0" borderId="0" xfId="5" applyNumberFormat="1" applyFont="1" applyFill="1" applyAlignment="1">
      <alignment vertical="center"/>
    </xf>
    <xf numFmtId="165" fontId="3" fillId="0" borderId="2" xfId="5" applyNumberFormat="1" applyFont="1" applyFill="1" applyBorder="1" applyAlignment="1">
      <alignment vertical="center"/>
    </xf>
    <xf numFmtId="165" fontId="3" fillId="0" borderId="2" xfId="2" applyNumberFormat="1" applyFont="1" applyFill="1" applyBorder="1" applyAlignment="1">
      <alignment vertical="center"/>
    </xf>
    <xf numFmtId="0" fontId="9" fillId="0" borderId="0" xfId="5" applyFont="1" applyAlignment="1">
      <alignment horizontal="center" vertical="center"/>
    </xf>
    <xf numFmtId="0" fontId="9" fillId="0" borderId="0" xfId="5" applyFont="1" applyAlignment="1">
      <alignment horizontal="left" vertical="center"/>
    </xf>
    <xf numFmtId="0" fontId="3" fillId="0" borderId="0" xfId="5" applyFont="1" applyAlignment="1">
      <alignment horizontal="center" vertical="center" wrapText="1"/>
    </xf>
    <xf numFmtId="0" fontId="10" fillId="0" borderId="0" xfId="5" applyFont="1" applyAlignment="1">
      <alignment vertical="center"/>
    </xf>
    <xf numFmtId="0" fontId="24" fillId="0" borderId="0" xfId="4" applyFont="1" applyAlignment="1">
      <alignment horizontal="right"/>
    </xf>
    <xf numFmtId="3" fontId="24" fillId="0" borderId="0" xfId="4" applyNumberFormat="1" applyFont="1" applyAlignment="1">
      <alignment horizontal="center"/>
    </xf>
    <xf numFmtId="3" fontId="3" fillId="0" borderId="1" xfId="1" applyNumberFormat="1" applyFont="1" applyFill="1" applyBorder="1"/>
    <xf numFmtId="3" fontId="3" fillId="0" borderId="1" xfId="0" applyNumberFormat="1" applyFont="1" applyFill="1" applyBorder="1"/>
    <xf numFmtId="0" fontId="3" fillId="0" borderId="0" xfId="0" applyFont="1" applyFill="1" applyAlignment="1">
      <alignment horizontal="right"/>
    </xf>
    <xf numFmtId="164" fontId="3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169" fontId="3" fillId="0" borderId="0" xfId="0" applyNumberFormat="1" applyFont="1" applyAlignment="1" applyProtection="1">
      <alignment horizontal="center" vertical="center"/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horizontal="right"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169" fontId="3" fillId="0" borderId="0" xfId="0" applyNumberFormat="1" applyFont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5" fontId="3" fillId="0" borderId="1" xfId="0" applyNumberFormat="1" applyFont="1" applyBorder="1"/>
    <xf numFmtId="5" fontId="3" fillId="0" borderId="0" xfId="0" applyNumberFormat="1" applyFont="1" applyBorder="1"/>
    <xf numFmtId="1" fontId="3" fillId="0" borderId="0" xfId="0" applyNumberFormat="1" applyFont="1" applyProtection="1">
      <protection locked="0"/>
    </xf>
    <xf numFmtId="0" fontId="9" fillId="0" borderId="0" xfId="5" applyFont="1" applyFill="1" applyAlignment="1">
      <alignment horizontal="center" vertical="center"/>
    </xf>
    <xf numFmtId="0" fontId="3" fillId="0" borderId="0" xfId="5" applyFont="1" applyFill="1" applyAlignment="1">
      <alignment horizontal="center" vertical="center"/>
    </xf>
    <xf numFmtId="0" fontId="9" fillId="0" borderId="0" xfId="5" quotePrefix="1" applyFont="1" applyFill="1" applyAlignment="1">
      <alignment horizontal="center" vertical="center"/>
    </xf>
    <xf numFmtId="0" fontId="10" fillId="0" borderId="0" xfId="5" applyFont="1" applyFill="1" applyAlignment="1">
      <alignment vertical="center"/>
    </xf>
    <xf numFmtId="5" fontId="9" fillId="0" borderId="18" xfId="0" applyNumberFormat="1" applyFont="1" applyBorder="1"/>
    <xf numFmtId="3" fontId="7" fillId="0" borderId="0" xfId="0" applyNumberFormat="1" applyFont="1" applyFill="1" applyAlignment="1" applyProtection="1">
      <alignment vertical="center"/>
      <protection locked="0"/>
    </xf>
    <xf numFmtId="0" fontId="1" fillId="0" borderId="0" xfId="8"/>
    <xf numFmtId="164" fontId="3" fillId="0" borderId="0" xfId="0" applyNumberFormat="1" applyFont="1" applyAlignment="1" applyProtection="1">
      <alignment horizontal="center"/>
      <protection locked="0"/>
    </xf>
    <xf numFmtId="0" fontId="3" fillId="0" borderId="0" xfId="4" applyFont="1" applyAlignment="1">
      <alignment horizontal="left"/>
    </xf>
    <xf numFmtId="0" fontId="3" fillId="0" borderId="0" xfId="4" applyFont="1" applyAlignment="1">
      <alignment horizontal="center"/>
    </xf>
    <xf numFmtId="0" fontId="3" fillId="0" borderId="0" xfId="4" applyFont="1" applyAlignment="1"/>
    <xf numFmtId="3" fontId="3" fillId="0" borderId="0" xfId="3" applyNumberFormat="1" applyFont="1" applyFill="1" applyAlignment="1">
      <alignment horizontal="center"/>
    </xf>
    <xf numFmtId="3" fontId="3" fillId="0" borderId="0" xfId="4" applyNumberFormat="1" applyFont="1" applyAlignment="1"/>
    <xf numFmtId="3" fontId="3" fillId="0" borderId="0" xfId="3" applyNumberFormat="1" applyFont="1" applyAlignment="1">
      <alignment horizontal="center"/>
    </xf>
    <xf numFmtId="0" fontId="3" fillId="0" borderId="0" xfId="4" applyFont="1" applyAlignment="1">
      <alignment horizontal="right"/>
    </xf>
    <xf numFmtId="3" fontId="3" fillId="0" borderId="0" xfId="4" applyNumberFormat="1" applyFont="1" applyAlignment="1">
      <alignment horizontal="center"/>
    </xf>
    <xf numFmtId="3" fontId="3" fillId="0" borderId="0" xfId="4" applyNumberFormat="1" applyFont="1"/>
    <xf numFmtId="0" fontId="3" fillId="0" borderId="0" xfId="4" applyFont="1" applyAlignment="1">
      <alignment vertical="center"/>
    </xf>
    <xf numFmtId="0" fontId="3" fillId="0" borderId="0" xfId="4" applyFont="1" applyFill="1" applyAlignment="1">
      <alignment horizontal="center"/>
    </xf>
    <xf numFmtId="1" fontId="3" fillId="0" borderId="0" xfId="4" applyNumberFormat="1" applyFont="1" applyAlignment="1">
      <alignment vertical="center"/>
    </xf>
    <xf numFmtId="3" fontId="3" fillId="0" borderId="0" xfId="4" applyNumberFormat="1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horizontal="right" vertical="center"/>
    </xf>
    <xf numFmtId="3" fontId="3" fillId="0" borderId="0" xfId="3" applyNumberFormat="1" applyFont="1" applyAlignment="1">
      <alignment horizontal="center" vertical="center"/>
    </xf>
    <xf numFmtId="3" fontId="3" fillId="0" borderId="0" xfId="4" applyNumberFormat="1" applyFont="1" applyAlignment="1">
      <alignment vertical="center"/>
    </xf>
    <xf numFmtId="0" fontId="3" fillId="0" borderId="0" xfId="4" applyFont="1" applyBorder="1" applyAlignment="1">
      <alignment horizontal="right" vertical="center"/>
    </xf>
    <xf numFmtId="3" fontId="3" fillId="0" borderId="0" xfId="4" applyNumberFormat="1" applyFont="1" applyBorder="1" applyAlignment="1">
      <alignment horizontal="center" vertical="center"/>
    </xf>
    <xf numFmtId="0" fontId="19" fillId="0" borderId="0" xfId="0" applyFont="1"/>
    <xf numFmtId="0" fontId="4" fillId="0" borderId="0" xfId="0" applyFont="1" applyAlignment="1">
      <alignment horizontal="center"/>
    </xf>
    <xf numFmtId="0" fontId="14" fillId="0" borderId="0" xfId="0" applyFont="1"/>
    <xf numFmtId="172" fontId="0" fillId="0" borderId="0" xfId="9" applyNumberFormat="1" applyFont="1"/>
    <xf numFmtId="10" fontId="14" fillId="0" borderId="1" xfId="9" applyNumberFormat="1" applyFont="1" applyBorder="1"/>
    <xf numFmtId="0" fontId="19" fillId="0" borderId="0" xfId="0" applyFont="1" applyFill="1"/>
    <xf numFmtId="0" fontId="3" fillId="0" borderId="4" xfId="0" applyFont="1" applyFill="1" applyBorder="1" applyAlignment="1">
      <alignment horizontal="right"/>
    </xf>
    <xf numFmtId="170" fontId="3" fillId="0" borderId="0" xfId="1" applyNumberFormat="1" applyFont="1" applyFill="1"/>
    <xf numFmtId="0" fontId="19" fillId="0" borderId="0" xfId="0" quotePrefix="1" applyFont="1" applyFill="1"/>
    <xf numFmtId="164" fontId="3" fillId="0" borderId="0" xfId="0" applyNumberFormat="1" applyFont="1" applyAlignment="1" applyProtection="1">
      <alignment horizontal="center"/>
      <protection locked="0"/>
    </xf>
    <xf numFmtId="3" fontId="3" fillId="0" borderId="0" xfId="1" applyNumberFormat="1" applyFont="1" applyFill="1"/>
    <xf numFmtId="9" fontId="3" fillId="0" borderId="0" xfId="7" applyFont="1"/>
    <xf numFmtId="0" fontId="27" fillId="0" borderId="0" xfId="0" applyFont="1"/>
    <xf numFmtId="173" fontId="4" fillId="0" borderId="0" xfId="6" applyNumberFormat="1" applyFont="1" applyFill="1" applyBorder="1"/>
    <xf numFmtId="0" fontId="3" fillId="0" borderId="0" xfId="11" applyNumberFormat="1" applyFont="1" applyBorder="1" applyAlignment="1">
      <alignment horizontal="left"/>
    </xf>
    <xf numFmtId="0" fontId="4" fillId="0" borderId="0" xfId="11" applyFont="1" applyBorder="1"/>
    <xf numFmtId="0" fontId="30" fillId="0" borderId="0" xfId="12" applyFont="1"/>
    <xf numFmtId="0" fontId="4" fillId="0" borderId="0" xfId="11" applyNumberFormat="1" applyFont="1" applyBorder="1" applyAlignment="1">
      <alignment horizontal="center"/>
    </xf>
    <xf numFmtId="0" fontId="30" fillId="0" borderId="0" xfId="12" applyFont="1" applyAlignment="1">
      <alignment horizontal="center" wrapText="1"/>
    </xf>
    <xf numFmtId="173" fontId="3" fillId="0" borderId="0" xfId="6" applyNumberFormat="1" applyFont="1" applyFill="1" applyBorder="1" applyAlignment="1">
      <alignment horizontal="center" wrapText="1"/>
    </xf>
    <xf numFmtId="0" fontId="30" fillId="0" borderId="0" xfId="12" applyFont="1" applyAlignment="1">
      <alignment horizontal="center"/>
    </xf>
    <xf numFmtId="37" fontId="4" fillId="0" borderId="0" xfId="11" applyNumberFormat="1" applyFont="1" applyBorder="1" applyAlignment="1">
      <alignment horizontal="center"/>
    </xf>
    <xf numFmtId="5" fontId="4" fillId="0" borderId="0" xfId="11" applyNumberFormat="1" applyFont="1" applyBorder="1"/>
    <xf numFmtId="174" fontId="4" fillId="0" borderId="0" xfId="1" applyNumberFormat="1" applyFont="1" applyBorder="1"/>
    <xf numFmtId="37" fontId="4" fillId="0" borderId="0" xfId="11" applyNumberFormat="1" applyFont="1" applyBorder="1"/>
    <xf numFmtId="173" fontId="4" fillId="0" borderId="1" xfId="6" applyNumberFormat="1" applyFont="1" applyFill="1" applyBorder="1"/>
    <xf numFmtId="37" fontId="4" fillId="0" borderId="0" xfId="11" applyNumberFormat="1" applyFont="1" applyFill="1" applyBorder="1"/>
    <xf numFmtId="37" fontId="4" fillId="0" borderId="0" xfId="11" applyNumberFormat="1" applyFont="1" applyFill="1" applyBorder="1" applyAlignment="1">
      <alignment horizontal="center"/>
    </xf>
    <xf numFmtId="173" fontId="4" fillId="0" borderId="0" xfId="6" applyNumberFormat="1" applyFont="1" applyFill="1" applyBorder="1" applyAlignment="1">
      <alignment horizontal="center"/>
    </xf>
    <xf numFmtId="0" fontId="31" fillId="0" borderId="0" xfId="0" applyFont="1" applyFill="1"/>
    <xf numFmtId="0" fontId="22" fillId="0" borderId="10" xfId="8" applyFont="1" applyFill="1" applyBorder="1" applyAlignment="1">
      <alignment horizontal="center" vertical="center"/>
    </xf>
    <xf numFmtId="0" fontId="17" fillId="0" borderId="9" xfId="8" applyFont="1" applyFill="1" applyBorder="1" applyAlignment="1">
      <alignment horizontal="center" vertical="center"/>
    </xf>
    <xf numFmtId="0" fontId="17" fillId="0" borderId="10" xfId="8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171" fontId="7" fillId="0" borderId="0" xfId="0" applyNumberFormat="1" applyFont="1" applyFill="1"/>
    <xf numFmtId="3" fontId="21" fillId="0" borderId="0" xfId="0" applyNumberFormat="1" applyFont="1" applyFill="1" applyAlignment="1" applyProtection="1">
      <alignment vertical="center"/>
      <protection locked="0"/>
    </xf>
    <xf numFmtId="3" fontId="25" fillId="0" borderId="0" xfId="0" applyNumberFormat="1" applyFont="1" applyFill="1" applyBorder="1" applyProtection="1">
      <protection locked="0"/>
    </xf>
    <xf numFmtId="3" fontId="25" fillId="0" borderId="0" xfId="1" applyNumberFormat="1" applyFont="1" applyFill="1" applyProtection="1">
      <protection locked="0"/>
    </xf>
    <xf numFmtId="175" fontId="14" fillId="0" borderId="0" xfId="9" applyNumberFormat="1" applyFont="1"/>
    <xf numFmtId="17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5" fontId="3" fillId="0" borderId="1" xfId="0" applyNumberFormat="1" applyFont="1" applyFill="1" applyBorder="1"/>
    <xf numFmtId="5" fontId="3" fillId="0" borderId="0" xfId="0" applyNumberFormat="1" applyFont="1" applyFill="1"/>
    <xf numFmtId="10" fontId="3" fillId="0" borderId="0" xfId="7" applyNumberFormat="1" applyFont="1" applyFill="1"/>
    <xf numFmtId="171" fontId="9" fillId="0" borderId="0" xfId="1" applyNumberFormat="1" applyFont="1" applyFill="1"/>
    <xf numFmtId="166" fontId="9" fillId="0" borderId="0" xfId="0" applyNumberFormat="1" applyFont="1" applyFill="1"/>
    <xf numFmtId="0" fontId="9" fillId="0" borderId="0" xfId="0" applyFont="1" applyFill="1"/>
    <xf numFmtId="3" fontId="3" fillId="0" borderId="0" xfId="0" applyNumberFormat="1" applyFont="1" applyFill="1" applyAlignment="1">
      <alignment horizontal="right"/>
    </xf>
    <xf numFmtId="168" fontId="3" fillId="0" borderId="0" xfId="0" applyNumberFormat="1" applyFont="1" applyFill="1"/>
    <xf numFmtId="5" fontId="3" fillId="0" borderId="0" xfId="6" applyNumberFormat="1" applyFont="1" applyFill="1"/>
    <xf numFmtId="5" fontId="3" fillId="0" borderId="0" xfId="0" applyNumberFormat="1" applyFont="1" applyFill="1" applyBorder="1"/>
    <xf numFmtId="9" fontId="3" fillId="0" borderId="0" xfId="7" applyFont="1" applyFill="1"/>
    <xf numFmtId="10" fontId="3" fillId="0" borderId="0" xfId="0" applyNumberFormat="1" applyFont="1" applyFill="1"/>
    <xf numFmtId="165" fontId="3" fillId="0" borderId="0" xfId="0" applyNumberFormat="1" applyFont="1" applyFill="1"/>
    <xf numFmtId="3" fontId="3" fillId="0" borderId="2" xfId="5" applyNumberFormat="1" applyFont="1" applyFill="1" applyBorder="1" applyAlignment="1">
      <alignment vertical="center"/>
    </xf>
    <xf numFmtId="3" fontId="3" fillId="0" borderId="3" xfId="5" applyNumberFormat="1" applyFont="1" applyFill="1" applyBorder="1" applyAlignment="1">
      <alignment vertical="center"/>
    </xf>
    <xf numFmtId="5" fontId="9" fillId="0" borderId="1" xfId="0" applyNumberFormat="1" applyFont="1" applyBorder="1"/>
    <xf numFmtId="14" fontId="9" fillId="0" borderId="0" xfId="0" applyNumberFormat="1" applyFont="1" applyFill="1" applyAlignment="1">
      <alignment horizontal="right"/>
    </xf>
    <xf numFmtId="14" fontId="9" fillId="0" borderId="0" xfId="0" applyNumberFormat="1" applyFont="1" applyFill="1"/>
    <xf numFmtId="14" fontId="9" fillId="0" borderId="0" xfId="0" applyNumberFormat="1" applyFont="1"/>
    <xf numFmtId="0" fontId="3" fillId="0" borderId="0" xfId="0" applyFont="1" applyFill="1" applyAlignment="1">
      <alignment horizontal="left"/>
    </xf>
    <xf numFmtId="0" fontId="17" fillId="0" borderId="8" xfId="0" applyFont="1" applyFill="1" applyBorder="1" applyAlignment="1">
      <alignment horizontal="right" vertical="top"/>
    </xf>
    <xf numFmtId="176" fontId="3" fillId="0" borderId="0" xfId="1" applyNumberFormat="1" applyFont="1" applyFill="1" applyBorder="1"/>
    <xf numFmtId="0" fontId="0" fillId="0" borderId="0" xfId="0" applyAlignment="1">
      <alignment shrinkToFit="1"/>
    </xf>
    <xf numFmtId="3" fontId="32" fillId="0" borderId="19" xfId="0" applyNumberFormat="1" applyFont="1" applyBorder="1" applyAlignment="1">
      <alignment horizontal="right" vertical="top"/>
    </xf>
    <xf numFmtId="3" fontId="33" fillId="2" borderId="20" xfId="0" applyNumberFormat="1" applyFont="1" applyFill="1" applyBorder="1" applyAlignment="1">
      <alignment horizontal="right" vertical="top"/>
    </xf>
    <xf numFmtId="0" fontId="34" fillId="3" borderId="21" xfId="0" applyFont="1" applyFill="1" applyBorder="1" applyAlignment="1">
      <alignment horizontal="left" vertical="top"/>
    </xf>
    <xf numFmtId="0" fontId="35" fillId="4" borderId="22" xfId="0" applyFont="1" applyFill="1" applyBorder="1" applyAlignment="1">
      <alignment horizontal="left" vertical="top"/>
    </xf>
    <xf numFmtId="0" fontId="0" fillId="0" borderId="19" xfId="0" applyBorder="1"/>
    <xf numFmtId="0" fontId="0" fillId="5" borderId="23" xfId="0" applyFill="1" applyBorder="1"/>
    <xf numFmtId="3" fontId="36" fillId="5" borderId="23" xfId="0" applyNumberFormat="1" applyFont="1" applyFill="1" applyBorder="1" applyAlignment="1">
      <alignment horizontal="right" vertical="top"/>
    </xf>
    <xf numFmtId="164" fontId="3" fillId="0" borderId="0" xfId="0" applyNumberFormat="1" applyFont="1" applyAlignment="1" applyProtection="1">
      <alignment horizontal="center" vertical="center"/>
      <protection locked="0"/>
    </xf>
    <xf numFmtId="177" fontId="3" fillId="0" borderId="0" xfId="0" applyNumberFormat="1" applyFont="1" applyFill="1"/>
    <xf numFmtId="0" fontId="9" fillId="0" borderId="0" xfId="0" quotePrefix="1" applyNumberFormat="1" applyFont="1" applyAlignment="1">
      <alignment horizontal="right"/>
    </xf>
    <xf numFmtId="5" fontId="3" fillId="0" borderId="0" xfId="7" applyNumberFormat="1" applyFont="1" applyFill="1"/>
    <xf numFmtId="164" fontId="3" fillId="0" borderId="0" xfId="0" applyNumberFormat="1" applyFont="1" applyAlignment="1" applyProtection="1">
      <alignment horizontal="center" vertical="center"/>
      <protection locked="0"/>
    </xf>
    <xf numFmtId="3" fontId="3" fillId="0" borderId="0" xfId="1" applyNumberFormat="1" applyFont="1" applyProtection="1">
      <protection locked="0"/>
    </xf>
    <xf numFmtId="176" fontId="25" fillId="0" borderId="0" xfId="1" applyNumberFormat="1" applyFont="1" applyFill="1" applyBorder="1"/>
    <xf numFmtId="165" fontId="3" fillId="6" borderId="3" xfId="5" applyNumberFormat="1" applyFont="1" applyFill="1" applyBorder="1" applyAlignment="1">
      <alignment vertical="center"/>
    </xf>
    <xf numFmtId="0" fontId="3" fillId="6" borderId="3" xfId="5" applyFont="1" applyFill="1" applyBorder="1" applyAlignment="1">
      <alignment horizontal="center" vertical="center"/>
    </xf>
    <xf numFmtId="167" fontId="3" fillId="6" borderId="3" xfId="5" applyNumberFormat="1" applyFont="1" applyFill="1" applyBorder="1" applyAlignment="1">
      <alignment horizontal="right" vertical="center"/>
    </xf>
    <xf numFmtId="165" fontId="3" fillId="6" borderId="2" xfId="5" applyNumberFormat="1" applyFont="1" applyFill="1" applyBorder="1" applyAlignment="1">
      <alignment vertical="center"/>
    </xf>
    <xf numFmtId="165" fontId="3" fillId="6" borderId="2" xfId="2" applyNumberFormat="1" applyFont="1" applyFill="1" applyBorder="1" applyAlignment="1">
      <alignment vertical="center"/>
    </xf>
    <xf numFmtId="3" fontId="3" fillId="6" borderId="3" xfId="1" applyNumberFormat="1" applyFont="1" applyFill="1" applyBorder="1" applyAlignment="1">
      <alignment horizontal="right" vertical="center"/>
    </xf>
    <xf numFmtId="3" fontId="3" fillId="6" borderId="3" xfId="5" applyNumberFormat="1" applyFont="1" applyFill="1" applyBorder="1" applyAlignment="1">
      <alignment vertical="center"/>
    </xf>
    <xf numFmtId="0" fontId="3" fillId="6" borderId="0" xfId="5" applyFont="1" applyFill="1" applyAlignment="1">
      <alignment vertical="center"/>
    </xf>
    <xf numFmtId="3" fontId="0" fillId="6" borderId="0" xfId="0" applyNumberFormat="1" applyFill="1"/>
    <xf numFmtId="0" fontId="0" fillId="6" borderId="0" xfId="0" applyFill="1"/>
    <xf numFmtId="3" fontId="25" fillId="6" borderId="0" xfId="0" applyNumberFormat="1" applyFont="1" applyFill="1" applyBorder="1" applyProtection="1">
      <protection locked="0"/>
    </xf>
    <xf numFmtId="0" fontId="26" fillId="0" borderId="0" xfId="5" applyFont="1" applyAlignment="1">
      <alignment horizontal="center" vertical="center"/>
    </xf>
    <xf numFmtId="164" fontId="3" fillId="0" borderId="0" xfId="0" applyNumberFormat="1" applyFont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</cellXfs>
  <cellStyles count="13">
    <cellStyle name="Comma" xfId="1" builtinId="3"/>
    <cellStyle name="Comma_WSCoefficientSum05" xfId="2"/>
    <cellStyle name="Currency" xfId="6" builtinId="4"/>
    <cellStyle name="Normal" xfId="0" builtinId="0"/>
    <cellStyle name="Normal 2" xfId="8"/>
    <cellStyle name="Normal 3" xfId="10"/>
    <cellStyle name="Normal 8" xfId="12"/>
    <cellStyle name="Normal_1980-93DDH" xfId="3"/>
    <cellStyle name="Normal_25 Yr Avg Calc" xfId="4"/>
    <cellStyle name="Normal_WAElec6_97" xfId="11"/>
    <cellStyle name="Normal_WSCoefficientSum05" xfId="5"/>
    <cellStyle name="Percent" xfId="7" builtinId="5"/>
    <cellStyle name="Percent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B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cols>
    <col min="1" max="16384" width="9" style="218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89"/>
  <sheetViews>
    <sheetView tabSelected="1" view="pageBreakPreview" zoomScale="60" zoomScaleNormal="100" workbookViewId="0">
      <selection activeCell="Q74" sqref="Q74"/>
    </sheetView>
  </sheetViews>
  <sheetFormatPr defaultRowHeight="12.75"/>
  <cols>
    <col min="1" max="1" width="10.875" style="60" customWidth="1"/>
    <col min="2" max="2" width="10.5" style="60" customWidth="1"/>
    <col min="3" max="3" width="14" style="60" customWidth="1"/>
    <col min="4" max="4" width="14" style="64" customWidth="1"/>
    <col min="5" max="5" width="13.375" style="64" customWidth="1"/>
    <col min="6" max="6" width="12.375" style="64" customWidth="1"/>
    <col min="7" max="7" width="12.25" style="64" customWidth="1"/>
    <col min="8" max="9" width="11.625" style="64" customWidth="1"/>
    <col min="10" max="10" width="11.125" style="64" customWidth="1"/>
    <col min="11" max="11" width="10.625" style="64" customWidth="1"/>
    <col min="12" max="12" width="10.875" style="64" customWidth="1"/>
    <col min="13" max="14" width="11.125" style="60" customWidth="1"/>
    <col min="15" max="15" width="10.375" style="60" customWidth="1"/>
    <col min="16" max="20" width="9" style="60"/>
    <col min="21" max="21" width="10.875" style="60" bestFit="1" customWidth="1"/>
    <col min="22" max="16384" width="9" style="60"/>
  </cols>
  <sheetData>
    <row r="1" spans="1:15">
      <c r="B1" s="228">
        <v>12.2019</v>
      </c>
      <c r="C1" s="61" t="s">
        <v>12</v>
      </c>
      <c r="D1" s="194" t="s">
        <v>13</v>
      </c>
      <c r="E1" s="194" t="s">
        <v>14</v>
      </c>
      <c r="F1" s="194" t="s">
        <v>15</v>
      </c>
      <c r="G1" s="194" t="s">
        <v>16</v>
      </c>
      <c r="H1" s="194" t="s">
        <v>17</v>
      </c>
      <c r="I1" s="194" t="s">
        <v>18</v>
      </c>
      <c r="J1" s="194" t="s">
        <v>19</v>
      </c>
      <c r="K1" s="194" t="s">
        <v>20</v>
      </c>
      <c r="L1" s="194" t="s">
        <v>21</v>
      </c>
      <c r="M1" s="65" t="s">
        <v>22</v>
      </c>
      <c r="N1" s="65" t="s">
        <v>23</v>
      </c>
      <c r="O1" s="65" t="s">
        <v>24</v>
      </c>
    </row>
    <row r="2" spans="1:15">
      <c r="B2" s="61" t="s">
        <v>243</v>
      </c>
      <c r="C2" s="66">
        <f t="shared" ref="C2:C7" si="0">SUM(D2:O2)</f>
        <v>6513</v>
      </c>
      <c r="D2" s="202">
        <f>DDH!$D$8</f>
        <v>1103</v>
      </c>
      <c r="E2" s="202">
        <f>DDH!$D$9</f>
        <v>915</v>
      </c>
      <c r="F2" s="202">
        <f>DDH!$D$10</f>
        <v>775</v>
      </c>
      <c r="G2" s="202">
        <f>DDH!$D$11</f>
        <v>542</v>
      </c>
      <c r="H2" s="202">
        <f>DDH!$D$12</f>
        <v>298</v>
      </c>
      <c r="I2" s="202">
        <f>DDH!$D$13</f>
        <v>137</v>
      </c>
      <c r="J2" s="202">
        <f>DDH!$D$14</f>
        <v>26</v>
      </c>
      <c r="K2" s="202">
        <f>DDH!$D$15</f>
        <v>30</v>
      </c>
      <c r="L2" s="202">
        <f>DDH!$D$16</f>
        <v>158</v>
      </c>
      <c r="M2" s="66">
        <f>DDH!$D$17</f>
        <v>534</v>
      </c>
      <c r="N2" s="66">
        <f>DDH!$D$18</f>
        <v>863</v>
      </c>
      <c r="O2" s="66">
        <f>DDH!$D$19</f>
        <v>1132</v>
      </c>
    </row>
    <row r="3" spans="1:15">
      <c r="B3" s="61" t="s">
        <v>244</v>
      </c>
      <c r="C3" s="66">
        <f t="shared" si="0"/>
        <v>6748</v>
      </c>
      <c r="D3" s="202">
        <f>DDH!$B$8</f>
        <v>1052</v>
      </c>
      <c r="E3" s="202">
        <f>DDH!$B$9</f>
        <v>1218</v>
      </c>
      <c r="F3" s="202">
        <f>DDH!$B$10</f>
        <v>938</v>
      </c>
      <c r="G3" s="202">
        <f>DDH!$B$11</f>
        <v>500</v>
      </c>
      <c r="H3" s="202">
        <f>DDH!$B$12</f>
        <v>180</v>
      </c>
      <c r="I3" s="202">
        <f>DDH!$B$13</f>
        <v>96</v>
      </c>
      <c r="J3" s="202">
        <f>DDH!$B$14</f>
        <v>8</v>
      </c>
      <c r="K3" s="202">
        <f>DDH!$B$15</f>
        <v>3</v>
      </c>
      <c r="L3" s="202">
        <f>DDH!$B$16</f>
        <v>209</v>
      </c>
      <c r="M3" s="66">
        <f>DDH!$B$17</f>
        <v>697</v>
      </c>
      <c r="N3" s="66">
        <f>DDH!$B$18</f>
        <v>875</v>
      </c>
      <c r="O3" s="66">
        <f>DDH!$B$19</f>
        <v>972</v>
      </c>
    </row>
    <row r="4" spans="1:15">
      <c r="B4" s="61" t="s">
        <v>25</v>
      </c>
      <c r="C4" s="67">
        <f t="shared" si="0"/>
        <v>-235</v>
      </c>
      <c r="D4" s="112">
        <f>D2-D3</f>
        <v>51</v>
      </c>
      <c r="E4" s="112">
        <f t="shared" ref="E4:O4" si="1">E2-E3</f>
        <v>-303</v>
      </c>
      <c r="F4" s="112">
        <f t="shared" si="1"/>
        <v>-163</v>
      </c>
      <c r="G4" s="112">
        <f t="shared" si="1"/>
        <v>42</v>
      </c>
      <c r="H4" s="112">
        <f t="shared" si="1"/>
        <v>118</v>
      </c>
      <c r="I4" s="112">
        <f t="shared" si="1"/>
        <v>41</v>
      </c>
      <c r="J4" s="112">
        <f t="shared" si="1"/>
        <v>18</v>
      </c>
      <c r="K4" s="112">
        <f t="shared" si="1"/>
        <v>27</v>
      </c>
      <c r="L4" s="112">
        <f t="shared" si="1"/>
        <v>-51</v>
      </c>
      <c r="M4" s="68">
        <f t="shared" si="1"/>
        <v>-163</v>
      </c>
      <c r="N4" s="68">
        <f t="shared" si="1"/>
        <v>-12</v>
      </c>
      <c r="O4" s="68">
        <f t="shared" si="1"/>
        <v>160</v>
      </c>
    </row>
    <row r="5" spans="1:15">
      <c r="B5" s="61" t="s">
        <v>246</v>
      </c>
      <c r="C5" s="66">
        <f t="shared" si="0"/>
        <v>503</v>
      </c>
      <c r="D5" s="202">
        <f>DDH!$E$8</f>
        <v>0</v>
      </c>
      <c r="E5" s="202">
        <f>DDH!$E$9</f>
        <v>0</v>
      </c>
      <c r="F5" s="202">
        <f>DDH!$E$10</f>
        <v>0</v>
      </c>
      <c r="G5" s="202">
        <f>DDH!$E$11</f>
        <v>0</v>
      </c>
      <c r="H5" s="202">
        <f>DDH!$E$12</f>
        <v>15</v>
      </c>
      <c r="I5" s="202">
        <f>DDH!$E$13</f>
        <v>52</v>
      </c>
      <c r="J5" s="202">
        <f>DDH!$E$14</f>
        <v>209</v>
      </c>
      <c r="K5" s="202">
        <f>DDH!$E$15</f>
        <v>185</v>
      </c>
      <c r="L5" s="202">
        <f>DDH!$E$16</f>
        <v>41</v>
      </c>
      <c r="M5" s="66">
        <f>DDH!$E$17</f>
        <v>1</v>
      </c>
      <c r="N5" s="66">
        <f>DDH!$E$18</f>
        <v>0</v>
      </c>
      <c r="O5" s="66">
        <f>DDH!$E$19</f>
        <v>0</v>
      </c>
    </row>
    <row r="6" spans="1:15">
      <c r="B6" s="61" t="s">
        <v>247</v>
      </c>
      <c r="C6" s="66">
        <f t="shared" si="0"/>
        <v>523</v>
      </c>
      <c r="D6" s="202">
        <f>DDH!$C$8</f>
        <v>0</v>
      </c>
      <c r="E6" s="202">
        <f>DDH!$C$9</f>
        <v>0</v>
      </c>
      <c r="F6" s="202">
        <f>DDH!$C$10</f>
        <v>0</v>
      </c>
      <c r="G6" s="202">
        <f>DDH!$C$11</f>
        <v>0</v>
      </c>
      <c r="H6" s="202">
        <f>DDH!$C$12</f>
        <v>14</v>
      </c>
      <c r="I6" s="202">
        <f>DDH!$C$13</f>
        <v>87</v>
      </c>
      <c r="J6" s="202">
        <f>DDH!$C$14</f>
        <v>152</v>
      </c>
      <c r="K6" s="202">
        <f>DDH!$C$15</f>
        <v>230</v>
      </c>
      <c r="L6" s="202">
        <f>DDH!$C$16</f>
        <v>40</v>
      </c>
      <c r="M6" s="66">
        <f>DDH!$C$17</f>
        <v>0</v>
      </c>
      <c r="N6" s="66">
        <f>DDH!$C$18</f>
        <v>0</v>
      </c>
      <c r="O6" s="66">
        <f>DDH!$C$19</f>
        <v>0</v>
      </c>
    </row>
    <row r="7" spans="1:15">
      <c r="B7" s="61" t="s">
        <v>26</v>
      </c>
      <c r="C7" s="69">
        <f t="shared" si="0"/>
        <v>-20</v>
      </c>
      <c r="D7" s="112">
        <f>DDH!G8</f>
        <v>0</v>
      </c>
      <c r="E7" s="112">
        <f>DDH!$G9</f>
        <v>0</v>
      </c>
      <c r="F7" s="112">
        <f>DDH!$G10</f>
        <v>0</v>
      </c>
      <c r="G7" s="112">
        <f>DDH!$G11</f>
        <v>0</v>
      </c>
      <c r="H7" s="112">
        <f>DDH!$G12</f>
        <v>1</v>
      </c>
      <c r="I7" s="112">
        <f>DDH!$G13</f>
        <v>-35</v>
      </c>
      <c r="J7" s="112">
        <f>DDH!$G14</f>
        <v>57</v>
      </c>
      <c r="K7" s="112">
        <f>DDH!$G15</f>
        <v>-45</v>
      </c>
      <c r="L7" s="112">
        <f>DDH!$G16</f>
        <v>1</v>
      </c>
      <c r="M7" s="68">
        <f>DDH!$G17</f>
        <v>1</v>
      </c>
      <c r="N7" s="68">
        <f>DDH!$G18</f>
        <v>0</v>
      </c>
      <c r="O7" s="68">
        <f>DDH!$G19</f>
        <v>0</v>
      </c>
    </row>
    <row r="9" spans="1:15">
      <c r="A9" s="60" t="s">
        <v>11</v>
      </c>
    </row>
    <row r="10" spans="1:15" ht="6.75" customHeight="1"/>
    <row r="11" spans="1:15">
      <c r="A11" s="60" t="s">
        <v>27</v>
      </c>
      <c r="C11" s="70">
        <f>SUM(D11:O11)</f>
        <v>-35858069</v>
      </c>
      <c r="D11" s="195">
        <f>D12*D13*D$4+D12*D14*D$7</f>
        <v>6683941</v>
      </c>
      <c r="E11" s="195">
        <f t="shared" ref="E11:O11" si="2">E12*E13*E$4+E12*E14*E$7</f>
        <v>-38586897</v>
      </c>
      <c r="F11" s="195">
        <f t="shared" si="2"/>
        <v>-21820475</v>
      </c>
      <c r="G11" s="195">
        <f t="shared" si="2"/>
        <v>4045887</v>
      </c>
      <c r="H11" s="195">
        <f t="shared" si="2"/>
        <v>11850868</v>
      </c>
      <c r="I11" s="195">
        <f t="shared" si="2"/>
        <v>-5307066</v>
      </c>
      <c r="J11" s="195">
        <f t="shared" si="2"/>
        <v>15150402</v>
      </c>
      <c r="K11" s="195">
        <f t="shared" si="2"/>
        <v>-11998999</v>
      </c>
      <c r="L11" s="195">
        <f t="shared" si="2"/>
        <v>259188</v>
      </c>
      <c r="M11" s="70">
        <f t="shared" si="2"/>
        <v>-16096417</v>
      </c>
      <c r="N11" s="70">
        <f t="shared" si="2"/>
        <v>-1174373</v>
      </c>
      <c r="O11" s="70">
        <f t="shared" si="2"/>
        <v>21135872</v>
      </c>
    </row>
    <row r="12" spans="1:15">
      <c r="A12" s="60" t="s">
        <v>28</v>
      </c>
      <c r="C12" s="70">
        <f>AVERAGE(D12:O12)</f>
        <v>218287</v>
      </c>
      <c r="D12" s="195">
        <f>'Cust Data'!F122</f>
        <v>218066</v>
      </c>
      <c r="E12" s="195">
        <f>'Cust Data'!G122</f>
        <v>211896</v>
      </c>
      <c r="F12" s="195">
        <f>'Cust Data'!H122</f>
        <v>222742</v>
      </c>
      <c r="G12" s="195">
        <f>'Cust Data'!I122</f>
        <v>215988</v>
      </c>
      <c r="H12" s="195">
        <f>'Cust Data'!J122</f>
        <v>220080</v>
      </c>
      <c r="I12" s="195">
        <f>'Cust Data'!K122</f>
        <v>217378</v>
      </c>
      <c r="J12" s="195">
        <f>'Cust Data'!L122</f>
        <v>217866</v>
      </c>
      <c r="K12" s="195">
        <f>'Cust Data'!M122</f>
        <v>218561</v>
      </c>
      <c r="L12" s="195">
        <f>'Cust Data'!N122</f>
        <v>212449</v>
      </c>
      <c r="M12" s="70">
        <f>'Cust Data'!O122</f>
        <v>225194</v>
      </c>
      <c r="N12" s="70">
        <f>'Cust Data'!P122</f>
        <v>219427</v>
      </c>
      <c r="O12" s="70">
        <f>'Cust Data'!Q122</f>
        <v>219799</v>
      </c>
    </row>
    <row r="13" spans="1:15">
      <c r="A13" s="60" t="s">
        <v>29</v>
      </c>
      <c r="C13" s="71"/>
      <c r="D13" s="203">
        <f>'Electric Factors'!$E$8</f>
        <v>0.60099999999999998</v>
      </c>
      <c r="E13" s="203">
        <f>'Electric Factors'!$E$8</f>
        <v>0.60099999999999998</v>
      </c>
      <c r="F13" s="203">
        <f>'Electric Factors'!$E$8</f>
        <v>0.60099999999999998</v>
      </c>
      <c r="G13" s="203">
        <f>'Electric Factors'!$D$8</f>
        <v>0.44600000000000001</v>
      </c>
      <c r="H13" s="203">
        <f>'Electric Factors'!$D$8</f>
        <v>0.44600000000000001</v>
      </c>
      <c r="I13" s="203">
        <f>'Electric Factors'!$D$8</f>
        <v>0.44600000000000001</v>
      </c>
      <c r="J13" s="203">
        <v>0</v>
      </c>
      <c r="K13" s="203">
        <v>0</v>
      </c>
      <c r="L13" s="203">
        <v>0</v>
      </c>
      <c r="M13" s="71">
        <f>'Electric Factors'!$D$8</f>
        <v>0.44600000000000001</v>
      </c>
      <c r="N13" s="71">
        <f>'Electric Factors'!$D$8</f>
        <v>0.44600000000000001</v>
      </c>
      <c r="O13" s="71">
        <f>'Electric Factors'!$E$8</f>
        <v>0.60099999999999998</v>
      </c>
    </row>
    <row r="14" spans="1:15">
      <c r="A14" s="60" t="s">
        <v>30</v>
      </c>
      <c r="C14" s="70"/>
      <c r="D14" s="203">
        <v>0</v>
      </c>
      <c r="E14" s="203">
        <v>0</v>
      </c>
      <c r="F14" s="203">
        <v>0</v>
      </c>
      <c r="G14" s="203">
        <f>'Electric Factors'!$F$8</f>
        <v>1.22</v>
      </c>
      <c r="H14" s="203">
        <f>'Electric Factors'!$F$8</f>
        <v>1.22</v>
      </c>
      <c r="I14" s="203">
        <f>'Electric Factors'!$G$8</f>
        <v>1.22</v>
      </c>
      <c r="J14" s="203">
        <f>'Electric Factors'!$G$8</f>
        <v>1.22</v>
      </c>
      <c r="K14" s="203">
        <f>'Electric Factors'!$G$8</f>
        <v>1.22</v>
      </c>
      <c r="L14" s="203">
        <f>'Electric Factors'!$G$8</f>
        <v>1.22</v>
      </c>
      <c r="M14" s="71">
        <f>'Electric Factors'!$F$8</f>
        <v>1.22</v>
      </c>
      <c r="N14" s="71">
        <f>'Electric Factors'!$F$8</f>
        <v>1.22</v>
      </c>
      <c r="O14" s="71">
        <v>0</v>
      </c>
    </row>
    <row r="15" spans="1:15" ht="6.75" customHeight="1">
      <c r="C15" s="70"/>
      <c r="D15" s="165"/>
      <c r="E15" s="165"/>
      <c r="F15" s="165"/>
      <c r="G15" s="165"/>
      <c r="H15" s="165"/>
      <c r="I15" s="165"/>
      <c r="J15" s="165"/>
      <c r="K15" s="165"/>
      <c r="L15" s="165"/>
      <c r="M15" s="72"/>
      <c r="N15" s="72"/>
      <c r="O15" s="72"/>
    </row>
    <row r="16" spans="1:15">
      <c r="A16" s="60" t="s">
        <v>31</v>
      </c>
      <c r="C16" s="70">
        <f>SUM(D16:O16)</f>
        <v>-846183</v>
      </c>
      <c r="D16" s="195">
        <f t="shared" ref="D16:O16" si="3">D17*D18*D$4+D17*D19*D$7</f>
        <v>173282</v>
      </c>
      <c r="E16" s="195">
        <f t="shared" si="3"/>
        <v>-1000888</v>
      </c>
      <c r="F16" s="195">
        <f t="shared" si="3"/>
        <v>-566523</v>
      </c>
      <c r="G16" s="195">
        <f t="shared" si="3"/>
        <v>113325</v>
      </c>
      <c r="H16" s="195">
        <f t="shared" si="3"/>
        <v>324534</v>
      </c>
      <c r="I16" s="195">
        <f t="shared" si="3"/>
        <v>6048</v>
      </c>
      <c r="J16" s="195">
        <f t="shared" si="3"/>
        <v>171480</v>
      </c>
      <c r="K16" s="195">
        <f t="shared" si="3"/>
        <v>-135810</v>
      </c>
      <c r="L16" s="195">
        <f t="shared" si="3"/>
        <v>2951</v>
      </c>
      <c r="M16" s="70">
        <f t="shared" si="3"/>
        <v>-452177</v>
      </c>
      <c r="N16" s="70">
        <f t="shared" si="3"/>
        <v>-32492</v>
      </c>
      <c r="O16" s="70">
        <f t="shared" si="3"/>
        <v>550087</v>
      </c>
    </row>
    <row r="17" spans="1:15">
      <c r="A17" s="60" t="s">
        <v>28</v>
      </c>
      <c r="C17" s="70">
        <f>AVERAGE(D17:O17)</f>
        <v>9724</v>
      </c>
      <c r="D17" s="195">
        <f>'Cust Data'!F123</f>
        <v>9680</v>
      </c>
      <c r="E17" s="195">
        <f>'Cust Data'!G123</f>
        <v>9411</v>
      </c>
      <c r="F17" s="195">
        <f>'Cust Data'!H123</f>
        <v>9902</v>
      </c>
      <c r="G17" s="195">
        <f>'Cust Data'!I123</f>
        <v>9671</v>
      </c>
      <c r="H17" s="195">
        <f>'Cust Data'!J123</f>
        <v>9766</v>
      </c>
      <c r="I17" s="195">
        <f>'Cust Data'!K123</f>
        <v>9692</v>
      </c>
      <c r="J17" s="195">
        <f>'Cust Data'!L123</f>
        <v>9736</v>
      </c>
      <c r="K17" s="195">
        <f>'Cust Data'!M123</f>
        <v>9767</v>
      </c>
      <c r="L17" s="195">
        <f>'Cust Data'!N123</f>
        <v>9551</v>
      </c>
      <c r="M17" s="70">
        <f>'Cust Data'!O123</f>
        <v>10011</v>
      </c>
      <c r="N17" s="70">
        <f>'Cust Data'!P123</f>
        <v>9705</v>
      </c>
      <c r="O17" s="70">
        <f>'Cust Data'!Q123</f>
        <v>9795</v>
      </c>
    </row>
    <row r="18" spans="1:15">
      <c r="A18" s="60" t="s">
        <v>29</v>
      </c>
      <c r="C18" s="70"/>
      <c r="D18" s="203">
        <f>'Electric Factors'!$E$9</f>
        <v>0.35099999999999998</v>
      </c>
      <c r="E18" s="203">
        <f>'Electric Factors'!$E$9</f>
        <v>0.35099999999999998</v>
      </c>
      <c r="F18" s="203">
        <f>'Electric Factors'!$E$9</f>
        <v>0.35099999999999998</v>
      </c>
      <c r="G18" s="203">
        <f>'Electric Factors'!$D$9</f>
        <v>0.27900000000000003</v>
      </c>
      <c r="H18" s="203">
        <f>'Electric Factors'!$D$9</f>
        <v>0.27900000000000003</v>
      </c>
      <c r="I18" s="203">
        <f>'Electric Factors'!$D$9</f>
        <v>0.27900000000000003</v>
      </c>
      <c r="J18" s="203">
        <v>0</v>
      </c>
      <c r="K18" s="203">
        <v>0</v>
      </c>
      <c r="L18" s="203">
        <v>0</v>
      </c>
      <c r="M18" s="71">
        <f>'Electric Factors'!$D$9</f>
        <v>0.27900000000000003</v>
      </c>
      <c r="N18" s="71">
        <f>'Electric Factors'!$D$9</f>
        <v>0.27900000000000003</v>
      </c>
      <c r="O18" s="71">
        <f>'Electric Factors'!$E$9</f>
        <v>0.35099999999999998</v>
      </c>
    </row>
    <row r="19" spans="1:15">
      <c r="A19" s="60" t="s">
        <v>30</v>
      </c>
      <c r="C19" s="70"/>
      <c r="D19" s="203">
        <v>0</v>
      </c>
      <c r="E19" s="203">
        <v>0</v>
      </c>
      <c r="F19" s="203">
        <v>0</v>
      </c>
      <c r="G19" s="203">
        <f>'Electric Factors'!$F$9</f>
        <v>0.309</v>
      </c>
      <c r="H19" s="203">
        <f>'Electric Factors'!$F$9</f>
        <v>0.309</v>
      </c>
      <c r="I19" s="203">
        <f>'Electric Factors'!$G$9</f>
        <v>0.309</v>
      </c>
      <c r="J19" s="203">
        <f>'Electric Factors'!$G$9</f>
        <v>0.309</v>
      </c>
      <c r="K19" s="203">
        <f>'Electric Factors'!$G$9</f>
        <v>0.309</v>
      </c>
      <c r="L19" s="203">
        <f>'Electric Factors'!$G$9</f>
        <v>0.309</v>
      </c>
      <c r="M19" s="71">
        <f>'Electric Factors'!$F$9</f>
        <v>0.309</v>
      </c>
      <c r="N19" s="71">
        <f>'Electric Factors'!$F$9</f>
        <v>0.309</v>
      </c>
      <c r="O19" s="71">
        <v>0</v>
      </c>
    </row>
    <row r="20" spans="1:15" ht="6.75" customHeight="1">
      <c r="C20" s="70"/>
      <c r="D20" s="195"/>
      <c r="E20" s="195"/>
      <c r="F20" s="195"/>
      <c r="G20" s="195"/>
      <c r="H20" s="195"/>
      <c r="I20" s="195"/>
      <c r="J20" s="195"/>
      <c r="K20" s="195"/>
      <c r="L20" s="195"/>
      <c r="M20" s="70"/>
      <c r="N20" s="70"/>
      <c r="O20" s="70"/>
    </row>
    <row r="21" spans="1:15">
      <c r="A21" s="60" t="s">
        <v>32</v>
      </c>
      <c r="C21" s="70">
        <f>SUM(D21:O21)</f>
        <v>-3205454</v>
      </c>
      <c r="D21" s="195">
        <f t="shared" ref="D21:O21" si="4">D22*D23*D$4+D22*D24*D$7</f>
        <v>540441</v>
      </c>
      <c r="E21" s="195">
        <f t="shared" si="4"/>
        <v>-3122797</v>
      </c>
      <c r="F21" s="195">
        <f t="shared" si="4"/>
        <v>-1754806</v>
      </c>
      <c r="G21" s="195">
        <f t="shared" si="4"/>
        <v>209600</v>
      </c>
      <c r="H21" s="195">
        <f t="shared" si="4"/>
        <v>626098</v>
      </c>
      <c r="I21" s="195">
        <f t="shared" si="4"/>
        <v>-971577</v>
      </c>
      <c r="J21" s="195">
        <f t="shared" si="4"/>
        <v>1917840</v>
      </c>
      <c r="K21" s="195">
        <f t="shared" si="4"/>
        <v>-1516615</v>
      </c>
      <c r="L21" s="195">
        <f t="shared" si="4"/>
        <v>33084</v>
      </c>
      <c r="M21" s="70">
        <f t="shared" si="4"/>
        <v>-798647</v>
      </c>
      <c r="N21" s="70">
        <f t="shared" si="4"/>
        <v>-59857</v>
      </c>
      <c r="O21" s="70">
        <f t="shared" si="4"/>
        <v>1691782</v>
      </c>
    </row>
    <row r="22" spans="1:15">
      <c r="A22" s="60" t="s">
        <v>28</v>
      </c>
      <c r="C22" s="70">
        <f>AVERAGE(D22:O22)</f>
        <v>22735</v>
      </c>
      <c r="D22" s="195">
        <f>'Cust Data'!F124</f>
        <v>22789</v>
      </c>
      <c r="E22" s="195">
        <f>'Cust Data'!G124</f>
        <v>22164</v>
      </c>
      <c r="F22" s="195">
        <f>'Cust Data'!H124</f>
        <v>23152</v>
      </c>
      <c r="G22" s="195">
        <f>'Cust Data'!I124</f>
        <v>22684</v>
      </c>
      <c r="H22" s="195">
        <f>'Cust Data'!J124</f>
        <v>22817</v>
      </c>
      <c r="I22" s="195">
        <f>'Cust Data'!K124</f>
        <v>22711</v>
      </c>
      <c r="J22" s="195">
        <f>'Cust Data'!L124</f>
        <v>22734</v>
      </c>
      <c r="K22" s="195">
        <f>'Cust Data'!M124</f>
        <v>22772</v>
      </c>
      <c r="L22" s="195">
        <f>'Cust Data'!N124</f>
        <v>22354</v>
      </c>
      <c r="M22" s="70">
        <f>'Cust Data'!O124</f>
        <v>23230</v>
      </c>
      <c r="N22" s="70">
        <f>'Cust Data'!P124</f>
        <v>22673</v>
      </c>
      <c r="O22" s="70">
        <f>'Cust Data'!Q124</f>
        <v>22739</v>
      </c>
    </row>
    <row r="23" spans="1:15">
      <c r="A23" s="60" t="s">
        <v>29</v>
      </c>
      <c r="C23" s="70"/>
      <c r="D23" s="203">
        <f>'Electric Factors'!$E$10</f>
        <v>0.46500000000000002</v>
      </c>
      <c r="E23" s="203">
        <f>'Electric Factors'!$E$10</f>
        <v>0.46500000000000002</v>
      </c>
      <c r="F23" s="203">
        <f>'Electric Factors'!$E$10</f>
        <v>0.46500000000000002</v>
      </c>
      <c r="G23" s="203">
        <f>'Electric Factors'!$D$10</f>
        <v>0.22</v>
      </c>
      <c r="H23" s="203">
        <f>'Electric Factors'!$D$10</f>
        <v>0.22</v>
      </c>
      <c r="I23" s="203">
        <f>'Electric Factors'!$D$10</f>
        <v>0.22</v>
      </c>
      <c r="J23" s="203">
        <v>0</v>
      </c>
      <c r="K23" s="203">
        <v>0</v>
      </c>
      <c r="L23" s="203">
        <v>0</v>
      </c>
      <c r="M23" s="71">
        <f>'Electric Factors'!$D$10</f>
        <v>0.22</v>
      </c>
      <c r="N23" s="71">
        <f>'Electric Factors'!$D$10</f>
        <v>0.22</v>
      </c>
      <c r="O23" s="71">
        <f>'Electric Factors'!$E$10</f>
        <v>0.46500000000000002</v>
      </c>
    </row>
    <row r="24" spans="1:15">
      <c r="A24" s="60" t="s">
        <v>30</v>
      </c>
      <c r="C24" s="70"/>
      <c r="D24" s="203">
        <v>0</v>
      </c>
      <c r="E24" s="203">
        <v>0</v>
      </c>
      <c r="F24" s="203">
        <v>0</v>
      </c>
      <c r="G24" s="203">
        <f>'Electric Factors'!$F$10</f>
        <v>1.48</v>
      </c>
      <c r="H24" s="203">
        <f>'Electric Factors'!$F$10</f>
        <v>1.48</v>
      </c>
      <c r="I24" s="203">
        <f>'Electric Factors'!$G$10</f>
        <v>1.48</v>
      </c>
      <c r="J24" s="203">
        <f>'Electric Factors'!$G$10</f>
        <v>1.48</v>
      </c>
      <c r="K24" s="203">
        <f>'Electric Factors'!$G$10</f>
        <v>1.48</v>
      </c>
      <c r="L24" s="203">
        <f>'Electric Factors'!$G$10</f>
        <v>1.48</v>
      </c>
      <c r="M24" s="71">
        <f>'Electric Factors'!$F$10</f>
        <v>1.48</v>
      </c>
      <c r="N24" s="71">
        <f>'Electric Factors'!$F$10</f>
        <v>1.48</v>
      </c>
      <c r="O24" s="71">
        <v>0</v>
      </c>
    </row>
    <row r="25" spans="1:15" ht="6.75" customHeight="1">
      <c r="C25" s="70"/>
      <c r="D25" s="195"/>
      <c r="E25" s="195"/>
      <c r="F25" s="195"/>
      <c r="G25" s="195"/>
      <c r="H25" s="195"/>
      <c r="I25" s="195"/>
      <c r="J25" s="195"/>
      <c r="K25" s="195"/>
      <c r="L25" s="195"/>
      <c r="M25" s="70"/>
      <c r="N25" s="70"/>
      <c r="O25" s="70"/>
    </row>
    <row r="26" spans="1:15">
      <c r="A26" s="60" t="s">
        <v>33</v>
      </c>
      <c r="C26" s="70">
        <f>SUM(D26:O26)</f>
        <v>-57771</v>
      </c>
      <c r="D26" s="195">
        <f t="shared" ref="D26:O26" si="5">D27*D28*D$4+D27*D29*D$7</f>
        <v>11380</v>
      </c>
      <c r="E26" s="195">
        <f t="shared" si="5"/>
        <v>-66014</v>
      </c>
      <c r="F26" s="195">
        <f t="shared" si="5"/>
        <v>-36944</v>
      </c>
      <c r="G26" s="195">
        <f t="shared" si="5"/>
        <v>5627</v>
      </c>
      <c r="H26" s="195">
        <f t="shared" si="5"/>
        <v>14975</v>
      </c>
      <c r="I26" s="195">
        <f t="shared" si="5"/>
        <v>-515</v>
      </c>
      <c r="J26" s="195">
        <f t="shared" si="5"/>
        <v>9465</v>
      </c>
      <c r="K26" s="195">
        <f t="shared" si="5"/>
        <v>-7533</v>
      </c>
      <c r="L26" s="195">
        <f t="shared" si="5"/>
        <v>167</v>
      </c>
      <c r="M26" s="70">
        <f t="shared" si="5"/>
        <v>-21668</v>
      </c>
      <c r="N26" s="70">
        <f t="shared" si="5"/>
        <v>-1570</v>
      </c>
      <c r="O26" s="70">
        <f t="shared" si="5"/>
        <v>34859</v>
      </c>
    </row>
    <row r="27" spans="1:15">
      <c r="A27" s="60" t="s">
        <v>28</v>
      </c>
      <c r="C27" s="70">
        <f>AVERAGE(D27:O27)</f>
        <v>125</v>
      </c>
      <c r="D27" s="195">
        <f>'Cust Data'!F125</f>
        <v>127</v>
      </c>
      <c r="E27" s="195">
        <f>'Cust Data'!G125</f>
        <v>124</v>
      </c>
      <c r="F27" s="195">
        <f>'Cust Data'!H125</f>
        <v>129</v>
      </c>
      <c r="G27" s="195">
        <f>'Cust Data'!I125</f>
        <v>127</v>
      </c>
      <c r="H27" s="195">
        <f>'Cust Data'!J125</f>
        <v>119</v>
      </c>
      <c r="I27" s="195">
        <f>'Cust Data'!K125</f>
        <v>129</v>
      </c>
      <c r="J27" s="195">
        <f>'Cust Data'!L125</f>
        <v>123</v>
      </c>
      <c r="K27" s="195">
        <f>'Cust Data'!M125</f>
        <v>124</v>
      </c>
      <c r="L27" s="195">
        <f>'Cust Data'!N125</f>
        <v>124</v>
      </c>
      <c r="M27" s="70">
        <f>'Cust Data'!O125</f>
        <v>127</v>
      </c>
      <c r="N27" s="70">
        <f>'Cust Data'!P125</f>
        <v>124</v>
      </c>
      <c r="O27" s="70">
        <f>'Cust Data'!Q125</f>
        <v>124</v>
      </c>
    </row>
    <row r="28" spans="1:15">
      <c r="A28" s="60" t="s">
        <v>29</v>
      </c>
      <c r="C28" s="70"/>
      <c r="D28" s="203">
        <f>'Electric Factors'!$E$11</f>
        <v>1.7569999999999999</v>
      </c>
      <c r="E28" s="203">
        <f>'Electric Factors'!$E$11</f>
        <v>1.7569999999999999</v>
      </c>
      <c r="F28" s="203">
        <f>'Electric Factors'!$E$11</f>
        <v>1.7569999999999999</v>
      </c>
      <c r="G28" s="203">
        <f>'Electric Factors'!$D$11</f>
        <v>1.0549999999999999</v>
      </c>
      <c r="H28" s="203">
        <f>'Electric Factors'!$D$11</f>
        <v>1.0549999999999999</v>
      </c>
      <c r="I28" s="203">
        <f>'Electric Factors'!$D$11</f>
        <v>1.0549999999999999</v>
      </c>
      <c r="J28" s="203">
        <v>0</v>
      </c>
      <c r="K28" s="203">
        <v>0</v>
      </c>
      <c r="L28" s="203">
        <v>0</v>
      </c>
      <c r="M28" s="71">
        <f>'Electric Factors'!$D$11</f>
        <v>1.0549999999999999</v>
      </c>
      <c r="N28" s="71">
        <f>'Electric Factors'!$D$11</f>
        <v>1.0549999999999999</v>
      </c>
      <c r="O28" s="71">
        <f>'Electric Factors'!$E$11</f>
        <v>1.7569999999999999</v>
      </c>
    </row>
    <row r="29" spans="1:15">
      <c r="A29" s="60" t="s">
        <v>30</v>
      </c>
      <c r="C29" s="70"/>
      <c r="D29" s="203">
        <v>0</v>
      </c>
      <c r="E29" s="203">
        <v>0</v>
      </c>
      <c r="F29" s="203">
        <v>0</v>
      </c>
      <c r="G29" s="203">
        <f>'Electric Factors'!$F$11</f>
        <v>1.35</v>
      </c>
      <c r="H29" s="203">
        <f>'Electric Factors'!$F$11</f>
        <v>1.35</v>
      </c>
      <c r="I29" s="203">
        <f>'Electric Factors'!$G$11</f>
        <v>1.35</v>
      </c>
      <c r="J29" s="203">
        <f>'Electric Factors'!$G$11</f>
        <v>1.35</v>
      </c>
      <c r="K29" s="203">
        <f>'Electric Factors'!$G$11</f>
        <v>1.35</v>
      </c>
      <c r="L29" s="203">
        <f>'Electric Factors'!$G$11</f>
        <v>1.35</v>
      </c>
      <c r="M29" s="71">
        <f>'Electric Factors'!$F$11</f>
        <v>1.35</v>
      </c>
      <c r="N29" s="71">
        <f>'Electric Factors'!$F$11</f>
        <v>1.35</v>
      </c>
      <c r="O29" s="71">
        <v>0</v>
      </c>
    </row>
    <row r="30" spans="1:15" ht="6.75" customHeight="1">
      <c r="C30" s="70"/>
      <c r="D30" s="195"/>
      <c r="E30" s="195"/>
      <c r="F30" s="195"/>
      <c r="G30" s="195"/>
      <c r="H30" s="195"/>
      <c r="I30" s="195"/>
      <c r="J30" s="195"/>
      <c r="K30" s="195"/>
      <c r="L30" s="195"/>
      <c r="M30" s="70"/>
      <c r="N30" s="70"/>
      <c r="O30" s="70"/>
    </row>
    <row r="31" spans="1:15">
      <c r="A31" s="60" t="s">
        <v>34</v>
      </c>
      <c r="C31" s="70">
        <f>SUM(D31:O31)</f>
        <v>-349931</v>
      </c>
      <c r="D31" s="195">
        <f t="shared" ref="D31:O31" si="6">D32*D33*D$4+D32*D34*D$7</f>
        <v>70125</v>
      </c>
      <c r="E31" s="195">
        <f t="shared" si="6"/>
        <v>-366630</v>
      </c>
      <c r="F31" s="195">
        <f t="shared" si="6"/>
        <v>-224125</v>
      </c>
      <c r="G31" s="195">
        <f t="shared" si="6"/>
        <v>33177</v>
      </c>
      <c r="H31" s="195">
        <f t="shared" si="6"/>
        <v>97247</v>
      </c>
      <c r="I31" s="195">
        <f t="shared" si="6"/>
        <v>-38759</v>
      </c>
      <c r="J31" s="195">
        <f t="shared" si="6"/>
        <v>114551</v>
      </c>
      <c r="K31" s="195">
        <f t="shared" si="6"/>
        <v>-94284</v>
      </c>
      <c r="L31" s="195">
        <f t="shared" si="6"/>
        <v>1881</v>
      </c>
      <c r="M31" s="70">
        <f t="shared" si="6"/>
        <v>-140233</v>
      </c>
      <c r="N31" s="70">
        <f t="shared" si="6"/>
        <v>-9681</v>
      </c>
      <c r="O31" s="70">
        <f t="shared" si="6"/>
        <v>206800</v>
      </c>
    </row>
    <row r="32" spans="1:15">
      <c r="A32" s="60" t="s">
        <v>28</v>
      </c>
      <c r="C32" s="70">
        <f>AVERAGE(D32:O32)</f>
        <v>48</v>
      </c>
      <c r="D32" s="195">
        <f>'Cust Data'!F127</f>
        <v>50</v>
      </c>
      <c r="E32" s="195">
        <f>'Cust Data'!G127</f>
        <v>44</v>
      </c>
      <c r="F32" s="195">
        <f>'Cust Data'!H127</f>
        <v>50</v>
      </c>
      <c r="G32" s="195">
        <f>'Cust Data'!I127</f>
        <v>47</v>
      </c>
      <c r="H32" s="195">
        <f>'Cust Data'!J127</f>
        <v>48</v>
      </c>
      <c r="I32" s="195">
        <f>'Cust Data'!K127</f>
        <v>48</v>
      </c>
      <c r="J32" s="195">
        <f>'Cust Data'!L127</f>
        <v>47</v>
      </c>
      <c r="K32" s="195">
        <f>'Cust Data'!M127</f>
        <v>49</v>
      </c>
      <c r="L32" s="195">
        <f>'Cust Data'!N127</f>
        <v>44</v>
      </c>
      <c r="M32" s="70">
        <f>'Cust Data'!O127</f>
        <v>52</v>
      </c>
      <c r="N32" s="70">
        <f>'Cust Data'!P127</f>
        <v>48</v>
      </c>
      <c r="O32" s="70">
        <f>'Cust Data'!Q127</f>
        <v>47</v>
      </c>
    </row>
    <row r="33" spans="1:15">
      <c r="A33" s="60" t="s">
        <v>29</v>
      </c>
      <c r="C33" s="70"/>
      <c r="D33" s="203">
        <f>'Electric Factors'!$E$13</f>
        <v>27.5</v>
      </c>
      <c r="E33" s="203">
        <f>'Electric Factors'!$E$13</f>
        <v>27.5</v>
      </c>
      <c r="F33" s="203">
        <f>'Electric Factors'!$E$13</f>
        <v>27.5</v>
      </c>
      <c r="G33" s="203">
        <f>'Electric Factors'!$D$13</f>
        <v>16.806999999999999</v>
      </c>
      <c r="H33" s="203">
        <f>'Electric Factors'!$D$13</f>
        <v>16.806999999999999</v>
      </c>
      <c r="I33" s="203">
        <f>'Electric Factors'!$D$13</f>
        <v>16.806999999999999</v>
      </c>
      <c r="J33" s="203">
        <v>0</v>
      </c>
      <c r="K33" s="203">
        <v>0</v>
      </c>
      <c r="L33" s="203">
        <v>0</v>
      </c>
      <c r="M33" s="71">
        <f>'Electric Factors'!$D$13</f>
        <v>16.806999999999999</v>
      </c>
      <c r="N33" s="71">
        <f>'Electric Factors'!$D$13</f>
        <v>16.806999999999999</v>
      </c>
      <c r="O33" s="71">
        <f>'Electric Factors'!$E$13</f>
        <v>27.5</v>
      </c>
    </row>
    <row r="34" spans="1:15">
      <c r="A34" s="60" t="s">
        <v>30</v>
      </c>
      <c r="C34" s="70"/>
      <c r="D34" s="203">
        <v>0</v>
      </c>
      <c r="E34" s="203">
        <v>0</v>
      </c>
      <c r="F34" s="203">
        <v>0</v>
      </c>
      <c r="G34" s="203">
        <f>'Electric Factors'!$F$13</f>
        <v>42.759</v>
      </c>
      <c r="H34" s="203">
        <f>'Electric Factors'!$F$13</f>
        <v>42.759</v>
      </c>
      <c r="I34" s="203">
        <f>'Electric Factors'!$G$13</f>
        <v>42.759</v>
      </c>
      <c r="J34" s="203">
        <f>'Electric Factors'!$G$13</f>
        <v>42.759</v>
      </c>
      <c r="K34" s="203">
        <f>'Electric Factors'!$G$13</f>
        <v>42.759</v>
      </c>
      <c r="L34" s="203">
        <f>'Electric Factors'!$G$13</f>
        <v>42.759</v>
      </c>
      <c r="M34" s="71">
        <f>'Electric Factors'!$F$13</f>
        <v>42.759</v>
      </c>
      <c r="N34" s="71">
        <f>'Electric Factors'!$F$13</f>
        <v>42.759</v>
      </c>
      <c r="O34" s="71">
        <v>0</v>
      </c>
    </row>
    <row r="35" spans="1:15" ht="6.75" customHeight="1">
      <c r="C35" s="70"/>
      <c r="D35" s="195"/>
      <c r="E35" s="195"/>
      <c r="F35" s="195"/>
      <c r="G35" s="195"/>
      <c r="H35" s="195"/>
      <c r="I35" s="195"/>
      <c r="J35" s="195"/>
      <c r="K35" s="195"/>
      <c r="L35" s="195"/>
      <c r="M35" s="70"/>
      <c r="N35" s="70"/>
      <c r="O35" s="70"/>
    </row>
    <row r="36" spans="1:15">
      <c r="A36" s="60" t="s">
        <v>296</v>
      </c>
      <c r="C36" s="70">
        <f>SUM(D36:O36)</f>
        <v>-2311267</v>
      </c>
      <c r="D36" s="195">
        <f t="shared" ref="D36:O36" si="7">D37*D38*D$4+D37*D39*D$7</f>
        <v>307653</v>
      </c>
      <c r="E36" s="195">
        <f t="shared" si="7"/>
        <v>-1776130</v>
      </c>
      <c r="F36" s="195">
        <f t="shared" si="7"/>
        <v>-1011092</v>
      </c>
      <c r="G36" s="195">
        <f t="shared" si="7"/>
        <v>0</v>
      </c>
      <c r="H36" s="195">
        <f t="shared" si="7"/>
        <v>39975</v>
      </c>
      <c r="I36" s="195">
        <f t="shared" si="7"/>
        <v>-1418231</v>
      </c>
      <c r="J36" s="195">
        <f t="shared" si="7"/>
        <v>2309691</v>
      </c>
      <c r="K36" s="195">
        <f t="shared" si="7"/>
        <v>-1819347</v>
      </c>
      <c r="L36" s="195">
        <f t="shared" si="7"/>
        <v>39111</v>
      </c>
      <c r="M36" s="70">
        <f t="shared" si="7"/>
        <v>41544</v>
      </c>
      <c r="N36" s="70">
        <f t="shared" si="7"/>
        <v>0</v>
      </c>
      <c r="O36" s="70">
        <f t="shared" si="7"/>
        <v>975559</v>
      </c>
    </row>
    <row r="37" spans="1:15">
      <c r="A37" s="60" t="s">
        <v>28</v>
      </c>
      <c r="C37" s="70">
        <f>AVERAGE(D37:O37)</f>
        <v>1772</v>
      </c>
      <c r="D37" s="195">
        <f>'Cust Data'!F128</f>
        <v>1768</v>
      </c>
      <c r="E37" s="195">
        <f>'Cust Data'!G128</f>
        <v>1718</v>
      </c>
      <c r="F37" s="195">
        <f>'Cust Data'!H128</f>
        <v>1818</v>
      </c>
      <c r="G37" s="195">
        <f>'Cust Data'!I128</f>
        <v>1772</v>
      </c>
      <c r="H37" s="195">
        <f>'Cust Data'!J128</f>
        <v>1758</v>
      </c>
      <c r="I37" s="195">
        <f>'Cust Data'!K128</f>
        <v>1782</v>
      </c>
      <c r="J37" s="195">
        <f>'Cust Data'!L128</f>
        <v>1782</v>
      </c>
      <c r="K37" s="195">
        <f>'Cust Data'!M128</f>
        <v>1778</v>
      </c>
      <c r="L37" s="195">
        <f>'Cust Data'!N128</f>
        <v>1720</v>
      </c>
      <c r="M37" s="70">
        <f>'Cust Data'!O128</f>
        <v>1827</v>
      </c>
      <c r="N37" s="70">
        <f>'Cust Data'!P128</f>
        <v>1757</v>
      </c>
      <c r="O37" s="70">
        <f>'Cust Data'!Q128</f>
        <v>1787</v>
      </c>
    </row>
    <row r="38" spans="1:15">
      <c r="A38" s="60" t="s">
        <v>29</v>
      </c>
      <c r="C38" s="70"/>
      <c r="D38" s="203">
        <f>'Electric Factors'!$E$14</f>
        <v>3.4119999999999999</v>
      </c>
      <c r="E38" s="203">
        <f>'Electric Factors'!$E$14</f>
        <v>3.4119999999999999</v>
      </c>
      <c r="F38" s="203">
        <f>'Electric Factors'!$E$14</f>
        <v>3.4119999999999999</v>
      </c>
      <c r="G38" s="203">
        <f>'Electric Factors'!$D$14</f>
        <v>0</v>
      </c>
      <c r="H38" s="203">
        <f>'Electric Factors'!$D$14</f>
        <v>0</v>
      </c>
      <c r="I38" s="203">
        <f>'Electric Factors'!$D$14</f>
        <v>0</v>
      </c>
      <c r="J38" s="203">
        <v>0</v>
      </c>
      <c r="K38" s="203">
        <v>0</v>
      </c>
      <c r="L38" s="203">
        <v>0</v>
      </c>
      <c r="M38" s="71">
        <f>'Electric Factors'!$D$14</f>
        <v>0</v>
      </c>
      <c r="N38" s="71">
        <f>'Electric Factors'!$D$14</f>
        <v>0</v>
      </c>
      <c r="O38" s="71">
        <f>'Electric Factors'!$E$14</f>
        <v>3.4119999999999999</v>
      </c>
    </row>
    <row r="39" spans="1:15">
      <c r="A39" s="60" t="s">
        <v>30</v>
      </c>
      <c r="C39" s="70"/>
      <c r="D39" s="203">
        <v>0</v>
      </c>
      <c r="E39" s="203">
        <v>0</v>
      </c>
      <c r="F39" s="203">
        <v>0</v>
      </c>
      <c r="G39" s="203">
        <f>'Electric Factors'!$F$14</f>
        <v>22.739000000000001</v>
      </c>
      <c r="H39" s="203">
        <f>'Electric Factors'!$F$14</f>
        <v>22.739000000000001</v>
      </c>
      <c r="I39" s="203">
        <f>'Electric Factors'!$G$14</f>
        <v>22.739000000000001</v>
      </c>
      <c r="J39" s="203">
        <f>'Electric Factors'!$G$14</f>
        <v>22.739000000000001</v>
      </c>
      <c r="K39" s="203">
        <f>'Electric Factors'!$G$14</f>
        <v>22.739000000000001</v>
      </c>
      <c r="L39" s="203">
        <f>'Electric Factors'!$G$14</f>
        <v>22.739000000000001</v>
      </c>
      <c r="M39" s="71">
        <f>'Electric Factors'!$F$14</f>
        <v>22.739000000000001</v>
      </c>
      <c r="N39" s="71">
        <f>'Electric Factors'!$F$14</f>
        <v>22.739000000000001</v>
      </c>
      <c r="O39" s="71">
        <v>0</v>
      </c>
    </row>
    <row r="40" spans="1:15" ht="6" customHeight="1">
      <c r="C40" s="70"/>
      <c r="D40" s="203"/>
      <c r="E40" s="203"/>
      <c r="F40" s="203"/>
      <c r="G40" s="203"/>
      <c r="H40" s="203"/>
      <c r="I40" s="203"/>
      <c r="J40" s="203"/>
      <c r="K40" s="203"/>
      <c r="L40" s="203"/>
      <c r="M40" s="71"/>
      <c r="N40" s="71"/>
      <c r="O40" s="71"/>
    </row>
    <row r="41" spans="1:15">
      <c r="A41" s="60" t="s">
        <v>397</v>
      </c>
      <c r="C41" s="70">
        <f>SUM(D41:O41)</f>
        <v>-126150</v>
      </c>
      <c r="D41" s="195">
        <f t="shared" ref="D41:O41" si="8">D42*D43*D$4+D42*D44*D$7</f>
        <v>19969</v>
      </c>
      <c r="E41" s="195">
        <f t="shared" si="8"/>
        <v>-117079</v>
      </c>
      <c r="F41" s="195">
        <f t="shared" si="8"/>
        <v>-63823</v>
      </c>
      <c r="G41" s="195">
        <f t="shared" si="8"/>
        <v>0</v>
      </c>
      <c r="H41" s="195">
        <f t="shared" si="8"/>
        <v>1443</v>
      </c>
      <c r="I41" s="195">
        <f t="shared" si="8"/>
        <v>-54728</v>
      </c>
      <c r="J41" s="195">
        <f t="shared" si="8"/>
        <v>89129</v>
      </c>
      <c r="K41" s="195">
        <f t="shared" si="8"/>
        <v>-66757</v>
      </c>
      <c r="L41" s="195">
        <f t="shared" si="8"/>
        <v>1504</v>
      </c>
      <c r="M41" s="70">
        <f t="shared" si="8"/>
        <v>1544</v>
      </c>
      <c r="N41" s="70">
        <f t="shared" si="8"/>
        <v>0</v>
      </c>
      <c r="O41" s="70">
        <f t="shared" si="8"/>
        <v>62648</v>
      </c>
    </row>
    <row r="42" spans="1:15">
      <c r="A42" s="60" t="s">
        <v>28</v>
      </c>
      <c r="C42" s="70">
        <f>AVERAGE(D42:O42)</f>
        <v>76</v>
      </c>
      <c r="D42" s="195">
        <f>'Cust Data'!F129</f>
        <v>76</v>
      </c>
      <c r="E42" s="195">
        <f>'Cust Data'!G129</f>
        <v>75</v>
      </c>
      <c r="F42" s="195">
        <f>'Cust Data'!H129</f>
        <v>76</v>
      </c>
      <c r="G42" s="195">
        <f>'Cust Data'!I129</f>
        <v>77</v>
      </c>
      <c r="H42" s="195">
        <f>'Cust Data'!J129</f>
        <v>72</v>
      </c>
      <c r="I42" s="195">
        <f>'Cust Data'!K129</f>
        <v>78</v>
      </c>
      <c r="J42" s="195">
        <f>'Cust Data'!L129</f>
        <v>78</v>
      </c>
      <c r="K42" s="195">
        <f>'Cust Data'!M129</f>
        <v>74</v>
      </c>
      <c r="L42" s="195">
        <f>'Cust Data'!N129</f>
        <v>75</v>
      </c>
      <c r="M42" s="195">
        <f>'Cust Data'!O129</f>
        <v>77</v>
      </c>
      <c r="N42" s="195">
        <f>'Cust Data'!P129</f>
        <v>73</v>
      </c>
      <c r="O42" s="195">
        <f>'Cust Data'!Q129</f>
        <v>76</v>
      </c>
    </row>
    <row r="43" spans="1:15">
      <c r="A43" s="60" t="s">
        <v>29</v>
      </c>
      <c r="C43" s="70"/>
      <c r="D43" s="203">
        <f>'Electric Factors'!$E$15</f>
        <v>5.1520000000000001</v>
      </c>
      <c r="E43" s="203">
        <f>'Electric Factors'!$E$15</f>
        <v>5.1520000000000001</v>
      </c>
      <c r="F43" s="203">
        <f>'Electric Factors'!$E$15</f>
        <v>5.1520000000000001</v>
      </c>
      <c r="G43" s="203">
        <f>'Electric Factors'!$D$15</f>
        <v>0</v>
      </c>
      <c r="H43" s="203">
        <f>'Electric Factors'!$D$15</f>
        <v>0</v>
      </c>
      <c r="I43" s="203">
        <f>'Electric Factors'!$D$15</f>
        <v>0</v>
      </c>
      <c r="J43" s="203">
        <v>0</v>
      </c>
      <c r="K43" s="203">
        <v>0</v>
      </c>
      <c r="L43" s="203">
        <v>0</v>
      </c>
      <c r="M43" s="71">
        <f>'Electric Factors'!$D$15</f>
        <v>0</v>
      </c>
      <c r="N43" s="71">
        <f>'Electric Factors'!$D$15</f>
        <v>0</v>
      </c>
      <c r="O43" s="71">
        <f>'Electric Factors'!$E$15</f>
        <v>5.1520000000000001</v>
      </c>
    </row>
    <row r="44" spans="1:15">
      <c r="A44" s="60" t="s">
        <v>30</v>
      </c>
      <c r="C44" s="70"/>
      <c r="D44" s="203">
        <v>0</v>
      </c>
      <c r="E44" s="203">
        <v>0</v>
      </c>
      <c r="F44" s="203">
        <v>0</v>
      </c>
      <c r="G44" s="203">
        <f>'Electric Factors'!$F$15</f>
        <v>20.047000000000001</v>
      </c>
      <c r="H44" s="203">
        <f>'Electric Factors'!$F$15</f>
        <v>20.047000000000001</v>
      </c>
      <c r="I44" s="203">
        <f>'Electric Factors'!$G$15</f>
        <v>20.047000000000001</v>
      </c>
      <c r="J44" s="203">
        <f>'Electric Factors'!$G$15</f>
        <v>20.047000000000001</v>
      </c>
      <c r="K44" s="203">
        <f>'Electric Factors'!$G$15</f>
        <v>20.047000000000001</v>
      </c>
      <c r="L44" s="203">
        <f>'Electric Factors'!$G$15</f>
        <v>20.047000000000001</v>
      </c>
      <c r="M44" s="71">
        <f>'Electric Factors'!$F$15</f>
        <v>20.047000000000001</v>
      </c>
      <c r="N44" s="71">
        <f>'Electric Factors'!$F$15</f>
        <v>20.047000000000001</v>
      </c>
      <c r="O44" s="71">
        <v>0</v>
      </c>
    </row>
    <row r="45" spans="1:15" ht="6.75" customHeight="1">
      <c r="C45" s="70"/>
      <c r="D45" s="195"/>
      <c r="E45" s="195"/>
      <c r="F45" s="195"/>
      <c r="G45" s="195"/>
      <c r="H45" s="195"/>
      <c r="I45" s="195"/>
      <c r="J45" s="195"/>
      <c r="K45" s="195"/>
      <c r="L45" s="195"/>
      <c r="M45" s="70"/>
      <c r="N45" s="70"/>
      <c r="O45" s="70"/>
    </row>
    <row r="46" spans="1:15">
      <c r="A46" s="60" t="s">
        <v>39</v>
      </c>
      <c r="C46" s="70">
        <f>SUM(D46:O46)</f>
        <v>-17317498</v>
      </c>
      <c r="D46" s="195">
        <f t="shared" ref="D46:O46" si="9">D47*D48*D$4+D47*D49*D$7</f>
        <v>3299412</v>
      </c>
      <c r="E46" s="195">
        <f t="shared" si="9"/>
        <v>-19603644</v>
      </c>
      <c r="F46" s="195">
        <f t="shared" si="9"/>
        <v>-10553768</v>
      </c>
      <c r="G46" s="195">
        <f t="shared" si="9"/>
        <v>2107972</v>
      </c>
      <c r="H46" s="195">
        <f t="shared" si="9"/>
        <v>6037703</v>
      </c>
      <c r="I46" s="195">
        <f>I47*I48*I$4+I47*I49*I$7</f>
        <v>-1760675</v>
      </c>
      <c r="J46" s="195">
        <f t="shared" si="9"/>
        <v>6238801</v>
      </c>
      <c r="K46" s="195">
        <f t="shared" si="9"/>
        <v>-4933723</v>
      </c>
      <c r="L46" s="195">
        <f t="shared" si="9"/>
        <v>109884</v>
      </c>
      <c r="M46" s="70">
        <f t="shared" si="9"/>
        <v>-8154342</v>
      </c>
      <c r="N46" s="70">
        <f t="shared" si="9"/>
        <v>-608998</v>
      </c>
      <c r="O46" s="70">
        <f t="shared" si="9"/>
        <v>10503880</v>
      </c>
    </row>
    <row r="47" spans="1:15">
      <c r="A47" s="60" t="s">
        <v>28</v>
      </c>
      <c r="C47" s="70">
        <f>AVERAGE(D47:O47)</f>
        <v>109799</v>
      </c>
      <c r="D47" s="195">
        <f>'Cust Data'!F139</f>
        <v>109281</v>
      </c>
      <c r="E47" s="195">
        <f>'Cust Data'!G139</f>
        <v>109288</v>
      </c>
      <c r="F47" s="195">
        <f>'Cust Data'!H139</f>
        <v>109370</v>
      </c>
      <c r="G47" s="195">
        <f>'Cust Data'!I139</f>
        <v>109346</v>
      </c>
      <c r="H47" s="195">
        <f>'Cust Data'!J139</f>
        <v>109458</v>
      </c>
      <c r="I47" s="195">
        <f>'Cust Data'!K139</f>
        <v>109284</v>
      </c>
      <c r="J47" s="195">
        <f>'Cust Data'!L139</f>
        <v>109672</v>
      </c>
      <c r="K47" s="195">
        <f>'Cust Data'!M139</f>
        <v>109858</v>
      </c>
      <c r="L47" s="195">
        <f>'Cust Data'!N139</f>
        <v>110104</v>
      </c>
      <c r="M47" s="70">
        <f>'Cust Data'!O139</f>
        <v>110464</v>
      </c>
      <c r="N47" s="70">
        <f>'Cust Data'!P139</f>
        <v>110566</v>
      </c>
      <c r="O47" s="70">
        <f>'Cust Data'!Q139</f>
        <v>110894</v>
      </c>
    </row>
    <row r="48" spans="1:15">
      <c r="A48" s="60" t="s">
        <v>29</v>
      </c>
      <c r="C48" s="70"/>
      <c r="D48" s="203">
        <f>'Electric Factors'!$E$19</f>
        <v>0.59199999999999997</v>
      </c>
      <c r="E48" s="203">
        <f>'Electric Factors'!$E$19</f>
        <v>0.59199999999999997</v>
      </c>
      <c r="F48" s="203">
        <f>'Electric Factors'!$E$19</f>
        <v>0.59199999999999997</v>
      </c>
      <c r="G48" s="203">
        <f>'Electric Factors'!$D$19</f>
        <v>0.45900000000000002</v>
      </c>
      <c r="H48" s="203">
        <f>'Electric Factors'!$D$19</f>
        <v>0.45900000000000002</v>
      </c>
      <c r="I48" s="203">
        <f>'Electric Factors'!$D$19</f>
        <v>0.45900000000000002</v>
      </c>
      <c r="J48" s="203">
        <v>0</v>
      </c>
      <c r="K48" s="203">
        <v>0</v>
      </c>
      <c r="L48" s="203">
        <v>0</v>
      </c>
      <c r="M48" s="71">
        <f>'Electric Factors'!$D$19</f>
        <v>0.45900000000000002</v>
      </c>
      <c r="N48" s="71">
        <f>'Electric Factors'!$D$19</f>
        <v>0.45900000000000002</v>
      </c>
      <c r="O48" s="71">
        <f>'Electric Factors'!$E$19</f>
        <v>0.59199999999999997</v>
      </c>
    </row>
    <row r="49" spans="1:15">
      <c r="A49" s="60" t="s">
        <v>30</v>
      </c>
      <c r="C49" s="70"/>
      <c r="D49" s="203">
        <v>0</v>
      </c>
      <c r="E49" s="203">
        <v>0</v>
      </c>
      <c r="F49" s="203">
        <v>0</v>
      </c>
      <c r="G49" s="203">
        <f>'Electric Factors'!$F$19</f>
        <v>0.998</v>
      </c>
      <c r="H49" s="203">
        <f>'Electric Factors'!$F$19</f>
        <v>0.998</v>
      </c>
      <c r="I49" s="203">
        <f>'Electric Factors'!$G$19</f>
        <v>0.998</v>
      </c>
      <c r="J49" s="203">
        <f>'Electric Factors'!$G$19</f>
        <v>0.998</v>
      </c>
      <c r="K49" s="203">
        <f>'Electric Factors'!$G$19</f>
        <v>0.998</v>
      </c>
      <c r="L49" s="203">
        <f>'Electric Factors'!$G$19</f>
        <v>0.998</v>
      </c>
      <c r="M49" s="71">
        <f>'Electric Factors'!$F$19</f>
        <v>0.998</v>
      </c>
      <c r="N49" s="71">
        <f>'Electric Factors'!$F$19</f>
        <v>0.998</v>
      </c>
      <c r="O49" s="71">
        <v>0</v>
      </c>
    </row>
    <row r="50" spans="1:15" ht="6.75" customHeight="1">
      <c r="C50" s="70"/>
      <c r="D50" s="195"/>
      <c r="E50" s="195"/>
      <c r="F50" s="195"/>
      <c r="G50" s="195"/>
      <c r="H50" s="195"/>
      <c r="I50" s="195"/>
      <c r="J50" s="195"/>
      <c r="K50" s="195"/>
      <c r="L50" s="195"/>
      <c r="M50" s="70"/>
      <c r="N50" s="70"/>
      <c r="O50" s="70"/>
    </row>
    <row r="51" spans="1:15">
      <c r="A51" s="60" t="s">
        <v>35</v>
      </c>
      <c r="C51" s="70">
        <f>SUM(D51:O51)</f>
        <v>-394730</v>
      </c>
      <c r="D51" s="195">
        <f t="shared" ref="D51:O51" si="10">D52*D53*D$4+D52*D54*D$7</f>
        <v>80680</v>
      </c>
      <c r="E51" s="195">
        <f t="shared" si="10"/>
        <v>-476593</v>
      </c>
      <c r="F51" s="195">
        <f t="shared" si="10"/>
        <v>-258230</v>
      </c>
      <c r="G51" s="195">
        <f t="shared" si="10"/>
        <v>51855</v>
      </c>
      <c r="H51" s="195">
        <f t="shared" si="10"/>
        <v>148492</v>
      </c>
      <c r="I51" s="195">
        <f t="shared" si="10"/>
        <v>-4373</v>
      </c>
      <c r="J51" s="195">
        <f t="shared" si="10"/>
        <v>90844</v>
      </c>
      <c r="K51" s="195">
        <f t="shared" si="10"/>
        <v>-71555</v>
      </c>
      <c r="L51" s="195">
        <f t="shared" si="10"/>
        <v>1587</v>
      </c>
      <c r="M51" s="70">
        <f t="shared" si="10"/>
        <v>-205190</v>
      </c>
      <c r="N51" s="70">
        <f t="shared" si="10"/>
        <v>-15188</v>
      </c>
      <c r="O51" s="70">
        <f t="shared" si="10"/>
        <v>262941</v>
      </c>
    </row>
    <row r="52" spans="1:15">
      <c r="A52" s="60" t="s">
        <v>28</v>
      </c>
      <c r="C52" s="70">
        <f>AVERAGE(D52:O52)</f>
        <v>5666</v>
      </c>
      <c r="D52" s="195">
        <f>'Cust Data'!F140</f>
        <v>5590</v>
      </c>
      <c r="E52" s="195">
        <f>'Cust Data'!G140</f>
        <v>5558</v>
      </c>
      <c r="F52" s="195">
        <f>'Cust Data'!H140</f>
        <v>5598</v>
      </c>
      <c r="G52" s="195">
        <f>'Cust Data'!I140</f>
        <v>5612</v>
      </c>
      <c r="H52" s="195">
        <f>'Cust Data'!J140</f>
        <v>5659</v>
      </c>
      <c r="I52" s="195">
        <f>'Cust Data'!K140</f>
        <v>5607</v>
      </c>
      <c r="J52" s="195">
        <f>'Cust Data'!L140</f>
        <v>5692</v>
      </c>
      <c r="K52" s="195">
        <f>'Cust Data'!M140</f>
        <v>5679</v>
      </c>
      <c r="L52" s="195">
        <f>'Cust Data'!N140</f>
        <v>5667</v>
      </c>
      <c r="M52" s="70">
        <f>'Cust Data'!O140</f>
        <v>5767</v>
      </c>
      <c r="N52" s="70">
        <f>'Cust Data'!P140</f>
        <v>5753</v>
      </c>
      <c r="O52" s="70">
        <f>'Cust Data'!Q140</f>
        <v>5807</v>
      </c>
    </row>
    <row r="53" spans="1:15">
      <c r="A53" s="60" t="s">
        <v>29</v>
      </c>
      <c r="C53" s="70"/>
      <c r="D53" s="203">
        <f>'Electric Factors'!$E$20</f>
        <v>0.28299999999999997</v>
      </c>
      <c r="E53" s="203">
        <f>'Electric Factors'!$E$20</f>
        <v>0.28299999999999997</v>
      </c>
      <c r="F53" s="203">
        <f>'Electric Factors'!$E$20</f>
        <v>0.28299999999999997</v>
      </c>
      <c r="G53" s="203">
        <f>'Electric Factors'!$D$20</f>
        <v>0.22</v>
      </c>
      <c r="H53" s="203">
        <f>'Electric Factors'!$D$20</f>
        <v>0.22</v>
      </c>
      <c r="I53" s="203">
        <f>'Electric Factors'!$D$20</f>
        <v>0.22</v>
      </c>
      <c r="J53" s="203">
        <v>0</v>
      </c>
      <c r="K53" s="203">
        <v>0</v>
      </c>
      <c r="L53" s="203">
        <v>0</v>
      </c>
      <c r="M53" s="71">
        <f>'Electric Factors'!$D$20</f>
        <v>0.22</v>
      </c>
      <c r="N53" s="71">
        <f>'Electric Factors'!$D$20</f>
        <v>0.22</v>
      </c>
      <c r="O53" s="71">
        <f>'Electric Factors'!$E$20</f>
        <v>0.28299999999999997</v>
      </c>
    </row>
    <row r="54" spans="1:15">
      <c r="A54" s="60" t="s">
        <v>30</v>
      </c>
      <c r="C54" s="70"/>
      <c r="D54" s="203">
        <v>0</v>
      </c>
      <c r="E54" s="203">
        <v>0</v>
      </c>
      <c r="F54" s="203">
        <v>0</v>
      </c>
      <c r="G54" s="203">
        <f>'Electric Factors'!$F$20</f>
        <v>0.28000000000000003</v>
      </c>
      <c r="H54" s="203">
        <f>'Electric Factors'!$F$20</f>
        <v>0.28000000000000003</v>
      </c>
      <c r="I54" s="203">
        <f>'Electric Factors'!$G$20</f>
        <v>0.28000000000000003</v>
      </c>
      <c r="J54" s="203">
        <f>'Electric Factors'!$G$20</f>
        <v>0.28000000000000003</v>
      </c>
      <c r="K54" s="203">
        <f>'Electric Factors'!$G$20</f>
        <v>0.28000000000000003</v>
      </c>
      <c r="L54" s="203">
        <f>'Electric Factors'!$G$20</f>
        <v>0.28000000000000003</v>
      </c>
      <c r="M54" s="71">
        <f>'Electric Factors'!$F$20</f>
        <v>0.28000000000000003</v>
      </c>
      <c r="N54" s="71">
        <f>'Electric Factors'!$F$20</f>
        <v>0.28000000000000003</v>
      </c>
      <c r="O54" s="71">
        <v>0</v>
      </c>
    </row>
    <row r="55" spans="1:15" ht="6.75" customHeight="1">
      <c r="C55" s="70"/>
      <c r="D55" s="195"/>
      <c r="E55" s="195"/>
      <c r="F55" s="195"/>
      <c r="G55" s="195"/>
      <c r="H55" s="195"/>
      <c r="I55" s="195"/>
      <c r="J55" s="195"/>
      <c r="K55" s="195"/>
      <c r="L55" s="195"/>
      <c r="M55" s="70"/>
      <c r="N55" s="70"/>
      <c r="O55" s="70"/>
    </row>
    <row r="56" spans="1:15">
      <c r="A56" s="60" t="s">
        <v>36</v>
      </c>
      <c r="C56" s="70">
        <f>SUM(D56:O56)</f>
        <v>-2397909</v>
      </c>
      <c r="D56" s="195">
        <f t="shared" ref="D56:O56" si="11">D57*D58*D$4+D57*D59*D$7</f>
        <v>405063</v>
      </c>
      <c r="E56" s="195">
        <f t="shared" si="11"/>
        <v>-2389625</v>
      </c>
      <c r="F56" s="195">
        <f t="shared" si="11"/>
        <v>-1292057</v>
      </c>
      <c r="G56" s="195">
        <f t="shared" si="11"/>
        <v>160767</v>
      </c>
      <c r="H56" s="195">
        <f t="shared" si="11"/>
        <v>478113</v>
      </c>
      <c r="I56" s="195">
        <f t="shared" si="11"/>
        <v>-671588</v>
      </c>
      <c r="J56" s="195">
        <f t="shared" si="11"/>
        <v>1360661</v>
      </c>
      <c r="K56" s="195">
        <f t="shared" si="11"/>
        <v>-1074933</v>
      </c>
      <c r="L56" s="195">
        <f t="shared" si="11"/>
        <v>23774</v>
      </c>
      <c r="M56" s="70">
        <f t="shared" si="11"/>
        <v>-608825</v>
      </c>
      <c r="N56" s="70">
        <f t="shared" si="11"/>
        <v>-46246</v>
      </c>
      <c r="O56" s="70">
        <f t="shared" si="11"/>
        <v>1256987</v>
      </c>
    </row>
    <row r="57" spans="1:15">
      <c r="A57" s="60" t="s">
        <v>28</v>
      </c>
      <c r="C57" s="70">
        <f>AVERAGE(D57:O57)</f>
        <v>16196</v>
      </c>
      <c r="D57" s="195">
        <f>'Cust Data'!F141</f>
        <v>16209</v>
      </c>
      <c r="E57" s="195">
        <f>'Cust Data'!G141</f>
        <v>16095</v>
      </c>
      <c r="F57" s="195">
        <f>'Cust Data'!H141</f>
        <v>16177</v>
      </c>
      <c r="G57" s="195">
        <f>'Cust Data'!I141</f>
        <v>16151</v>
      </c>
      <c r="H57" s="195">
        <f>'Cust Data'!J141</f>
        <v>16243</v>
      </c>
      <c r="I57" s="195">
        <f>'Cust Data'!K141</f>
        <v>16106</v>
      </c>
      <c r="J57" s="195">
        <f>'Cust Data'!L141</f>
        <v>16250</v>
      </c>
      <c r="K57" s="195">
        <f>'Cust Data'!M141</f>
        <v>16261</v>
      </c>
      <c r="L57" s="195">
        <f>'Cust Data'!N141</f>
        <v>16184</v>
      </c>
      <c r="M57" s="70">
        <f>'Cust Data'!O141</f>
        <v>16383</v>
      </c>
      <c r="N57" s="70">
        <f>'Cust Data'!P141</f>
        <v>16261</v>
      </c>
      <c r="O57" s="70">
        <f>'Cust Data'!Q141</f>
        <v>16033</v>
      </c>
    </row>
    <row r="58" spans="1:15">
      <c r="A58" s="60" t="s">
        <v>29</v>
      </c>
      <c r="C58" s="70"/>
      <c r="D58" s="203">
        <f>'Electric Factors'!$E$21</f>
        <v>0.49</v>
      </c>
      <c r="E58" s="203">
        <f>'Electric Factors'!$E$21</f>
        <v>0.49</v>
      </c>
      <c r="F58" s="203">
        <f>'Electric Factors'!$E$21</f>
        <v>0.49</v>
      </c>
      <c r="G58" s="203">
        <f>'Electric Factors'!$D$21</f>
        <v>0.23699999999999999</v>
      </c>
      <c r="H58" s="203">
        <f>'Electric Factors'!$D$21</f>
        <v>0.23699999999999999</v>
      </c>
      <c r="I58" s="203">
        <f>'Electric Factors'!$D$21</f>
        <v>0.23699999999999999</v>
      </c>
      <c r="J58" s="203">
        <v>0</v>
      </c>
      <c r="K58" s="203">
        <v>0</v>
      </c>
      <c r="L58" s="203">
        <v>0</v>
      </c>
      <c r="M58" s="71">
        <f>'Electric Factors'!$D$21</f>
        <v>0.23699999999999999</v>
      </c>
      <c r="N58" s="71">
        <f>'Electric Factors'!$D$21</f>
        <v>0.23699999999999999</v>
      </c>
      <c r="O58" s="71">
        <f>'Electric Factors'!$E$21</f>
        <v>0.49</v>
      </c>
    </row>
    <row r="59" spans="1:15">
      <c r="A59" s="60" t="s">
        <v>30</v>
      </c>
      <c r="C59" s="70"/>
      <c r="D59" s="203">
        <v>0</v>
      </c>
      <c r="E59" s="203">
        <v>0</v>
      </c>
      <c r="F59" s="203">
        <v>0</v>
      </c>
      <c r="G59" s="203">
        <f>'Electric Factors'!$F$21</f>
        <v>1.4690000000000001</v>
      </c>
      <c r="H59" s="203">
        <f>'Electric Factors'!$F$21</f>
        <v>1.4690000000000001</v>
      </c>
      <c r="I59" s="203">
        <f>'Electric Factors'!$G$21</f>
        <v>1.4690000000000001</v>
      </c>
      <c r="J59" s="203">
        <f>'Electric Factors'!$G$21</f>
        <v>1.4690000000000001</v>
      </c>
      <c r="K59" s="203">
        <f>'Electric Factors'!$G$21</f>
        <v>1.4690000000000001</v>
      </c>
      <c r="L59" s="203">
        <f>'Electric Factors'!$G$21</f>
        <v>1.4690000000000001</v>
      </c>
      <c r="M59" s="71">
        <f>'Electric Factors'!$F$21</f>
        <v>1.4690000000000001</v>
      </c>
      <c r="N59" s="71">
        <f>'Electric Factors'!$F$21</f>
        <v>1.4690000000000001</v>
      </c>
      <c r="O59" s="71">
        <v>0</v>
      </c>
    </row>
    <row r="60" spans="1:15" ht="6.75" customHeight="1">
      <c r="C60" s="70"/>
      <c r="D60" s="195"/>
      <c r="E60" s="195"/>
      <c r="F60" s="195"/>
      <c r="G60" s="195"/>
      <c r="H60" s="195"/>
      <c r="I60" s="195"/>
      <c r="J60" s="195"/>
      <c r="K60" s="195"/>
      <c r="L60" s="195"/>
      <c r="M60" s="70"/>
      <c r="N60" s="70"/>
      <c r="O60" s="70"/>
    </row>
    <row r="61" spans="1:15">
      <c r="A61" s="60" t="s">
        <v>37</v>
      </c>
      <c r="C61" s="70">
        <f>SUM(D61:O61)</f>
        <v>-26016</v>
      </c>
      <c r="D61" s="195">
        <f t="shared" ref="D61:O61" si="12">D62*D63*D$4+D62*D64*D$7</f>
        <v>5007</v>
      </c>
      <c r="E61" s="195">
        <f t="shared" si="12"/>
        <v>-29277</v>
      </c>
      <c r="F61" s="195">
        <f t="shared" si="12"/>
        <v>-15498</v>
      </c>
      <c r="G61" s="195">
        <f t="shared" si="12"/>
        <v>2670</v>
      </c>
      <c r="H61" s="195">
        <f t="shared" si="12"/>
        <v>7698</v>
      </c>
      <c r="I61" s="195">
        <f t="shared" si="12"/>
        <v>-2121</v>
      </c>
      <c r="J61" s="195">
        <f t="shared" si="12"/>
        <v>7635</v>
      </c>
      <c r="K61" s="195">
        <f t="shared" si="12"/>
        <v>-6028</v>
      </c>
      <c r="L61" s="195">
        <f t="shared" si="12"/>
        <v>132</v>
      </c>
      <c r="M61" s="70">
        <f t="shared" si="12"/>
        <v>-9974</v>
      </c>
      <c r="N61" s="70">
        <f t="shared" si="12"/>
        <v>-731</v>
      </c>
      <c r="O61" s="70">
        <f t="shared" si="12"/>
        <v>14471</v>
      </c>
    </row>
    <row r="62" spans="1:15">
      <c r="A62" s="60" t="s">
        <v>28</v>
      </c>
      <c r="C62" s="70">
        <f>AVERAGE(D62:O62)</f>
        <v>121</v>
      </c>
      <c r="D62" s="195">
        <f>'Cust Data'!F142</f>
        <v>127</v>
      </c>
      <c r="E62" s="195">
        <f>'Cust Data'!G142</f>
        <v>125</v>
      </c>
      <c r="F62" s="195">
        <f>'Cust Data'!H142</f>
        <v>123</v>
      </c>
      <c r="G62" s="195">
        <f>'Cust Data'!I142</f>
        <v>122</v>
      </c>
      <c r="H62" s="195">
        <f>'Cust Data'!J142</f>
        <v>123</v>
      </c>
      <c r="I62" s="195">
        <f>'Cust Data'!K142</f>
        <v>122</v>
      </c>
      <c r="J62" s="195">
        <f>'Cust Data'!L142</f>
        <v>121</v>
      </c>
      <c r="K62" s="195">
        <f>'Cust Data'!M142</f>
        <v>121</v>
      </c>
      <c r="L62" s="195">
        <f>'Cust Data'!N142</f>
        <v>119</v>
      </c>
      <c r="M62" s="70">
        <f>'Cust Data'!O142</f>
        <v>119</v>
      </c>
      <c r="N62" s="70">
        <f>'Cust Data'!P142</f>
        <v>117</v>
      </c>
      <c r="O62" s="70">
        <f>'Cust Data'!Q142</f>
        <v>117</v>
      </c>
    </row>
    <row r="63" spans="1:15">
      <c r="A63" s="60" t="s">
        <v>29</v>
      </c>
      <c r="C63" s="70"/>
      <c r="D63" s="203">
        <f>'Electric Factors'!$E$22</f>
        <v>0.77300000000000002</v>
      </c>
      <c r="E63" s="203">
        <f>'Electric Factors'!$E$22</f>
        <v>0.77300000000000002</v>
      </c>
      <c r="F63" s="203">
        <f>'Electric Factors'!$E$22</f>
        <v>0.77300000000000002</v>
      </c>
      <c r="G63" s="203">
        <f>'Electric Factors'!$D$22</f>
        <v>0.52100000000000002</v>
      </c>
      <c r="H63" s="203">
        <f>'Electric Factors'!$D$22</f>
        <v>0.52100000000000002</v>
      </c>
      <c r="I63" s="203">
        <f>'Electric Factors'!$D$22</f>
        <v>0.52100000000000002</v>
      </c>
      <c r="J63" s="203">
        <v>0</v>
      </c>
      <c r="K63" s="203">
        <v>0</v>
      </c>
      <c r="L63" s="203">
        <v>0</v>
      </c>
      <c r="M63" s="71">
        <f>'Electric Factors'!$D$22</f>
        <v>0.52100000000000002</v>
      </c>
      <c r="N63" s="71">
        <f>'Electric Factors'!$D$22</f>
        <v>0.52100000000000002</v>
      </c>
      <c r="O63" s="71">
        <f>'Electric Factors'!$E$22</f>
        <v>0.77300000000000002</v>
      </c>
    </row>
    <row r="64" spans="1:15">
      <c r="A64" s="60" t="s">
        <v>30</v>
      </c>
      <c r="C64" s="70"/>
      <c r="D64" s="203">
        <v>0</v>
      </c>
      <c r="E64" s="203">
        <v>0</v>
      </c>
      <c r="F64" s="203">
        <v>0</v>
      </c>
      <c r="G64" s="203">
        <f>'Electric Factors'!$F$22</f>
        <v>1.107</v>
      </c>
      <c r="H64" s="203">
        <f>'Electric Factors'!$F$22</f>
        <v>1.107</v>
      </c>
      <c r="I64" s="203">
        <f>'Electric Factors'!$G$22</f>
        <v>1.107</v>
      </c>
      <c r="J64" s="203">
        <f>'Electric Factors'!$G$22</f>
        <v>1.107</v>
      </c>
      <c r="K64" s="203">
        <f>'Electric Factors'!$G$22</f>
        <v>1.107</v>
      </c>
      <c r="L64" s="203">
        <f>'Electric Factors'!$G$22</f>
        <v>1.107</v>
      </c>
      <c r="M64" s="71">
        <f>'Electric Factors'!$F$22</f>
        <v>1.107</v>
      </c>
      <c r="N64" s="71">
        <f>'Electric Factors'!$F$22</f>
        <v>1.107</v>
      </c>
      <c r="O64" s="71">
        <v>0</v>
      </c>
    </row>
    <row r="65" spans="1:15" ht="6.75" customHeight="1">
      <c r="C65" s="70"/>
      <c r="D65" s="195"/>
      <c r="E65" s="195"/>
      <c r="F65" s="195"/>
      <c r="G65" s="195"/>
      <c r="H65" s="195"/>
      <c r="I65" s="195"/>
      <c r="J65" s="195"/>
      <c r="K65" s="195"/>
      <c r="L65" s="195"/>
      <c r="M65" s="70"/>
      <c r="N65" s="70"/>
      <c r="O65" s="70"/>
    </row>
    <row r="66" spans="1:15">
      <c r="A66" s="60" t="s">
        <v>38</v>
      </c>
      <c r="C66" s="70">
        <f>SUM(D66:O66)</f>
        <v>-72151</v>
      </c>
      <c r="D66" s="195">
        <f t="shared" ref="D66:O66" si="13">D67*D68*D$4+D67*D69*D$7</f>
        <v>13417</v>
      </c>
      <c r="E66" s="195">
        <f t="shared" si="13"/>
        <v>-79712</v>
      </c>
      <c r="F66" s="195">
        <f t="shared" si="13"/>
        <v>-42881</v>
      </c>
      <c r="G66" s="195">
        <f t="shared" si="13"/>
        <v>6037</v>
      </c>
      <c r="H66" s="195">
        <f t="shared" si="13"/>
        <v>17401</v>
      </c>
      <c r="I66" s="195">
        <f t="shared" si="13"/>
        <v>-9512</v>
      </c>
      <c r="J66" s="195">
        <f t="shared" si="13"/>
        <v>25088</v>
      </c>
      <c r="K66" s="195">
        <f t="shared" si="13"/>
        <v>-19807</v>
      </c>
      <c r="L66" s="195">
        <f t="shared" si="13"/>
        <v>440</v>
      </c>
      <c r="M66" s="70">
        <f t="shared" si="13"/>
        <v>-22989</v>
      </c>
      <c r="N66" s="70">
        <f t="shared" si="13"/>
        <v>-1725</v>
      </c>
      <c r="O66" s="70">
        <f t="shared" si="13"/>
        <v>42092</v>
      </c>
    </row>
    <row r="67" spans="1:15">
      <c r="A67" s="60" t="s">
        <v>28</v>
      </c>
      <c r="C67" s="70">
        <f>AVERAGE(D67:O67)</f>
        <v>17</v>
      </c>
      <c r="D67" s="64">
        <f>'Cust Data'!F144</f>
        <v>17</v>
      </c>
      <c r="E67" s="64">
        <f>'Cust Data'!G144</f>
        <v>17</v>
      </c>
      <c r="F67" s="64">
        <f>'Cust Data'!H144</f>
        <v>17</v>
      </c>
      <c r="G67" s="64">
        <f>'Cust Data'!I144</f>
        <v>17</v>
      </c>
      <c r="H67" s="64">
        <f>'Cust Data'!J144</f>
        <v>17</v>
      </c>
      <c r="I67" s="64">
        <f>'Cust Data'!K144</f>
        <v>17</v>
      </c>
      <c r="J67" s="64">
        <f>'Cust Data'!L144</f>
        <v>17</v>
      </c>
      <c r="K67" s="64">
        <f>'Cust Data'!M144</f>
        <v>17</v>
      </c>
      <c r="L67" s="64">
        <f>'Cust Data'!N144</f>
        <v>17</v>
      </c>
      <c r="M67" s="60">
        <f>'Cust Data'!O144</f>
        <v>17</v>
      </c>
      <c r="N67" s="60">
        <f>'Cust Data'!P144</f>
        <v>17</v>
      </c>
      <c r="O67" s="60">
        <f>'Cust Data'!Q144</f>
        <v>17</v>
      </c>
    </row>
    <row r="68" spans="1:15">
      <c r="A68" s="60" t="s">
        <v>29</v>
      </c>
      <c r="D68" s="203">
        <f>'Electric Factors'!$E$24</f>
        <v>15.475</v>
      </c>
      <c r="E68" s="203">
        <f>'Electric Factors'!$E$24</f>
        <v>15.475</v>
      </c>
      <c r="F68" s="203">
        <f>'Electric Factors'!$E$24</f>
        <v>15.475</v>
      </c>
      <c r="G68" s="203">
        <f>'Electric Factors'!$D$24</f>
        <v>8.4550000000000001</v>
      </c>
      <c r="H68" s="203">
        <f>'Electric Factors'!$D$24</f>
        <v>8.4550000000000001</v>
      </c>
      <c r="I68" s="203">
        <f>'Electric Factors'!$D$24</f>
        <v>8.4550000000000001</v>
      </c>
      <c r="J68" s="203">
        <v>0</v>
      </c>
      <c r="K68" s="203">
        <v>0</v>
      </c>
      <c r="L68" s="203">
        <v>0</v>
      </c>
      <c r="M68" s="71">
        <f>'Electric Factors'!$D$24</f>
        <v>8.4550000000000001</v>
      </c>
      <c r="N68" s="71">
        <f>'Electric Factors'!$D$24</f>
        <v>8.4550000000000001</v>
      </c>
      <c r="O68" s="71">
        <f>'Electric Factors'!$E$24</f>
        <v>15.475</v>
      </c>
    </row>
    <row r="69" spans="1:15">
      <c r="A69" s="60" t="s">
        <v>30</v>
      </c>
      <c r="D69" s="203">
        <v>0</v>
      </c>
      <c r="E69" s="203">
        <v>0</v>
      </c>
      <c r="F69" s="203">
        <v>0</v>
      </c>
      <c r="G69" s="203">
        <f>'Electric Factors'!$F$24</f>
        <v>25.890999999999998</v>
      </c>
      <c r="H69" s="203">
        <f>'Electric Factors'!$F$24</f>
        <v>25.890999999999998</v>
      </c>
      <c r="I69" s="203">
        <f>'Electric Factors'!$G$24</f>
        <v>25.890999999999998</v>
      </c>
      <c r="J69" s="203">
        <f>'Electric Factors'!$G$24</f>
        <v>25.890999999999998</v>
      </c>
      <c r="K69" s="203">
        <f>'Electric Factors'!$G$24</f>
        <v>25.890999999999998</v>
      </c>
      <c r="L69" s="203">
        <f>'Electric Factors'!$G$24</f>
        <v>25.890999999999998</v>
      </c>
      <c r="M69" s="71">
        <f>'Electric Factors'!$F$24</f>
        <v>25.890999999999998</v>
      </c>
      <c r="N69" s="71">
        <f>'Electric Factors'!$F$24</f>
        <v>25.890999999999998</v>
      </c>
      <c r="O69" s="71">
        <v>0</v>
      </c>
    </row>
    <row r="70" spans="1:15" ht="6" customHeight="1">
      <c r="D70" s="203"/>
      <c r="E70" s="203"/>
      <c r="F70" s="203"/>
      <c r="G70" s="203"/>
      <c r="H70" s="203"/>
      <c r="I70" s="203"/>
      <c r="J70" s="203"/>
      <c r="K70" s="203"/>
      <c r="L70" s="203"/>
      <c r="M70" s="71"/>
      <c r="N70" s="71"/>
      <c r="O70" s="71"/>
    </row>
    <row r="71" spans="1:15">
      <c r="A71" s="60" t="s">
        <v>297</v>
      </c>
      <c r="C71" s="70">
        <f>SUM(D71:O71)</f>
        <v>-1455993</v>
      </c>
      <c r="D71" s="195">
        <f t="shared" ref="D71:O71" si="14">D72*D73*D$4+D72*D74*D$7</f>
        <v>217864</v>
      </c>
      <c r="E71" s="195">
        <f t="shared" si="14"/>
        <v>-1281373</v>
      </c>
      <c r="F71" s="195">
        <f t="shared" si="14"/>
        <v>-694213</v>
      </c>
      <c r="G71" s="195">
        <f t="shared" si="14"/>
        <v>0</v>
      </c>
      <c r="H71" s="195">
        <f t="shared" si="14"/>
        <v>18677</v>
      </c>
      <c r="I71" s="195">
        <f t="shared" si="14"/>
        <v>-646452</v>
      </c>
      <c r="J71" s="195">
        <f t="shared" si="14"/>
        <v>1053868</v>
      </c>
      <c r="K71" s="195">
        <f t="shared" si="14"/>
        <v>-826064</v>
      </c>
      <c r="L71" s="195">
        <f t="shared" si="14"/>
        <v>18357</v>
      </c>
      <c r="M71" s="70">
        <f t="shared" si="14"/>
        <v>18376</v>
      </c>
      <c r="N71" s="70">
        <f t="shared" si="14"/>
        <v>0</v>
      </c>
      <c r="O71" s="70">
        <f t="shared" si="14"/>
        <v>664967</v>
      </c>
    </row>
    <row r="72" spans="1:15">
      <c r="A72" s="60" t="s">
        <v>28</v>
      </c>
      <c r="C72" s="70">
        <f>AVERAGE(D72:O72)</f>
        <v>981</v>
      </c>
      <c r="D72" s="165">
        <f>'Cust Data'!F145</f>
        <v>996</v>
      </c>
      <c r="E72" s="165">
        <f>'Cust Data'!G145</f>
        <v>986</v>
      </c>
      <c r="F72" s="165">
        <f>'Cust Data'!H145</f>
        <v>993</v>
      </c>
      <c r="G72" s="165">
        <f>'Cust Data'!I145</f>
        <v>988</v>
      </c>
      <c r="H72" s="165">
        <f>'Cust Data'!J145</f>
        <v>991</v>
      </c>
      <c r="I72" s="165">
        <f>'Cust Data'!K145</f>
        <v>980</v>
      </c>
      <c r="J72" s="165">
        <f>'Cust Data'!L145</f>
        <v>981</v>
      </c>
      <c r="K72" s="165">
        <f>'Cust Data'!M145</f>
        <v>974</v>
      </c>
      <c r="L72" s="165">
        <f>'Cust Data'!N145</f>
        <v>974</v>
      </c>
      <c r="M72" s="72">
        <f>'Cust Data'!O145</f>
        <v>975</v>
      </c>
      <c r="N72" s="72">
        <f>'Cust Data'!P145</f>
        <v>966</v>
      </c>
      <c r="O72" s="72">
        <f>'Cust Data'!Q145</f>
        <v>969</v>
      </c>
    </row>
    <row r="73" spans="1:15">
      <c r="A73" s="60" t="s">
        <v>29</v>
      </c>
      <c r="D73" s="203">
        <f>'Electric Factors'!$E$25</f>
        <v>4.2889999999999997</v>
      </c>
      <c r="E73" s="203">
        <f>'Electric Factors'!$E$25</f>
        <v>4.2889999999999997</v>
      </c>
      <c r="F73" s="203">
        <f>'Electric Factors'!$E$25</f>
        <v>4.2889999999999997</v>
      </c>
      <c r="G73" s="203">
        <f>'Electric Factors'!$D$25</f>
        <v>0</v>
      </c>
      <c r="H73" s="203">
        <f>'Electric Factors'!$D$25</f>
        <v>0</v>
      </c>
      <c r="I73" s="203">
        <f>'Electric Factors'!$D$25</f>
        <v>0</v>
      </c>
      <c r="J73" s="203">
        <v>0</v>
      </c>
      <c r="K73" s="203">
        <v>0</v>
      </c>
      <c r="L73" s="203">
        <v>0</v>
      </c>
      <c r="M73" s="71">
        <f>'Electric Factors'!$D$25</f>
        <v>0</v>
      </c>
      <c r="N73" s="71">
        <f>'Electric Factors'!$D$25</f>
        <v>0</v>
      </c>
      <c r="O73" s="71">
        <f>'Electric Factors'!$E$25</f>
        <v>4.2889999999999997</v>
      </c>
    </row>
    <row r="74" spans="1:15">
      <c r="A74" s="60" t="s">
        <v>30</v>
      </c>
      <c r="D74" s="203">
        <v>0</v>
      </c>
      <c r="E74" s="203">
        <v>0</v>
      </c>
      <c r="F74" s="203">
        <v>0</v>
      </c>
      <c r="G74" s="203">
        <f>'Electric Factors'!$F$25</f>
        <v>18.847000000000001</v>
      </c>
      <c r="H74" s="203">
        <f>'Electric Factors'!$F$25</f>
        <v>18.847000000000001</v>
      </c>
      <c r="I74" s="203">
        <f>'Electric Factors'!$G$25</f>
        <v>18.847000000000001</v>
      </c>
      <c r="J74" s="203">
        <f>'Electric Factors'!$G$25</f>
        <v>18.847000000000001</v>
      </c>
      <c r="K74" s="203">
        <f>'Electric Factors'!$G$25</f>
        <v>18.847000000000001</v>
      </c>
      <c r="L74" s="203">
        <f>'Electric Factors'!$G$25</f>
        <v>18.847000000000001</v>
      </c>
      <c r="M74" s="71">
        <f>'Electric Factors'!$F$25</f>
        <v>18.847000000000001</v>
      </c>
      <c r="N74" s="71">
        <f>'Electric Factors'!$F$25</f>
        <v>18.847000000000001</v>
      </c>
      <c r="O74" s="71">
        <v>0</v>
      </c>
    </row>
    <row r="75" spans="1:15" ht="6" customHeight="1">
      <c r="D75" s="203"/>
      <c r="E75" s="203"/>
      <c r="F75" s="203"/>
      <c r="G75" s="203"/>
      <c r="H75" s="203"/>
      <c r="I75" s="203"/>
      <c r="J75" s="203"/>
      <c r="K75" s="203"/>
      <c r="L75" s="203"/>
      <c r="M75" s="71"/>
      <c r="N75" s="71"/>
      <c r="O75" s="71"/>
    </row>
    <row r="76" spans="1:15">
      <c r="A76" s="60" t="s">
        <v>298</v>
      </c>
      <c r="C76" s="70">
        <f>SUM(D76:O76)</f>
        <v>-85903</v>
      </c>
      <c r="D76" s="195">
        <f t="shared" ref="D76:O76" si="15">D77*D78*D$4+D77*D79*D$7</f>
        <v>18216</v>
      </c>
      <c r="E76" s="195">
        <f t="shared" si="15"/>
        <v>-108223</v>
      </c>
      <c r="F76" s="195">
        <f t="shared" si="15"/>
        <v>-59277</v>
      </c>
      <c r="G76" s="195">
        <f t="shared" si="15"/>
        <v>0</v>
      </c>
      <c r="H76" s="195">
        <f t="shared" si="15"/>
        <v>0</v>
      </c>
      <c r="I76" s="195">
        <f t="shared" si="15"/>
        <v>0</v>
      </c>
      <c r="J76" s="195">
        <f t="shared" si="15"/>
        <v>0</v>
      </c>
      <c r="K76" s="195">
        <f t="shared" si="15"/>
        <v>0</v>
      </c>
      <c r="L76" s="195">
        <f t="shared" si="15"/>
        <v>0</v>
      </c>
      <c r="M76" s="70">
        <f t="shared" si="15"/>
        <v>0</v>
      </c>
      <c r="N76" s="70">
        <f t="shared" si="15"/>
        <v>0</v>
      </c>
      <c r="O76" s="70">
        <f t="shared" si="15"/>
        <v>63381</v>
      </c>
    </row>
    <row r="77" spans="1:15">
      <c r="A77" s="60" t="s">
        <v>28</v>
      </c>
      <c r="C77" s="70">
        <f>AVERAGE(D77:O77)</f>
        <v>57</v>
      </c>
      <c r="D77" s="64">
        <f>'Cust Data'!F146</f>
        <v>55</v>
      </c>
      <c r="E77" s="64">
        <f>'Cust Data'!G146</f>
        <v>55</v>
      </c>
      <c r="F77" s="64">
        <f>'Cust Data'!H146</f>
        <v>56</v>
      </c>
      <c r="G77" s="64">
        <f>'Cust Data'!I146</f>
        <v>56</v>
      </c>
      <c r="H77" s="64">
        <f>'Cust Data'!J146</f>
        <v>58</v>
      </c>
      <c r="I77" s="64">
        <f>'Cust Data'!K146</f>
        <v>57</v>
      </c>
      <c r="J77" s="64">
        <f>'Cust Data'!L146</f>
        <v>59</v>
      </c>
      <c r="K77" s="64">
        <f>'Cust Data'!M146</f>
        <v>57</v>
      </c>
      <c r="L77" s="64">
        <f>'Cust Data'!N146</f>
        <v>58</v>
      </c>
      <c r="M77" s="60">
        <f>'Cust Data'!O146</f>
        <v>59</v>
      </c>
      <c r="N77" s="60">
        <f>'Cust Data'!P146</f>
        <v>58</v>
      </c>
      <c r="O77" s="60">
        <f>'Cust Data'!Q146</f>
        <v>61</v>
      </c>
    </row>
    <row r="78" spans="1:15">
      <c r="A78" s="60" t="s">
        <v>29</v>
      </c>
      <c r="D78" s="203">
        <f>'Electric Factors'!$E$26</f>
        <v>6.4939999999999998</v>
      </c>
      <c r="E78" s="203">
        <f>'Electric Factors'!$E$26</f>
        <v>6.4939999999999998</v>
      </c>
      <c r="F78" s="203">
        <f>'Electric Factors'!$E$26</f>
        <v>6.4939999999999998</v>
      </c>
      <c r="G78" s="203">
        <f>'Electric Factors'!$D$26</f>
        <v>0</v>
      </c>
      <c r="H78" s="203">
        <f>'Electric Factors'!$D$26</f>
        <v>0</v>
      </c>
      <c r="I78" s="203">
        <f>'Electric Factors'!$D$26</f>
        <v>0</v>
      </c>
      <c r="J78" s="203">
        <v>0</v>
      </c>
      <c r="K78" s="203">
        <v>0</v>
      </c>
      <c r="L78" s="203">
        <v>0</v>
      </c>
      <c r="M78" s="71">
        <f>'Electric Factors'!$D$26</f>
        <v>0</v>
      </c>
      <c r="N78" s="71">
        <f>'Electric Factors'!$D$26</f>
        <v>0</v>
      </c>
      <c r="O78" s="71">
        <f>'Electric Factors'!$E$26</f>
        <v>6.4939999999999998</v>
      </c>
    </row>
    <row r="79" spans="1:15">
      <c r="A79" s="60" t="s">
        <v>30</v>
      </c>
      <c r="D79" s="203">
        <v>0</v>
      </c>
      <c r="E79" s="203">
        <v>0</v>
      </c>
      <c r="F79" s="203">
        <v>0</v>
      </c>
      <c r="G79" s="203">
        <f>'Electric Factors'!$F$26</f>
        <v>0</v>
      </c>
      <c r="H79" s="203">
        <f>'Electric Factors'!$F$26</f>
        <v>0</v>
      </c>
      <c r="I79" s="203">
        <f>'Electric Factors'!$G$26</f>
        <v>0</v>
      </c>
      <c r="J79" s="203">
        <f>'Electric Factors'!$G$26</f>
        <v>0</v>
      </c>
      <c r="K79" s="203">
        <f>'Electric Factors'!$G$26</f>
        <v>0</v>
      </c>
      <c r="L79" s="203">
        <f>'Electric Factors'!$G$26</f>
        <v>0</v>
      </c>
      <c r="M79" s="71">
        <f>'Electric Factors'!$F$26</f>
        <v>0</v>
      </c>
      <c r="N79" s="71">
        <f>'Electric Factors'!$F$26</f>
        <v>0</v>
      </c>
      <c r="O79" s="71">
        <v>0</v>
      </c>
    </row>
    <row r="80" spans="1:15" ht="6" customHeight="1"/>
    <row r="81" spans="1:15">
      <c r="A81" s="60" t="s">
        <v>40</v>
      </c>
      <c r="C81" s="70">
        <f>SUM(D81:O81)</f>
        <v>-64505025</v>
      </c>
      <c r="D81" s="195">
        <f>D84+D86</f>
        <v>11846450</v>
      </c>
      <c r="E81" s="195">
        <f t="shared" ref="E81:O81" si="16">E84+E86</f>
        <v>-69004882</v>
      </c>
      <c r="F81" s="195">
        <f t="shared" si="16"/>
        <v>-38393712</v>
      </c>
      <c r="G81" s="195">
        <f t="shared" si="16"/>
        <v>6736917</v>
      </c>
      <c r="H81" s="195">
        <f t="shared" si="16"/>
        <v>19663224</v>
      </c>
      <c r="I81" s="195">
        <f t="shared" si="16"/>
        <v>-10879549</v>
      </c>
      <c r="J81" s="195">
        <f t="shared" si="16"/>
        <v>28539455</v>
      </c>
      <c r="K81" s="195">
        <f t="shared" si="16"/>
        <v>-22571455</v>
      </c>
      <c r="L81" s="195">
        <f t="shared" si="16"/>
        <v>492060</v>
      </c>
      <c r="M81" s="70">
        <f t="shared" si="16"/>
        <v>-26448998</v>
      </c>
      <c r="N81" s="70">
        <f t="shared" si="16"/>
        <v>-1950861</v>
      </c>
      <c r="O81" s="70">
        <f t="shared" si="16"/>
        <v>37466326</v>
      </c>
    </row>
    <row r="82" spans="1:15" ht="6" customHeight="1"/>
    <row r="83" spans="1:15" ht="6" customHeight="1"/>
    <row r="84" spans="1:15">
      <c r="A84" s="60" t="s">
        <v>44</v>
      </c>
      <c r="C84" s="70">
        <f>SUM(D84:O84)</f>
        <v>-42754825</v>
      </c>
      <c r="D84" s="195">
        <f>D11+D16+D21+D26+D31+D36+D41</f>
        <v>7806791</v>
      </c>
      <c r="E84" s="195">
        <f t="shared" ref="E84:O84" si="17">E11+E16+E21+E26+E31+E36+E41</f>
        <v>-45036435</v>
      </c>
      <c r="F84" s="195">
        <f t="shared" si="17"/>
        <v>-25477788</v>
      </c>
      <c r="G84" s="195">
        <f t="shared" si="17"/>
        <v>4407616</v>
      </c>
      <c r="H84" s="195">
        <f t="shared" si="17"/>
        <v>12955140</v>
      </c>
      <c r="I84" s="195">
        <f t="shared" si="17"/>
        <v>-7784828</v>
      </c>
      <c r="J84" s="195">
        <f t="shared" si="17"/>
        <v>19762558</v>
      </c>
      <c r="K84" s="195">
        <f t="shared" si="17"/>
        <v>-15639345</v>
      </c>
      <c r="L84" s="195">
        <f t="shared" si="17"/>
        <v>337886</v>
      </c>
      <c r="M84" s="195">
        <f t="shared" si="17"/>
        <v>-17466054</v>
      </c>
      <c r="N84" s="195">
        <f t="shared" si="17"/>
        <v>-1277973</v>
      </c>
      <c r="O84" s="195">
        <f t="shared" si="17"/>
        <v>24657607</v>
      </c>
    </row>
    <row r="85" spans="1:15" ht="6" customHeight="1"/>
    <row r="86" spans="1:15">
      <c r="A86" s="60" t="s">
        <v>45</v>
      </c>
      <c r="C86" s="70">
        <f>SUM(D86:O86)</f>
        <v>-21750200</v>
      </c>
      <c r="D86" s="195">
        <f>D46+D51+D56+D61+D66+D71+D76</f>
        <v>4039659</v>
      </c>
      <c r="E86" s="195">
        <f t="shared" ref="E86:O86" si="18">E46+E51+E56+E61+E66+E71+E76</f>
        <v>-23968447</v>
      </c>
      <c r="F86" s="195">
        <f t="shared" si="18"/>
        <v>-12915924</v>
      </c>
      <c r="G86" s="195">
        <f t="shared" si="18"/>
        <v>2329301</v>
      </c>
      <c r="H86" s="195">
        <f t="shared" si="18"/>
        <v>6708084</v>
      </c>
      <c r="I86" s="195">
        <f t="shared" si="18"/>
        <v>-3094721</v>
      </c>
      <c r="J86" s="195">
        <f t="shared" si="18"/>
        <v>8776897</v>
      </c>
      <c r="K86" s="195">
        <f t="shared" si="18"/>
        <v>-6932110</v>
      </c>
      <c r="L86" s="195">
        <f t="shared" si="18"/>
        <v>154174</v>
      </c>
      <c r="M86" s="70">
        <f t="shared" si="18"/>
        <v>-8982944</v>
      </c>
      <c r="N86" s="70">
        <f t="shared" si="18"/>
        <v>-672888</v>
      </c>
      <c r="O86" s="70">
        <f t="shared" si="18"/>
        <v>12808719</v>
      </c>
    </row>
    <row r="87" spans="1:15" ht="6" customHeight="1"/>
    <row r="88" spans="1:15">
      <c r="A88" s="60" t="s">
        <v>48</v>
      </c>
    </row>
    <row r="89" spans="1:15" ht="6.6" customHeight="1"/>
    <row r="90" spans="1:15">
      <c r="A90" s="60" t="s">
        <v>49</v>
      </c>
      <c r="C90" s="70">
        <f>SUM(D90:O90)</f>
        <v>-35858069</v>
      </c>
      <c r="D90" s="195">
        <f>D11</f>
        <v>6683941</v>
      </c>
      <c r="E90" s="195">
        <f t="shared" ref="E90:O90" si="19">E11</f>
        <v>-38586897</v>
      </c>
      <c r="F90" s="195">
        <f t="shared" si="19"/>
        <v>-21820475</v>
      </c>
      <c r="G90" s="195">
        <f t="shared" si="19"/>
        <v>4045887</v>
      </c>
      <c r="H90" s="195">
        <f t="shared" si="19"/>
        <v>11850868</v>
      </c>
      <c r="I90" s="195">
        <f t="shared" si="19"/>
        <v>-5307066</v>
      </c>
      <c r="J90" s="195">
        <f t="shared" si="19"/>
        <v>15150402</v>
      </c>
      <c r="K90" s="195">
        <f t="shared" si="19"/>
        <v>-11998999</v>
      </c>
      <c r="L90" s="195">
        <f t="shared" si="19"/>
        <v>259188</v>
      </c>
      <c r="M90" s="70">
        <f t="shared" si="19"/>
        <v>-16096417</v>
      </c>
      <c r="N90" s="70">
        <f t="shared" si="19"/>
        <v>-1174373</v>
      </c>
      <c r="O90" s="70">
        <f t="shared" si="19"/>
        <v>21135872</v>
      </c>
    </row>
    <row r="91" spans="1:15">
      <c r="A91" s="60" t="s">
        <v>50</v>
      </c>
      <c r="C91" s="70">
        <f>SUM(D91:O91)</f>
        <v>-4109408</v>
      </c>
      <c r="D91" s="195">
        <f>D16+D21+D26</f>
        <v>725103</v>
      </c>
      <c r="E91" s="195">
        <f t="shared" ref="E91:O91" si="20">E16+E21+E26</f>
        <v>-4189699</v>
      </c>
      <c r="F91" s="195">
        <f t="shared" si="20"/>
        <v>-2358273</v>
      </c>
      <c r="G91" s="195">
        <f t="shared" si="20"/>
        <v>328552</v>
      </c>
      <c r="H91" s="195">
        <f t="shared" si="20"/>
        <v>965607</v>
      </c>
      <c r="I91" s="195">
        <f t="shared" si="20"/>
        <v>-966044</v>
      </c>
      <c r="J91" s="195">
        <f t="shared" si="20"/>
        <v>2098785</v>
      </c>
      <c r="K91" s="195">
        <f t="shared" si="20"/>
        <v>-1659958</v>
      </c>
      <c r="L91" s="195">
        <f t="shared" si="20"/>
        <v>36202</v>
      </c>
      <c r="M91" s="70">
        <f t="shared" si="20"/>
        <v>-1272492</v>
      </c>
      <c r="N91" s="70">
        <f t="shared" si="20"/>
        <v>-93919</v>
      </c>
      <c r="O91" s="70">
        <f t="shared" si="20"/>
        <v>2276728</v>
      </c>
    </row>
    <row r="92" spans="1:15">
      <c r="A92" s="60" t="s">
        <v>51</v>
      </c>
      <c r="C92" s="70">
        <f>SUM(D92:O92)</f>
        <v>-2787348</v>
      </c>
      <c r="D92" s="195">
        <f>D31+D36+D41</f>
        <v>397747</v>
      </c>
      <c r="E92" s="195">
        <f t="shared" ref="E92:O92" si="21">E31+E36+E41</f>
        <v>-2259839</v>
      </c>
      <c r="F92" s="195">
        <f t="shared" si="21"/>
        <v>-1299040</v>
      </c>
      <c r="G92" s="195">
        <f t="shared" si="21"/>
        <v>33177</v>
      </c>
      <c r="H92" s="195">
        <f t="shared" si="21"/>
        <v>138665</v>
      </c>
      <c r="I92" s="195">
        <f t="shared" si="21"/>
        <v>-1511718</v>
      </c>
      <c r="J92" s="195">
        <f t="shared" si="21"/>
        <v>2513371</v>
      </c>
      <c r="K92" s="195">
        <f t="shared" si="21"/>
        <v>-1980388</v>
      </c>
      <c r="L92" s="195">
        <f t="shared" si="21"/>
        <v>42496</v>
      </c>
      <c r="M92" s="195">
        <f t="shared" si="21"/>
        <v>-97145</v>
      </c>
      <c r="N92" s="195">
        <f t="shared" si="21"/>
        <v>-9681</v>
      </c>
      <c r="O92" s="195">
        <f t="shared" si="21"/>
        <v>1245007</v>
      </c>
    </row>
    <row r="93" spans="1:15" ht="6" customHeight="1"/>
    <row r="94" spans="1:15">
      <c r="A94" s="60" t="s">
        <v>52</v>
      </c>
      <c r="C94" s="70">
        <f>SUM(D94:O94)</f>
        <v>-17317498</v>
      </c>
      <c r="D94" s="195">
        <f>D46</f>
        <v>3299412</v>
      </c>
      <c r="E94" s="195">
        <f t="shared" ref="E94:O94" si="22">E46</f>
        <v>-19603644</v>
      </c>
      <c r="F94" s="195">
        <f t="shared" si="22"/>
        <v>-10553768</v>
      </c>
      <c r="G94" s="195">
        <f t="shared" si="22"/>
        <v>2107972</v>
      </c>
      <c r="H94" s="195">
        <f t="shared" si="22"/>
        <v>6037703</v>
      </c>
      <c r="I94" s="195">
        <f t="shared" si="22"/>
        <v>-1760675</v>
      </c>
      <c r="J94" s="195">
        <f t="shared" si="22"/>
        <v>6238801</v>
      </c>
      <c r="K94" s="195">
        <f t="shared" si="22"/>
        <v>-4933723</v>
      </c>
      <c r="L94" s="195">
        <f t="shared" si="22"/>
        <v>109884</v>
      </c>
      <c r="M94" s="70">
        <f t="shared" si="22"/>
        <v>-8154342</v>
      </c>
      <c r="N94" s="70">
        <f t="shared" si="22"/>
        <v>-608998</v>
      </c>
      <c r="O94" s="70">
        <f t="shared" si="22"/>
        <v>10503880</v>
      </c>
    </row>
    <row r="95" spans="1:15">
      <c r="A95" s="60" t="s">
        <v>53</v>
      </c>
      <c r="C95" s="70">
        <f>SUM(D95:O95)</f>
        <v>-2818655</v>
      </c>
      <c r="D95" s="195">
        <f>D51+D56+D61</f>
        <v>490750</v>
      </c>
      <c r="E95" s="195">
        <f t="shared" ref="E95:O95" si="23">E51+E56+E61</f>
        <v>-2895495</v>
      </c>
      <c r="F95" s="195">
        <f t="shared" si="23"/>
        <v>-1565785</v>
      </c>
      <c r="G95" s="195">
        <f t="shared" si="23"/>
        <v>215292</v>
      </c>
      <c r="H95" s="195">
        <f t="shared" si="23"/>
        <v>634303</v>
      </c>
      <c r="I95" s="195">
        <f t="shared" si="23"/>
        <v>-678082</v>
      </c>
      <c r="J95" s="195">
        <f t="shared" si="23"/>
        <v>1459140</v>
      </c>
      <c r="K95" s="195">
        <f t="shared" si="23"/>
        <v>-1152516</v>
      </c>
      <c r="L95" s="195">
        <f t="shared" si="23"/>
        <v>25493</v>
      </c>
      <c r="M95" s="70">
        <f t="shared" si="23"/>
        <v>-823989</v>
      </c>
      <c r="N95" s="70">
        <f t="shared" si="23"/>
        <v>-62165</v>
      </c>
      <c r="O95" s="70">
        <f t="shared" si="23"/>
        <v>1534399</v>
      </c>
    </row>
    <row r="96" spans="1:15">
      <c r="A96" s="60" t="s">
        <v>54</v>
      </c>
      <c r="C96" s="70">
        <f>SUM(D96:O96)</f>
        <v>-1614047</v>
      </c>
      <c r="D96" s="195">
        <f>D66+D71+D76</f>
        <v>249497</v>
      </c>
      <c r="E96" s="195">
        <f t="shared" ref="E96:O96" si="24">E66+E71+E76</f>
        <v>-1469308</v>
      </c>
      <c r="F96" s="195">
        <f t="shared" si="24"/>
        <v>-796371</v>
      </c>
      <c r="G96" s="195">
        <f t="shared" si="24"/>
        <v>6037</v>
      </c>
      <c r="H96" s="195">
        <f t="shared" si="24"/>
        <v>36078</v>
      </c>
      <c r="I96" s="195">
        <f t="shared" si="24"/>
        <v>-655964</v>
      </c>
      <c r="J96" s="195">
        <f t="shared" si="24"/>
        <v>1078956</v>
      </c>
      <c r="K96" s="195">
        <f t="shared" si="24"/>
        <v>-845871</v>
      </c>
      <c r="L96" s="195">
        <f t="shared" si="24"/>
        <v>18797</v>
      </c>
      <c r="M96" s="70">
        <f t="shared" si="24"/>
        <v>-4613</v>
      </c>
      <c r="N96" s="70">
        <f t="shared" si="24"/>
        <v>-1725</v>
      </c>
      <c r="O96" s="70">
        <f t="shared" si="24"/>
        <v>770440</v>
      </c>
    </row>
    <row r="97" spans="1:15" ht="6" customHeight="1"/>
    <row r="99" spans="1:15">
      <c r="A99" s="60" t="s">
        <v>264</v>
      </c>
    </row>
    <row r="100" spans="1:15">
      <c r="A100" s="60" t="s">
        <v>49</v>
      </c>
      <c r="C100" s="76">
        <f>SUM(D100:O100)</f>
        <v>-3314360</v>
      </c>
      <c r="D100" s="204">
        <f t="shared" ref="D100:O102" si="25">D146*D90</f>
        <v>617797</v>
      </c>
      <c r="E100" s="204">
        <f t="shared" si="25"/>
        <v>-3566587</v>
      </c>
      <c r="F100" s="204">
        <f t="shared" si="25"/>
        <v>-2016867</v>
      </c>
      <c r="G100" s="204">
        <f t="shared" si="25"/>
        <v>373961</v>
      </c>
      <c r="H100" s="204">
        <f t="shared" si="25"/>
        <v>1095376</v>
      </c>
      <c r="I100" s="204">
        <f t="shared" si="25"/>
        <v>-490532</v>
      </c>
      <c r="J100" s="204">
        <f t="shared" si="25"/>
        <v>1400352</v>
      </c>
      <c r="K100" s="204">
        <f t="shared" si="25"/>
        <v>-1109067</v>
      </c>
      <c r="L100" s="204">
        <f t="shared" si="25"/>
        <v>23957</v>
      </c>
      <c r="M100" s="77">
        <f t="shared" si="25"/>
        <v>-1487792</v>
      </c>
      <c r="N100" s="77">
        <f t="shared" si="25"/>
        <v>-108547</v>
      </c>
      <c r="O100" s="77">
        <f t="shared" si="25"/>
        <v>1953589</v>
      </c>
    </row>
    <row r="101" spans="1:15">
      <c r="A101" s="60" t="s">
        <v>50</v>
      </c>
      <c r="C101" s="76">
        <f>SUM(D101:O101)</f>
        <v>-342766</v>
      </c>
      <c r="D101" s="204">
        <f t="shared" si="25"/>
        <v>60481</v>
      </c>
      <c r="E101" s="204">
        <f t="shared" si="25"/>
        <v>-349463</v>
      </c>
      <c r="F101" s="204">
        <f t="shared" si="25"/>
        <v>-196704</v>
      </c>
      <c r="G101" s="204">
        <f t="shared" si="25"/>
        <v>27405</v>
      </c>
      <c r="H101" s="204">
        <f t="shared" si="25"/>
        <v>80541</v>
      </c>
      <c r="I101" s="204">
        <f t="shared" si="25"/>
        <v>-80578</v>
      </c>
      <c r="J101" s="204">
        <f t="shared" si="25"/>
        <v>175060</v>
      </c>
      <c r="K101" s="204">
        <f t="shared" si="25"/>
        <v>-138457</v>
      </c>
      <c r="L101" s="204">
        <f t="shared" si="25"/>
        <v>3020</v>
      </c>
      <c r="M101" s="77">
        <f t="shared" si="25"/>
        <v>-106139</v>
      </c>
      <c r="N101" s="77">
        <f t="shared" si="25"/>
        <v>-7834</v>
      </c>
      <c r="O101" s="77">
        <f t="shared" si="25"/>
        <v>189902</v>
      </c>
    </row>
    <row r="102" spans="1:15" ht="13.5" thickBot="1">
      <c r="A102" s="60" t="s">
        <v>51</v>
      </c>
      <c r="C102" s="76">
        <f>SUM(D102:O102)</f>
        <v>-179226</v>
      </c>
      <c r="D102" s="204">
        <f t="shared" si="25"/>
        <v>25575</v>
      </c>
      <c r="E102" s="204">
        <f t="shared" si="25"/>
        <v>-145308</v>
      </c>
      <c r="F102" s="204">
        <f t="shared" si="25"/>
        <v>-83528</v>
      </c>
      <c r="G102" s="204">
        <f t="shared" si="25"/>
        <v>2133</v>
      </c>
      <c r="H102" s="204">
        <f t="shared" si="25"/>
        <v>8916</v>
      </c>
      <c r="I102" s="204">
        <f t="shared" si="25"/>
        <v>-97203</v>
      </c>
      <c r="J102" s="204">
        <f t="shared" si="25"/>
        <v>161610</v>
      </c>
      <c r="K102" s="204">
        <f t="shared" si="25"/>
        <v>-127339</v>
      </c>
      <c r="L102" s="204">
        <f t="shared" si="25"/>
        <v>2732</v>
      </c>
      <c r="M102" s="77">
        <f t="shared" si="25"/>
        <v>-6246</v>
      </c>
      <c r="N102" s="77">
        <f t="shared" si="25"/>
        <v>-622</v>
      </c>
      <c r="O102" s="77">
        <f t="shared" si="25"/>
        <v>80054</v>
      </c>
    </row>
    <row r="103" spans="1:15" ht="14.25" thickTop="1" thickBot="1">
      <c r="A103" s="60" t="s">
        <v>265</v>
      </c>
      <c r="C103" s="132">
        <f>SUM(C100:C102)</f>
        <v>-3836352</v>
      </c>
      <c r="D103" s="196">
        <f>SUM(D100:D102)</f>
        <v>703853</v>
      </c>
      <c r="E103" s="196">
        <f t="shared" ref="E103:O103" si="26">SUM(E100:E102)</f>
        <v>-4061358</v>
      </c>
      <c r="F103" s="196">
        <f t="shared" si="26"/>
        <v>-2297099</v>
      </c>
      <c r="G103" s="196">
        <f t="shared" si="26"/>
        <v>403499</v>
      </c>
      <c r="H103" s="196">
        <f t="shared" si="26"/>
        <v>1184833</v>
      </c>
      <c r="I103" s="196">
        <f t="shared" si="26"/>
        <v>-668313</v>
      </c>
      <c r="J103" s="196">
        <f t="shared" si="26"/>
        <v>1737022</v>
      </c>
      <c r="K103" s="196">
        <f t="shared" si="26"/>
        <v>-1374863</v>
      </c>
      <c r="L103" s="196">
        <f t="shared" si="26"/>
        <v>29709</v>
      </c>
      <c r="M103" s="125">
        <f t="shared" si="26"/>
        <v>-1600177</v>
      </c>
      <c r="N103" s="125">
        <f t="shared" si="26"/>
        <v>-117003</v>
      </c>
      <c r="O103" s="125">
        <f t="shared" si="26"/>
        <v>2223545</v>
      </c>
    </row>
    <row r="104" spans="1:15" ht="13.5" thickTop="1">
      <c r="C104" s="166">
        <f t="shared" ref="C104:O104" si="27">C103/C136</f>
        <v>0.66</v>
      </c>
      <c r="D104" s="206">
        <f t="shared" si="27"/>
        <v>0.66</v>
      </c>
      <c r="E104" s="206">
        <f t="shared" si="27"/>
        <v>0.65</v>
      </c>
      <c r="F104" s="206">
        <f t="shared" si="27"/>
        <v>0.66</v>
      </c>
      <c r="G104" s="206">
        <f t="shared" si="27"/>
        <v>0.65</v>
      </c>
      <c r="H104" s="206">
        <f t="shared" si="27"/>
        <v>0.65</v>
      </c>
      <c r="I104" s="206">
        <f t="shared" si="27"/>
        <v>0.73</v>
      </c>
      <c r="J104" s="206">
        <f t="shared" si="27"/>
        <v>0.7</v>
      </c>
      <c r="K104" s="206">
        <f t="shared" si="27"/>
        <v>0.7</v>
      </c>
      <c r="L104" s="206">
        <f t="shared" si="27"/>
        <v>0.69</v>
      </c>
      <c r="M104" s="166">
        <f t="shared" si="27"/>
        <v>0.65</v>
      </c>
      <c r="N104" s="166">
        <f t="shared" si="27"/>
        <v>0.65</v>
      </c>
      <c r="O104" s="166">
        <f t="shared" si="27"/>
        <v>0.66</v>
      </c>
    </row>
    <row r="105" spans="1:15">
      <c r="A105" s="60" t="s">
        <v>340</v>
      </c>
      <c r="C105" s="78"/>
      <c r="D105" s="74">
        <f>$N$172</f>
        <v>1.9E-2</v>
      </c>
      <c r="E105" s="73">
        <f t="shared" ref="E105:O105" si="28">D105</f>
        <v>1.9E-2</v>
      </c>
      <c r="F105" s="73">
        <f t="shared" si="28"/>
        <v>1.9E-2</v>
      </c>
      <c r="G105" s="73">
        <f t="shared" si="28"/>
        <v>1.9E-2</v>
      </c>
      <c r="H105" s="73">
        <f t="shared" si="28"/>
        <v>1.9E-2</v>
      </c>
      <c r="I105" s="73">
        <f t="shared" si="28"/>
        <v>1.9E-2</v>
      </c>
      <c r="J105" s="73">
        <f t="shared" si="28"/>
        <v>1.9E-2</v>
      </c>
      <c r="K105" s="73">
        <f t="shared" si="28"/>
        <v>1.9E-2</v>
      </c>
      <c r="L105" s="73">
        <f t="shared" si="28"/>
        <v>1.9E-2</v>
      </c>
      <c r="M105" s="73">
        <f t="shared" si="28"/>
        <v>1.9E-2</v>
      </c>
      <c r="N105" s="73">
        <f t="shared" si="28"/>
        <v>1.9E-2</v>
      </c>
      <c r="O105" s="73">
        <f t="shared" si="28"/>
        <v>1.9E-2</v>
      </c>
    </row>
    <row r="106" spans="1:15">
      <c r="A106" s="60" t="s">
        <v>49</v>
      </c>
      <c r="C106" s="76">
        <f t="shared" ref="C106:C108" si="29">SUM(D106:O106)</f>
        <v>-2633058</v>
      </c>
      <c r="D106" s="205">
        <f t="shared" ref="D106:O108" si="30">D100-D90*D$105</f>
        <v>490802</v>
      </c>
      <c r="E106" s="205">
        <f t="shared" si="30"/>
        <v>-2833436</v>
      </c>
      <c r="F106" s="205">
        <f t="shared" si="30"/>
        <v>-1602278</v>
      </c>
      <c r="G106" s="205">
        <f t="shared" si="30"/>
        <v>297089</v>
      </c>
      <c r="H106" s="205">
        <f t="shared" si="30"/>
        <v>870210</v>
      </c>
      <c r="I106" s="205">
        <f t="shared" si="30"/>
        <v>-389698</v>
      </c>
      <c r="J106" s="205">
        <f t="shared" si="30"/>
        <v>1112494</v>
      </c>
      <c r="K106" s="205">
        <f t="shared" si="30"/>
        <v>-881086</v>
      </c>
      <c r="L106" s="205">
        <f t="shared" si="30"/>
        <v>19032</v>
      </c>
      <c r="M106" s="205">
        <f t="shared" si="30"/>
        <v>-1181960</v>
      </c>
      <c r="N106" s="205">
        <f t="shared" si="30"/>
        <v>-86234</v>
      </c>
      <c r="O106" s="205">
        <f t="shared" si="30"/>
        <v>1552007</v>
      </c>
    </row>
    <row r="107" spans="1:15">
      <c r="A107" s="60" t="s">
        <v>50</v>
      </c>
      <c r="C107" s="76">
        <f t="shared" si="29"/>
        <v>-264689</v>
      </c>
      <c r="D107" s="205">
        <f t="shared" si="30"/>
        <v>46704</v>
      </c>
      <c r="E107" s="205">
        <f t="shared" si="30"/>
        <v>-269859</v>
      </c>
      <c r="F107" s="205">
        <f t="shared" si="30"/>
        <v>-151897</v>
      </c>
      <c r="G107" s="205">
        <f t="shared" si="30"/>
        <v>21163</v>
      </c>
      <c r="H107" s="205">
        <f t="shared" si="30"/>
        <v>62194</v>
      </c>
      <c r="I107" s="205">
        <f t="shared" si="30"/>
        <v>-62223</v>
      </c>
      <c r="J107" s="205">
        <f t="shared" si="30"/>
        <v>135183</v>
      </c>
      <c r="K107" s="205">
        <f t="shared" si="30"/>
        <v>-106918</v>
      </c>
      <c r="L107" s="205">
        <f t="shared" si="30"/>
        <v>2332</v>
      </c>
      <c r="M107" s="205">
        <f t="shared" si="30"/>
        <v>-81962</v>
      </c>
      <c r="N107" s="205">
        <f t="shared" si="30"/>
        <v>-6050</v>
      </c>
      <c r="O107" s="205">
        <f t="shared" si="30"/>
        <v>146644</v>
      </c>
    </row>
    <row r="108" spans="1:15">
      <c r="A108" s="60" t="s">
        <v>51</v>
      </c>
      <c r="C108" s="76">
        <f t="shared" si="29"/>
        <v>-126265</v>
      </c>
      <c r="D108" s="205">
        <f t="shared" si="30"/>
        <v>18018</v>
      </c>
      <c r="E108" s="205">
        <f t="shared" si="30"/>
        <v>-102371</v>
      </c>
      <c r="F108" s="205">
        <f t="shared" si="30"/>
        <v>-58846</v>
      </c>
      <c r="G108" s="205">
        <f t="shared" si="30"/>
        <v>1503</v>
      </c>
      <c r="H108" s="205">
        <f t="shared" si="30"/>
        <v>6281</v>
      </c>
      <c r="I108" s="205">
        <f t="shared" si="30"/>
        <v>-68480</v>
      </c>
      <c r="J108" s="205">
        <f t="shared" si="30"/>
        <v>113856</v>
      </c>
      <c r="K108" s="205">
        <f t="shared" si="30"/>
        <v>-89712</v>
      </c>
      <c r="L108" s="205">
        <f t="shared" si="30"/>
        <v>1925</v>
      </c>
      <c r="M108" s="205">
        <f t="shared" si="30"/>
        <v>-4400</v>
      </c>
      <c r="N108" s="205">
        <f t="shared" si="30"/>
        <v>-438</v>
      </c>
      <c r="O108" s="205">
        <f t="shared" si="30"/>
        <v>56399</v>
      </c>
    </row>
    <row r="109" spans="1:15">
      <c r="A109" s="60" t="s">
        <v>265</v>
      </c>
      <c r="C109" s="211">
        <f>SUM(C106:C108)</f>
        <v>-3024012</v>
      </c>
      <c r="D109" s="196">
        <f t="shared" ref="D109:O109" si="31">SUM(D105:D108)</f>
        <v>555524</v>
      </c>
      <c r="E109" s="196">
        <f t="shared" si="31"/>
        <v>-3205666</v>
      </c>
      <c r="F109" s="196">
        <f t="shared" si="31"/>
        <v>-1813021</v>
      </c>
      <c r="G109" s="196">
        <f t="shared" si="31"/>
        <v>319755</v>
      </c>
      <c r="H109" s="196">
        <f t="shared" si="31"/>
        <v>938685</v>
      </c>
      <c r="I109" s="196">
        <f t="shared" si="31"/>
        <v>-520401</v>
      </c>
      <c r="J109" s="196">
        <f t="shared" si="31"/>
        <v>1361533</v>
      </c>
      <c r="K109" s="196">
        <f t="shared" si="31"/>
        <v>-1077716</v>
      </c>
      <c r="L109" s="196">
        <f t="shared" si="31"/>
        <v>23289</v>
      </c>
      <c r="M109" s="196">
        <f t="shared" si="31"/>
        <v>-1268322</v>
      </c>
      <c r="N109" s="196">
        <f t="shared" si="31"/>
        <v>-92722</v>
      </c>
      <c r="O109" s="196">
        <f t="shared" si="31"/>
        <v>1755050</v>
      </c>
    </row>
    <row r="110" spans="1:15" ht="13.5" thickBot="1">
      <c r="A110" s="60" t="s">
        <v>394</v>
      </c>
      <c r="C110" s="78">
        <f>C109*-D110</f>
        <v>141152</v>
      </c>
      <c r="D110" s="217">
        <v>4.6677000000000003E-2</v>
      </c>
      <c r="E110" s="205" t="s">
        <v>390</v>
      </c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</row>
    <row r="111" spans="1:15" ht="14.25" thickTop="1" thickBot="1">
      <c r="A111" s="60" t="s">
        <v>393</v>
      </c>
      <c r="C111" s="132">
        <f>-(C109+C110)</f>
        <v>2882860</v>
      </c>
      <c r="D111" s="205">
        <f>D107+D108</f>
        <v>64722</v>
      </c>
      <c r="E111" s="205">
        <f t="shared" ref="E111:K111" si="32">E107+E108</f>
        <v>-372230</v>
      </c>
      <c r="F111" s="205">
        <f t="shared" si="32"/>
        <v>-210743</v>
      </c>
      <c r="G111" s="205">
        <f t="shared" si="32"/>
        <v>22666</v>
      </c>
      <c r="H111" s="205">
        <f t="shared" si="32"/>
        <v>68475</v>
      </c>
      <c r="I111" s="205">
        <f t="shared" si="32"/>
        <v>-130703</v>
      </c>
      <c r="J111" s="205">
        <f t="shared" si="32"/>
        <v>249039</v>
      </c>
      <c r="K111" s="205">
        <f t="shared" si="32"/>
        <v>-196630</v>
      </c>
      <c r="L111" s="205"/>
      <c r="M111" s="126"/>
      <c r="N111" s="126"/>
      <c r="O111" s="126"/>
    </row>
    <row r="112" spans="1:15" ht="13.5" thickTop="1">
      <c r="A112" s="60" t="s">
        <v>341</v>
      </c>
      <c r="C112" s="78"/>
      <c r="D112" s="205"/>
      <c r="E112" s="205"/>
      <c r="F112" s="205"/>
      <c r="G112" s="205"/>
      <c r="H112" s="205"/>
      <c r="I112" s="205"/>
      <c r="J112" s="205"/>
      <c r="K112" s="205"/>
      <c r="L112" s="205"/>
      <c r="M112" s="126"/>
      <c r="N112" s="126"/>
      <c r="O112" s="126"/>
    </row>
    <row r="113" spans="1:15">
      <c r="A113" s="60" t="s">
        <v>49</v>
      </c>
      <c r="C113" s="76">
        <f>SUM(D113:O113)</f>
        <v>-681302</v>
      </c>
      <c r="D113" s="205">
        <f t="shared" ref="D113:O115" si="33">D100-D106</f>
        <v>126995</v>
      </c>
      <c r="E113" s="205">
        <f t="shared" si="33"/>
        <v>-733151</v>
      </c>
      <c r="F113" s="205">
        <f t="shared" si="33"/>
        <v>-414589</v>
      </c>
      <c r="G113" s="205">
        <f t="shared" si="33"/>
        <v>76872</v>
      </c>
      <c r="H113" s="205">
        <f t="shared" si="33"/>
        <v>225166</v>
      </c>
      <c r="I113" s="205">
        <f t="shared" si="33"/>
        <v>-100834</v>
      </c>
      <c r="J113" s="205">
        <f t="shared" si="33"/>
        <v>287858</v>
      </c>
      <c r="K113" s="205">
        <f t="shared" si="33"/>
        <v>-227981</v>
      </c>
      <c r="L113" s="205">
        <f t="shared" si="33"/>
        <v>4925</v>
      </c>
      <c r="M113" s="205">
        <f t="shared" si="33"/>
        <v>-305832</v>
      </c>
      <c r="N113" s="205">
        <f t="shared" si="33"/>
        <v>-22313</v>
      </c>
      <c r="O113" s="205">
        <f t="shared" si="33"/>
        <v>401582</v>
      </c>
    </row>
    <row r="114" spans="1:15">
      <c r="A114" s="60" t="s">
        <v>50</v>
      </c>
      <c r="C114" s="76">
        <f t="shared" ref="C114:C115" si="34">SUM(D114:O114)</f>
        <v>-78077</v>
      </c>
      <c r="D114" s="205">
        <f>D101-D107</f>
        <v>13777</v>
      </c>
      <c r="E114" s="205">
        <f>E101-E107</f>
        <v>-79604</v>
      </c>
      <c r="F114" s="205">
        <f t="shared" si="33"/>
        <v>-44807</v>
      </c>
      <c r="G114" s="205">
        <f t="shared" si="33"/>
        <v>6242</v>
      </c>
      <c r="H114" s="205">
        <f t="shared" si="33"/>
        <v>18347</v>
      </c>
      <c r="I114" s="205">
        <f t="shared" si="33"/>
        <v>-18355</v>
      </c>
      <c r="J114" s="205">
        <f t="shared" si="33"/>
        <v>39877</v>
      </c>
      <c r="K114" s="205">
        <f t="shared" si="33"/>
        <v>-31539</v>
      </c>
      <c r="L114" s="205">
        <f t="shared" si="33"/>
        <v>688</v>
      </c>
      <c r="M114" s="205">
        <f t="shared" si="33"/>
        <v>-24177</v>
      </c>
      <c r="N114" s="205">
        <f t="shared" si="33"/>
        <v>-1784</v>
      </c>
      <c r="O114" s="205">
        <f t="shared" si="33"/>
        <v>43258</v>
      </c>
    </row>
    <row r="115" spans="1:15">
      <c r="A115" s="60" t="s">
        <v>51</v>
      </c>
      <c r="C115" s="76">
        <f t="shared" si="34"/>
        <v>-52961</v>
      </c>
      <c r="D115" s="205">
        <f>D102-D108</f>
        <v>7557</v>
      </c>
      <c r="E115" s="205">
        <f>E102-E108</f>
        <v>-42937</v>
      </c>
      <c r="F115" s="205">
        <f t="shared" si="33"/>
        <v>-24682</v>
      </c>
      <c r="G115" s="205">
        <f t="shared" si="33"/>
        <v>630</v>
      </c>
      <c r="H115" s="205">
        <f t="shared" si="33"/>
        <v>2635</v>
      </c>
      <c r="I115" s="205">
        <f t="shared" si="33"/>
        <v>-28723</v>
      </c>
      <c r="J115" s="205">
        <f t="shared" si="33"/>
        <v>47754</v>
      </c>
      <c r="K115" s="205">
        <f t="shared" si="33"/>
        <v>-37627</v>
      </c>
      <c r="L115" s="205">
        <f t="shared" si="33"/>
        <v>807</v>
      </c>
      <c r="M115" s="205">
        <f t="shared" si="33"/>
        <v>-1846</v>
      </c>
      <c r="N115" s="205">
        <f t="shared" si="33"/>
        <v>-184</v>
      </c>
      <c r="O115" s="205">
        <f t="shared" si="33"/>
        <v>23655</v>
      </c>
    </row>
    <row r="116" spans="1:15">
      <c r="A116" s="60" t="s">
        <v>265</v>
      </c>
      <c r="C116" s="211">
        <f>SUM(C113:C115)</f>
        <v>-812340</v>
      </c>
      <c r="D116" s="196">
        <f t="shared" ref="D116:O116" si="35">SUM(D113:D115)</f>
        <v>148329</v>
      </c>
      <c r="E116" s="196">
        <f t="shared" si="35"/>
        <v>-855692</v>
      </c>
      <c r="F116" s="196">
        <f t="shared" si="35"/>
        <v>-484078</v>
      </c>
      <c r="G116" s="196">
        <f t="shared" si="35"/>
        <v>83744</v>
      </c>
      <c r="H116" s="196">
        <f t="shared" si="35"/>
        <v>246148</v>
      </c>
      <c r="I116" s="196">
        <f t="shared" si="35"/>
        <v>-147912</v>
      </c>
      <c r="J116" s="196">
        <f t="shared" si="35"/>
        <v>375489</v>
      </c>
      <c r="K116" s="196">
        <f t="shared" si="35"/>
        <v>-297147</v>
      </c>
      <c r="L116" s="196">
        <f t="shared" si="35"/>
        <v>6420</v>
      </c>
      <c r="M116" s="196">
        <f t="shared" si="35"/>
        <v>-331855</v>
      </c>
      <c r="N116" s="196">
        <f t="shared" si="35"/>
        <v>-24281</v>
      </c>
      <c r="O116" s="196">
        <f t="shared" si="35"/>
        <v>468495</v>
      </c>
    </row>
    <row r="117" spans="1:15">
      <c r="C117" s="78"/>
      <c r="D117" s="205"/>
      <c r="E117" s="205"/>
      <c r="F117" s="205"/>
      <c r="G117" s="205"/>
      <c r="H117" s="205"/>
      <c r="I117" s="205"/>
      <c r="J117" s="205"/>
      <c r="K117" s="205"/>
      <c r="L117" s="205"/>
      <c r="M117" s="126"/>
      <c r="N117" s="126"/>
      <c r="O117" s="126"/>
    </row>
    <row r="118" spans="1:15">
      <c r="A118" s="60" t="s">
        <v>52</v>
      </c>
      <c r="C118" s="76">
        <f>SUM(D118:O118)</f>
        <v>-1679812</v>
      </c>
      <c r="D118" s="204">
        <f t="shared" ref="D118:O120" si="36">D151*D94</f>
        <v>317964</v>
      </c>
      <c r="E118" s="204">
        <f t="shared" si="36"/>
        <v>-1889203</v>
      </c>
      <c r="F118" s="204">
        <f t="shared" si="36"/>
        <v>-1017067</v>
      </c>
      <c r="G118" s="204">
        <f t="shared" si="36"/>
        <v>203145</v>
      </c>
      <c r="H118" s="204">
        <f t="shared" si="36"/>
        <v>581853</v>
      </c>
      <c r="I118" s="204">
        <f t="shared" si="36"/>
        <v>-169676</v>
      </c>
      <c r="J118" s="204">
        <f t="shared" si="36"/>
        <v>601233</v>
      </c>
      <c r="K118" s="204">
        <f t="shared" si="36"/>
        <v>-475463</v>
      </c>
      <c r="L118" s="204">
        <f t="shared" si="36"/>
        <v>10590</v>
      </c>
      <c r="M118" s="77">
        <f t="shared" si="36"/>
        <v>-785834</v>
      </c>
      <c r="N118" s="77">
        <f t="shared" si="36"/>
        <v>-58689</v>
      </c>
      <c r="O118" s="77">
        <f t="shared" si="36"/>
        <v>1001335</v>
      </c>
    </row>
    <row r="119" spans="1:15">
      <c r="A119" s="60" t="s">
        <v>53</v>
      </c>
      <c r="C119" s="76">
        <f>SUM(D119:O119)</f>
        <v>-204944</v>
      </c>
      <c r="D119" s="204">
        <f t="shared" si="36"/>
        <v>33906</v>
      </c>
      <c r="E119" s="204">
        <f t="shared" si="36"/>
        <v>-200050</v>
      </c>
      <c r="F119" s="204">
        <f t="shared" si="36"/>
        <v>-108180</v>
      </c>
      <c r="G119" s="204">
        <f t="shared" si="36"/>
        <v>14875</v>
      </c>
      <c r="H119" s="204">
        <f t="shared" si="36"/>
        <v>43824</v>
      </c>
      <c r="I119" s="204">
        <f t="shared" si="36"/>
        <v>-46849</v>
      </c>
      <c r="J119" s="204">
        <f t="shared" si="36"/>
        <v>100812</v>
      </c>
      <c r="K119" s="204">
        <f t="shared" si="36"/>
        <v>-79627</v>
      </c>
      <c r="L119" s="204">
        <f t="shared" si="36"/>
        <v>1761</v>
      </c>
      <c r="M119" s="77">
        <f t="shared" si="36"/>
        <v>-56929</v>
      </c>
      <c r="N119" s="77">
        <f t="shared" si="36"/>
        <v>-4295</v>
      </c>
      <c r="O119" s="77">
        <f t="shared" si="36"/>
        <v>95808</v>
      </c>
    </row>
    <row r="120" spans="1:15" ht="13.5" thickBot="1">
      <c r="A120" s="60" t="s">
        <v>54</v>
      </c>
      <c r="C120" s="76">
        <f>SUM(D120:O120)</f>
        <v>-88954</v>
      </c>
      <c r="D120" s="204">
        <f t="shared" si="36"/>
        <v>13378</v>
      </c>
      <c r="E120" s="204">
        <f t="shared" si="36"/>
        <v>-78784</v>
      </c>
      <c r="F120" s="204">
        <f t="shared" si="36"/>
        <v>-42701</v>
      </c>
      <c r="G120" s="204">
        <f t="shared" si="36"/>
        <v>324</v>
      </c>
      <c r="H120" s="204">
        <f t="shared" si="36"/>
        <v>1935</v>
      </c>
      <c r="I120" s="204">
        <f t="shared" si="36"/>
        <v>-35173</v>
      </c>
      <c r="J120" s="204">
        <f t="shared" si="36"/>
        <v>57854</v>
      </c>
      <c r="K120" s="204">
        <f t="shared" si="36"/>
        <v>-45356</v>
      </c>
      <c r="L120" s="204">
        <f t="shared" si="36"/>
        <v>1008</v>
      </c>
      <c r="M120" s="77">
        <f t="shared" si="36"/>
        <v>-247</v>
      </c>
      <c r="N120" s="77">
        <f t="shared" si="36"/>
        <v>-92</v>
      </c>
      <c r="O120" s="77">
        <f t="shared" si="36"/>
        <v>38900</v>
      </c>
    </row>
    <row r="121" spans="1:15" ht="14.25" thickTop="1" thickBot="1">
      <c r="A121" s="60" t="s">
        <v>266</v>
      </c>
      <c r="C121" s="132">
        <f>SUM(C118:C120)</f>
        <v>-1973710</v>
      </c>
      <c r="D121" s="196">
        <f>SUM(D118:D120)</f>
        <v>365248</v>
      </c>
      <c r="E121" s="196">
        <f t="shared" ref="E121:O121" si="37">SUM(E118:E120)</f>
        <v>-2168037</v>
      </c>
      <c r="F121" s="196">
        <f t="shared" si="37"/>
        <v>-1167948</v>
      </c>
      <c r="G121" s="196">
        <f t="shared" si="37"/>
        <v>218344</v>
      </c>
      <c r="H121" s="196">
        <f t="shared" si="37"/>
        <v>627612</v>
      </c>
      <c r="I121" s="196">
        <f t="shared" si="37"/>
        <v>-251698</v>
      </c>
      <c r="J121" s="196">
        <f t="shared" si="37"/>
        <v>759899</v>
      </c>
      <c r="K121" s="196">
        <f t="shared" si="37"/>
        <v>-600446</v>
      </c>
      <c r="L121" s="196">
        <f t="shared" si="37"/>
        <v>13359</v>
      </c>
      <c r="M121" s="125">
        <f t="shared" si="37"/>
        <v>-843010</v>
      </c>
      <c r="N121" s="125">
        <f t="shared" si="37"/>
        <v>-63076</v>
      </c>
      <c r="O121" s="125">
        <f t="shared" si="37"/>
        <v>1136043</v>
      </c>
    </row>
    <row r="122" spans="1:15" ht="13.5" thickTop="1">
      <c r="C122" s="166">
        <f>C121/C136</f>
        <v>0.34</v>
      </c>
      <c r="D122" s="206">
        <f>D121/D136</f>
        <v>0.34</v>
      </c>
      <c r="E122" s="206">
        <f t="shared" ref="E122:O122" si="38">E121/E136</f>
        <v>0.35</v>
      </c>
      <c r="F122" s="206">
        <f t="shared" si="38"/>
        <v>0.34</v>
      </c>
      <c r="G122" s="206">
        <f t="shared" si="38"/>
        <v>0.35</v>
      </c>
      <c r="H122" s="206">
        <f t="shared" si="38"/>
        <v>0.35</v>
      </c>
      <c r="I122" s="206">
        <f t="shared" si="38"/>
        <v>0.27</v>
      </c>
      <c r="J122" s="206">
        <f t="shared" si="38"/>
        <v>0.3</v>
      </c>
      <c r="K122" s="206">
        <f t="shared" si="38"/>
        <v>0.3</v>
      </c>
      <c r="L122" s="206">
        <f t="shared" si="38"/>
        <v>0.31</v>
      </c>
      <c r="M122" s="166">
        <f t="shared" si="38"/>
        <v>0.35</v>
      </c>
      <c r="N122" s="166">
        <f t="shared" si="38"/>
        <v>0.35</v>
      </c>
      <c r="O122" s="166">
        <f t="shared" si="38"/>
        <v>0.34</v>
      </c>
    </row>
    <row r="123" spans="1:15">
      <c r="A123" s="60" t="s">
        <v>391</v>
      </c>
      <c r="C123" s="78"/>
      <c r="D123" s="74">
        <f>$N$189</f>
        <v>2.4989999999999998E-2</v>
      </c>
      <c r="E123" s="73">
        <f t="shared" ref="E123:N123" si="39">D123</f>
        <v>2.4989999999999998E-2</v>
      </c>
      <c r="F123" s="73">
        <f t="shared" si="39"/>
        <v>2.4989999999999998E-2</v>
      </c>
      <c r="G123" s="73">
        <f t="shared" si="39"/>
        <v>2.4989999999999998E-2</v>
      </c>
      <c r="H123" s="73">
        <f t="shared" si="39"/>
        <v>2.4989999999999998E-2</v>
      </c>
      <c r="I123" s="73">
        <f t="shared" si="39"/>
        <v>2.4989999999999998E-2</v>
      </c>
      <c r="J123" s="73">
        <f t="shared" si="39"/>
        <v>2.4989999999999998E-2</v>
      </c>
      <c r="K123" s="73">
        <f t="shared" si="39"/>
        <v>2.4989999999999998E-2</v>
      </c>
      <c r="L123" s="73">
        <f t="shared" si="39"/>
        <v>2.4989999999999998E-2</v>
      </c>
      <c r="M123" s="73">
        <f t="shared" si="39"/>
        <v>2.4989999999999998E-2</v>
      </c>
      <c r="N123" s="73">
        <f t="shared" si="39"/>
        <v>2.4989999999999998E-2</v>
      </c>
      <c r="O123" s="74">
        <f>$J$189</f>
        <v>2.2120000000000001E-2</v>
      </c>
    </row>
    <row r="124" spans="1:15">
      <c r="A124" s="60" t="s">
        <v>52</v>
      </c>
      <c r="C124" s="76">
        <f t="shared" ref="C124:C126" si="40">SUM(D124:O124)</f>
        <v>-1216901</v>
      </c>
      <c r="D124" s="205">
        <f t="shared" ref="D124:O126" si="41">D118-D94*D$123</f>
        <v>235512</v>
      </c>
      <c r="E124" s="205">
        <f t="shared" si="41"/>
        <v>-1399308</v>
      </c>
      <c r="F124" s="205">
        <f t="shared" si="41"/>
        <v>-753328</v>
      </c>
      <c r="G124" s="205">
        <f t="shared" si="41"/>
        <v>150467</v>
      </c>
      <c r="H124" s="205">
        <f t="shared" si="41"/>
        <v>430971</v>
      </c>
      <c r="I124" s="205">
        <f t="shared" si="41"/>
        <v>-125677</v>
      </c>
      <c r="J124" s="205">
        <f t="shared" si="41"/>
        <v>445325</v>
      </c>
      <c r="K124" s="205">
        <f t="shared" si="41"/>
        <v>-352169</v>
      </c>
      <c r="L124" s="205">
        <f t="shared" si="41"/>
        <v>7844</v>
      </c>
      <c r="M124" s="205">
        <f t="shared" si="41"/>
        <v>-582057</v>
      </c>
      <c r="N124" s="205">
        <f t="shared" si="41"/>
        <v>-43470</v>
      </c>
      <c r="O124" s="205">
        <f t="shared" si="41"/>
        <v>768989</v>
      </c>
    </row>
    <row r="125" spans="1:15">
      <c r="A125" s="60" t="s">
        <v>53</v>
      </c>
      <c r="C125" s="76">
        <f t="shared" si="40"/>
        <v>-130103</v>
      </c>
      <c r="D125" s="205">
        <f t="shared" si="41"/>
        <v>21642</v>
      </c>
      <c r="E125" s="205">
        <f t="shared" si="41"/>
        <v>-127692</v>
      </c>
      <c r="F125" s="205">
        <f t="shared" si="41"/>
        <v>-69051</v>
      </c>
      <c r="G125" s="205">
        <f t="shared" si="41"/>
        <v>9495</v>
      </c>
      <c r="H125" s="205">
        <f t="shared" si="41"/>
        <v>27973</v>
      </c>
      <c r="I125" s="205">
        <f t="shared" si="41"/>
        <v>-29904</v>
      </c>
      <c r="J125" s="205">
        <f t="shared" si="41"/>
        <v>64348</v>
      </c>
      <c r="K125" s="205">
        <f t="shared" si="41"/>
        <v>-50826</v>
      </c>
      <c r="L125" s="205">
        <f t="shared" si="41"/>
        <v>1124</v>
      </c>
      <c r="M125" s="205">
        <f t="shared" si="41"/>
        <v>-36338</v>
      </c>
      <c r="N125" s="205">
        <f t="shared" si="41"/>
        <v>-2741</v>
      </c>
      <c r="O125" s="205">
        <f t="shared" si="41"/>
        <v>61867</v>
      </c>
    </row>
    <row r="126" spans="1:15">
      <c r="A126" s="60" t="s">
        <v>54</v>
      </c>
      <c r="C126" s="76">
        <f t="shared" si="40"/>
        <v>-46409</v>
      </c>
      <c r="D126" s="205">
        <f t="shared" si="41"/>
        <v>7143</v>
      </c>
      <c r="E126" s="205">
        <f t="shared" si="41"/>
        <v>-42066</v>
      </c>
      <c r="F126" s="205">
        <f t="shared" si="41"/>
        <v>-22800</v>
      </c>
      <c r="G126" s="205">
        <f t="shared" si="41"/>
        <v>173</v>
      </c>
      <c r="H126" s="205">
        <f t="shared" si="41"/>
        <v>1033</v>
      </c>
      <c r="I126" s="205">
        <f t="shared" si="41"/>
        <v>-18780</v>
      </c>
      <c r="J126" s="205">
        <f t="shared" si="41"/>
        <v>30891</v>
      </c>
      <c r="K126" s="205">
        <f t="shared" si="41"/>
        <v>-24218</v>
      </c>
      <c r="L126" s="205">
        <f t="shared" si="41"/>
        <v>538</v>
      </c>
      <c r="M126" s="205">
        <f t="shared" si="41"/>
        <v>-132</v>
      </c>
      <c r="N126" s="205">
        <f t="shared" si="41"/>
        <v>-49</v>
      </c>
      <c r="O126" s="205">
        <f t="shared" si="41"/>
        <v>21858</v>
      </c>
    </row>
    <row r="127" spans="1:15">
      <c r="A127" s="60" t="s">
        <v>266</v>
      </c>
      <c r="C127" s="211">
        <f>SUM(C124:C126)</f>
        <v>-1393413</v>
      </c>
      <c r="D127" s="196">
        <f t="shared" ref="D127:O127" si="42">SUM(D123:D126)</f>
        <v>264297</v>
      </c>
      <c r="E127" s="196">
        <f t="shared" si="42"/>
        <v>-1569066</v>
      </c>
      <c r="F127" s="196">
        <f t="shared" si="42"/>
        <v>-845179</v>
      </c>
      <c r="G127" s="196">
        <f t="shared" si="42"/>
        <v>160135</v>
      </c>
      <c r="H127" s="196">
        <f t="shared" si="42"/>
        <v>459977</v>
      </c>
      <c r="I127" s="196">
        <f t="shared" si="42"/>
        <v>-174361</v>
      </c>
      <c r="J127" s="196">
        <f t="shared" si="42"/>
        <v>540564</v>
      </c>
      <c r="K127" s="196">
        <f t="shared" si="42"/>
        <v>-427213</v>
      </c>
      <c r="L127" s="196">
        <f t="shared" si="42"/>
        <v>9506</v>
      </c>
      <c r="M127" s="196">
        <f t="shared" si="42"/>
        <v>-618527</v>
      </c>
      <c r="N127" s="196">
        <f t="shared" si="42"/>
        <v>-46260</v>
      </c>
      <c r="O127" s="196">
        <f t="shared" si="42"/>
        <v>852714</v>
      </c>
    </row>
    <row r="128" spans="1:15" ht="13.5" thickBot="1">
      <c r="A128" s="60" t="s">
        <v>394</v>
      </c>
      <c r="C128" s="78">
        <f>C127*-D128</f>
        <v>8135</v>
      </c>
      <c r="D128" s="217">
        <v>5.8380000000000003E-3</v>
      </c>
      <c r="E128" s="205" t="s">
        <v>396</v>
      </c>
      <c r="F128" s="205"/>
      <c r="G128" s="205"/>
      <c r="H128" s="205"/>
      <c r="I128" s="205"/>
      <c r="J128" s="205"/>
      <c r="K128" s="205"/>
      <c r="L128" s="205"/>
      <c r="M128" s="205"/>
      <c r="N128" s="205"/>
      <c r="O128" s="232">
        <v>5.4510000000000001E-3</v>
      </c>
    </row>
    <row r="129" spans="1:15" ht="14.25" thickTop="1" thickBot="1">
      <c r="A129" s="60" t="s">
        <v>395</v>
      </c>
      <c r="C129" s="132">
        <f>-(C127+C128)</f>
        <v>1385278</v>
      </c>
      <c r="D129" s="229">
        <f>D125+D126</f>
        <v>28785</v>
      </c>
      <c r="E129" s="229">
        <f t="shared" ref="E129:K129" si="43">E125+E126</f>
        <v>-169758</v>
      </c>
      <c r="F129" s="229">
        <f t="shared" si="43"/>
        <v>-91851</v>
      </c>
      <c r="G129" s="229">
        <f t="shared" si="43"/>
        <v>9668</v>
      </c>
      <c r="H129" s="229">
        <f t="shared" si="43"/>
        <v>29006</v>
      </c>
      <c r="I129" s="229">
        <f t="shared" si="43"/>
        <v>-48684</v>
      </c>
      <c r="J129" s="229">
        <f t="shared" si="43"/>
        <v>95239</v>
      </c>
      <c r="K129" s="229">
        <f t="shared" si="43"/>
        <v>-75044</v>
      </c>
      <c r="L129" s="206"/>
      <c r="M129" s="166"/>
      <c r="N129" s="166"/>
      <c r="O129" s="166"/>
    </row>
    <row r="130" spans="1:15" ht="13.5" thickTop="1">
      <c r="A130" s="60" t="s">
        <v>392</v>
      </c>
      <c r="C130" s="78"/>
      <c r="D130" s="205"/>
      <c r="E130" s="205"/>
      <c r="F130" s="205"/>
      <c r="G130" s="205"/>
      <c r="H130" s="205"/>
      <c r="I130" s="205"/>
      <c r="J130" s="205"/>
      <c r="K130" s="205"/>
      <c r="L130" s="205"/>
      <c r="M130" s="126"/>
      <c r="N130" s="126"/>
      <c r="O130" s="126"/>
    </row>
    <row r="131" spans="1:15">
      <c r="A131" s="60" t="s">
        <v>52</v>
      </c>
      <c r="C131" s="76">
        <f>SUM(D131:O131)</f>
        <v>-462911</v>
      </c>
      <c r="D131" s="205">
        <f t="shared" ref="D131:O133" si="44">D118-D124</f>
        <v>82452</v>
      </c>
      <c r="E131" s="205">
        <f t="shared" si="44"/>
        <v>-489895</v>
      </c>
      <c r="F131" s="205">
        <f t="shared" si="44"/>
        <v>-263739</v>
      </c>
      <c r="G131" s="205">
        <f t="shared" si="44"/>
        <v>52678</v>
      </c>
      <c r="H131" s="205">
        <f t="shared" si="44"/>
        <v>150882</v>
      </c>
      <c r="I131" s="205">
        <f t="shared" si="44"/>
        <v>-43999</v>
      </c>
      <c r="J131" s="205">
        <f t="shared" si="44"/>
        <v>155908</v>
      </c>
      <c r="K131" s="205">
        <f t="shared" si="44"/>
        <v>-123294</v>
      </c>
      <c r="L131" s="205">
        <f t="shared" si="44"/>
        <v>2746</v>
      </c>
      <c r="M131" s="205">
        <f t="shared" si="44"/>
        <v>-203777</v>
      </c>
      <c r="N131" s="205">
        <f t="shared" si="44"/>
        <v>-15219</v>
      </c>
      <c r="O131" s="205">
        <f t="shared" si="44"/>
        <v>232346</v>
      </c>
    </row>
    <row r="132" spans="1:15">
      <c r="A132" s="60" t="s">
        <v>53</v>
      </c>
      <c r="C132" s="76">
        <f t="shared" ref="C132:C133" si="45">SUM(D132:O132)</f>
        <v>-74841</v>
      </c>
      <c r="D132" s="205">
        <f t="shared" si="44"/>
        <v>12264</v>
      </c>
      <c r="E132" s="205">
        <f t="shared" si="44"/>
        <v>-72358</v>
      </c>
      <c r="F132" s="205">
        <f t="shared" si="44"/>
        <v>-39129</v>
      </c>
      <c r="G132" s="205">
        <f t="shared" si="44"/>
        <v>5380</v>
      </c>
      <c r="H132" s="205">
        <f t="shared" si="44"/>
        <v>15851</v>
      </c>
      <c r="I132" s="205">
        <f t="shared" si="44"/>
        <v>-16945</v>
      </c>
      <c r="J132" s="205">
        <f t="shared" si="44"/>
        <v>36464</v>
      </c>
      <c r="K132" s="205">
        <f t="shared" si="44"/>
        <v>-28801</v>
      </c>
      <c r="L132" s="205">
        <f t="shared" si="44"/>
        <v>637</v>
      </c>
      <c r="M132" s="205">
        <f t="shared" si="44"/>
        <v>-20591</v>
      </c>
      <c r="N132" s="205">
        <f t="shared" si="44"/>
        <v>-1554</v>
      </c>
      <c r="O132" s="205">
        <f t="shared" si="44"/>
        <v>33941</v>
      </c>
    </row>
    <row r="133" spans="1:15">
      <c r="A133" s="60" t="s">
        <v>54</v>
      </c>
      <c r="C133" s="76">
        <f t="shared" si="45"/>
        <v>-42545</v>
      </c>
      <c r="D133" s="205">
        <f t="shared" si="44"/>
        <v>6235</v>
      </c>
      <c r="E133" s="205">
        <f t="shared" si="44"/>
        <v>-36718</v>
      </c>
      <c r="F133" s="205">
        <f t="shared" si="44"/>
        <v>-19901</v>
      </c>
      <c r="G133" s="205">
        <f t="shared" si="44"/>
        <v>151</v>
      </c>
      <c r="H133" s="205">
        <f t="shared" si="44"/>
        <v>902</v>
      </c>
      <c r="I133" s="205">
        <f t="shared" si="44"/>
        <v>-16393</v>
      </c>
      <c r="J133" s="205">
        <f t="shared" si="44"/>
        <v>26963</v>
      </c>
      <c r="K133" s="205">
        <f t="shared" si="44"/>
        <v>-21138</v>
      </c>
      <c r="L133" s="205">
        <f t="shared" si="44"/>
        <v>470</v>
      </c>
      <c r="M133" s="205">
        <f t="shared" si="44"/>
        <v>-115</v>
      </c>
      <c r="N133" s="205">
        <f t="shared" si="44"/>
        <v>-43</v>
      </c>
      <c r="O133" s="205">
        <f t="shared" si="44"/>
        <v>17042</v>
      </c>
    </row>
    <row r="134" spans="1:15">
      <c r="A134" s="60" t="s">
        <v>266</v>
      </c>
      <c r="C134" s="211">
        <f>SUM(C131:C133)</f>
        <v>-580297</v>
      </c>
      <c r="D134" s="196">
        <f t="shared" ref="D134:O134" si="46">SUM(D131:D133)</f>
        <v>100951</v>
      </c>
      <c r="E134" s="196">
        <f t="shared" si="46"/>
        <v>-598971</v>
      </c>
      <c r="F134" s="196">
        <f t="shared" si="46"/>
        <v>-322769</v>
      </c>
      <c r="G134" s="196">
        <f t="shared" si="46"/>
        <v>58209</v>
      </c>
      <c r="H134" s="196">
        <f t="shared" si="46"/>
        <v>167635</v>
      </c>
      <c r="I134" s="196">
        <f t="shared" si="46"/>
        <v>-77337</v>
      </c>
      <c r="J134" s="196">
        <f t="shared" si="46"/>
        <v>219335</v>
      </c>
      <c r="K134" s="196">
        <f t="shared" si="46"/>
        <v>-173233</v>
      </c>
      <c r="L134" s="196">
        <f t="shared" si="46"/>
        <v>3853</v>
      </c>
      <c r="M134" s="196">
        <f t="shared" si="46"/>
        <v>-224483</v>
      </c>
      <c r="N134" s="196">
        <f t="shared" si="46"/>
        <v>-16816</v>
      </c>
      <c r="O134" s="196">
        <f t="shared" si="46"/>
        <v>283329</v>
      </c>
    </row>
    <row r="135" spans="1:15">
      <c r="C135" s="166"/>
      <c r="D135" s="206"/>
      <c r="E135" s="206"/>
      <c r="F135" s="206"/>
      <c r="G135" s="206"/>
      <c r="H135" s="206"/>
      <c r="I135" s="206"/>
      <c r="J135" s="206"/>
      <c r="K135" s="206"/>
      <c r="L135" s="206"/>
      <c r="M135" s="166"/>
      <c r="N135" s="166"/>
      <c r="O135" s="166"/>
    </row>
    <row r="136" spans="1:15">
      <c r="B136" s="61" t="s">
        <v>281</v>
      </c>
      <c r="C136" s="76">
        <f>SUM(D136:O136)</f>
        <v>-5810062</v>
      </c>
      <c r="D136" s="197">
        <f t="shared" ref="D136:O136" si="47">D103+D121</f>
        <v>1069101</v>
      </c>
      <c r="E136" s="197">
        <f t="shared" si="47"/>
        <v>-6229395</v>
      </c>
      <c r="F136" s="197">
        <f t="shared" si="47"/>
        <v>-3465047</v>
      </c>
      <c r="G136" s="197">
        <f t="shared" si="47"/>
        <v>621843</v>
      </c>
      <c r="H136" s="197">
        <f t="shared" si="47"/>
        <v>1812445</v>
      </c>
      <c r="I136" s="197">
        <f t="shared" si="47"/>
        <v>-920011</v>
      </c>
      <c r="J136" s="197">
        <f t="shared" si="47"/>
        <v>2496921</v>
      </c>
      <c r="K136" s="197">
        <f t="shared" si="47"/>
        <v>-1975309</v>
      </c>
      <c r="L136" s="197">
        <f t="shared" si="47"/>
        <v>43068</v>
      </c>
      <c r="M136" s="76">
        <f t="shared" si="47"/>
        <v>-2443187</v>
      </c>
      <c r="N136" s="76">
        <f t="shared" si="47"/>
        <v>-180079</v>
      </c>
      <c r="O136" s="76">
        <f t="shared" si="47"/>
        <v>3359588</v>
      </c>
    </row>
    <row r="137" spans="1:15">
      <c r="C137" s="76"/>
      <c r="D137" s="197"/>
      <c r="E137" s="197"/>
      <c r="F137" s="197"/>
      <c r="G137" s="197"/>
      <c r="H137" s="197"/>
      <c r="I137" s="197"/>
    </row>
    <row r="138" spans="1:15">
      <c r="A138" s="60" t="s">
        <v>278</v>
      </c>
      <c r="C138" s="76">
        <f>SUM(D138:O138)</f>
        <v>-774290</v>
      </c>
      <c r="D138" s="197">
        <f t="shared" ref="D138:O138" si="48">D84*D149</f>
        <v>141381</v>
      </c>
      <c r="E138" s="197">
        <f t="shared" si="48"/>
        <v>-815610</v>
      </c>
      <c r="F138" s="197">
        <f t="shared" si="48"/>
        <v>-461403</v>
      </c>
      <c r="G138" s="197">
        <f t="shared" si="48"/>
        <v>79822</v>
      </c>
      <c r="H138" s="197">
        <f t="shared" si="48"/>
        <v>234618</v>
      </c>
      <c r="I138" s="197">
        <f t="shared" si="48"/>
        <v>-140983</v>
      </c>
      <c r="J138" s="197">
        <f t="shared" si="48"/>
        <v>357900</v>
      </c>
      <c r="K138" s="197">
        <f t="shared" si="48"/>
        <v>-283229</v>
      </c>
      <c r="L138" s="197">
        <f t="shared" si="48"/>
        <v>6119</v>
      </c>
      <c r="M138" s="76">
        <f t="shared" si="48"/>
        <v>-316310</v>
      </c>
      <c r="N138" s="76">
        <f t="shared" si="48"/>
        <v>-23144</v>
      </c>
      <c r="O138" s="76">
        <f t="shared" si="48"/>
        <v>446549</v>
      </c>
    </row>
    <row r="139" spans="1:15">
      <c r="A139" s="60" t="s">
        <v>279</v>
      </c>
      <c r="C139" s="76">
        <f>SUM(D139:O139)</f>
        <v>-576652</v>
      </c>
      <c r="D139" s="197">
        <f t="shared" ref="D139:O139" si="49">D86*D154</f>
        <v>100345</v>
      </c>
      <c r="E139" s="197">
        <f t="shared" si="49"/>
        <v>-595376</v>
      </c>
      <c r="F139" s="197">
        <f t="shared" si="49"/>
        <v>-320832</v>
      </c>
      <c r="G139" s="197">
        <f t="shared" si="49"/>
        <v>57860</v>
      </c>
      <c r="H139" s="197">
        <f t="shared" si="49"/>
        <v>166629</v>
      </c>
      <c r="I139" s="197">
        <f t="shared" si="49"/>
        <v>-76873</v>
      </c>
      <c r="J139" s="197">
        <f t="shared" si="49"/>
        <v>218018</v>
      </c>
      <c r="K139" s="197">
        <f t="shared" si="49"/>
        <v>-172194</v>
      </c>
      <c r="L139" s="197">
        <f t="shared" si="49"/>
        <v>3830</v>
      </c>
      <c r="M139" s="76">
        <f t="shared" si="49"/>
        <v>-223136</v>
      </c>
      <c r="N139" s="76">
        <f t="shared" si="49"/>
        <v>-16715</v>
      </c>
      <c r="O139" s="76">
        <f t="shared" si="49"/>
        <v>281792</v>
      </c>
    </row>
    <row r="140" spans="1:15">
      <c r="B140" s="61" t="s">
        <v>280</v>
      </c>
      <c r="C140" s="125">
        <f>SUM(C138:C139)</f>
        <v>-1350942</v>
      </c>
      <c r="D140" s="196">
        <f t="shared" ref="D140:O140" si="50">SUM(D138:D139)</f>
        <v>241726</v>
      </c>
      <c r="E140" s="196">
        <f t="shared" si="50"/>
        <v>-1410986</v>
      </c>
      <c r="F140" s="196">
        <f t="shared" si="50"/>
        <v>-782235</v>
      </c>
      <c r="G140" s="196">
        <f t="shared" si="50"/>
        <v>137682</v>
      </c>
      <c r="H140" s="196">
        <f t="shared" si="50"/>
        <v>401247</v>
      </c>
      <c r="I140" s="196">
        <f t="shared" si="50"/>
        <v>-217856</v>
      </c>
      <c r="J140" s="196">
        <f t="shared" si="50"/>
        <v>575918</v>
      </c>
      <c r="K140" s="196">
        <f t="shared" si="50"/>
        <v>-455423</v>
      </c>
      <c r="L140" s="196">
        <f t="shared" si="50"/>
        <v>9949</v>
      </c>
      <c r="M140" s="125">
        <f t="shared" si="50"/>
        <v>-539446</v>
      </c>
      <c r="N140" s="125">
        <f t="shared" si="50"/>
        <v>-39859</v>
      </c>
      <c r="O140" s="125">
        <f t="shared" si="50"/>
        <v>728341</v>
      </c>
    </row>
    <row r="141" spans="1:15">
      <c r="B141" s="61"/>
      <c r="C141" s="126"/>
      <c r="D141" s="205"/>
      <c r="E141" s="205"/>
      <c r="F141" s="205"/>
      <c r="G141" s="205"/>
      <c r="H141" s="205"/>
      <c r="I141" s="205"/>
      <c r="J141" s="205"/>
      <c r="K141" s="197"/>
      <c r="L141" s="197"/>
      <c r="M141" s="76"/>
      <c r="N141" s="76"/>
      <c r="O141" s="76"/>
    </row>
    <row r="142" spans="1:15">
      <c r="B142" s="61" t="s">
        <v>285</v>
      </c>
      <c r="C142" s="76">
        <f>SUM(D142:O142)</f>
        <v>-41695</v>
      </c>
      <c r="D142" s="205">
        <f t="shared" ref="D142:O142" si="51">D116+D134-D140</f>
        <v>7554</v>
      </c>
      <c r="E142" s="205">
        <f t="shared" si="51"/>
        <v>-43677</v>
      </c>
      <c r="F142" s="205">
        <f t="shared" si="51"/>
        <v>-24612</v>
      </c>
      <c r="G142" s="205">
        <f t="shared" si="51"/>
        <v>4271</v>
      </c>
      <c r="H142" s="205">
        <f t="shared" si="51"/>
        <v>12536</v>
      </c>
      <c r="I142" s="205">
        <f t="shared" si="51"/>
        <v>-7393</v>
      </c>
      <c r="J142" s="205">
        <f t="shared" si="51"/>
        <v>18906</v>
      </c>
      <c r="K142" s="205">
        <f t="shared" si="51"/>
        <v>-14957</v>
      </c>
      <c r="L142" s="205">
        <f t="shared" si="51"/>
        <v>324</v>
      </c>
      <c r="M142" s="205">
        <f t="shared" si="51"/>
        <v>-16892</v>
      </c>
      <c r="N142" s="205">
        <f t="shared" si="51"/>
        <v>-1238</v>
      </c>
      <c r="O142" s="205">
        <f t="shared" si="51"/>
        <v>23483</v>
      </c>
    </row>
    <row r="144" spans="1:15">
      <c r="A144" s="60" t="s">
        <v>256</v>
      </c>
    </row>
    <row r="145" spans="1:15">
      <c r="A145" s="60" t="s">
        <v>263</v>
      </c>
    </row>
    <row r="146" spans="1:15">
      <c r="A146" s="60" t="s">
        <v>49</v>
      </c>
      <c r="D146" s="189">
        <f>$N$159</f>
        <v>9.2429999999999998E-2</v>
      </c>
      <c r="E146" s="73">
        <f t="shared" ref="E146:O149" si="52">D146</f>
        <v>9.2429999999999998E-2</v>
      </c>
      <c r="F146" s="73">
        <f t="shared" si="52"/>
        <v>9.2429999999999998E-2</v>
      </c>
      <c r="G146" s="73">
        <f t="shared" si="52"/>
        <v>9.2429999999999998E-2</v>
      </c>
      <c r="H146" s="73">
        <f t="shared" si="52"/>
        <v>9.2429999999999998E-2</v>
      </c>
      <c r="I146" s="73">
        <f t="shared" si="52"/>
        <v>9.2429999999999998E-2</v>
      </c>
      <c r="J146" s="73">
        <f t="shared" si="52"/>
        <v>9.2429999999999998E-2</v>
      </c>
      <c r="K146" s="73">
        <f t="shared" si="52"/>
        <v>9.2429999999999998E-2</v>
      </c>
      <c r="L146" s="73">
        <f t="shared" si="52"/>
        <v>9.2429999999999998E-2</v>
      </c>
      <c r="M146" s="73">
        <f t="shared" si="52"/>
        <v>9.2429999999999998E-2</v>
      </c>
      <c r="N146" s="73">
        <f t="shared" si="52"/>
        <v>9.2429999999999998E-2</v>
      </c>
      <c r="O146" s="73">
        <f t="shared" si="52"/>
        <v>9.2429999999999998E-2</v>
      </c>
    </row>
    <row r="147" spans="1:15">
      <c r="A147" s="60" t="s">
        <v>50</v>
      </c>
      <c r="D147" s="74">
        <f>$N$164</f>
        <v>8.3409999999999998E-2</v>
      </c>
      <c r="E147" s="73">
        <f t="shared" si="52"/>
        <v>8.3409999999999998E-2</v>
      </c>
      <c r="F147" s="73">
        <f t="shared" si="52"/>
        <v>8.3409999999999998E-2</v>
      </c>
      <c r="G147" s="73">
        <f t="shared" si="52"/>
        <v>8.3409999999999998E-2</v>
      </c>
      <c r="H147" s="73">
        <f t="shared" si="52"/>
        <v>8.3409999999999998E-2</v>
      </c>
      <c r="I147" s="73">
        <f t="shared" si="52"/>
        <v>8.3409999999999998E-2</v>
      </c>
      <c r="J147" s="73">
        <f t="shared" si="52"/>
        <v>8.3409999999999998E-2</v>
      </c>
      <c r="K147" s="73">
        <f t="shared" si="52"/>
        <v>8.3409999999999998E-2</v>
      </c>
      <c r="L147" s="73">
        <f t="shared" si="52"/>
        <v>8.3409999999999998E-2</v>
      </c>
      <c r="M147" s="73">
        <f t="shared" si="52"/>
        <v>8.3409999999999998E-2</v>
      </c>
      <c r="N147" s="73">
        <f t="shared" si="52"/>
        <v>8.3409999999999998E-2</v>
      </c>
      <c r="O147" s="73">
        <f t="shared" si="52"/>
        <v>8.3409999999999998E-2</v>
      </c>
    </row>
    <row r="148" spans="1:15">
      <c r="A148" s="60" t="s">
        <v>51</v>
      </c>
      <c r="D148" s="74">
        <f>$N$169</f>
        <v>6.4299999999999996E-2</v>
      </c>
      <c r="E148" s="73">
        <f t="shared" si="52"/>
        <v>6.4299999999999996E-2</v>
      </c>
      <c r="F148" s="73">
        <f t="shared" si="52"/>
        <v>6.4299999999999996E-2</v>
      </c>
      <c r="G148" s="73">
        <f t="shared" si="52"/>
        <v>6.4299999999999996E-2</v>
      </c>
      <c r="H148" s="73">
        <f t="shared" si="52"/>
        <v>6.4299999999999996E-2</v>
      </c>
      <c r="I148" s="73">
        <f t="shared" si="52"/>
        <v>6.4299999999999996E-2</v>
      </c>
      <c r="J148" s="73">
        <f t="shared" si="52"/>
        <v>6.4299999999999996E-2</v>
      </c>
      <c r="K148" s="73">
        <f t="shared" si="52"/>
        <v>6.4299999999999996E-2</v>
      </c>
      <c r="L148" s="73">
        <f t="shared" si="52"/>
        <v>6.4299999999999996E-2</v>
      </c>
      <c r="M148" s="73">
        <f t="shared" si="52"/>
        <v>6.4299999999999996E-2</v>
      </c>
      <c r="N148" s="73">
        <f t="shared" si="52"/>
        <v>6.4299999999999996E-2</v>
      </c>
      <c r="O148" s="73">
        <f t="shared" si="52"/>
        <v>6.4299999999999996E-2</v>
      </c>
    </row>
    <row r="149" spans="1:15">
      <c r="A149" s="60" t="s">
        <v>337</v>
      </c>
      <c r="D149" s="74">
        <f>$N$171</f>
        <v>1.8110000000000001E-2</v>
      </c>
      <c r="E149" s="73">
        <f t="shared" si="52"/>
        <v>1.8110000000000001E-2</v>
      </c>
      <c r="F149" s="73">
        <f t="shared" si="52"/>
        <v>1.8110000000000001E-2</v>
      </c>
      <c r="G149" s="73">
        <f t="shared" si="52"/>
        <v>1.8110000000000001E-2</v>
      </c>
      <c r="H149" s="73">
        <f t="shared" si="52"/>
        <v>1.8110000000000001E-2</v>
      </c>
      <c r="I149" s="73">
        <f t="shared" si="52"/>
        <v>1.8110000000000001E-2</v>
      </c>
      <c r="J149" s="73">
        <f t="shared" si="52"/>
        <v>1.8110000000000001E-2</v>
      </c>
      <c r="K149" s="73">
        <f t="shared" si="52"/>
        <v>1.8110000000000001E-2</v>
      </c>
      <c r="L149" s="73">
        <f t="shared" si="52"/>
        <v>1.8110000000000001E-2</v>
      </c>
      <c r="M149" s="73">
        <f t="shared" si="52"/>
        <v>1.8110000000000001E-2</v>
      </c>
      <c r="N149" s="73">
        <f t="shared" si="52"/>
        <v>1.8110000000000001E-2</v>
      </c>
      <c r="O149" s="73">
        <f t="shared" si="52"/>
        <v>1.8110000000000001E-2</v>
      </c>
    </row>
    <row r="150" spans="1:15">
      <c r="A150" s="60" t="s">
        <v>273</v>
      </c>
      <c r="M150" s="64"/>
    </row>
    <row r="151" spans="1:15">
      <c r="A151" s="60" t="s">
        <v>52</v>
      </c>
      <c r="D151" s="74">
        <f>$N$176</f>
        <v>9.6369999999999997E-2</v>
      </c>
      <c r="E151" s="64">
        <f>D151</f>
        <v>9.6369999999999997E-2</v>
      </c>
      <c r="F151" s="64">
        <f t="shared" ref="F151:N154" si="53">E151</f>
        <v>9.6369999999999997E-2</v>
      </c>
      <c r="G151" s="64">
        <f t="shared" si="53"/>
        <v>9.6369999999999997E-2</v>
      </c>
      <c r="H151" s="64">
        <f t="shared" si="53"/>
        <v>9.6369999999999997E-2</v>
      </c>
      <c r="I151" s="64">
        <f t="shared" si="53"/>
        <v>9.6369999999999997E-2</v>
      </c>
      <c r="J151" s="64">
        <f t="shared" si="53"/>
        <v>9.6369999999999997E-2</v>
      </c>
      <c r="K151" s="64">
        <f t="shared" si="53"/>
        <v>9.6369999999999997E-2</v>
      </c>
      <c r="L151" s="64">
        <f t="shared" si="53"/>
        <v>9.6369999999999997E-2</v>
      </c>
      <c r="M151" s="64">
        <f t="shared" si="53"/>
        <v>9.6369999999999997E-2</v>
      </c>
      <c r="N151" s="64">
        <f t="shared" si="53"/>
        <v>9.6369999999999997E-2</v>
      </c>
      <c r="O151" s="74">
        <f>$J$176</f>
        <v>9.5329999999999998E-2</v>
      </c>
    </row>
    <row r="152" spans="1:15">
      <c r="A152" s="60" t="s">
        <v>53</v>
      </c>
      <c r="D152" s="74">
        <f>$N$181</f>
        <v>6.9089999999999999E-2</v>
      </c>
      <c r="E152" s="64">
        <f>D152</f>
        <v>6.9089999999999999E-2</v>
      </c>
      <c r="F152" s="64">
        <f t="shared" si="53"/>
        <v>6.9089999999999999E-2</v>
      </c>
      <c r="G152" s="64">
        <f t="shared" si="53"/>
        <v>6.9089999999999999E-2</v>
      </c>
      <c r="H152" s="64">
        <f t="shared" si="53"/>
        <v>6.9089999999999999E-2</v>
      </c>
      <c r="I152" s="64">
        <f t="shared" si="53"/>
        <v>6.9089999999999999E-2</v>
      </c>
      <c r="J152" s="64">
        <f t="shared" si="53"/>
        <v>6.9089999999999999E-2</v>
      </c>
      <c r="K152" s="64">
        <f t="shared" si="53"/>
        <v>6.9089999999999999E-2</v>
      </c>
      <c r="L152" s="64">
        <f t="shared" si="53"/>
        <v>6.9089999999999999E-2</v>
      </c>
      <c r="M152" s="64">
        <f t="shared" si="53"/>
        <v>6.9089999999999999E-2</v>
      </c>
      <c r="N152" s="64">
        <f t="shared" si="53"/>
        <v>6.9089999999999999E-2</v>
      </c>
      <c r="O152" s="74">
        <f>$J$181</f>
        <v>6.2440000000000002E-2</v>
      </c>
    </row>
    <row r="153" spans="1:15">
      <c r="A153" s="60" t="s">
        <v>54</v>
      </c>
      <c r="D153" s="74">
        <f>$N$186</f>
        <v>5.3620000000000001E-2</v>
      </c>
      <c r="E153" s="64">
        <f>D153</f>
        <v>5.3620000000000001E-2</v>
      </c>
      <c r="F153" s="64">
        <f t="shared" si="53"/>
        <v>5.3620000000000001E-2</v>
      </c>
      <c r="G153" s="64">
        <f t="shared" si="53"/>
        <v>5.3620000000000001E-2</v>
      </c>
      <c r="H153" s="64">
        <f t="shared" si="53"/>
        <v>5.3620000000000001E-2</v>
      </c>
      <c r="I153" s="64">
        <f t="shared" si="53"/>
        <v>5.3620000000000001E-2</v>
      </c>
      <c r="J153" s="64">
        <f t="shared" si="53"/>
        <v>5.3620000000000001E-2</v>
      </c>
      <c r="K153" s="64">
        <f t="shared" si="53"/>
        <v>5.3620000000000001E-2</v>
      </c>
      <c r="L153" s="64">
        <f t="shared" si="53"/>
        <v>5.3620000000000001E-2</v>
      </c>
      <c r="M153" s="64">
        <f t="shared" si="53"/>
        <v>5.3620000000000001E-2</v>
      </c>
      <c r="N153" s="75">
        <f t="shared" si="53"/>
        <v>5.3620000000000001E-2</v>
      </c>
      <c r="O153" s="74">
        <f>$J$186</f>
        <v>5.049E-2</v>
      </c>
    </row>
    <row r="154" spans="1:15">
      <c r="A154" s="60" t="s">
        <v>339</v>
      </c>
      <c r="D154" s="74">
        <f>$N$188</f>
        <v>2.4840000000000001E-2</v>
      </c>
      <c r="E154" s="75">
        <f>D154</f>
        <v>2.4840000000000001E-2</v>
      </c>
      <c r="F154" s="75">
        <f t="shared" si="53"/>
        <v>2.4840000000000001E-2</v>
      </c>
      <c r="G154" s="75">
        <f t="shared" si="53"/>
        <v>2.4840000000000001E-2</v>
      </c>
      <c r="H154" s="75">
        <f t="shared" si="53"/>
        <v>2.4840000000000001E-2</v>
      </c>
      <c r="I154" s="75">
        <f t="shared" si="53"/>
        <v>2.4840000000000001E-2</v>
      </c>
      <c r="J154" s="75">
        <f t="shared" si="53"/>
        <v>2.4840000000000001E-2</v>
      </c>
      <c r="K154" s="75">
        <f t="shared" si="53"/>
        <v>2.4840000000000001E-2</v>
      </c>
      <c r="L154" s="75">
        <f t="shared" si="53"/>
        <v>2.4840000000000001E-2</v>
      </c>
      <c r="M154" s="75">
        <f t="shared" si="53"/>
        <v>2.4840000000000001E-2</v>
      </c>
      <c r="N154" s="75">
        <f>M154</f>
        <v>2.4840000000000001E-2</v>
      </c>
      <c r="O154" s="74">
        <f>$J$188</f>
        <v>2.1999999999999999E-2</v>
      </c>
    </row>
    <row r="155" spans="1:15">
      <c r="A155" s="60" t="s">
        <v>267</v>
      </c>
      <c r="C155" s="215" t="s">
        <v>405</v>
      </c>
      <c r="E155" s="113" t="s">
        <v>257</v>
      </c>
      <c r="F155" s="113" t="s">
        <v>258</v>
      </c>
      <c r="G155" s="113" t="s">
        <v>259</v>
      </c>
      <c r="H155" s="64" t="s">
        <v>258</v>
      </c>
      <c r="J155" s="212">
        <v>40543</v>
      </c>
      <c r="K155" s="213"/>
      <c r="L155" s="212">
        <v>40918</v>
      </c>
      <c r="M155" s="81"/>
      <c r="N155" s="214">
        <v>41759</v>
      </c>
    </row>
    <row r="156" spans="1:15">
      <c r="B156" s="60" t="s">
        <v>260</v>
      </c>
      <c r="C156" s="165">
        <v>1563076768</v>
      </c>
      <c r="E156" s="195">
        <f>IF(E160&lt;C156,E160,C156)</f>
        <v>1541243052</v>
      </c>
      <c r="F156" s="198">
        <f>E156/E$159</f>
        <v>1</v>
      </c>
      <c r="G156" s="195">
        <f>C156-E156</f>
        <v>21833716</v>
      </c>
      <c r="H156" s="198">
        <f>G156/G$159</f>
        <v>0.03</v>
      </c>
      <c r="J156" s="75">
        <v>7.5249999999999997E-2</v>
      </c>
      <c r="L156" s="75">
        <v>7.3899999999999993E-2</v>
      </c>
      <c r="N156" s="64">
        <v>7.5329999999999994E-2</v>
      </c>
    </row>
    <row r="157" spans="1:15">
      <c r="B157" s="60" t="s">
        <v>261</v>
      </c>
      <c r="C157" s="165">
        <v>458131072</v>
      </c>
      <c r="E157" s="195">
        <f>E160-E156</f>
        <v>0</v>
      </c>
      <c r="F157" s="198">
        <f t="shared" ref="F157:H158" si="54">E157/E$159</f>
        <v>0</v>
      </c>
      <c r="G157" s="195">
        <f>C157-E157</f>
        <v>458131072</v>
      </c>
      <c r="H157" s="198">
        <f t="shared" si="54"/>
        <v>0.62949999999999995</v>
      </c>
      <c r="J157" s="75">
        <v>8.7550000000000003E-2</v>
      </c>
      <c r="L157" s="75">
        <v>8.5980000000000001E-2</v>
      </c>
      <c r="N157" s="75">
        <v>8.7650000000000006E-2</v>
      </c>
    </row>
    <row r="158" spans="1:15">
      <c r="B158" s="60" t="s">
        <v>262</v>
      </c>
      <c r="C158" s="165">
        <v>247853664</v>
      </c>
      <c r="E158" s="195">
        <f>E160-E157-E156</f>
        <v>0</v>
      </c>
      <c r="F158" s="198">
        <f t="shared" si="54"/>
        <v>0</v>
      </c>
      <c r="G158" s="195">
        <f>C158</f>
        <v>247853664</v>
      </c>
      <c r="H158" s="198">
        <f t="shared" si="54"/>
        <v>0.34050000000000002</v>
      </c>
      <c r="J158" s="75">
        <v>0.10264</v>
      </c>
      <c r="L158" s="75">
        <v>0.1008</v>
      </c>
      <c r="N158" s="75">
        <v>0.10276</v>
      </c>
    </row>
    <row r="159" spans="1:15">
      <c r="C159" s="111">
        <f>SUM(C156:C158)</f>
        <v>2269061504</v>
      </c>
      <c r="E159" s="112">
        <f>SUM(E156:E158)</f>
        <v>1541243052</v>
      </c>
      <c r="F159" s="207">
        <f>SUM(F156:F158)</f>
        <v>1</v>
      </c>
      <c r="G159" s="112">
        <f>SUM(G156:G158)</f>
        <v>727818452</v>
      </c>
      <c r="H159" s="207">
        <f>SUM(H156:H158)</f>
        <v>1</v>
      </c>
      <c r="J159" s="199">
        <f>ROUND(J156*$H156+J157*$H157+J158*$H158,5)</f>
        <v>9.2319999999999999E-2</v>
      </c>
      <c r="L159" s="199">
        <f>ROUND(L156*$H156+L157*$H157+L158*$H158,5)</f>
        <v>9.0660000000000004E-2</v>
      </c>
      <c r="N159" s="79">
        <f>ROUND(N156*$H156+N157*$H157+N158*$H158,5)</f>
        <v>9.2429999999999998E-2</v>
      </c>
    </row>
    <row r="160" spans="1:15">
      <c r="C160" s="165">
        <v>2518371</v>
      </c>
      <c r="D160" s="165">
        <v>612</v>
      </c>
      <c r="E160" s="165">
        <f>C160*D160</f>
        <v>1541243052</v>
      </c>
      <c r="J160" s="227">
        <v>9.4049999999999994</v>
      </c>
      <c r="K160" s="227"/>
      <c r="L160" s="227">
        <v>9.2370000000000001</v>
      </c>
      <c r="N160" s="227">
        <v>9.2430000000000003</v>
      </c>
    </row>
    <row r="161" spans="1:14">
      <c r="A161" s="60" t="s">
        <v>268</v>
      </c>
      <c r="C161" s="64"/>
    </row>
    <row r="162" spans="1:14">
      <c r="B162" s="60" t="s">
        <v>260</v>
      </c>
      <c r="C162" s="165">
        <v>419807178</v>
      </c>
      <c r="E162" s="195">
        <f>C162</f>
        <v>419807178</v>
      </c>
      <c r="F162" s="198">
        <f>E162/E$164</f>
        <v>0.81440000000000001</v>
      </c>
      <c r="G162" s="195">
        <f>C162-E162</f>
        <v>0</v>
      </c>
      <c r="H162" s="198">
        <f>G162/G$164</f>
        <v>0</v>
      </c>
      <c r="J162" s="75">
        <v>0.11507000000000001</v>
      </c>
      <c r="L162" s="75">
        <v>0.11293</v>
      </c>
      <c r="N162" s="75">
        <v>0.11348999999999999</v>
      </c>
    </row>
    <row r="163" spans="1:14">
      <c r="B163" s="60" t="s">
        <v>261</v>
      </c>
      <c r="C163" s="165">
        <v>192006796</v>
      </c>
      <c r="E163" s="195">
        <f>E165-E162</f>
        <v>95666450</v>
      </c>
      <c r="F163" s="198">
        <f>E163/E$164</f>
        <v>0.18559999999999999</v>
      </c>
      <c r="G163" s="195">
        <f>C163-E163</f>
        <v>96340346</v>
      </c>
      <c r="H163" s="198">
        <f>G163/G$164</f>
        <v>1</v>
      </c>
      <c r="J163" s="75">
        <v>8.455E-2</v>
      </c>
      <c r="L163" s="75">
        <v>8.2979999999999998E-2</v>
      </c>
      <c r="N163" s="75">
        <v>8.3409999999999998E-2</v>
      </c>
    </row>
    <row r="164" spans="1:14">
      <c r="C164" s="112">
        <f>SUM(C162:C163)</f>
        <v>611813974</v>
      </c>
      <c r="E164" s="112">
        <f>SUM(E162:E163)</f>
        <v>515473628</v>
      </c>
      <c r="F164" s="198">
        <f>SUM(F162:F163)</f>
        <v>1</v>
      </c>
      <c r="G164" s="112">
        <f>SUM(G162:G163)</f>
        <v>96340346</v>
      </c>
      <c r="H164" s="198">
        <f>SUM(H162:H163)</f>
        <v>1</v>
      </c>
      <c r="J164" s="200">
        <f>ROUND(J162*$H162+J163*$H163,5)</f>
        <v>8.455E-2</v>
      </c>
      <c r="L164" s="200">
        <f>ROUND(L162*$H162+L163*$H163,5)</f>
        <v>8.2979999999999998E-2</v>
      </c>
      <c r="N164" s="80">
        <f>ROUND(N162*$H162+N163*$H163,5)</f>
        <v>8.3409999999999998E-2</v>
      </c>
    </row>
    <row r="165" spans="1:14">
      <c r="C165" s="165">
        <v>375436</v>
      </c>
      <c r="D165" s="195">
        <v>1373</v>
      </c>
      <c r="E165" s="165">
        <f>C165*D165</f>
        <v>515473628</v>
      </c>
      <c r="J165" s="227">
        <v>8.4550000000000001</v>
      </c>
      <c r="K165" s="227"/>
      <c r="L165" s="227">
        <v>8.298</v>
      </c>
      <c r="N165" s="227">
        <v>8.3409999999999993</v>
      </c>
    </row>
    <row r="166" spans="1:14">
      <c r="A166" s="60" t="s">
        <v>269</v>
      </c>
      <c r="C166" s="64"/>
    </row>
    <row r="167" spans="1:14">
      <c r="B167" s="60" t="s">
        <v>260</v>
      </c>
      <c r="C167" s="165">
        <v>1239435303</v>
      </c>
      <c r="E167" s="195">
        <f>C167</f>
        <v>1239435303</v>
      </c>
      <c r="F167" s="198">
        <f>E167/E$169</f>
        <v>0.93569999999999998</v>
      </c>
      <c r="G167" s="195">
        <f>C167-E167</f>
        <v>0</v>
      </c>
      <c r="H167" s="198">
        <f>G167/G$169</f>
        <v>0</v>
      </c>
      <c r="J167" s="75">
        <v>7.2400000000000006E-2</v>
      </c>
      <c r="L167" s="75">
        <v>7.0889999999999995E-2</v>
      </c>
      <c r="N167" s="75">
        <v>7.1889999999999996E-2</v>
      </c>
    </row>
    <row r="168" spans="1:14">
      <c r="B168" s="60" t="s">
        <v>261</v>
      </c>
      <c r="C168" s="165">
        <v>158308533</v>
      </c>
      <c r="E168" s="195">
        <f>E170-E167</f>
        <v>85144041</v>
      </c>
      <c r="F168" s="198">
        <f>E168/E$169</f>
        <v>6.4299999999999996E-2</v>
      </c>
      <c r="G168" s="195">
        <f>C168-E168</f>
        <v>73164492</v>
      </c>
      <c r="H168" s="198">
        <f>G168/G$169</f>
        <v>1</v>
      </c>
      <c r="J168" s="75">
        <v>6.4750000000000002E-2</v>
      </c>
      <c r="L168" s="75">
        <v>6.3399999999999998E-2</v>
      </c>
      <c r="N168" s="75">
        <v>6.4299999999999996E-2</v>
      </c>
    </row>
    <row r="169" spans="1:14">
      <c r="C169" s="112">
        <f>SUM(C167:C168)</f>
        <v>1397743836</v>
      </c>
      <c r="E169" s="112">
        <f>SUM(E167:E168)</f>
        <v>1324579344</v>
      </c>
      <c r="F169" s="198">
        <f>SUM(F167:F168)</f>
        <v>1</v>
      </c>
      <c r="G169" s="112">
        <f>SUM(G167:G168)</f>
        <v>73164492</v>
      </c>
      <c r="H169" s="198">
        <f>SUM(H167:H168)</f>
        <v>1</v>
      </c>
      <c r="J169" s="200">
        <f>ROUND(J167*$H167+J168*$H168,5)</f>
        <v>6.4750000000000002E-2</v>
      </c>
      <c r="L169" s="200">
        <f>ROUND(L167*$H167+L168*$H168,5)</f>
        <v>6.3399999999999998E-2</v>
      </c>
      <c r="N169" s="80">
        <f>ROUND(N167*$H167+N168*$H168,5)</f>
        <v>6.4299999999999996E-2</v>
      </c>
    </row>
    <row r="170" spans="1:14">
      <c r="C170" s="165">
        <v>22836</v>
      </c>
      <c r="D170" s="195">
        <v>58004</v>
      </c>
      <c r="E170" s="165">
        <f>C170*D170</f>
        <v>1324579344</v>
      </c>
      <c r="J170" s="208">
        <v>6.4749999999999996</v>
      </c>
      <c r="L170" s="75">
        <v>6.3399999999999998E-2</v>
      </c>
      <c r="N170" s="227">
        <v>6.43</v>
      </c>
    </row>
    <row r="171" spans="1:14">
      <c r="C171" s="165"/>
      <c r="D171" s="195"/>
      <c r="E171" s="165"/>
      <c r="I171" s="113" t="s">
        <v>338</v>
      </c>
      <c r="J171" s="75">
        <v>2.0119999999999999E-2</v>
      </c>
      <c r="L171" s="75">
        <v>1.566E-2</v>
      </c>
      <c r="N171" s="75">
        <v>1.8110000000000001E-2</v>
      </c>
    </row>
    <row r="172" spans="1:14">
      <c r="C172" s="165"/>
      <c r="D172" s="195"/>
      <c r="E172" s="165"/>
      <c r="I172" s="113" t="s">
        <v>349</v>
      </c>
      <c r="J172" s="75">
        <v>2.1080000000000002E-2</v>
      </c>
      <c r="L172" s="64">
        <v>1.6410000000000001E-2</v>
      </c>
      <c r="N172" s="75">
        <v>1.9E-2</v>
      </c>
    </row>
    <row r="173" spans="1:14">
      <c r="A173" s="60" t="s">
        <v>270</v>
      </c>
      <c r="C173" s="215" t="s">
        <v>405</v>
      </c>
      <c r="J173" s="212">
        <v>42338</v>
      </c>
      <c r="K173" s="201"/>
      <c r="L173" s="212">
        <v>41790</v>
      </c>
      <c r="N173" s="212">
        <v>42004</v>
      </c>
    </row>
    <row r="174" spans="1:14">
      <c r="B174" s="60" t="s">
        <v>260</v>
      </c>
      <c r="C174" s="165">
        <v>631683680</v>
      </c>
      <c r="E174" s="195">
        <f>C174</f>
        <v>631683680</v>
      </c>
      <c r="F174" s="198">
        <f>E174/E$176</f>
        <v>0.84519999999999995</v>
      </c>
      <c r="G174" s="195">
        <f>C174-E174</f>
        <v>0</v>
      </c>
      <c r="H174" s="198">
        <f>G174/G$176</f>
        <v>0</v>
      </c>
      <c r="J174" s="75">
        <v>8.4820000000000007E-2</v>
      </c>
      <c r="L174" s="75">
        <f>J174-0.00533</f>
        <v>7.9490000000000005E-2</v>
      </c>
      <c r="N174" s="75">
        <f>0.09116-0.00542</f>
        <v>8.5739999999999997E-2</v>
      </c>
    </row>
    <row r="175" spans="1:14">
      <c r="B175" s="60" t="s">
        <v>261</v>
      </c>
      <c r="C175" s="165">
        <v>466874373</v>
      </c>
      <c r="E175" s="195">
        <f>E177-E174</f>
        <v>115721572</v>
      </c>
      <c r="F175" s="198">
        <f>E175/E$176</f>
        <v>0.15479999999999999</v>
      </c>
      <c r="G175" s="195">
        <f>C175-E175</f>
        <v>351152801</v>
      </c>
      <c r="H175" s="198">
        <f>G175/G$176</f>
        <v>1</v>
      </c>
      <c r="J175" s="75">
        <v>9.5329999999999998E-2</v>
      </c>
      <c r="L175" s="75">
        <f>J175-0.00533</f>
        <v>0.09</v>
      </c>
      <c r="N175" s="75">
        <f>0.10179-0.00542</f>
        <v>9.6369999999999997E-2</v>
      </c>
    </row>
    <row r="176" spans="1:14">
      <c r="C176" s="111">
        <f>SUM(C174:C175)</f>
        <v>1098558053</v>
      </c>
      <c r="E176" s="111">
        <f>SUM(E174:E175)</f>
        <v>747405252</v>
      </c>
      <c r="F176" s="198">
        <f>SUM(F174:F175)</f>
        <v>1</v>
      </c>
      <c r="G176" s="111">
        <f>SUM(G174:G175)</f>
        <v>351152801</v>
      </c>
      <c r="H176" s="198">
        <f>SUM(H174:H175)</f>
        <v>1</v>
      </c>
      <c r="J176" s="200">
        <f>ROUND(J174*$H174+J175*$H175,5)</f>
        <v>9.5329999999999998E-2</v>
      </c>
      <c r="L176" s="201">
        <f>ROUND(L174*$H174+L175*$H175,5)</f>
        <v>0.09</v>
      </c>
      <c r="N176" s="201">
        <f>ROUND(N174*$H174+N175*$H175,5)</f>
        <v>9.6369999999999997E-2</v>
      </c>
    </row>
    <row r="177" spans="1:14">
      <c r="C177" s="165">
        <v>1258258</v>
      </c>
      <c r="D177" s="195">
        <v>594</v>
      </c>
      <c r="E177" s="165">
        <f>C177*D177</f>
        <v>747405252</v>
      </c>
      <c r="J177" s="227">
        <v>9.5329999999999995</v>
      </c>
      <c r="L177" s="227">
        <v>9.4440000000000008</v>
      </c>
      <c r="N177" s="227">
        <f>10.179-0.542</f>
        <v>9.6370000000000005</v>
      </c>
    </row>
    <row r="178" spans="1:14">
      <c r="A178" s="60" t="s">
        <v>271</v>
      </c>
      <c r="C178" s="64"/>
      <c r="N178" s="64"/>
    </row>
    <row r="179" spans="1:14">
      <c r="B179" s="60" t="s">
        <v>260</v>
      </c>
      <c r="C179" s="165">
        <v>262422258</v>
      </c>
      <c r="E179" s="195">
        <f>C179</f>
        <v>262422258</v>
      </c>
      <c r="F179" s="198">
        <f>E179/E$181</f>
        <v>0.89180000000000004</v>
      </c>
      <c r="G179" s="195">
        <f>C179-E179</f>
        <v>0</v>
      </c>
      <c r="H179" s="198">
        <f>G179/G$181</f>
        <v>0</v>
      </c>
      <c r="J179" s="75">
        <v>8.9090000000000003E-2</v>
      </c>
      <c r="L179" s="75">
        <f>J179-0.00568</f>
        <v>8.3409999999999998E-2</v>
      </c>
      <c r="N179" s="75">
        <f>0.10435-0.00578</f>
        <v>9.8570000000000005E-2</v>
      </c>
    </row>
    <row r="180" spans="1:14">
      <c r="B180" s="60" t="s">
        <v>261</v>
      </c>
      <c r="C180" s="165">
        <v>95790406</v>
      </c>
      <c r="E180" s="195">
        <f>E182-E179</f>
        <v>31836498</v>
      </c>
      <c r="F180" s="198">
        <f t="shared" ref="F180:H181" si="55">E180/E$181</f>
        <v>0.1082</v>
      </c>
      <c r="G180" s="195">
        <f>C180-E180</f>
        <v>63953908</v>
      </c>
      <c r="H180" s="198">
        <f t="shared" si="55"/>
        <v>1</v>
      </c>
      <c r="J180" s="75">
        <v>6.2440000000000002E-2</v>
      </c>
      <c r="L180" s="75">
        <f>J180-0.00568</f>
        <v>5.6759999999999998E-2</v>
      </c>
      <c r="N180" s="75">
        <f>0.07487-0.00578</f>
        <v>6.9089999999999999E-2</v>
      </c>
    </row>
    <row r="181" spans="1:14">
      <c r="C181" s="111">
        <f>SUM(C179:C180)</f>
        <v>358212664</v>
      </c>
      <c r="E181" s="111">
        <f>SUM(E179:E180)</f>
        <v>294258756</v>
      </c>
      <c r="F181" s="198">
        <f t="shared" si="55"/>
        <v>1</v>
      </c>
      <c r="G181" s="111">
        <f>SUM(G179:G180)</f>
        <v>63953908</v>
      </c>
      <c r="H181" s="198">
        <f>SUM(H179:H180)</f>
        <v>1</v>
      </c>
      <c r="J181" s="200">
        <f>ROUND(J179*$H179+J180*$H180,5)</f>
        <v>6.2440000000000002E-2</v>
      </c>
      <c r="L181" s="200">
        <f>ROUND(L179*$H179+L180*$H180,5)</f>
        <v>5.6759999999999998E-2</v>
      </c>
      <c r="N181" s="201">
        <f>ROUND(N179*$H179+N180*$H180,5)</f>
        <v>6.9089999999999999E-2</v>
      </c>
    </row>
    <row r="182" spans="1:14">
      <c r="C182" s="165">
        <v>252366</v>
      </c>
      <c r="D182" s="195">
        <v>1166</v>
      </c>
      <c r="E182" s="165">
        <f>C182*D182</f>
        <v>294258756</v>
      </c>
      <c r="J182" s="227">
        <v>6.2439999999999998</v>
      </c>
      <c r="L182" s="227">
        <v>6.84</v>
      </c>
      <c r="N182" s="227">
        <f>7.487-0.578</f>
        <v>6.9089999999999998</v>
      </c>
    </row>
    <row r="183" spans="1:14">
      <c r="A183" s="60" t="s">
        <v>272</v>
      </c>
      <c r="C183" s="64"/>
      <c r="N183" s="64"/>
    </row>
    <row r="184" spans="1:14">
      <c r="B184" s="60" t="s">
        <v>260</v>
      </c>
      <c r="C184" s="165">
        <v>595628304</v>
      </c>
      <c r="E184" s="195">
        <f>C184</f>
        <v>595628304</v>
      </c>
      <c r="F184" s="198">
        <f>E184/E$186</f>
        <v>0.88829999999999998</v>
      </c>
      <c r="G184" s="195">
        <f>C184-E184</f>
        <v>0</v>
      </c>
      <c r="H184" s="198">
        <f>G184/G$186</f>
        <v>0</v>
      </c>
      <c r="J184" s="75">
        <v>5.9909999999999998E-2</v>
      </c>
      <c r="L184" s="75">
        <f>J184-0.00448</f>
        <v>5.543E-2</v>
      </c>
      <c r="N184" s="75">
        <f>0.06817-0.00456</f>
        <v>6.361E-2</v>
      </c>
    </row>
    <row r="185" spans="1:14">
      <c r="B185" s="60" t="s">
        <v>261</v>
      </c>
      <c r="C185" s="165">
        <v>52010569</v>
      </c>
      <c r="E185" s="195">
        <f>E187-E184</f>
        <v>74903082</v>
      </c>
      <c r="F185" s="198">
        <f>E185/E$186</f>
        <v>0.11169999999999999</v>
      </c>
      <c r="G185" s="195">
        <f>C185-E185</f>
        <v>-22892513</v>
      </c>
      <c r="H185" s="198">
        <f>G185/G$186</f>
        <v>1</v>
      </c>
      <c r="J185" s="75">
        <v>5.049E-2</v>
      </c>
      <c r="L185" s="75">
        <f>J185-0.00448</f>
        <v>4.6010000000000002E-2</v>
      </c>
      <c r="N185" s="75">
        <f>0.05818-0.00456</f>
        <v>5.3620000000000001E-2</v>
      </c>
    </row>
    <row r="186" spans="1:14">
      <c r="C186" s="111">
        <f>SUM(C184:C185)</f>
        <v>647638873</v>
      </c>
      <c r="E186" s="111">
        <f>SUM(E184:E185)</f>
        <v>670531386</v>
      </c>
      <c r="F186" s="198">
        <f>E186/E$186</f>
        <v>1</v>
      </c>
      <c r="G186" s="111">
        <f>SUM(G184:G185)</f>
        <v>-22892513</v>
      </c>
      <c r="H186" s="198">
        <f>SUM(H184:H185)</f>
        <v>1</v>
      </c>
      <c r="J186" s="200">
        <f>ROUND(J184*$H184+J185*$H185,5)</f>
        <v>5.049E-2</v>
      </c>
      <c r="L186" s="200">
        <f>ROUND(L184*$H184+L185*$H185,5)</f>
        <v>4.6010000000000002E-2</v>
      </c>
      <c r="N186" s="200">
        <f>ROUND(N184*$H184+N185*$H185,5)</f>
        <v>5.3620000000000001E-2</v>
      </c>
    </row>
    <row r="187" spans="1:14">
      <c r="C187" s="165">
        <v>13657</v>
      </c>
      <c r="D187" s="165">
        <v>49098</v>
      </c>
      <c r="E187" s="165">
        <f>C187*D187</f>
        <v>670531386</v>
      </c>
      <c r="J187" s="227">
        <v>0</v>
      </c>
      <c r="L187" s="227">
        <v>0</v>
      </c>
      <c r="N187" s="227">
        <f>5.818-0.456</f>
        <v>5.3620000000000001</v>
      </c>
    </row>
    <row r="188" spans="1:14">
      <c r="I188" s="64" t="s">
        <v>339</v>
      </c>
      <c r="J188" s="75">
        <v>2.1999999999999999E-2</v>
      </c>
      <c r="L188" s="64">
        <v>2.4729999999999999E-2</v>
      </c>
      <c r="N188" s="75">
        <v>2.4840000000000001E-2</v>
      </c>
    </row>
    <row r="189" spans="1:14">
      <c r="I189" s="113" t="s">
        <v>350</v>
      </c>
      <c r="J189" s="64">
        <v>2.2120000000000001E-2</v>
      </c>
      <c r="L189" s="64">
        <v>2.4879999999999999E-2</v>
      </c>
      <c r="N189" s="64">
        <v>2.4989999999999998E-2</v>
      </c>
    </row>
  </sheetData>
  <printOptions horizontalCentered="1"/>
  <pageMargins left="0.5" right="0.5" top="0.7" bottom="0.65" header="0.25" footer="0.39"/>
  <pageSetup scale="68" orientation="landscape" r:id="rId1"/>
  <headerFooter alignWithMargins="0">
    <oddHeader>&amp;R&amp;"Times New Roman,Regular"&amp;10Adjustment No. __&amp;U2.10&amp;U__
Workpaper Ref. E-WN-__</oddHeader>
    <oddFooter>&amp;L&amp;"Times New Roman,Regular"&amp;10&amp;F / &amp;A&amp;C&amp;"Times New Roman,Regular"&amp;10Page &amp;P of &amp;N&amp;R&amp;"Times New Roman,Regular"&amp;10Prep by:________  1st Review:________
Date: &amp;D     Mgr. Review:________</oddFooter>
  </headerFooter>
  <rowBreaks count="3" manualBreakCount="3">
    <brk id="45" max="14" man="1"/>
    <brk id="98" max="14" man="1"/>
    <brk id="14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33"/>
  <sheetViews>
    <sheetView tabSelected="1" workbookViewId="0">
      <selection activeCell="Q74" sqref="Q74"/>
    </sheetView>
  </sheetViews>
  <sheetFormatPr defaultColWidth="10" defaultRowHeight="12.75"/>
  <cols>
    <col min="1" max="1" width="8.25" style="88" customWidth="1"/>
    <col min="2" max="2" width="10.25" style="88" customWidth="1"/>
    <col min="3" max="3" width="3" style="88" customWidth="1"/>
    <col min="4" max="5" width="12.875" style="88" customWidth="1"/>
    <col min="6" max="6" width="12.75" style="88" customWidth="1"/>
    <col min="7" max="7" width="11.75" style="88" customWidth="1"/>
    <col min="8" max="8" width="12.25" style="88" customWidth="1"/>
    <col min="9" max="9" width="12.125" style="97" customWidth="1"/>
    <col min="10" max="10" width="26.25" style="88" customWidth="1"/>
    <col min="11" max="11" width="15.75" style="88" customWidth="1"/>
    <col min="12" max="12" width="9.125" style="88" customWidth="1"/>
    <col min="13" max="13" width="10.625" style="88" customWidth="1"/>
    <col min="14" max="14" width="10.5" style="88" customWidth="1"/>
    <col min="15" max="15" width="20.875" style="88" customWidth="1"/>
    <col min="16" max="16384" width="10" style="88"/>
  </cols>
  <sheetData>
    <row r="1" spans="1:10" ht="14.25">
      <c r="A1" s="244" t="s">
        <v>426</v>
      </c>
      <c r="B1" s="244"/>
      <c r="C1" s="244"/>
      <c r="D1" s="244"/>
      <c r="E1" s="244"/>
      <c r="F1" s="244"/>
      <c r="G1" s="244"/>
      <c r="H1" s="244"/>
      <c r="I1" s="244"/>
      <c r="J1" s="244"/>
    </row>
    <row r="3" spans="1:10" ht="16.5" customHeight="1">
      <c r="A3" s="105" t="s">
        <v>55</v>
      </c>
      <c r="B3" s="105" t="s">
        <v>56</v>
      </c>
      <c r="C3" s="106"/>
      <c r="D3" s="101" t="s">
        <v>169</v>
      </c>
      <c r="E3" s="105" t="s">
        <v>170</v>
      </c>
      <c r="F3" s="105" t="s">
        <v>173</v>
      </c>
      <c r="G3" s="105" t="s">
        <v>218</v>
      </c>
      <c r="H3" s="105" t="s">
        <v>57</v>
      </c>
      <c r="I3" s="128" t="s">
        <v>57</v>
      </c>
      <c r="J3" s="105" t="s">
        <v>171</v>
      </c>
    </row>
    <row r="4" spans="1:10" ht="15.75">
      <c r="A4" s="105" t="s">
        <v>274</v>
      </c>
      <c r="B4" s="105" t="s">
        <v>58</v>
      </c>
      <c r="C4" s="106"/>
      <c r="D4" s="105" t="s">
        <v>85</v>
      </c>
      <c r="E4" s="105" t="s">
        <v>85</v>
      </c>
      <c r="F4" s="105" t="s">
        <v>86</v>
      </c>
      <c r="G4" s="105" t="s">
        <v>86</v>
      </c>
      <c r="H4" s="105" t="s">
        <v>59</v>
      </c>
      <c r="I4" s="130" t="s">
        <v>427</v>
      </c>
      <c r="J4" s="105" t="s">
        <v>172</v>
      </c>
    </row>
    <row r="5" spans="1:10" ht="36.75" customHeight="1">
      <c r="B5" s="98"/>
      <c r="C5" s="98"/>
      <c r="D5" s="107" t="s">
        <v>214</v>
      </c>
      <c r="E5" s="107" t="s">
        <v>215</v>
      </c>
      <c r="F5" s="107" t="s">
        <v>217</v>
      </c>
      <c r="G5" s="107" t="s">
        <v>216</v>
      </c>
      <c r="H5" s="98"/>
      <c r="I5" s="129"/>
    </row>
    <row r="7" spans="1:10">
      <c r="A7" s="101" t="s">
        <v>87</v>
      </c>
    </row>
    <row r="8" spans="1:10">
      <c r="A8" s="83">
        <v>0.96199999999999997</v>
      </c>
      <c r="B8" s="84" t="s">
        <v>88</v>
      </c>
      <c r="C8" s="85"/>
      <c r="D8" s="83">
        <v>0.44600000000000001</v>
      </c>
      <c r="E8" s="86">
        <v>0.60099999999999998</v>
      </c>
      <c r="F8" s="86">
        <f>G8</f>
        <v>1.22</v>
      </c>
      <c r="G8" s="86">
        <v>1.22</v>
      </c>
      <c r="H8" s="87">
        <v>576</v>
      </c>
      <c r="I8" s="209">
        <v>684</v>
      </c>
      <c r="J8" s="88" t="s">
        <v>101</v>
      </c>
    </row>
    <row r="9" spans="1:10">
      <c r="A9" s="89">
        <v>0.94399999999999995</v>
      </c>
      <c r="B9" s="90" t="s">
        <v>89</v>
      </c>
      <c r="C9" s="91"/>
      <c r="D9" s="83">
        <v>0.27900000000000003</v>
      </c>
      <c r="E9" s="86">
        <v>0.35099999999999998</v>
      </c>
      <c r="F9" s="86">
        <f t="shared" ref="F9:F16" si="0">G9</f>
        <v>0.309</v>
      </c>
      <c r="G9" s="86">
        <v>0.309</v>
      </c>
      <c r="H9" s="92">
        <v>359</v>
      </c>
      <c r="I9" s="210">
        <v>384</v>
      </c>
      <c r="J9" s="88" t="s">
        <v>254</v>
      </c>
    </row>
    <row r="10" spans="1:10">
      <c r="A10" s="89">
        <v>0.91400000000000003</v>
      </c>
      <c r="B10" s="90" t="s">
        <v>90</v>
      </c>
      <c r="C10" s="91"/>
      <c r="D10" s="83">
        <v>0.22</v>
      </c>
      <c r="E10" s="86">
        <v>0.46500000000000002</v>
      </c>
      <c r="F10" s="86">
        <f t="shared" si="0"/>
        <v>1.48</v>
      </c>
      <c r="G10" s="86">
        <v>1.48</v>
      </c>
      <c r="H10" s="92">
        <v>1892</v>
      </c>
      <c r="I10" s="210">
        <v>1771</v>
      </c>
      <c r="J10" s="97" t="s">
        <v>255</v>
      </c>
    </row>
    <row r="11" spans="1:10">
      <c r="A11" s="93">
        <v>0.95399999999999996</v>
      </c>
      <c r="B11" s="94" t="s">
        <v>91</v>
      </c>
      <c r="C11" s="95"/>
      <c r="D11" s="96">
        <v>1.0549999999999999</v>
      </c>
      <c r="E11" s="96">
        <v>1.7569999999999999</v>
      </c>
      <c r="F11" s="86">
        <f t="shared" si="0"/>
        <v>1.35</v>
      </c>
      <c r="G11" s="96">
        <v>1.35</v>
      </c>
      <c r="H11" s="92">
        <v>3489</v>
      </c>
      <c r="I11" s="210">
        <v>3262</v>
      </c>
      <c r="J11" s="97" t="s">
        <v>255</v>
      </c>
    </row>
    <row r="12" spans="1:10">
      <c r="A12" s="89">
        <v>0.91700000000000004</v>
      </c>
      <c r="B12" s="90" t="s">
        <v>92</v>
      </c>
      <c r="C12" s="91"/>
      <c r="D12" s="83">
        <v>0.20899999999999999</v>
      </c>
      <c r="E12" s="86">
        <v>0.41799999999999998</v>
      </c>
      <c r="F12" s="86">
        <f t="shared" si="0"/>
        <v>1.1080000000000001</v>
      </c>
      <c r="G12" s="86">
        <v>1.1080000000000001</v>
      </c>
      <c r="H12" s="92">
        <v>1465</v>
      </c>
      <c r="I12" s="210">
        <v>1380</v>
      </c>
      <c r="J12" s="97" t="s">
        <v>255</v>
      </c>
    </row>
    <row r="13" spans="1:10">
      <c r="A13" s="93">
        <v>0.91100000000000003</v>
      </c>
      <c r="B13" s="94" t="s">
        <v>93</v>
      </c>
      <c r="C13" s="95"/>
      <c r="D13" s="96">
        <v>16.806999999999999</v>
      </c>
      <c r="E13" s="96">
        <v>27.5</v>
      </c>
      <c r="F13" s="86">
        <f t="shared" si="0"/>
        <v>42.759</v>
      </c>
      <c r="G13" s="96">
        <v>42.759</v>
      </c>
      <c r="H13" s="92">
        <v>45938</v>
      </c>
      <c r="I13" s="210">
        <v>46172</v>
      </c>
      <c r="J13" s="88" t="s">
        <v>254</v>
      </c>
    </row>
    <row r="14" spans="1:10">
      <c r="A14" s="93">
        <v>0.95</v>
      </c>
      <c r="B14" s="94" t="s">
        <v>116</v>
      </c>
      <c r="C14" s="95"/>
      <c r="D14" s="96">
        <v>0</v>
      </c>
      <c r="E14" s="96">
        <v>3.4119999999999999</v>
      </c>
      <c r="F14" s="86">
        <f t="shared" si="0"/>
        <v>22.739000000000001</v>
      </c>
      <c r="G14" s="96">
        <v>22.739000000000001</v>
      </c>
      <c r="H14" s="92">
        <v>60948</v>
      </c>
      <c r="I14" s="210">
        <v>55403</v>
      </c>
      <c r="J14" s="88" t="s">
        <v>254</v>
      </c>
    </row>
    <row r="15" spans="1:10">
      <c r="A15" s="93">
        <v>0.88100000000000001</v>
      </c>
      <c r="B15" s="94" t="s">
        <v>117</v>
      </c>
      <c r="C15" s="95"/>
      <c r="D15" s="96">
        <v>0</v>
      </c>
      <c r="E15" s="96">
        <v>5.1520000000000001</v>
      </c>
      <c r="F15" s="86">
        <f t="shared" si="0"/>
        <v>20.047000000000001</v>
      </c>
      <c r="G15" s="96">
        <v>20.047000000000001</v>
      </c>
      <c r="H15" s="92">
        <v>109435</v>
      </c>
      <c r="I15" s="210">
        <v>96412</v>
      </c>
      <c r="J15" s="97" t="s">
        <v>255</v>
      </c>
    </row>
    <row r="16" spans="1:10">
      <c r="A16" s="93">
        <v>0.95199999999999996</v>
      </c>
      <c r="B16" s="94" t="s">
        <v>118</v>
      </c>
      <c r="C16" s="95"/>
      <c r="D16" s="96">
        <v>0</v>
      </c>
      <c r="E16" s="96">
        <v>3.6789999999999998</v>
      </c>
      <c r="F16" s="86">
        <f t="shared" si="0"/>
        <v>22.835000000000001</v>
      </c>
      <c r="G16" s="96">
        <v>22.835000000000001</v>
      </c>
      <c r="H16" s="92">
        <v>62392</v>
      </c>
      <c r="I16" s="210">
        <v>56932</v>
      </c>
      <c r="J16" s="97" t="s">
        <v>255</v>
      </c>
    </row>
    <row r="17" spans="1:10">
      <c r="B17" s="98"/>
      <c r="C17" s="99"/>
      <c r="D17" s="100"/>
    </row>
    <row r="18" spans="1:10">
      <c r="A18" s="101" t="s">
        <v>94</v>
      </c>
      <c r="B18" s="98"/>
      <c r="C18" s="99"/>
      <c r="D18" s="100"/>
    </row>
    <row r="19" spans="1:10">
      <c r="A19" s="100">
        <v>0.97</v>
      </c>
      <c r="B19" s="84" t="s">
        <v>95</v>
      </c>
      <c r="C19" s="85"/>
      <c r="D19" s="83">
        <v>0.45900000000000002</v>
      </c>
      <c r="E19" s="86">
        <v>0.59199999999999997</v>
      </c>
      <c r="F19" s="86">
        <f>G19</f>
        <v>0.998</v>
      </c>
      <c r="G19" s="86">
        <v>0.998</v>
      </c>
      <c r="H19" s="87">
        <v>562</v>
      </c>
      <c r="I19" s="209">
        <v>668</v>
      </c>
      <c r="J19" s="97" t="s">
        <v>101</v>
      </c>
    </row>
    <row r="20" spans="1:10">
      <c r="A20" s="89">
        <v>0.95899999999999996</v>
      </c>
      <c r="B20" s="90" t="s">
        <v>96</v>
      </c>
      <c r="C20" s="91"/>
      <c r="D20" s="83">
        <v>0.22</v>
      </c>
      <c r="E20" s="86">
        <v>0.28299999999999997</v>
      </c>
      <c r="F20" s="86">
        <f t="shared" ref="F20:F27" si="1">G20</f>
        <v>0.28000000000000003</v>
      </c>
      <c r="G20" s="86">
        <v>0.28000000000000003</v>
      </c>
      <c r="H20" s="92">
        <v>267</v>
      </c>
      <c r="I20" s="210">
        <v>287</v>
      </c>
      <c r="J20" s="97" t="s">
        <v>254</v>
      </c>
    </row>
    <row r="21" spans="1:10">
      <c r="A21" s="102">
        <v>0.875</v>
      </c>
      <c r="B21" s="94" t="s">
        <v>97</v>
      </c>
      <c r="C21" s="95"/>
      <c r="D21" s="103">
        <v>0.23699999999999999</v>
      </c>
      <c r="E21" s="86">
        <v>0.49</v>
      </c>
      <c r="F21" s="86">
        <f t="shared" si="1"/>
        <v>1.4690000000000001</v>
      </c>
      <c r="G21" s="86">
        <v>1.4690000000000001</v>
      </c>
      <c r="H21" s="92">
        <v>1535</v>
      </c>
      <c r="I21" s="210">
        <v>1500</v>
      </c>
      <c r="J21" s="97" t="s">
        <v>101</v>
      </c>
    </row>
    <row r="22" spans="1:10">
      <c r="A22" s="93">
        <v>0.79600000000000004</v>
      </c>
      <c r="B22" s="94" t="s">
        <v>98</v>
      </c>
      <c r="C22" s="95"/>
      <c r="D22" s="103">
        <v>0.52100000000000002</v>
      </c>
      <c r="E22" s="104">
        <v>0.77300000000000002</v>
      </c>
      <c r="F22" s="86">
        <f t="shared" si="1"/>
        <v>1.107</v>
      </c>
      <c r="G22" s="104">
        <v>1.107</v>
      </c>
      <c r="H22" s="92">
        <v>2975</v>
      </c>
      <c r="I22" s="210">
        <v>2926</v>
      </c>
      <c r="J22" s="97" t="s">
        <v>254</v>
      </c>
    </row>
    <row r="23" spans="1:10">
      <c r="A23" s="93">
        <v>0.89</v>
      </c>
      <c r="B23" s="94" t="s">
        <v>99</v>
      </c>
      <c r="C23" s="95"/>
      <c r="D23" s="103">
        <v>0.222</v>
      </c>
      <c r="E23" s="104">
        <v>0.435</v>
      </c>
      <c r="F23" s="86">
        <f t="shared" si="1"/>
        <v>1.161</v>
      </c>
      <c r="G23" s="104">
        <v>1.161</v>
      </c>
      <c r="H23" s="92">
        <v>1232</v>
      </c>
      <c r="I23" s="210">
        <v>1213</v>
      </c>
      <c r="J23" s="97" t="s">
        <v>101</v>
      </c>
    </row>
    <row r="24" spans="1:10">
      <c r="A24" s="93">
        <v>0.86499999999999999</v>
      </c>
      <c r="B24" s="94" t="s">
        <v>100</v>
      </c>
      <c r="C24" s="95"/>
      <c r="D24" s="103">
        <v>8.4550000000000001</v>
      </c>
      <c r="E24" s="104">
        <v>15.475</v>
      </c>
      <c r="F24" s="86">
        <f t="shared" si="1"/>
        <v>25.890999999999998</v>
      </c>
      <c r="G24" s="104">
        <v>25.890999999999998</v>
      </c>
      <c r="H24" s="92">
        <v>26521</v>
      </c>
      <c r="I24" s="210">
        <v>26529</v>
      </c>
      <c r="J24" s="97" t="s">
        <v>254</v>
      </c>
    </row>
    <row r="25" spans="1:10">
      <c r="A25" s="93">
        <v>0.86199999999999999</v>
      </c>
      <c r="B25" s="94" t="s">
        <v>126</v>
      </c>
      <c r="C25" s="95"/>
      <c r="D25" s="103">
        <v>0</v>
      </c>
      <c r="E25" s="104">
        <v>4.2889999999999997</v>
      </c>
      <c r="F25" s="86">
        <f t="shared" si="1"/>
        <v>18.847000000000001</v>
      </c>
      <c r="G25" s="104">
        <v>18.847000000000001</v>
      </c>
      <c r="H25" s="92">
        <v>44874</v>
      </c>
      <c r="I25" s="210">
        <v>41762</v>
      </c>
      <c r="J25" s="97" t="s">
        <v>254</v>
      </c>
    </row>
    <row r="26" spans="1:10">
      <c r="A26" s="233">
        <v>0.52</v>
      </c>
      <c r="B26" s="234" t="s">
        <v>127</v>
      </c>
      <c r="C26" s="235"/>
      <c r="D26" s="236">
        <v>0</v>
      </c>
      <c r="E26" s="237">
        <v>6.4939999999999998</v>
      </c>
      <c r="F26" s="237">
        <f t="shared" si="1"/>
        <v>0</v>
      </c>
      <c r="G26" s="237">
        <v>0</v>
      </c>
      <c r="H26" s="238">
        <v>108429</v>
      </c>
      <c r="I26" s="239">
        <v>77709</v>
      </c>
      <c r="J26" s="240" t="s">
        <v>255</v>
      </c>
    </row>
    <row r="27" spans="1:10">
      <c r="A27" s="93">
        <v>0.84199999999999997</v>
      </c>
      <c r="B27" s="94" t="s">
        <v>128</v>
      </c>
      <c r="C27" s="95"/>
      <c r="D27" s="103">
        <v>0</v>
      </c>
      <c r="E27" s="104">
        <v>4.3289999999999997</v>
      </c>
      <c r="F27" s="86">
        <f t="shared" si="1"/>
        <v>16.919</v>
      </c>
      <c r="G27" s="104">
        <v>16.919</v>
      </c>
      <c r="H27" s="92">
        <v>48228</v>
      </c>
      <c r="I27" s="210">
        <v>43775</v>
      </c>
      <c r="J27" s="97" t="s">
        <v>254</v>
      </c>
    </row>
    <row r="29" spans="1:10">
      <c r="A29" s="88" t="s">
        <v>75</v>
      </c>
    </row>
    <row r="30" spans="1:10">
      <c r="B30" s="108" t="s">
        <v>76</v>
      </c>
      <c r="G30" s="108" t="s">
        <v>77</v>
      </c>
      <c r="I30" s="131" t="s">
        <v>78</v>
      </c>
    </row>
    <row r="31" spans="1:10">
      <c r="B31" s="88" t="s">
        <v>79</v>
      </c>
      <c r="G31" s="88" t="s">
        <v>80</v>
      </c>
      <c r="I31" s="97" t="s">
        <v>81</v>
      </c>
    </row>
    <row r="32" spans="1:10">
      <c r="B32" s="88" t="s">
        <v>82</v>
      </c>
      <c r="G32" s="88" t="s">
        <v>83</v>
      </c>
    </row>
    <row r="33" spans="7:7">
      <c r="G33" s="88" t="s">
        <v>84</v>
      </c>
    </row>
  </sheetData>
  <mergeCells count="1">
    <mergeCell ref="A1:J1"/>
  </mergeCells>
  <printOptions horizontalCentered="1" verticalCentered="1"/>
  <pageMargins left="0.25" right="0.25" top="1" bottom="1" header="0.5" footer="0.5"/>
  <pageSetup orientation="landscape" horizontalDpi="300" verticalDpi="300" r:id="rId1"/>
  <headerFooter alignWithMargins="0">
    <oddHeader>&amp;R&amp;"Times New Roman,Regular"Adjustment No. __&amp;U2.10&amp;U__
Workpaper Ref. E-WN-__</oddHeader>
    <oddFooter>&amp;L&amp;"Times New Roman,Regular"&amp;F / &amp;A&amp;C&amp;"Times New Roman,Regular"Page &amp;P of &amp;N&amp;R&amp;"Times New Roman,Regular"Prep by:________  1st Review:________
Date: &amp;D     Mgr. Review:________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:S58"/>
  <sheetViews>
    <sheetView tabSelected="1" workbookViewId="0">
      <selection activeCell="Q74" sqref="Q74"/>
    </sheetView>
  </sheetViews>
  <sheetFormatPr defaultColWidth="11" defaultRowHeight="12.75"/>
  <cols>
    <col min="1" max="1" width="22.625" style="2" customWidth="1"/>
    <col min="2" max="2" width="15" style="2" customWidth="1"/>
    <col min="3" max="3" width="14.75" style="2" customWidth="1"/>
    <col min="4" max="4" width="14.25" style="2" customWidth="1"/>
    <col min="5" max="5" width="13.5" style="2" customWidth="1"/>
    <col min="6" max="6" width="14.625" style="2" customWidth="1"/>
    <col min="7" max="7" width="14.25" style="3" customWidth="1"/>
    <col min="8" max="8" width="13.5" style="3" customWidth="1"/>
    <col min="9" max="11" width="10" style="3" customWidth="1"/>
    <col min="12" max="12" width="10.25" style="3" customWidth="1"/>
    <col min="13" max="13" width="10.625" style="3" customWidth="1"/>
    <col min="14" max="245" width="10" style="3" customWidth="1"/>
    <col min="246" max="16384" width="11" style="3"/>
  </cols>
  <sheetData>
    <row r="1" spans="1:15">
      <c r="A1" s="245" t="s">
        <v>7</v>
      </c>
      <c r="B1" s="245"/>
      <c r="C1" s="245"/>
      <c r="D1" s="245"/>
      <c r="E1" s="245"/>
      <c r="F1" s="245"/>
      <c r="G1" s="245"/>
      <c r="H1" s="2"/>
    </row>
    <row r="2" spans="1:15">
      <c r="A2" s="245" t="s">
        <v>219</v>
      </c>
      <c r="B2" s="245"/>
      <c r="C2" s="245"/>
      <c r="D2" s="245"/>
      <c r="E2" s="245"/>
      <c r="F2" s="245"/>
      <c r="G2" s="245"/>
      <c r="H2" s="2"/>
    </row>
    <row r="3" spans="1:15">
      <c r="A3" s="245" t="s">
        <v>220</v>
      </c>
      <c r="B3" s="245"/>
      <c r="C3" s="245"/>
      <c r="D3" s="245"/>
      <c r="E3" s="245"/>
      <c r="F3" s="245"/>
      <c r="G3" s="245"/>
      <c r="H3" s="2"/>
    </row>
    <row r="4" spans="1:15">
      <c r="A4" s="245" t="s">
        <v>413</v>
      </c>
      <c r="B4" s="245"/>
      <c r="C4" s="245"/>
      <c r="D4" s="245"/>
      <c r="E4" s="245"/>
      <c r="F4" s="245"/>
      <c r="G4" s="245"/>
      <c r="H4" s="2"/>
    </row>
    <row r="5" spans="1:15">
      <c r="A5" s="114"/>
      <c r="B5" s="114"/>
      <c r="C5" s="115"/>
      <c r="D5" s="115" t="s">
        <v>424</v>
      </c>
      <c r="E5" s="115" t="s">
        <v>425</v>
      </c>
      <c r="F5" s="116" t="s">
        <v>10</v>
      </c>
      <c r="G5" s="116" t="s">
        <v>10</v>
      </c>
      <c r="H5" s="4"/>
      <c r="J5" s="18" t="s">
        <v>1</v>
      </c>
      <c r="K5" s="18" t="s">
        <v>1</v>
      </c>
      <c r="L5" s="10" t="s">
        <v>221</v>
      </c>
      <c r="M5" s="10" t="s">
        <v>221</v>
      </c>
      <c r="N5" s="5" t="s">
        <v>277</v>
      </c>
      <c r="O5" s="5" t="s">
        <v>277</v>
      </c>
    </row>
    <row r="6" spans="1:15">
      <c r="A6" s="116" t="s">
        <v>5</v>
      </c>
      <c r="B6" s="116" t="s">
        <v>3</v>
      </c>
      <c r="C6" s="116" t="s">
        <v>3</v>
      </c>
      <c r="D6" s="116" t="s">
        <v>250</v>
      </c>
      <c r="E6" s="116" t="s">
        <v>250</v>
      </c>
      <c r="F6" s="116" t="s">
        <v>41</v>
      </c>
      <c r="G6" s="116" t="s">
        <v>41</v>
      </c>
      <c r="H6" s="4"/>
      <c r="J6" s="4" t="s">
        <v>2</v>
      </c>
      <c r="K6" s="4" t="s">
        <v>2</v>
      </c>
      <c r="L6" s="4" t="s">
        <v>2</v>
      </c>
      <c r="M6" s="4" t="s">
        <v>2</v>
      </c>
      <c r="N6" s="124" t="s">
        <v>2</v>
      </c>
      <c r="O6" s="124" t="s">
        <v>2</v>
      </c>
    </row>
    <row r="7" spans="1:15">
      <c r="A7" s="116" t="s">
        <v>8</v>
      </c>
      <c r="B7" s="116" t="s">
        <v>4</v>
      </c>
      <c r="C7" s="116" t="s">
        <v>9</v>
      </c>
      <c r="D7" s="116" t="s">
        <v>4</v>
      </c>
      <c r="E7" s="116" t="s">
        <v>9</v>
      </c>
      <c r="F7" s="116" t="s">
        <v>4</v>
      </c>
      <c r="G7" s="117" t="s">
        <v>9</v>
      </c>
      <c r="H7" s="5"/>
      <c r="J7" s="4" t="s">
        <v>4</v>
      </c>
      <c r="K7" s="19" t="s">
        <v>9</v>
      </c>
      <c r="L7" s="4" t="s">
        <v>4</v>
      </c>
      <c r="M7" s="4" t="s">
        <v>9</v>
      </c>
      <c r="N7" s="124" t="s">
        <v>4</v>
      </c>
      <c r="O7" s="124" t="s">
        <v>9</v>
      </c>
    </row>
    <row r="8" spans="1:15">
      <c r="A8" s="118">
        <v>42004</v>
      </c>
      <c r="B8" s="190">
        <v>1052</v>
      </c>
      <c r="C8" s="190">
        <v>0</v>
      </c>
      <c r="D8" s="119">
        <v>1103</v>
      </c>
      <c r="E8" s="120">
        <v>0</v>
      </c>
      <c r="F8" s="121">
        <f>D8-B8</f>
        <v>51</v>
      </c>
      <c r="G8" s="121">
        <f>E8-C8</f>
        <v>0</v>
      </c>
      <c r="H8" s="6"/>
      <c r="J8" s="6">
        <v>1175</v>
      </c>
      <c r="K8" s="15">
        <v>0</v>
      </c>
      <c r="L8" s="6">
        <v>1169</v>
      </c>
      <c r="M8" s="15">
        <v>0</v>
      </c>
      <c r="N8" s="6">
        <v>1099</v>
      </c>
      <c r="O8" s="15">
        <v>0</v>
      </c>
    </row>
    <row r="9" spans="1:15">
      <c r="A9" s="118">
        <f t="shared" ref="A9:A19" si="0">A8+31</f>
        <v>42035</v>
      </c>
      <c r="B9" s="190">
        <v>1218</v>
      </c>
      <c r="C9" s="190">
        <v>0</v>
      </c>
      <c r="D9" s="133">
        <v>915</v>
      </c>
      <c r="E9" s="120">
        <v>0</v>
      </c>
      <c r="F9" s="121">
        <f t="shared" ref="F9:F19" si="1">D9-B9</f>
        <v>-303</v>
      </c>
      <c r="G9" s="121">
        <f t="shared" ref="G9:G19" si="2">E9-C9</f>
        <v>0</v>
      </c>
      <c r="H9" s="6"/>
      <c r="J9" s="6">
        <f>888</f>
        <v>888</v>
      </c>
      <c r="K9" s="15">
        <v>0</v>
      </c>
      <c r="L9" s="6">
        <v>916</v>
      </c>
      <c r="M9" s="15">
        <v>0</v>
      </c>
      <c r="N9" s="6">
        <v>896</v>
      </c>
      <c r="O9" s="15">
        <v>0</v>
      </c>
    </row>
    <row r="10" spans="1:15">
      <c r="A10" s="118">
        <f t="shared" si="0"/>
        <v>42066</v>
      </c>
      <c r="B10" s="190">
        <v>938</v>
      </c>
      <c r="C10" s="190">
        <v>0</v>
      </c>
      <c r="D10" s="119">
        <v>775</v>
      </c>
      <c r="E10" s="120">
        <v>0</v>
      </c>
      <c r="F10" s="121">
        <f t="shared" si="1"/>
        <v>-163</v>
      </c>
      <c r="G10" s="121">
        <f t="shared" si="2"/>
        <v>0</v>
      </c>
      <c r="H10" s="6"/>
      <c r="J10" s="6">
        <v>815</v>
      </c>
      <c r="K10" s="15">
        <v>0</v>
      </c>
      <c r="L10" s="6">
        <v>790</v>
      </c>
      <c r="M10" s="15">
        <v>0</v>
      </c>
      <c r="N10" s="6">
        <v>767</v>
      </c>
      <c r="O10" s="15">
        <v>0</v>
      </c>
    </row>
    <row r="11" spans="1:15">
      <c r="A11" s="118">
        <f t="shared" si="0"/>
        <v>42097</v>
      </c>
      <c r="B11" s="190">
        <v>500</v>
      </c>
      <c r="C11" s="190">
        <v>0</v>
      </c>
      <c r="D11" s="119">
        <v>542</v>
      </c>
      <c r="E11" s="120">
        <v>0</v>
      </c>
      <c r="F11" s="121">
        <f t="shared" si="1"/>
        <v>42</v>
      </c>
      <c r="G11" s="121">
        <f t="shared" si="2"/>
        <v>0</v>
      </c>
      <c r="H11" s="6"/>
      <c r="J11" s="6">
        <v>573</v>
      </c>
      <c r="K11" s="15">
        <v>0</v>
      </c>
      <c r="L11" s="6">
        <v>557</v>
      </c>
      <c r="M11" s="15">
        <v>1</v>
      </c>
      <c r="N11" s="6">
        <v>540</v>
      </c>
      <c r="O11" s="15">
        <v>0</v>
      </c>
    </row>
    <row r="12" spans="1:15">
      <c r="A12" s="118">
        <f t="shared" si="0"/>
        <v>42128</v>
      </c>
      <c r="B12" s="190">
        <v>180</v>
      </c>
      <c r="C12" s="190">
        <v>14</v>
      </c>
      <c r="D12" s="119">
        <v>298</v>
      </c>
      <c r="E12" s="120">
        <v>15</v>
      </c>
      <c r="F12" s="121">
        <f t="shared" si="1"/>
        <v>118</v>
      </c>
      <c r="G12" s="121">
        <f t="shared" si="2"/>
        <v>1</v>
      </c>
      <c r="H12" s="6"/>
      <c r="J12" s="6">
        <v>344</v>
      </c>
      <c r="K12" s="15">
        <v>0</v>
      </c>
      <c r="L12" s="6">
        <v>338</v>
      </c>
      <c r="M12" s="15">
        <v>11</v>
      </c>
      <c r="N12" s="6">
        <v>321</v>
      </c>
      <c r="O12" s="15">
        <v>14</v>
      </c>
    </row>
    <row r="13" spans="1:15">
      <c r="A13" s="118">
        <f t="shared" si="0"/>
        <v>42159</v>
      </c>
      <c r="B13" s="190">
        <v>96</v>
      </c>
      <c r="C13" s="190">
        <v>87</v>
      </c>
      <c r="D13" s="119">
        <v>137</v>
      </c>
      <c r="E13" s="120">
        <v>52</v>
      </c>
      <c r="F13" s="121">
        <f t="shared" si="1"/>
        <v>41</v>
      </c>
      <c r="G13" s="121">
        <f t="shared" si="2"/>
        <v>-35</v>
      </c>
      <c r="H13" s="6"/>
      <c r="J13" s="6">
        <v>139</v>
      </c>
      <c r="K13" s="15">
        <v>49</v>
      </c>
      <c r="L13" s="6">
        <v>149</v>
      </c>
      <c r="M13" s="15">
        <v>46</v>
      </c>
      <c r="N13" s="6">
        <v>136</v>
      </c>
      <c r="O13" s="15">
        <v>49</v>
      </c>
    </row>
    <row r="14" spans="1:15">
      <c r="A14" s="118">
        <f t="shared" si="0"/>
        <v>42190</v>
      </c>
      <c r="B14" s="190">
        <v>8</v>
      </c>
      <c r="C14" s="190">
        <v>152</v>
      </c>
      <c r="D14" s="119">
        <v>26</v>
      </c>
      <c r="E14" s="120">
        <v>209</v>
      </c>
      <c r="F14" s="121">
        <f t="shared" si="1"/>
        <v>18</v>
      </c>
      <c r="G14" s="121">
        <f t="shared" si="2"/>
        <v>57</v>
      </c>
      <c r="H14" s="6"/>
      <c r="J14" s="6">
        <v>30</v>
      </c>
      <c r="K14" s="15">
        <v>148</v>
      </c>
      <c r="L14" s="6">
        <v>44</v>
      </c>
      <c r="M14" s="15">
        <v>155</v>
      </c>
      <c r="N14" s="6">
        <v>32</v>
      </c>
      <c r="O14" s="15">
        <v>180</v>
      </c>
    </row>
    <row r="15" spans="1:15">
      <c r="A15" s="118">
        <f t="shared" si="0"/>
        <v>42221</v>
      </c>
      <c r="B15" s="190">
        <v>3</v>
      </c>
      <c r="C15" s="190">
        <v>230</v>
      </c>
      <c r="D15" s="119">
        <v>30</v>
      </c>
      <c r="E15" s="120">
        <v>185</v>
      </c>
      <c r="F15" s="121">
        <f t="shared" si="1"/>
        <v>27</v>
      </c>
      <c r="G15" s="121">
        <f t="shared" si="2"/>
        <v>-45</v>
      </c>
      <c r="H15" s="6"/>
      <c r="J15" s="6">
        <v>56</v>
      </c>
      <c r="K15" s="15">
        <v>161</v>
      </c>
      <c r="L15" s="6">
        <v>42</v>
      </c>
      <c r="M15" s="15">
        <v>154</v>
      </c>
      <c r="N15" s="6">
        <v>33</v>
      </c>
      <c r="O15" s="15">
        <v>168</v>
      </c>
    </row>
    <row r="16" spans="1:15">
      <c r="A16" s="118">
        <f t="shared" si="0"/>
        <v>42252</v>
      </c>
      <c r="B16" s="190">
        <v>209</v>
      </c>
      <c r="C16" s="190">
        <v>40</v>
      </c>
      <c r="D16" s="119">
        <v>158</v>
      </c>
      <c r="E16" s="120">
        <v>41</v>
      </c>
      <c r="F16" s="121">
        <f t="shared" si="1"/>
        <v>-51</v>
      </c>
      <c r="G16" s="121">
        <f t="shared" si="2"/>
        <v>1</v>
      </c>
      <c r="H16" s="6"/>
      <c r="J16" s="6">
        <v>223</v>
      </c>
      <c r="K16" s="15">
        <v>40</v>
      </c>
      <c r="L16" s="6">
        <v>196</v>
      </c>
      <c r="M16" s="15">
        <v>26</v>
      </c>
      <c r="N16" s="6">
        <v>183</v>
      </c>
      <c r="O16" s="15">
        <v>38</v>
      </c>
    </row>
    <row r="17" spans="1:15">
      <c r="A17" s="118">
        <f t="shared" si="0"/>
        <v>42283</v>
      </c>
      <c r="B17" s="190">
        <v>697</v>
      </c>
      <c r="C17" s="190">
        <v>0</v>
      </c>
      <c r="D17" s="119">
        <v>534</v>
      </c>
      <c r="E17" s="120">
        <v>1</v>
      </c>
      <c r="F17" s="121">
        <f t="shared" si="1"/>
        <v>-163</v>
      </c>
      <c r="G17" s="121">
        <f t="shared" si="2"/>
        <v>1</v>
      </c>
      <c r="H17" s="6"/>
      <c r="J17" s="6">
        <v>549</v>
      </c>
      <c r="K17" s="15">
        <v>0</v>
      </c>
      <c r="L17" s="6">
        <v>554</v>
      </c>
      <c r="M17" s="15">
        <v>1</v>
      </c>
      <c r="N17" s="6">
        <v>540</v>
      </c>
      <c r="O17" s="15">
        <v>1</v>
      </c>
    </row>
    <row r="18" spans="1:15">
      <c r="A18" s="118">
        <f t="shared" si="0"/>
        <v>42314</v>
      </c>
      <c r="B18" s="190">
        <v>875</v>
      </c>
      <c r="C18" s="190">
        <f t="shared" ref="C18:C19" si="3">E18</f>
        <v>0</v>
      </c>
      <c r="D18" s="119">
        <v>863</v>
      </c>
      <c r="E18" s="120">
        <v>0</v>
      </c>
      <c r="F18" s="121">
        <f t="shared" si="1"/>
        <v>-12</v>
      </c>
      <c r="G18" s="121">
        <f t="shared" si="2"/>
        <v>0</v>
      </c>
      <c r="H18" s="6"/>
      <c r="J18" s="6">
        <v>897</v>
      </c>
      <c r="K18" s="15">
        <v>0</v>
      </c>
      <c r="L18" s="6">
        <v>897</v>
      </c>
      <c r="M18" s="15">
        <v>0</v>
      </c>
      <c r="N18" s="6">
        <v>879</v>
      </c>
      <c r="O18" s="15">
        <v>0</v>
      </c>
    </row>
    <row r="19" spans="1:15">
      <c r="A19" s="118">
        <f t="shared" si="0"/>
        <v>42345</v>
      </c>
      <c r="B19" s="190">
        <v>972</v>
      </c>
      <c r="C19" s="190">
        <f t="shared" si="3"/>
        <v>0</v>
      </c>
      <c r="D19" s="119">
        <v>1132</v>
      </c>
      <c r="E19" s="120">
        <v>0</v>
      </c>
      <c r="F19" s="121">
        <f t="shared" si="1"/>
        <v>160</v>
      </c>
      <c r="G19" s="121">
        <f t="shared" si="2"/>
        <v>0</v>
      </c>
      <c r="H19" s="6"/>
      <c r="J19" s="6">
        <v>1153</v>
      </c>
      <c r="K19" s="15">
        <v>0</v>
      </c>
      <c r="L19" s="6">
        <v>1168</v>
      </c>
      <c r="M19" s="15">
        <v>0</v>
      </c>
      <c r="N19" s="6">
        <v>1167</v>
      </c>
      <c r="O19" s="15">
        <v>0</v>
      </c>
    </row>
    <row r="20" spans="1:15">
      <c r="A20" s="122"/>
      <c r="B20" s="123">
        <f t="shared" ref="B20:G20" si="4">SUM(B7:B19)</f>
        <v>6748</v>
      </c>
      <c r="C20" s="123">
        <f t="shared" si="4"/>
        <v>523</v>
      </c>
      <c r="D20" s="123">
        <f t="shared" si="4"/>
        <v>6513</v>
      </c>
      <c r="E20" s="123">
        <f t="shared" si="4"/>
        <v>503</v>
      </c>
      <c r="F20" s="123">
        <f t="shared" si="4"/>
        <v>-235</v>
      </c>
      <c r="G20" s="123">
        <f t="shared" si="4"/>
        <v>-20</v>
      </c>
      <c r="H20" s="8"/>
      <c r="J20" s="20">
        <f>SUM(J8:J19)</f>
        <v>6842</v>
      </c>
      <c r="K20" s="20">
        <f>SUM(K8:K19)</f>
        <v>398</v>
      </c>
      <c r="L20" s="7">
        <f>SUM(L7:L19)</f>
        <v>6820</v>
      </c>
      <c r="M20" s="7">
        <f>SUM(M7:M19)</f>
        <v>394</v>
      </c>
      <c r="N20" s="7">
        <f>SUM(N7:N19)</f>
        <v>6593</v>
      </c>
      <c r="O20" s="7">
        <f>SUM(O7:O19)</f>
        <v>450</v>
      </c>
    </row>
    <row r="21" spans="1:15" ht="12" customHeight="1"/>
    <row r="22" spans="1:15" ht="12" customHeight="1">
      <c r="A22" s="2" t="s">
        <v>420</v>
      </c>
      <c r="B22" s="231">
        <f>SUM(B17:B19,B8:B13)</f>
        <v>6528</v>
      </c>
      <c r="D22" s="231">
        <f>SUM(D17:D19,D8:D13)</f>
        <v>6299</v>
      </c>
      <c r="F22" s="127">
        <f>SUM(F17:F19,F8:F13)</f>
        <v>-229</v>
      </c>
    </row>
    <row r="23" spans="1:15">
      <c r="A23" s="2" t="s">
        <v>421</v>
      </c>
      <c r="C23" s="127">
        <f>SUM(C12:C16)</f>
        <v>523</v>
      </c>
      <c r="E23" s="127">
        <f>SUM(E12:E16)</f>
        <v>502</v>
      </c>
      <c r="G23" s="127">
        <f>SUM(G12:G16)</f>
        <v>-21</v>
      </c>
    </row>
    <row r="24" spans="1:15">
      <c r="H24" s="14"/>
      <c r="J24" s="115" t="s">
        <v>399</v>
      </c>
      <c r="K24" s="115" t="s">
        <v>399</v>
      </c>
      <c r="L24" s="115" t="s">
        <v>404</v>
      </c>
      <c r="M24" s="115" t="s">
        <v>404</v>
      </c>
    </row>
    <row r="25" spans="1:15">
      <c r="H25" s="14"/>
      <c r="J25" s="226" t="s">
        <v>250</v>
      </c>
      <c r="K25" s="226" t="s">
        <v>250</v>
      </c>
      <c r="L25" s="230" t="s">
        <v>250</v>
      </c>
      <c r="M25" s="230" t="s">
        <v>250</v>
      </c>
    </row>
    <row r="26" spans="1:15">
      <c r="D26"/>
      <c r="E26" s="120"/>
      <c r="H26" s="6"/>
      <c r="J26" s="226" t="s">
        <v>4</v>
      </c>
      <c r="K26" s="226" t="s">
        <v>9</v>
      </c>
      <c r="L26" s="230" t="s">
        <v>4</v>
      </c>
      <c r="M26" s="230" t="s">
        <v>9</v>
      </c>
    </row>
    <row r="27" spans="1:15">
      <c r="D27"/>
      <c r="E27"/>
      <c r="H27" s="6"/>
      <c r="J27" s="119">
        <v>1114</v>
      </c>
      <c r="K27" s="120">
        <v>0</v>
      </c>
      <c r="L27" s="119">
        <v>1105</v>
      </c>
      <c r="M27" s="120">
        <v>0</v>
      </c>
    </row>
    <row r="28" spans="1:15">
      <c r="D28"/>
      <c r="E28"/>
      <c r="H28" s="6"/>
      <c r="J28" s="133">
        <v>910</v>
      </c>
      <c r="K28" s="120">
        <v>0</v>
      </c>
      <c r="L28" s="133">
        <v>914</v>
      </c>
      <c r="M28" s="120">
        <v>0</v>
      </c>
    </row>
    <row r="29" spans="1:15">
      <c r="D29"/>
      <c r="E29"/>
      <c r="H29" s="6"/>
      <c r="J29" s="119">
        <v>772</v>
      </c>
      <c r="K29" s="120">
        <v>0</v>
      </c>
      <c r="L29" s="119">
        <v>772</v>
      </c>
      <c r="M29" s="120">
        <v>0</v>
      </c>
    </row>
    <row r="30" spans="1:15">
      <c r="D30"/>
      <c r="E30"/>
      <c r="H30" s="6"/>
      <c r="J30" s="119">
        <v>539</v>
      </c>
      <c r="K30" s="120">
        <v>0</v>
      </c>
      <c r="L30" s="119">
        <v>542</v>
      </c>
      <c r="M30" s="120">
        <v>0</v>
      </c>
    </row>
    <row r="31" spans="1:15">
      <c r="D31"/>
      <c r="E31"/>
      <c r="H31" s="6"/>
      <c r="J31" s="119">
        <v>311</v>
      </c>
      <c r="K31" s="120">
        <v>13</v>
      </c>
      <c r="L31" s="119">
        <v>304</v>
      </c>
      <c r="M31" s="120">
        <v>14</v>
      </c>
    </row>
    <row r="32" spans="1:15">
      <c r="D32"/>
      <c r="E32"/>
      <c r="H32" s="6"/>
      <c r="J32" s="119">
        <v>139</v>
      </c>
      <c r="K32" s="120">
        <v>52</v>
      </c>
      <c r="L32" s="119">
        <v>136</v>
      </c>
      <c r="M32" s="120">
        <v>51</v>
      </c>
    </row>
    <row r="33" spans="4:19">
      <c r="D33"/>
      <c r="E33"/>
      <c r="H33" s="6"/>
      <c r="J33" s="119">
        <v>29</v>
      </c>
      <c r="K33" s="120">
        <v>205</v>
      </c>
      <c r="L33" s="119">
        <v>27</v>
      </c>
      <c r="M33" s="120">
        <v>209</v>
      </c>
    </row>
    <row r="34" spans="4:19">
      <c r="D34"/>
      <c r="E34"/>
      <c r="H34" s="6"/>
      <c r="J34" s="119">
        <v>31</v>
      </c>
      <c r="K34" s="120">
        <v>177</v>
      </c>
      <c r="L34" s="119">
        <v>30</v>
      </c>
      <c r="M34" s="120">
        <v>180</v>
      </c>
    </row>
    <row r="35" spans="4:19">
      <c r="D35"/>
      <c r="E35"/>
      <c r="H35" s="6"/>
      <c r="J35" s="119">
        <v>158</v>
      </c>
      <c r="K35" s="120">
        <v>42</v>
      </c>
      <c r="L35" s="119">
        <v>160</v>
      </c>
      <c r="M35" s="120">
        <v>40</v>
      </c>
    </row>
    <row r="36" spans="4:19">
      <c r="D36"/>
      <c r="E36"/>
      <c r="H36" s="6"/>
      <c r="J36" s="119">
        <v>526</v>
      </c>
      <c r="K36" s="120">
        <v>1</v>
      </c>
      <c r="L36" s="119">
        <v>529</v>
      </c>
      <c r="M36" s="120">
        <v>1</v>
      </c>
    </row>
    <row r="37" spans="4:19">
      <c r="D37"/>
      <c r="E37"/>
      <c r="H37" s="6"/>
      <c r="J37" s="119">
        <v>864</v>
      </c>
      <c r="K37" s="120">
        <v>0</v>
      </c>
      <c r="L37" s="119">
        <v>864</v>
      </c>
      <c r="M37" s="120">
        <v>0</v>
      </c>
    </row>
    <row r="38" spans="4:19">
      <c r="D38"/>
      <c r="E38"/>
      <c r="H38" s="8"/>
      <c r="J38" s="119">
        <v>1138</v>
      </c>
      <c r="K38" s="120">
        <v>0</v>
      </c>
      <c r="L38" s="119">
        <v>1137</v>
      </c>
      <c r="M38" s="120">
        <v>0</v>
      </c>
    </row>
    <row r="39" spans="4:19">
      <c r="E39"/>
      <c r="J39" s="123">
        <f t="shared" ref="J39:K39" si="5">SUM(J26:J38)</f>
        <v>6531</v>
      </c>
      <c r="K39" s="123">
        <f t="shared" si="5"/>
        <v>490</v>
      </c>
      <c r="L39" s="123">
        <f t="shared" ref="L39:M39" si="6">SUM(L26:L38)</f>
        <v>6520</v>
      </c>
      <c r="M39" s="123">
        <f t="shared" si="6"/>
        <v>495</v>
      </c>
    </row>
    <row r="45" spans="4:19">
      <c r="R45" s="6"/>
      <c r="S45" s="6"/>
    </row>
    <row r="49" spans="9:13">
      <c r="K49" s="6"/>
      <c r="L49" s="6"/>
      <c r="M49" s="6"/>
    </row>
    <row r="57" spans="9:13">
      <c r="I57" s="21" t="e">
        <f>#REF!+#REF!</f>
        <v>#REF!</v>
      </c>
    </row>
    <row r="58" spans="9:13">
      <c r="I58" s="21"/>
    </row>
  </sheetData>
  <mergeCells count="4">
    <mergeCell ref="A1:G1"/>
    <mergeCell ref="A2:G2"/>
    <mergeCell ref="A3:G3"/>
    <mergeCell ref="A4:G4"/>
  </mergeCells>
  <phoneticPr fontId="0" type="noConversion"/>
  <printOptions horizontalCentered="1"/>
  <pageMargins left="0.2" right="0.2" top="0.86" bottom="1" header="0.5" footer="0.5"/>
  <pageSetup scale="90" orientation="landscape" horizontalDpi="300" verticalDpi="300" r:id="rId1"/>
  <headerFooter alignWithMargins="0">
    <oddHeader>&amp;R&amp;"Times New Roman,Regular"&amp;10Adjustment No. __&amp;U2.10&amp;U__
Workpaper Ref. C-WN-__</oddHeader>
    <oddFooter>&amp;L&amp;"Times,Regular"&amp;10FILE:  &amp;F &amp;A&amp;C&amp;"Times New Roman,Regular"&amp;10Page &amp;P of &amp;N&amp;R&amp;"Times New Roman,Regular"&amp;10Prep by:________  1st Review:________
Date: &amp;D     Mgr. Review:________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50"/>
  <sheetViews>
    <sheetView tabSelected="1" topLeftCell="D1" workbookViewId="0">
      <selection activeCell="Q74" sqref="Q74"/>
    </sheetView>
  </sheetViews>
  <sheetFormatPr defaultColWidth="8" defaultRowHeight="12" customHeight="1"/>
  <cols>
    <col min="1" max="1" width="11" style="25" customWidth="1"/>
    <col min="2" max="2" width="16.875" style="25" customWidth="1"/>
    <col min="3" max="3" width="6.5" style="26" customWidth="1"/>
    <col min="4" max="4" width="6.75" style="26" customWidth="1"/>
    <col min="5" max="5" width="8.75" style="26" customWidth="1"/>
    <col min="6" max="6" width="7.125" style="26" customWidth="1"/>
    <col min="7" max="8" width="8.625" style="26" customWidth="1"/>
    <col min="9" max="9" width="7.5" style="26" customWidth="1"/>
    <col min="10" max="10" width="8.5" style="26" customWidth="1"/>
    <col min="11" max="12" width="6.375" style="26" customWidth="1"/>
    <col min="13" max="13" width="6.25" style="26" customWidth="1"/>
    <col min="14" max="14" width="6.125" style="26" customWidth="1"/>
    <col min="15" max="16384" width="8" style="26"/>
  </cols>
  <sheetData>
    <row r="1" spans="1:21" ht="13.9" customHeight="1">
      <c r="A1" s="136" t="s">
        <v>222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7"/>
    </row>
    <row r="2" spans="1:21" ht="13.9" customHeight="1">
      <c r="A2" s="136" t="s">
        <v>248</v>
      </c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7" t="s">
        <v>85</v>
      </c>
    </row>
    <row r="3" spans="1:21" ht="13.15" customHeight="1">
      <c r="A3" s="136"/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7" t="s">
        <v>223</v>
      </c>
    </row>
    <row r="4" spans="1:21" ht="13.15" customHeight="1">
      <c r="A4" s="137"/>
      <c r="B4" s="137"/>
      <c r="C4" s="137" t="s">
        <v>19</v>
      </c>
      <c r="D4" s="137" t="s">
        <v>20</v>
      </c>
      <c r="E4" s="137" t="s">
        <v>21</v>
      </c>
      <c r="F4" s="137" t="s">
        <v>22</v>
      </c>
      <c r="G4" s="137" t="s">
        <v>23</v>
      </c>
      <c r="H4" s="137" t="s">
        <v>24</v>
      </c>
      <c r="I4" s="137" t="s">
        <v>13</v>
      </c>
      <c r="J4" s="137" t="s">
        <v>14</v>
      </c>
      <c r="K4" s="137" t="s">
        <v>15</v>
      </c>
      <c r="L4" s="137" t="s">
        <v>16</v>
      </c>
      <c r="M4" s="137" t="s">
        <v>17</v>
      </c>
      <c r="N4" s="137" t="s">
        <v>18</v>
      </c>
      <c r="O4" s="137" t="s">
        <v>12</v>
      </c>
    </row>
    <row r="5" spans="1:21" ht="12.75">
      <c r="A5" s="137">
        <v>1</v>
      </c>
      <c r="B5" s="137" t="s">
        <v>422</v>
      </c>
      <c r="C5" s="139">
        <v>15</v>
      </c>
      <c r="D5" s="139">
        <v>24</v>
      </c>
      <c r="E5" s="139">
        <v>169</v>
      </c>
      <c r="F5" s="139">
        <v>517</v>
      </c>
      <c r="G5" s="139">
        <v>836</v>
      </c>
      <c r="H5" s="139">
        <v>1021</v>
      </c>
      <c r="I5" s="139">
        <v>1052</v>
      </c>
      <c r="J5" s="139">
        <v>1218</v>
      </c>
      <c r="K5" s="139">
        <v>938</v>
      </c>
      <c r="L5" s="139">
        <v>500</v>
      </c>
      <c r="M5" s="139">
        <v>180</v>
      </c>
      <c r="N5" s="139">
        <v>96</v>
      </c>
      <c r="O5" s="140">
        <f>SUM(C5:N5)</f>
        <v>6566</v>
      </c>
    </row>
    <row r="6" spans="1:21" ht="12.75">
      <c r="A6" s="137">
        <v>2</v>
      </c>
      <c r="B6" s="137" t="s">
        <v>403</v>
      </c>
      <c r="C6" s="139">
        <v>0</v>
      </c>
      <c r="D6" s="139">
        <v>3</v>
      </c>
      <c r="E6" s="139">
        <v>166</v>
      </c>
      <c r="F6" s="139">
        <v>560</v>
      </c>
      <c r="G6" s="139">
        <v>811</v>
      </c>
      <c r="H6" s="139">
        <v>1179</v>
      </c>
      <c r="I6" s="139">
        <v>960</v>
      </c>
      <c r="J6" s="139">
        <v>968</v>
      </c>
      <c r="K6" s="139">
        <v>783</v>
      </c>
      <c r="L6" s="139">
        <v>543</v>
      </c>
      <c r="M6" s="139">
        <v>125</v>
      </c>
      <c r="N6" s="139">
        <v>103</v>
      </c>
      <c r="O6" s="140">
        <f>SUM(C6:N6)</f>
        <v>6201</v>
      </c>
    </row>
    <row r="7" spans="1:21" ht="12.75">
      <c r="A7" s="137">
        <v>3</v>
      </c>
      <c r="B7" s="137" t="s">
        <v>398</v>
      </c>
      <c r="C7" s="139">
        <v>20</v>
      </c>
      <c r="D7" s="139">
        <v>10</v>
      </c>
      <c r="E7" s="139">
        <v>158</v>
      </c>
      <c r="F7" s="139">
        <v>508</v>
      </c>
      <c r="G7" s="139">
        <v>637</v>
      </c>
      <c r="H7" s="139">
        <v>1289</v>
      </c>
      <c r="I7" s="139">
        <v>1379</v>
      </c>
      <c r="J7" s="139">
        <v>992</v>
      </c>
      <c r="K7" s="139">
        <v>741</v>
      </c>
      <c r="L7" s="139">
        <v>556</v>
      </c>
      <c r="M7" s="139">
        <v>272</v>
      </c>
      <c r="N7" s="139">
        <v>66</v>
      </c>
      <c r="O7" s="140">
        <f>SUM(C7:N7)</f>
        <v>6628</v>
      </c>
      <c r="P7" s="28"/>
      <c r="Q7" s="28"/>
      <c r="R7" s="28"/>
      <c r="S7" s="28"/>
      <c r="T7" s="28"/>
      <c r="U7" s="28"/>
    </row>
    <row r="8" spans="1:21" ht="12.75">
      <c r="A8" s="137">
        <v>4</v>
      </c>
      <c r="B8" s="137" t="s">
        <v>347</v>
      </c>
      <c r="C8" s="139">
        <v>5</v>
      </c>
      <c r="D8" s="139">
        <v>11</v>
      </c>
      <c r="E8" s="139">
        <v>197</v>
      </c>
      <c r="F8" s="139">
        <v>322</v>
      </c>
      <c r="G8" s="139">
        <v>899</v>
      </c>
      <c r="H8" s="139">
        <v>1054</v>
      </c>
      <c r="I8" s="139">
        <v>1048</v>
      </c>
      <c r="J8" s="139">
        <v>753</v>
      </c>
      <c r="K8" s="139">
        <v>683</v>
      </c>
      <c r="L8" s="139">
        <v>308</v>
      </c>
      <c r="M8" s="139">
        <v>198</v>
      </c>
      <c r="N8" s="139">
        <v>110</v>
      </c>
      <c r="O8" s="140">
        <f t="shared" ref="O8:O34" si="0">SUM(C8:N8)</f>
        <v>5588</v>
      </c>
      <c r="P8" s="28"/>
      <c r="Q8" s="28"/>
      <c r="R8" s="28"/>
      <c r="S8" s="28"/>
      <c r="T8" s="28"/>
      <c r="U8" s="28"/>
    </row>
    <row r="9" spans="1:21" ht="12.75">
      <c r="A9" s="137">
        <v>5</v>
      </c>
      <c r="B9" s="137" t="s">
        <v>342</v>
      </c>
      <c r="C9" s="139">
        <v>7</v>
      </c>
      <c r="D9" s="139">
        <v>5</v>
      </c>
      <c r="E9" s="139">
        <v>94</v>
      </c>
      <c r="F9" s="139">
        <v>357</v>
      </c>
      <c r="G9" s="139">
        <v>906</v>
      </c>
      <c r="H9" s="139">
        <v>991</v>
      </c>
      <c r="I9" s="139">
        <v>1049</v>
      </c>
      <c r="J9" s="139">
        <v>713</v>
      </c>
      <c r="K9" s="139">
        <v>597</v>
      </c>
      <c r="L9" s="139">
        <v>519</v>
      </c>
      <c r="M9" s="139">
        <v>157</v>
      </c>
      <c r="N9" s="139">
        <v>25</v>
      </c>
      <c r="O9" s="140">
        <f t="shared" si="0"/>
        <v>5420</v>
      </c>
      <c r="P9" s="28"/>
      <c r="Q9" s="28"/>
      <c r="R9" s="28"/>
      <c r="S9" s="28"/>
      <c r="T9" s="28"/>
      <c r="U9" s="28"/>
    </row>
    <row r="10" spans="1:21" ht="12.75">
      <c r="A10" s="137">
        <v>6</v>
      </c>
      <c r="B10" s="137" t="s">
        <v>299</v>
      </c>
      <c r="C10" s="139">
        <v>0</v>
      </c>
      <c r="D10" s="139">
        <v>7</v>
      </c>
      <c r="E10" s="139">
        <v>160</v>
      </c>
      <c r="F10" s="139">
        <v>590</v>
      </c>
      <c r="G10" s="139">
        <v>898</v>
      </c>
      <c r="H10" s="139">
        <v>1213</v>
      </c>
      <c r="I10" s="139">
        <v>1090</v>
      </c>
      <c r="J10" s="139">
        <v>1085</v>
      </c>
      <c r="K10" s="139">
        <v>780</v>
      </c>
      <c r="L10" s="139">
        <v>537</v>
      </c>
      <c r="M10" s="139">
        <v>227</v>
      </c>
      <c r="N10" s="139">
        <v>106</v>
      </c>
      <c r="O10" s="140">
        <f t="shared" si="0"/>
        <v>6693</v>
      </c>
      <c r="P10" s="28"/>
      <c r="Q10" s="28"/>
      <c r="R10" s="28"/>
      <c r="S10" s="28"/>
      <c r="T10" s="28"/>
      <c r="U10" s="28"/>
    </row>
    <row r="11" spans="1:21" ht="12.75">
      <c r="A11" s="137">
        <v>7</v>
      </c>
      <c r="B11" s="137" t="s">
        <v>286</v>
      </c>
      <c r="C11" s="139">
        <v>20</v>
      </c>
      <c r="D11" s="139">
        <v>14</v>
      </c>
      <c r="E11" s="139">
        <v>68</v>
      </c>
      <c r="F11" s="139">
        <v>504</v>
      </c>
      <c r="G11" s="139">
        <v>779</v>
      </c>
      <c r="H11" s="139">
        <v>1040</v>
      </c>
      <c r="I11" s="139">
        <v>1243</v>
      </c>
      <c r="J11" s="139">
        <v>869</v>
      </c>
      <c r="K11" s="139">
        <v>730</v>
      </c>
      <c r="L11" s="139">
        <v>561</v>
      </c>
      <c r="M11" s="139">
        <v>272</v>
      </c>
      <c r="N11" s="139">
        <v>140</v>
      </c>
      <c r="O11" s="140">
        <f t="shared" si="0"/>
        <v>6240</v>
      </c>
      <c r="P11" s="29"/>
      <c r="Q11" s="28"/>
      <c r="R11" s="28"/>
      <c r="S11" s="28"/>
      <c r="T11" s="28"/>
      <c r="U11" s="28"/>
    </row>
    <row r="12" spans="1:21" ht="12.75">
      <c r="A12" s="137">
        <v>8</v>
      </c>
      <c r="B12" s="137" t="s">
        <v>282</v>
      </c>
      <c r="C12" s="139">
        <v>40</v>
      </c>
      <c r="D12" s="139">
        <v>8</v>
      </c>
      <c r="E12" s="139">
        <v>99</v>
      </c>
      <c r="F12" s="139">
        <v>516</v>
      </c>
      <c r="G12" s="139">
        <v>890</v>
      </c>
      <c r="H12" s="139">
        <v>1118</v>
      </c>
      <c r="I12" s="139">
        <v>1078</v>
      </c>
      <c r="J12" s="139">
        <v>930</v>
      </c>
      <c r="K12" s="139">
        <v>809</v>
      </c>
      <c r="L12" s="139">
        <v>494</v>
      </c>
      <c r="M12" s="139">
        <v>345</v>
      </c>
      <c r="N12" s="139">
        <v>175</v>
      </c>
      <c r="O12" s="140">
        <f t="shared" si="0"/>
        <v>6502</v>
      </c>
      <c r="Q12" s="28"/>
      <c r="R12" s="28"/>
      <c r="S12" s="28"/>
      <c r="T12" s="28"/>
      <c r="U12" s="28"/>
    </row>
    <row r="13" spans="1:21" ht="12.75">
      <c r="A13" s="137">
        <v>9</v>
      </c>
      <c r="B13" s="137" t="s">
        <v>275</v>
      </c>
      <c r="C13" s="141">
        <v>48</v>
      </c>
      <c r="D13" s="141">
        <v>47</v>
      </c>
      <c r="E13" s="141">
        <v>158</v>
      </c>
      <c r="F13" s="141">
        <v>472</v>
      </c>
      <c r="G13" s="141">
        <v>948</v>
      </c>
      <c r="H13" s="141">
        <v>1096</v>
      </c>
      <c r="I13" s="141">
        <v>1103</v>
      </c>
      <c r="J13" s="141">
        <v>1006</v>
      </c>
      <c r="K13" s="141">
        <v>790</v>
      </c>
      <c r="L13" s="141">
        <v>698</v>
      </c>
      <c r="M13" s="141">
        <v>401</v>
      </c>
      <c r="N13" s="141">
        <v>192</v>
      </c>
      <c r="O13" s="140">
        <f t="shared" si="0"/>
        <v>6959</v>
      </c>
      <c r="Q13" s="28"/>
      <c r="R13" s="28"/>
      <c r="S13" s="28"/>
      <c r="T13" s="28"/>
      <c r="U13" s="28"/>
    </row>
    <row r="14" spans="1:21" ht="12.75">
      <c r="A14" s="137">
        <v>10</v>
      </c>
      <c r="B14" s="137" t="s">
        <v>283</v>
      </c>
      <c r="C14" s="141">
        <v>17</v>
      </c>
      <c r="D14" s="141">
        <v>23</v>
      </c>
      <c r="E14" s="141">
        <v>103</v>
      </c>
      <c r="F14" s="141">
        <v>668</v>
      </c>
      <c r="G14" s="141">
        <v>834</v>
      </c>
      <c r="H14" s="141">
        <v>1252</v>
      </c>
      <c r="I14" s="141">
        <v>919</v>
      </c>
      <c r="J14" s="141">
        <v>751</v>
      </c>
      <c r="K14" s="141">
        <v>733</v>
      </c>
      <c r="L14" s="141">
        <v>538</v>
      </c>
      <c r="M14" s="141">
        <v>420</v>
      </c>
      <c r="N14" s="141">
        <v>190</v>
      </c>
      <c r="O14" s="140">
        <f t="shared" si="0"/>
        <v>6448</v>
      </c>
      <c r="Q14" s="28"/>
      <c r="R14" s="28"/>
      <c r="S14" s="28"/>
      <c r="T14" s="28"/>
      <c r="U14" s="28"/>
    </row>
    <row r="15" spans="1:21" ht="12.75">
      <c r="A15" s="137">
        <v>11</v>
      </c>
      <c r="B15" s="137" t="s">
        <v>251</v>
      </c>
      <c r="C15" s="141">
        <v>8</v>
      </c>
      <c r="D15" s="141">
        <v>52</v>
      </c>
      <c r="E15" s="141">
        <v>142</v>
      </c>
      <c r="F15" s="141">
        <v>529</v>
      </c>
      <c r="G15" s="141">
        <v>785</v>
      </c>
      <c r="H15" s="141">
        <v>1328</v>
      </c>
      <c r="I15" s="141">
        <v>1204</v>
      </c>
      <c r="J15" s="139">
        <v>957</v>
      </c>
      <c r="K15" s="141">
        <v>936</v>
      </c>
      <c r="L15" s="141">
        <v>586</v>
      </c>
      <c r="M15" s="141">
        <v>303</v>
      </c>
      <c r="N15" s="141">
        <v>93</v>
      </c>
      <c r="O15" s="140">
        <f t="shared" si="0"/>
        <v>6923</v>
      </c>
      <c r="Q15" s="28"/>
      <c r="R15" s="28"/>
      <c r="S15" s="28"/>
      <c r="T15" s="28"/>
      <c r="U15" s="28"/>
    </row>
    <row r="16" spans="1:21" ht="12.75">
      <c r="A16" s="137">
        <v>12</v>
      </c>
      <c r="B16" s="137" t="s">
        <v>245</v>
      </c>
      <c r="C16" s="141">
        <v>0</v>
      </c>
      <c r="D16" s="141">
        <v>27</v>
      </c>
      <c r="E16" s="141">
        <v>194</v>
      </c>
      <c r="F16" s="141">
        <v>553</v>
      </c>
      <c r="G16" s="141">
        <v>894</v>
      </c>
      <c r="H16" s="141">
        <v>1126</v>
      </c>
      <c r="I16" s="141">
        <v>1243</v>
      </c>
      <c r="J16" s="139">
        <v>952</v>
      </c>
      <c r="K16" s="141">
        <v>880</v>
      </c>
      <c r="L16" s="141">
        <v>683</v>
      </c>
      <c r="M16" s="141">
        <v>274</v>
      </c>
      <c r="N16" s="141">
        <v>176</v>
      </c>
      <c r="O16" s="140">
        <f t="shared" si="0"/>
        <v>7002</v>
      </c>
      <c r="Q16" s="28"/>
      <c r="R16" s="28"/>
      <c r="S16" s="28"/>
      <c r="T16" s="28"/>
      <c r="U16" s="28"/>
    </row>
    <row r="17" spans="1:21" ht="12.75">
      <c r="A17" s="137">
        <v>13</v>
      </c>
      <c r="B17" s="137" t="s">
        <v>224</v>
      </c>
      <c r="C17" s="141">
        <v>8</v>
      </c>
      <c r="D17" s="141">
        <v>30</v>
      </c>
      <c r="E17" s="141">
        <v>170</v>
      </c>
      <c r="F17" s="141">
        <v>552</v>
      </c>
      <c r="G17" s="141">
        <v>865</v>
      </c>
      <c r="H17" s="141">
        <v>1122</v>
      </c>
      <c r="I17" s="141">
        <v>1243</v>
      </c>
      <c r="J17" s="139">
        <v>864</v>
      </c>
      <c r="K17" s="141">
        <v>685</v>
      </c>
      <c r="L17" s="141">
        <v>548</v>
      </c>
      <c r="M17" s="141">
        <v>270</v>
      </c>
      <c r="N17" s="141">
        <v>136</v>
      </c>
      <c r="O17" s="140">
        <f t="shared" si="0"/>
        <v>6493</v>
      </c>
      <c r="Q17" s="28"/>
      <c r="R17" s="28"/>
      <c r="S17" s="28"/>
      <c r="T17" s="28"/>
      <c r="U17" s="28"/>
    </row>
    <row r="18" spans="1:21" ht="12.75">
      <c r="A18" s="137">
        <v>14</v>
      </c>
      <c r="B18" s="137" t="s">
        <v>225</v>
      </c>
      <c r="C18" s="141">
        <v>11</v>
      </c>
      <c r="D18" s="141">
        <v>22</v>
      </c>
      <c r="E18" s="141">
        <v>229</v>
      </c>
      <c r="F18" s="141">
        <v>489</v>
      </c>
      <c r="G18" s="141">
        <v>919</v>
      </c>
      <c r="H18" s="141">
        <v>1258</v>
      </c>
      <c r="I18" s="141">
        <v>905</v>
      </c>
      <c r="J18" s="139">
        <v>949</v>
      </c>
      <c r="K18" s="141">
        <v>812</v>
      </c>
      <c r="L18" s="141">
        <v>525</v>
      </c>
      <c r="M18" s="141">
        <v>301</v>
      </c>
      <c r="N18" s="141">
        <v>104</v>
      </c>
      <c r="O18" s="140">
        <f t="shared" si="0"/>
        <v>6524</v>
      </c>
      <c r="Q18" s="28"/>
      <c r="R18" s="28"/>
      <c r="S18" s="28"/>
      <c r="T18" s="28"/>
      <c r="U18" s="28"/>
    </row>
    <row r="19" spans="1:21" ht="12.75">
      <c r="A19" s="137">
        <v>15</v>
      </c>
      <c r="B19" s="137" t="s">
        <v>226</v>
      </c>
      <c r="C19" s="141">
        <v>16</v>
      </c>
      <c r="D19" s="141">
        <v>34</v>
      </c>
      <c r="E19" s="141">
        <v>204</v>
      </c>
      <c r="F19" s="141">
        <v>480</v>
      </c>
      <c r="G19" s="141">
        <v>857</v>
      </c>
      <c r="H19" s="141">
        <v>1020</v>
      </c>
      <c r="I19" s="141">
        <v>1128</v>
      </c>
      <c r="J19" s="139">
        <v>842</v>
      </c>
      <c r="K19" s="141">
        <v>711</v>
      </c>
      <c r="L19" s="141">
        <v>503</v>
      </c>
      <c r="M19" s="141">
        <v>260</v>
      </c>
      <c r="N19" s="141">
        <v>166</v>
      </c>
      <c r="O19" s="140">
        <f t="shared" si="0"/>
        <v>6221</v>
      </c>
      <c r="Q19" s="28"/>
      <c r="R19" s="28"/>
      <c r="S19" s="28"/>
      <c r="T19" s="28"/>
      <c r="U19" s="28"/>
    </row>
    <row r="20" spans="1:21" ht="12.75">
      <c r="A20" s="137">
        <v>16</v>
      </c>
      <c r="B20" s="137" t="s">
        <v>227</v>
      </c>
      <c r="C20" s="141">
        <v>9</v>
      </c>
      <c r="D20" s="141">
        <v>1</v>
      </c>
      <c r="E20" s="141">
        <v>151</v>
      </c>
      <c r="F20" s="141">
        <v>418</v>
      </c>
      <c r="G20" s="141">
        <v>1056</v>
      </c>
      <c r="H20" s="141">
        <v>1083</v>
      </c>
      <c r="I20" s="141">
        <v>1193</v>
      </c>
      <c r="J20" s="139">
        <v>945</v>
      </c>
      <c r="K20" s="141">
        <v>668</v>
      </c>
      <c r="L20" s="141">
        <v>455</v>
      </c>
      <c r="M20" s="141">
        <v>315</v>
      </c>
      <c r="N20" s="141">
        <v>131</v>
      </c>
      <c r="O20" s="140">
        <f t="shared" si="0"/>
        <v>6425</v>
      </c>
      <c r="Q20" s="28"/>
      <c r="R20" s="28"/>
      <c r="S20" s="28"/>
      <c r="T20" s="28"/>
      <c r="U20" s="28"/>
    </row>
    <row r="21" spans="1:21" ht="12.75">
      <c r="A21" s="137">
        <v>17</v>
      </c>
      <c r="B21" s="137" t="s">
        <v>228</v>
      </c>
      <c r="C21" s="141">
        <v>28</v>
      </c>
      <c r="D21" s="141">
        <v>26</v>
      </c>
      <c r="E21" s="141">
        <v>219</v>
      </c>
      <c r="F21" s="141">
        <v>678</v>
      </c>
      <c r="G21" s="141">
        <v>839</v>
      </c>
      <c r="H21" s="141">
        <v>962</v>
      </c>
      <c r="I21" s="141">
        <v>957</v>
      </c>
      <c r="J21" s="139">
        <v>885</v>
      </c>
      <c r="K21" s="141">
        <v>745</v>
      </c>
      <c r="L21" s="141">
        <v>588</v>
      </c>
      <c r="M21" s="141">
        <v>365</v>
      </c>
      <c r="N21" s="141">
        <v>90</v>
      </c>
      <c r="O21" s="140">
        <f t="shared" si="0"/>
        <v>6382</v>
      </c>
      <c r="Q21" s="28"/>
      <c r="R21" s="28"/>
      <c r="S21" s="28"/>
      <c r="T21" s="28"/>
      <c r="U21" s="28"/>
    </row>
    <row r="22" spans="1:21" ht="12.75">
      <c r="A22" s="137">
        <v>18</v>
      </c>
      <c r="B22" s="137" t="s">
        <v>229</v>
      </c>
      <c r="C22" s="141">
        <v>33</v>
      </c>
      <c r="D22" s="141">
        <v>20</v>
      </c>
      <c r="E22" s="141">
        <v>100</v>
      </c>
      <c r="F22" s="141">
        <v>588</v>
      </c>
      <c r="G22" s="141">
        <v>744</v>
      </c>
      <c r="H22" s="141">
        <v>1136</v>
      </c>
      <c r="I22" s="141">
        <v>1063</v>
      </c>
      <c r="J22" s="139">
        <v>934</v>
      </c>
      <c r="K22" s="141">
        <v>938</v>
      </c>
      <c r="L22" s="141">
        <v>581</v>
      </c>
      <c r="M22" s="141">
        <v>412</v>
      </c>
      <c r="N22" s="141">
        <v>137</v>
      </c>
      <c r="O22" s="140">
        <f t="shared" si="0"/>
        <v>6686</v>
      </c>
      <c r="Q22" s="28"/>
      <c r="R22" s="28"/>
      <c r="S22" s="28"/>
      <c r="T22" s="28"/>
      <c r="U22" s="28"/>
    </row>
    <row r="23" spans="1:21" ht="12.75">
      <c r="A23" s="137">
        <v>19</v>
      </c>
      <c r="B23" s="137" t="s">
        <v>230</v>
      </c>
      <c r="C23" s="141">
        <v>51</v>
      </c>
      <c r="D23" s="141">
        <v>43</v>
      </c>
      <c r="E23" s="141">
        <v>285</v>
      </c>
      <c r="F23" s="141">
        <v>572</v>
      </c>
      <c r="G23" s="141">
        <v>1134</v>
      </c>
      <c r="H23" s="141">
        <v>1245</v>
      </c>
      <c r="I23" s="141">
        <v>1168</v>
      </c>
      <c r="J23" s="139">
        <v>1060</v>
      </c>
      <c r="K23" s="141">
        <v>795</v>
      </c>
      <c r="L23" s="141">
        <v>634</v>
      </c>
      <c r="M23" s="141">
        <v>320</v>
      </c>
      <c r="N23" s="141">
        <v>201</v>
      </c>
      <c r="O23" s="140">
        <f t="shared" si="0"/>
        <v>7508</v>
      </c>
    </row>
    <row r="24" spans="1:21" ht="12.75">
      <c r="A24" s="137">
        <v>20</v>
      </c>
      <c r="B24" s="137" t="s">
        <v>231</v>
      </c>
      <c r="C24" s="141">
        <v>75</v>
      </c>
      <c r="D24" s="141">
        <v>36</v>
      </c>
      <c r="E24" s="141">
        <v>181</v>
      </c>
      <c r="F24" s="141">
        <v>540</v>
      </c>
      <c r="G24" s="141">
        <v>703</v>
      </c>
      <c r="H24" s="141">
        <v>1030</v>
      </c>
      <c r="I24" s="141">
        <v>1143</v>
      </c>
      <c r="J24" s="139">
        <v>908</v>
      </c>
      <c r="K24" s="141">
        <v>799</v>
      </c>
      <c r="L24" s="141">
        <v>496</v>
      </c>
      <c r="M24" s="141">
        <v>363</v>
      </c>
      <c r="N24" s="141">
        <v>142</v>
      </c>
      <c r="O24" s="140">
        <f t="shared" si="0"/>
        <v>6416</v>
      </c>
    </row>
    <row r="25" spans="1:21" ht="12.75">
      <c r="A25" s="137">
        <v>21</v>
      </c>
      <c r="B25" s="137" t="s">
        <v>232</v>
      </c>
      <c r="C25" s="141">
        <v>0</v>
      </c>
      <c r="D25" s="141">
        <v>20</v>
      </c>
      <c r="E25" s="141">
        <v>101</v>
      </c>
      <c r="F25" s="141">
        <v>565</v>
      </c>
      <c r="G25" s="141">
        <v>748</v>
      </c>
      <c r="H25" s="141">
        <v>1119</v>
      </c>
      <c r="I25" s="141">
        <v>1010</v>
      </c>
      <c r="J25" s="139">
        <v>836</v>
      </c>
      <c r="K25" s="141">
        <v>769</v>
      </c>
      <c r="L25" s="141">
        <v>594</v>
      </c>
      <c r="M25" s="141">
        <v>448</v>
      </c>
      <c r="N25" s="141">
        <v>186</v>
      </c>
      <c r="O25" s="140">
        <f t="shared" si="0"/>
        <v>6396</v>
      </c>
    </row>
    <row r="26" spans="1:21" ht="12.75">
      <c r="A26" s="137">
        <v>22</v>
      </c>
      <c r="B26" s="137" t="s">
        <v>233</v>
      </c>
      <c r="C26" s="141">
        <v>35</v>
      </c>
      <c r="D26" s="141">
        <v>15</v>
      </c>
      <c r="E26" s="141">
        <v>116</v>
      </c>
      <c r="F26" s="141">
        <v>549</v>
      </c>
      <c r="G26" s="141">
        <v>785</v>
      </c>
      <c r="H26" s="141">
        <v>1098</v>
      </c>
      <c r="I26" s="141">
        <v>1058</v>
      </c>
      <c r="J26" s="139">
        <v>747</v>
      </c>
      <c r="K26" s="141">
        <v>721</v>
      </c>
      <c r="L26" s="141">
        <v>505</v>
      </c>
      <c r="M26" s="141">
        <v>276</v>
      </c>
      <c r="N26" s="141">
        <v>90</v>
      </c>
      <c r="O26" s="140">
        <f t="shared" si="0"/>
        <v>5995</v>
      </c>
    </row>
    <row r="27" spans="1:21" ht="12.75">
      <c r="A27" s="137">
        <v>23</v>
      </c>
      <c r="B27" s="137" t="s">
        <v>234</v>
      </c>
      <c r="C27" s="141">
        <v>35</v>
      </c>
      <c r="D27" s="141">
        <v>49</v>
      </c>
      <c r="E27" s="141">
        <v>281</v>
      </c>
      <c r="F27" s="141">
        <v>603</v>
      </c>
      <c r="G27" s="141">
        <v>949</v>
      </c>
      <c r="H27" s="141">
        <v>1241</v>
      </c>
      <c r="I27" s="141">
        <v>1130</v>
      </c>
      <c r="J27" s="139">
        <v>928</v>
      </c>
      <c r="K27" s="141">
        <v>794</v>
      </c>
      <c r="L27" s="141">
        <v>642</v>
      </c>
      <c r="M27" s="141">
        <v>264</v>
      </c>
      <c r="N27" s="141">
        <v>154</v>
      </c>
      <c r="O27" s="140">
        <f t="shared" si="0"/>
        <v>7070</v>
      </c>
    </row>
    <row r="28" spans="1:21" ht="12.75">
      <c r="A28" s="137">
        <v>24</v>
      </c>
      <c r="B28" s="137" t="s">
        <v>235</v>
      </c>
      <c r="C28" s="141">
        <v>21</v>
      </c>
      <c r="D28" s="141">
        <v>88</v>
      </c>
      <c r="E28" s="141">
        <v>146</v>
      </c>
      <c r="F28" s="141">
        <v>648</v>
      </c>
      <c r="G28" s="141">
        <v>742</v>
      </c>
      <c r="H28" s="141">
        <v>1120</v>
      </c>
      <c r="I28" s="141">
        <v>1217</v>
      </c>
      <c r="J28" s="139">
        <v>1045</v>
      </c>
      <c r="K28" s="141">
        <v>880</v>
      </c>
      <c r="L28" s="141">
        <v>556</v>
      </c>
      <c r="M28" s="141">
        <v>471</v>
      </c>
      <c r="N28" s="141">
        <v>143</v>
      </c>
      <c r="O28" s="140">
        <f t="shared" si="0"/>
        <v>7077</v>
      </c>
    </row>
    <row r="29" spans="1:21" ht="12.75">
      <c r="A29" s="137">
        <v>25</v>
      </c>
      <c r="B29" s="137" t="s">
        <v>236</v>
      </c>
      <c r="C29" s="141">
        <v>26</v>
      </c>
      <c r="D29" s="141">
        <v>13</v>
      </c>
      <c r="E29" s="141">
        <v>81</v>
      </c>
      <c r="F29" s="141">
        <v>558</v>
      </c>
      <c r="G29" s="141">
        <v>970</v>
      </c>
      <c r="H29" s="141">
        <v>1071</v>
      </c>
      <c r="I29" s="141">
        <v>1045</v>
      </c>
      <c r="J29" s="139">
        <v>771</v>
      </c>
      <c r="K29" s="141">
        <v>771</v>
      </c>
      <c r="L29" s="141">
        <v>578</v>
      </c>
      <c r="M29" s="141">
        <v>262</v>
      </c>
      <c r="N29" s="141">
        <v>170</v>
      </c>
      <c r="O29" s="140">
        <f t="shared" si="0"/>
        <v>6316</v>
      </c>
      <c r="P29" s="29"/>
    </row>
    <row r="30" spans="1:21" ht="12.75">
      <c r="A30" s="137">
        <v>26</v>
      </c>
      <c r="B30" s="137" t="s">
        <v>237</v>
      </c>
      <c r="C30" s="141">
        <v>151</v>
      </c>
      <c r="D30" s="141">
        <v>83</v>
      </c>
      <c r="E30" s="141">
        <v>217</v>
      </c>
      <c r="F30" s="141">
        <v>457</v>
      </c>
      <c r="G30" s="141">
        <v>1063</v>
      </c>
      <c r="H30" s="141">
        <v>1051</v>
      </c>
      <c r="I30" s="141">
        <v>904</v>
      </c>
      <c r="J30" s="139">
        <v>998</v>
      </c>
      <c r="K30" s="141">
        <v>713</v>
      </c>
      <c r="L30" s="141">
        <v>469</v>
      </c>
      <c r="M30" s="141">
        <v>262</v>
      </c>
      <c r="N30" s="141">
        <v>160</v>
      </c>
      <c r="O30" s="140">
        <f t="shared" si="0"/>
        <v>6528</v>
      </c>
    </row>
    <row r="31" spans="1:21" ht="12.75">
      <c r="A31" s="137">
        <v>27</v>
      </c>
      <c r="B31" s="137" t="s">
        <v>238</v>
      </c>
      <c r="C31" s="141">
        <v>32</v>
      </c>
      <c r="D31" s="141">
        <v>60</v>
      </c>
      <c r="E31" s="141">
        <v>232</v>
      </c>
      <c r="F31" s="141">
        <v>481</v>
      </c>
      <c r="G31" s="141">
        <v>916</v>
      </c>
      <c r="H31" s="141">
        <v>1297</v>
      </c>
      <c r="I31" s="141">
        <v>1331</v>
      </c>
      <c r="J31" s="139">
        <v>1102</v>
      </c>
      <c r="K31" s="141">
        <v>834</v>
      </c>
      <c r="L31" s="141">
        <v>578</v>
      </c>
      <c r="M31" s="141">
        <v>192</v>
      </c>
      <c r="N31" s="141">
        <v>165</v>
      </c>
      <c r="O31" s="140">
        <f t="shared" si="0"/>
        <v>7220</v>
      </c>
    </row>
    <row r="32" spans="1:21" ht="12.75">
      <c r="A32" s="137">
        <v>28</v>
      </c>
      <c r="B32" s="137" t="s">
        <v>239</v>
      </c>
      <c r="C32" s="141">
        <v>15</v>
      </c>
      <c r="D32" s="141">
        <v>16</v>
      </c>
      <c r="E32" s="141">
        <v>108</v>
      </c>
      <c r="F32" s="141">
        <v>574</v>
      </c>
      <c r="G32" s="141">
        <v>918</v>
      </c>
      <c r="H32" s="141">
        <v>992</v>
      </c>
      <c r="I32" s="141">
        <v>1024</v>
      </c>
      <c r="J32" s="139">
        <v>750</v>
      </c>
      <c r="K32" s="141">
        <v>598</v>
      </c>
      <c r="L32" s="141">
        <v>477</v>
      </c>
      <c r="M32" s="141">
        <v>206</v>
      </c>
      <c r="N32" s="141">
        <v>61</v>
      </c>
      <c r="O32" s="140">
        <f t="shared" si="0"/>
        <v>5739</v>
      </c>
    </row>
    <row r="33" spans="1:15" ht="12.75">
      <c r="A33" s="137">
        <v>29</v>
      </c>
      <c r="B33" s="137" t="s">
        <v>240</v>
      </c>
      <c r="C33" s="141">
        <v>37</v>
      </c>
      <c r="D33" s="141">
        <v>42</v>
      </c>
      <c r="E33" s="141">
        <v>54</v>
      </c>
      <c r="F33" s="141">
        <v>610</v>
      </c>
      <c r="G33" s="141">
        <v>774</v>
      </c>
      <c r="H33" s="141">
        <v>1356</v>
      </c>
      <c r="I33" s="141">
        <v>1212</v>
      </c>
      <c r="J33" s="139">
        <v>716</v>
      </c>
      <c r="K33" s="141">
        <v>866</v>
      </c>
      <c r="L33" s="141">
        <v>568</v>
      </c>
      <c r="M33" s="141">
        <v>406</v>
      </c>
      <c r="N33" s="141">
        <v>248</v>
      </c>
      <c r="O33" s="140">
        <f t="shared" si="0"/>
        <v>6889</v>
      </c>
    </row>
    <row r="34" spans="1:15" ht="12.75">
      <c r="A34" s="137">
        <v>30</v>
      </c>
      <c r="B34" s="137" t="s">
        <v>241</v>
      </c>
      <c r="C34" s="141">
        <v>22</v>
      </c>
      <c r="D34" s="141">
        <v>76</v>
      </c>
      <c r="E34" s="141">
        <v>149</v>
      </c>
      <c r="F34" s="141">
        <v>554</v>
      </c>
      <c r="G34" s="141">
        <v>805</v>
      </c>
      <c r="H34" s="141">
        <v>1048</v>
      </c>
      <c r="I34" s="141">
        <v>976</v>
      </c>
      <c r="J34" s="139">
        <v>968</v>
      </c>
      <c r="K34" s="141">
        <v>739</v>
      </c>
      <c r="L34" s="141">
        <v>454</v>
      </c>
      <c r="M34" s="141">
        <v>373</v>
      </c>
      <c r="N34" s="141">
        <v>166</v>
      </c>
      <c r="O34" s="140">
        <f t="shared" si="0"/>
        <v>6330</v>
      </c>
    </row>
    <row r="35" spans="1:15" ht="12" customHeight="1">
      <c r="A35" s="137"/>
      <c r="B35" s="137"/>
      <c r="C35" s="141"/>
      <c r="D35" s="141"/>
      <c r="E35" s="141"/>
      <c r="F35" s="141"/>
      <c r="G35" s="141"/>
      <c r="H35" s="141"/>
      <c r="I35" s="141"/>
      <c r="J35" s="139"/>
      <c r="K35" s="141"/>
      <c r="L35" s="141"/>
      <c r="M35" s="141"/>
      <c r="N35" s="141"/>
      <c r="O35" s="140"/>
    </row>
    <row r="36" spans="1:15" ht="16.899999999999999" customHeight="1">
      <c r="A36" s="137"/>
      <c r="B36" s="142" t="s">
        <v>423</v>
      </c>
      <c r="C36" s="143">
        <f t="shared" ref="C36:N36" si="1">AVERAGE(C5:C34)</f>
        <v>26</v>
      </c>
      <c r="D36" s="143">
        <f t="shared" si="1"/>
        <v>30</v>
      </c>
      <c r="E36" s="143">
        <f t="shared" si="1"/>
        <v>158</v>
      </c>
      <c r="F36" s="143">
        <f t="shared" si="1"/>
        <v>534</v>
      </c>
      <c r="G36" s="143">
        <f t="shared" si="1"/>
        <v>863</v>
      </c>
      <c r="H36" s="143">
        <f t="shared" si="1"/>
        <v>1132</v>
      </c>
      <c r="I36" s="143">
        <f t="shared" si="1"/>
        <v>1103</v>
      </c>
      <c r="J36" s="143">
        <f t="shared" si="1"/>
        <v>915</v>
      </c>
      <c r="K36" s="143">
        <f t="shared" si="1"/>
        <v>775</v>
      </c>
      <c r="L36" s="143">
        <f t="shared" si="1"/>
        <v>542</v>
      </c>
      <c r="M36" s="143">
        <f t="shared" si="1"/>
        <v>298</v>
      </c>
      <c r="N36" s="143">
        <f t="shared" si="1"/>
        <v>137</v>
      </c>
      <c r="O36" s="140">
        <f>SUM(C36:N36)</f>
        <v>6513</v>
      </c>
    </row>
    <row r="37" spans="1:15" ht="12" customHeight="1">
      <c r="A37" s="137"/>
      <c r="B37" s="142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4"/>
    </row>
    <row r="38" spans="1:15" ht="12" customHeight="1">
      <c r="A38" s="52"/>
      <c r="B38" s="56" t="s">
        <v>276</v>
      </c>
      <c r="C38" s="57">
        <v>32</v>
      </c>
      <c r="D38" s="57">
        <v>33</v>
      </c>
      <c r="E38" s="57">
        <v>183</v>
      </c>
      <c r="F38" s="57">
        <v>540</v>
      </c>
      <c r="G38" s="57">
        <v>879</v>
      </c>
      <c r="H38" s="57">
        <v>1167</v>
      </c>
      <c r="I38" s="57">
        <v>1099</v>
      </c>
      <c r="J38" s="57">
        <v>896</v>
      </c>
      <c r="K38" s="57">
        <v>767</v>
      </c>
      <c r="L38" s="57">
        <v>540</v>
      </c>
      <c r="M38" s="57">
        <v>321</v>
      </c>
      <c r="N38" s="57">
        <v>136</v>
      </c>
      <c r="O38" s="55">
        <f>SUM(C38:N38)</f>
        <v>6593</v>
      </c>
    </row>
    <row r="39" spans="1:15" ht="12" customHeight="1">
      <c r="A39" s="52"/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5"/>
    </row>
    <row r="40" spans="1:15" ht="12" customHeight="1">
      <c r="A40" s="52"/>
      <c r="B40" s="56" t="s">
        <v>249</v>
      </c>
      <c r="C40" s="57">
        <f>C36-C38</f>
        <v>-6</v>
      </c>
      <c r="D40" s="57">
        <f t="shared" ref="D40:N40" si="2">D36-D38</f>
        <v>-3</v>
      </c>
      <c r="E40" s="57">
        <f t="shared" si="2"/>
        <v>-25</v>
      </c>
      <c r="F40" s="57">
        <f t="shared" si="2"/>
        <v>-6</v>
      </c>
      <c r="G40" s="57">
        <f t="shared" si="2"/>
        <v>-16</v>
      </c>
      <c r="H40" s="57">
        <f t="shared" si="2"/>
        <v>-35</v>
      </c>
      <c r="I40" s="57">
        <f t="shared" si="2"/>
        <v>4</v>
      </c>
      <c r="J40" s="57">
        <f t="shared" si="2"/>
        <v>19</v>
      </c>
      <c r="K40" s="57">
        <f t="shared" si="2"/>
        <v>8</v>
      </c>
      <c r="L40" s="57">
        <f t="shared" si="2"/>
        <v>2</v>
      </c>
      <c r="M40" s="57">
        <f t="shared" si="2"/>
        <v>-23</v>
      </c>
      <c r="N40" s="57">
        <f t="shared" si="2"/>
        <v>1</v>
      </c>
      <c r="O40" s="55">
        <f>SUM(C40:N40)</f>
        <v>-80</v>
      </c>
    </row>
    <row r="41" spans="1:15" ht="12" customHeight="1">
      <c r="A41" s="52"/>
      <c r="B41" s="56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5"/>
    </row>
    <row r="42" spans="1:15" ht="12" customHeight="1">
      <c r="A42" s="52"/>
      <c r="B42" s="56" t="s">
        <v>242</v>
      </c>
      <c r="C42" s="54">
        <v>44</v>
      </c>
      <c r="D42" s="54">
        <v>42</v>
      </c>
      <c r="E42" s="54">
        <v>196</v>
      </c>
      <c r="F42" s="54">
        <v>554</v>
      </c>
      <c r="G42" s="54">
        <v>897</v>
      </c>
      <c r="H42" s="54">
        <v>1168</v>
      </c>
      <c r="I42" s="54">
        <v>1169</v>
      </c>
      <c r="J42" s="54">
        <v>916</v>
      </c>
      <c r="K42" s="54">
        <v>790</v>
      </c>
      <c r="L42" s="54">
        <v>557</v>
      </c>
      <c r="M42" s="54">
        <v>338</v>
      </c>
      <c r="N42" s="54">
        <v>149</v>
      </c>
      <c r="O42" s="55">
        <f>SUM(C42:N42)</f>
        <v>6820</v>
      </c>
    </row>
    <row r="43" spans="1:15" ht="12" customHeight="1">
      <c r="A43" s="52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</row>
    <row r="44" spans="1:15" ht="12" customHeight="1">
      <c r="A44" s="52"/>
      <c r="B44" s="56" t="s">
        <v>249</v>
      </c>
      <c r="C44" s="57">
        <f t="shared" ref="C44:N44" si="3">C36-C42</f>
        <v>-18</v>
      </c>
      <c r="D44" s="57">
        <f t="shared" si="3"/>
        <v>-12</v>
      </c>
      <c r="E44" s="57">
        <f t="shared" si="3"/>
        <v>-38</v>
      </c>
      <c r="F44" s="57">
        <f t="shared" si="3"/>
        <v>-20</v>
      </c>
      <c r="G44" s="57">
        <f t="shared" si="3"/>
        <v>-34</v>
      </c>
      <c r="H44" s="57">
        <f t="shared" si="3"/>
        <v>-36</v>
      </c>
      <c r="I44" s="57">
        <f t="shared" si="3"/>
        <v>-66</v>
      </c>
      <c r="J44" s="57">
        <f t="shared" si="3"/>
        <v>-1</v>
      </c>
      <c r="K44" s="57">
        <f t="shared" si="3"/>
        <v>-15</v>
      </c>
      <c r="L44" s="57">
        <f t="shared" si="3"/>
        <v>-15</v>
      </c>
      <c r="M44" s="57">
        <f t="shared" si="3"/>
        <v>-40</v>
      </c>
      <c r="N44" s="57">
        <f t="shared" si="3"/>
        <v>-12</v>
      </c>
      <c r="O44" s="55">
        <f>SUM(C44:N44)</f>
        <v>-307</v>
      </c>
    </row>
    <row r="45" spans="1:15" ht="12" customHeight="1">
      <c r="A45" s="52"/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5"/>
    </row>
    <row r="46" spans="1:15" ht="12" customHeight="1">
      <c r="A46" s="52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5"/>
    </row>
    <row r="48" spans="1:15" ht="12" customHeight="1">
      <c r="B48" s="109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55"/>
    </row>
    <row r="50" spans="3:15" ht="12" customHeight="1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55"/>
    </row>
  </sheetData>
  <phoneticPr fontId="13" type="noConversion"/>
  <printOptions horizontalCentered="1"/>
  <pageMargins left="0.5" right="0.5" top="0.88" bottom="0.92" header="0.5" footer="0.45"/>
  <pageSetup orientation="landscape" r:id="rId1"/>
  <headerFooter alignWithMargins="0">
    <oddHeader>&amp;R&amp;"Times New Roman,Regular"&amp;10Adjustment No. __&amp;U2.10&amp;U__
Workpaper Ref. C-WN-__</oddHeader>
    <oddFooter>&amp;L&amp;"Times New Roman,Regular"file: &amp;F / &amp;A&amp;C&amp;"Times New Roman,Regular"&amp;10Page &amp;P of &amp;N&amp;R&amp;"Times New Roman,Regular"&amp;10Prep by:________  1st Review:________
Date: &amp;D     Mgr. Review:________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50"/>
  <sheetViews>
    <sheetView tabSelected="1" topLeftCell="C1" workbookViewId="0">
      <selection activeCell="Q74" sqref="Q74"/>
    </sheetView>
  </sheetViews>
  <sheetFormatPr defaultColWidth="8" defaultRowHeight="12" customHeight="1"/>
  <cols>
    <col min="1" max="1" width="15.375" style="145" customWidth="1"/>
    <col min="2" max="2" width="8" style="145" customWidth="1"/>
    <col min="3" max="3" width="7" style="145" customWidth="1"/>
    <col min="4" max="4" width="8.125" style="145" customWidth="1"/>
    <col min="5" max="5" width="7.125" style="145" customWidth="1"/>
    <col min="6" max="6" width="6.625" style="145" customWidth="1"/>
    <col min="7" max="8" width="6.875" style="145" customWidth="1"/>
    <col min="9" max="9" width="7.375" style="145" customWidth="1"/>
    <col min="10" max="10" width="6.875" style="145" customWidth="1"/>
    <col min="11" max="11" width="9.25" style="145" customWidth="1"/>
    <col min="12" max="12" width="7.25" style="145" customWidth="1"/>
    <col min="13" max="13" width="8.375" style="145" customWidth="1"/>
    <col min="14" max="14" width="9.125" style="145" customWidth="1"/>
    <col min="15" max="16384" width="8" style="145"/>
  </cols>
  <sheetData>
    <row r="1" spans="1:16" ht="14.45" customHeight="1">
      <c r="A1" s="138" t="s">
        <v>222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7"/>
    </row>
    <row r="2" spans="1:16" ht="12.75">
      <c r="A2" s="138" t="s">
        <v>284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7" t="s">
        <v>86</v>
      </c>
    </row>
    <row r="3" spans="1:16" ht="12.7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7" t="s">
        <v>223</v>
      </c>
    </row>
    <row r="4" spans="1:16" ht="12.75">
      <c r="A4" s="137"/>
      <c r="B4" s="137"/>
      <c r="C4" s="137" t="s">
        <v>13</v>
      </c>
      <c r="D4" s="137" t="s">
        <v>14</v>
      </c>
      <c r="E4" s="137" t="s">
        <v>15</v>
      </c>
      <c r="F4" s="137" t="s">
        <v>16</v>
      </c>
      <c r="G4" s="137" t="s">
        <v>17</v>
      </c>
      <c r="H4" s="137" t="s">
        <v>18</v>
      </c>
      <c r="I4" s="137" t="s">
        <v>19</v>
      </c>
      <c r="J4" s="137" t="s">
        <v>20</v>
      </c>
      <c r="K4" s="137" t="s">
        <v>21</v>
      </c>
      <c r="L4" s="137" t="s">
        <v>22</v>
      </c>
      <c r="M4" s="137" t="s">
        <v>23</v>
      </c>
      <c r="N4" s="137" t="s">
        <v>24</v>
      </c>
      <c r="O4" s="137" t="s">
        <v>12</v>
      </c>
    </row>
    <row r="5" spans="1:16" ht="12.75">
      <c r="A5" s="137">
        <v>1</v>
      </c>
      <c r="B5" s="137">
        <v>2019</v>
      </c>
      <c r="C5" s="146">
        <v>0</v>
      </c>
      <c r="D5" s="146">
        <v>0</v>
      </c>
      <c r="E5" s="146">
        <v>0</v>
      </c>
      <c r="F5" s="146">
        <v>0</v>
      </c>
      <c r="G5" s="146">
        <v>14</v>
      </c>
      <c r="H5" s="146">
        <v>87</v>
      </c>
      <c r="I5" s="146">
        <v>152</v>
      </c>
      <c r="J5" s="146">
        <v>230</v>
      </c>
      <c r="K5" s="146">
        <v>40</v>
      </c>
      <c r="L5" s="146">
        <v>0</v>
      </c>
      <c r="M5" s="146">
        <v>0</v>
      </c>
      <c r="N5" s="146">
        <v>0</v>
      </c>
      <c r="O5" s="138">
        <f>SUM(C5:N5)</f>
        <v>523</v>
      </c>
    </row>
    <row r="6" spans="1:16" ht="12.75">
      <c r="A6" s="137">
        <v>2</v>
      </c>
      <c r="B6" s="137">
        <v>2018</v>
      </c>
      <c r="C6" s="146">
        <v>0</v>
      </c>
      <c r="D6" s="146">
        <v>0</v>
      </c>
      <c r="E6" s="146">
        <v>0</v>
      </c>
      <c r="F6" s="146">
        <v>1</v>
      </c>
      <c r="G6" s="146">
        <v>37</v>
      </c>
      <c r="H6" s="146">
        <v>31</v>
      </c>
      <c r="I6" s="146">
        <v>280</v>
      </c>
      <c r="J6" s="146">
        <v>209</v>
      </c>
      <c r="K6" s="146">
        <v>15</v>
      </c>
      <c r="L6" s="146">
        <v>0</v>
      </c>
      <c r="M6" s="146">
        <v>0</v>
      </c>
      <c r="N6" s="146">
        <v>0</v>
      </c>
      <c r="O6" s="138">
        <f>SUM(C6:N6)</f>
        <v>573</v>
      </c>
    </row>
    <row r="7" spans="1:16" ht="12.75">
      <c r="A7" s="137">
        <v>3</v>
      </c>
      <c r="B7" s="137">
        <v>2017</v>
      </c>
      <c r="C7" s="146">
        <v>0</v>
      </c>
      <c r="D7" s="146">
        <v>0</v>
      </c>
      <c r="E7" s="146">
        <v>0</v>
      </c>
      <c r="F7" s="146">
        <v>0</v>
      </c>
      <c r="G7" s="146">
        <v>35</v>
      </c>
      <c r="H7" s="146">
        <v>86</v>
      </c>
      <c r="I7" s="146">
        <v>303</v>
      </c>
      <c r="J7" s="146">
        <v>281</v>
      </c>
      <c r="K7" s="146">
        <v>89</v>
      </c>
      <c r="L7" s="146">
        <v>0</v>
      </c>
      <c r="M7" s="146">
        <v>0</v>
      </c>
      <c r="N7" s="146">
        <v>0</v>
      </c>
      <c r="O7" s="138">
        <f>SUM(C7:N7)</f>
        <v>794</v>
      </c>
    </row>
    <row r="8" spans="1:16" ht="12.75">
      <c r="A8" s="137">
        <v>4</v>
      </c>
      <c r="B8" s="137">
        <v>2016</v>
      </c>
      <c r="C8" s="146">
        <v>0</v>
      </c>
      <c r="D8" s="146">
        <v>0</v>
      </c>
      <c r="E8" s="146">
        <v>0</v>
      </c>
      <c r="F8" s="146">
        <v>6</v>
      </c>
      <c r="G8" s="146">
        <v>6</v>
      </c>
      <c r="H8" s="146">
        <v>114</v>
      </c>
      <c r="I8" s="146">
        <v>152</v>
      </c>
      <c r="J8" s="146">
        <v>209</v>
      </c>
      <c r="K8" s="146">
        <v>7</v>
      </c>
      <c r="L8" s="146">
        <v>0</v>
      </c>
      <c r="M8" s="146">
        <v>0</v>
      </c>
      <c r="N8" s="146">
        <v>0</v>
      </c>
      <c r="O8" s="138">
        <f t="shared" ref="O8:O34" si="0">SUM(C8:N8)</f>
        <v>494</v>
      </c>
    </row>
    <row r="9" spans="1:16" ht="12.75">
      <c r="A9" s="137">
        <v>5</v>
      </c>
      <c r="B9" s="137">
        <v>2015</v>
      </c>
      <c r="C9" s="146">
        <v>0</v>
      </c>
      <c r="D9" s="146">
        <v>0</v>
      </c>
      <c r="E9" s="146">
        <v>0</v>
      </c>
      <c r="F9" s="146">
        <v>0</v>
      </c>
      <c r="G9" s="146">
        <v>32</v>
      </c>
      <c r="H9" s="146">
        <v>225</v>
      </c>
      <c r="I9" s="146">
        <v>300</v>
      </c>
      <c r="J9" s="146">
        <v>251</v>
      </c>
      <c r="K9" s="146">
        <v>20</v>
      </c>
      <c r="L9" s="146">
        <v>0</v>
      </c>
      <c r="M9" s="146">
        <v>0</v>
      </c>
      <c r="N9" s="146">
        <v>0</v>
      </c>
      <c r="O9" s="138">
        <f t="shared" si="0"/>
        <v>828</v>
      </c>
    </row>
    <row r="10" spans="1:16" ht="12.75">
      <c r="A10" s="137">
        <v>6</v>
      </c>
      <c r="B10" s="137">
        <v>2014</v>
      </c>
      <c r="C10" s="146">
        <v>0</v>
      </c>
      <c r="D10" s="146">
        <v>0</v>
      </c>
      <c r="E10" s="146">
        <v>0</v>
      </c>
      <c r="F10" s="146">
        <v>0</v>
      </c>
      <c r="G10" s="146">
        <v>6</v>
      </c>
      <c r="H10" s="146">
        <v>14</v>
      </c>
      <c r="I10" s="146">
        <v>348</v>
      </c>
      <c r="J10" s="146">
        <v>238</v>
      </c>
      <c r="K10" s="146">
        <v>47</v>
      </c>
      <c r="L10" s="146">
        <v>1</v>
      </c>
      <c r="M10" s="146">
        <v>0</v>
      </c>
      <c r="N10" s="146">
        <v>0</v>
      </c>
      <c r="O10" s="138">
        <f t="shared" si="0"/>
        <v>654</v>
      </c>
    </row>
    <row r="11" spans="1:16" ht="12.75">
      <c r="A11" s="137">
        <v>7</v>
      </c>
      <c r="B11" s="137">
        <v>2013</v>
      </c>
      <c r="C11" s="146">
        <v>0</v>
      </c>
      <c r="D11" s="146">
        <v>0</v>
      </c>
      <c r="E11" s="146">
        <v>0</v>
      </c>
      <c r="F11" s="146">
        <v>0</v>
      </c>
      <c r="G11" s="146">
        <v>30</v>
      </c>
      <c r="H11" s="146">
        <v>48</v>
      </c>
      <c r="I11" s="146">
        <v>284</v>
      </c>
      <c r="J11" s="146">
        <v>239</v>
      </c>
      <c r="K11" s="146">
        <v>108</v>
      </c>
      <c r="L11" s="146">
        <v>0</v>
      </c>
      <c r="M11" s="146">
        <v>0</v>
      </c>
      <c r="N11" s="146">
        <v>0</v>
      </c>
      <c r="O11" s="138">
        <f t="shared" si="0"/>
        <v>709</v>
      </c>
      <c r="P11" s="147"/>
    </row>
    <row r="12" spans="1:16" ht="12.75">
      <c r="A12" s="137">
        <v>8</v>
      </c>
      <c r="B12" s="137">
        <v>2012</v>
      </c>
      <c r="C12" s="146">
        <v>0</v>
      </c>
      <c r="D12" s="146">
        <v>0</v>
      </c>
      <c r="E12" s="146">
        <v>0</v>
      </c>
      <c r="F12" s="146">
        <v>2</v>
      </c>
      <c r="G12" s="146">
        <v>8</v>
      </c>
      <c r="H12" s="146">
        <v>20</v>
      </c>
      <c r="I12" s="146">
        <v>251</v>
      </c>
      <c r="J12" s="146">
        <v>227</v>
      </c>
      <c r="K12" s="146">
        <v>27</v>
      </c>
      <c r="L12" s="146">
        <v>0</v>
      </c>
      <c r="M12" s="146">
        <v>0</v>
      </c>
      <c r="N12" s="146">
        <v>0</v>
      </c>
      <c r="O12" s="138">
        <f t="shared" si="0"/>
        <v>535</v>
      </c>
    </row>
    <row r="13" spans="1:16" ht="12.75">
      <c r="A13" s="137">
        <v>9</v>
      </c>
      <c r="B13" s="137">
        <v>2011</v>
      </c>
      <c r="C13" s="137">
        <v>0</v>
      </c>
      <c r="D13" s="137">
        <v>0</v>
      </c>
      <c r="E13" s="137">
        <v>0</v>
      </c>
      <c r="F13" s="137">
        <v>0</v>
      </c>
      <c r="G13" s="137">
        <v>5</v>
      </c>
      <c r="H13" s="137">
        <v>18</v>
      </c>
      <c r="I13" s="137">
        <v>103</v>
      </c>
      <c r="J13" s="137">
        <v>195</v>
      </c>
      <c r="K13" s="137">
        <v>105</v>
      </c>
      <c r="L13" s="137">
        <v>0</v>
      </c>
      <c r="M13" s="137">
        <v>0</v>
      </c>
      <c r="N13" s="137">
        <v>0</v>
      </c>
      <c r="O13" s="138">
        <f t="shared" si="0"/>
        <v>426</v>
      </c>
    </row>
    <row r="14" spans="1:16" ht="12.75">
      <c r="A14" s="137">
        <v>10</v>
      </c>
      <c r="B14" s="137">
        <v>2010</v>
      </c>
      <c r="C14" s="137">
        <v>0</v>
      </c>
      <c r="D14" s="137">
        <v>0</v>
      </c>
      <c r="E14" s="137">
        <v>0</v>
      </c>
      <c r="F14" s="137">
        <v>0</v>
      </c>
      <c r="G14" s="137">
        <v>4</v>
      </c>
      <c r="H14" s="137">
        <v>19</v>
      </c>
      <c r="I14" s="137">
        <v>178</v>
      </c>
      <c r="J14" s="137">
        <v>165</v>
      </c>
      <c r="K14" s="137">
        <v>10</v>
      </c>
      <c r="L14" s="137">
        <v>4</v>
      </c>
      <c r="M14" s="137">
        <v>0</v>
      </c>
      <c r="N14" s="137">
        <v>0</v>
      </c>
      <c r="O14" s="138">
        <f t="shared" si="0"/>
        <v>380</v>
      </c>
    </row>
    <row r="15" spans="1:16" ht="12.75">
      <c r="A15" s="137">
        <v>11</v>
      </c>
      <c r="B15" s="137">
        <v>2009</v>
      </c>
      <c r="C15" s="137">
        <v>0</v>
      </c>
      <c r="D15" s="137">
        <v>0</v>
      </c>
      <c r="E15" s="137">
        <v>0</v>
      </c>
      <c r="F15" s="137">
        <v>0</v>
      </c>
      <c r="G15" s="137">
        <v>23</v>
      </c>
      <c r="H15" s="137">
        <v>47</v>
      </c>
      <c r="I15" s="137">
        <v>245</v>
      </c>
      <c r="J15" s="137">
        <v>196</v>
      </c>
      <c r="K15" s="137">
        <v>78</v>
      </c>
      <c r="L15" s="137">
        <v>0</v>
      </c>
      <c r="M15" s="137">
        <v>0</v>
      </c>
      <c r="N15" s="137">
        <v>0</v>
      </c>
      <c r="O15" s="138">
        <f t="shared" si="0"/>
        <v>589</v>
      </c>
    </row>
    <row r="16" spans="1:16" ht="12.75">
      <c r="A16" s="137">
        <v>12</v>
      </c>
      <c r="B16" s="137">
        <v>2008</v>
      </c>
      <c r="C16" s="137">
        <v>0</v>
      </c>
      <c r="D16" s="137">
        <v>0</v>
      </c>
      <c r="E16" s="137">
        <v>0</v>
      </c>
      <c r="F16" s="137">
        <v>0</v>
      </c>
      <c r="G16" s="137">
        <v>27</v>
      </c>
      <c r="H16" s="137">
        <v>60</v>
      </c>
      <c r="I16" s="137">
        <v>182</v>
      </c>
      <c r="J16" s="137">
        <v>176</v>
      </c>
      <c r="K16" s="137">
        <v>29</v>
      </c>
      <c r="L16" s="137">
        <v>4</v>
      </c>
      <c r="M16" s="137">
        <v>0</v>
      </c>
      <c r="N16" s="137">
        <v>0</v>
      </c>
      <c r="O16" s="138">
        <f t="shared" si="0"/>
        <v>478</v>
      </c>
    </row>
    <row r="17" spans="1:16" ht="12.75">
      <c r="A17" s="137">
        <v>13</v>
      </c>
      <c r="B17" s="137">
        <v>2007</v>
      </c>
      <c r="C17" s="137">
        <v>0</v>
      </c>
      <c r="D17" s="137">
        <v>0</v>
      </c>
      <c r="E17" s="137">
        <v>0</v>
      </c>
      <c r="F17" s="137">
        <v>0</v>
      </c>
      <c r="G17" s="137">
        <v>7</v>
      </c>
      <c r="H17" s="137">
        <v>56</v>
      </c>
      <c r="I17" s="137">
        <v>338</v>
      </c>
      <c r="J17" s="137">
        <v>143</v>
      </c>
      <c r="K17" s="137">
        <v>32</v>
      </c>
      <c r="L17" s="137">
        <v>0</v>
      </c>
      <c r="M17" s="137">
        <v>0</v>
      </c>
      <c r="N17" s="137">
        <v>0</v>
      </c>
      <c r="O17" s="138">
        <f t="shared" si="0"/>
        <v>576</v>
      </c>
    </row>
    <row r="18" spans="1:16" ht="12.75">
      <c r="A18" s="137">
        <v>14</v>
      </c>
      <c r="B18" s="137">
        <v>2006</v>
      </c>
      <c r="C18" s="137">
        <v>0</v>
      </c>
      <c r="D18" s="137">
        <v>0</v>
      </c>
      <c r="E18" s="137">
        <v>0</v>
      </c>
      <c r="F18" s="137">
        <v>0</v>
      </c>
      <c r="G18" s="137">
        <v>41</v>
      </c>
      <c r="H18" s="137">
        <v>66</v>
      </c>
      <c r="I18" s="137">
        <v>285</v>
      </c>
      <c r="J18" s="137">
        <v>161</v>
      </c>
      <c r="K18" s="137">
        <v>62</v>
      </c>
      <c r="L18" s="137">
        <v>0</v>
      </c>
      <c r="M18" s="137">
        <v>0</v>
      </c>
      <c r="N18" s="137">
        <v>0</v>
      </c>
      <c r="O18" s="138">
        <f t="shared" si="0"/>
        <v>615</v>
      </c>
    </row>
    <row r="19" spans="1:16" ht="12.75">
      <c r="A19" s="137">
        <v>15</v>
      </c>
      <c r="B19" s="137">
        <v>2005</v>
      </c>
      <c r="C19" s="137">
        <v>0</v>
      </c>
      <c r="D19" s="137">
        <v>0</v>
      </c>
      <c r="E19" s="137">
        <v>0</v>
      </c>
      <c r="F19" s="137">
        <v>0</v>
      </c>
      <c r="G19" s="137">
        <v>13</v>
      </c>
      <c r="H19" s="137">
        <v>32</v>
      </c>
      <c r="I19" s="137">
        <v>179</v>
      </c>
      <c r="J19" s="137">
        <v>174</v>
      </c>
      <c r="K19" s="137">
        <v>11</v>
      </c>
      <c r="L19" s="137">
        <v>0</v>
      </c>
      <c r="M19" s="137">
        <v>0</v>
      </c>
      <c r="N19" s="137">
        <v>0</v>
      </c>
      <c r="O19" s="138">
        <f t="shared" si="0"/>
        <v>409</v>
      </c>
    </row>
    <row r="20" spans="1:16" ht="12.75">
      <c r="A20" s="137">
        <v>16</v>
      </c>
      <c r="B20" s="137">
        <v>2004</v>
      </c>
      <c r="C20" s="137">
        <v>0</v>
      </c>
      <c r="D20" s="137">
        <v>0</v>
      </c>
      <c r="E20" s="137">
        <v>0</v>
      </c>
      <c r="F20" s="137">
        <v>0</v>
      </c>
      <c r="G20" s="137">
        <v>0</v>
      </c>
      <c r="H20" s="137">
        <v>96</v>
      </c>
      <c r="I20" s="137">
        <v>249</v>
      </c>
      <c r="J20" s="137">
        <v>225</v>
      </c>
      <c r="K20" s="137">
        <v>1</v>
      </c>
      <c r="L20" s="137">
        <v>0</v>
      </c>
      <c r="M20" s="137">
        <v>0</v>
      </c>
      <c r="N20" s="137">
        <v>0</v>
      </c>
      <c r="O20" s="138">
        <f t="shared" si="0"/>
        <v>571</v>
      </c>
    </row>
    <row r="21" spans="1:16" ht="12.75">
      <c r="A21" s="137">
        <v>17</v>
      </c>
      <c r="B21" s="137">
        <v>2003</v>
      </c>
      <c r="C21" s="137">
        <v>0</v>
      </c>
      <c r="D21" s="137">
        <v>0</v>
      </c>
      <c r="E21" s="137">
        <v>0</v>
      </c>
      <c r="F21" s="137">
        <v>0</v>
      </c>
      <c r="G21" s="137">
        <v>12</v>
      </c>
      <c r="H21" s="137">
        <v>58</v>
      </c>
      <c r="I21" s="137">
        <v>266</v>
      </c>
      <c r="J21" s="137">
        <v>174</v>
      </c>
      <c r="K21" s="137">
        <v>66</v>
      </c>
      <c r="L21" s="137">
        <v>2</v>
      </c>
      <c r="M21" s="137">
        <v>0</v>
      </c>
      <c r="N21" s="137">
        <v>0</v>
      </c>
      <c r="O21" s="138">
        <f t="shared" si="0"/>
        <v>578</v>
      </c>
    </row>
    <row r="22" spans="1:16" ht="12.75">
      <c r="A22" s="137">
        <v>18</v>
      </c>
      <c r="B22" s="137">
        <v>2002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63</v>
      </c>
      <c r="I22" s="137">
        <v>231</v>
      </c>
      <c r="J22" s="137">
        <v>81</v>
      </c>
      <c r="K22" s="137">
        <v>30</v>
      </c>
      <c r="L22" s="137">
        <v>0</v>
      </c>
      <c r="M22" s="137">
        <v>0</v>
      </c>
      <c r="N22" s="137">
        <v>0</v>
      </c>
      <c r="O22" s="138">
        <f t="shared" si="0"/>
        <v>405</v>
      </c>
    </row>
    <row r="23" spans="1:16" ht="12.75">
      <c r="A23" s="137">
        <v>19</v>
      </c>
      <c r="B23" s="137">
        <v>2001</v>
      </c>
      <c r="C23" s="137">
        <v>0</v>
      </c>
      <c r="D23" s="137">
        <v>0</v>
      </c>
      <c r="E23" s="137">
        <v>0</v>
      </c>
      <c r="F23" s="137">
        <v>0</v>
      </c>
      <c r="G23" s="137">
        <v>29</v>
      </c>
      <c r="H23" s="137">
        <v>19</v>
      </c>
      <c r="I23" s="137">
        <v>146</v>
      </c>
      <c r="J23" s="137">
        <v>213</v>
      </c>
      <c r="K23" s="137">
        <v>54</v>
      </c>
      <c r="L23" s="137">
        <v>0</v>
      </c>
      <c r="M23" s="137">
        <v>0</v>
      </c>
      <c r="N23" s="137">
        <v>0</v>
      </c>
      <c r="O23" s="138">
        <f t="shared" si="0"/>
        <v>461</v>
      </c>
    </row>
    <row r="24" spans="1:16" ht="12.75">
      <c r="A24" s="137">
        <v>20</v>
      </c>
      <c r="B24" s="137">
        <v>2000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29</v>
      </c>
      <c r="I24" s="137">
        <v>146</v>
      </c>
      <c r="J24" s="137">
        <v>129</v>
      </c>
      <c r="K24" s="137">
        <v>16</v>
      </c>
      <c r="L24" s="137">
        <v>0</v>
      </c>
      <c r="M24" s="137">
        <v>0</v>
      </c>
      <c r="N24" s="137">
        <v>0</v>
      </c>
      <c r="O24" s="138">
        <f t="shared" si="0"/>
        <v>320</v>
      </c>
    </row>
    <row r="25" spans="1:16" ht="12.75">
      <c r="A25" s="137">
        <v>21</v>
      </c>
      <c r="B25" s="137">
        <v>1999</v>
      </c>
      <c r="C25" s="137">
        <v>0</v>
      </c>
      <c r="D25" s="137">
        <v>0</v>
      </c>
      <c r="E25" s="137">
        <v>0</v>
      </c>
      <c r="F25" s="137">
        <v>0</v>
      </c>
      <c r="G25" s="137">
        <v>7</v>
      </c>
      <c r="H25" s="137">
        <v>41</v>
      </c>
      <c r="I25" s="137">
        <v>118</v>
      </c>
      <c r="J25" s="137">
        <v>210</v>
      </c>
      <c r="K25" s="137">
        <v>14</v>
      </c>
      <c r="L25" s="137">
        <v>0</v>
      </c>
      <c r="M25" s="137">
        <v>0</v>
      </c>
      <c r="N25" s="137">
        <v>0</v>
      </c>
      <c r="O25" s="138">
        <f t="shared" si="0"/>
        <v>390</v>
      </c>
    </row>
    <row r="26" spans="1:16" ht="12.75">
      <c r="A26" s="137">
        <v>22</v>
      </c>
      <c r="B26" s="137">
        <v>1998</v>
      </c>
      <c r="C26" s="137">
        <v>0</v>
      </c>
      <c r="D26" s="137">
        <v>0</v>
      </c>
      <c r="E26" s="137">
        <v>0</v>
      </c>
      <c r="F26" s="137">
        <v>0</v>
      </c>
      <c r="G26" s="137">
        <v>6</v>
      </c>
      <c r="H26" s="137">
        <v>22</v>
      </c>
      <c r="I26" s="137">
        <v>325</v>
      </c>
      <c r="J26" s="137">
        <v>234</v>
      </c>
      <c r="K26" s="137">
        <v>110</v>
      </c>
      <c r="L26" s="137">
        <v>0</v>
      </c>
      <c r="M26" s="137">
        <v>0</v>
      </c>
      <c r="N26" s="137">
        <v>0</v>
      </c>
      <c r="O26" s="138">
        <f t="shared" si="0"/>
        <v>697</v>
      </c>
    </row>
    <row r="27" spans="1:16" ht="12.75">
      <c r="A27" s="137">
        <v>23</v>
      </c>
      <c r="B27" s="137">
        <v>1997</v>
      </c>
      <c r="C27" s="137">
        <v>0</v>
      </c>
      <c r="D27" s="137">
        <v>0</v>
      </c>
      <c r="E27" s="137">
        <v>0</v>
      </c>
      <c r="F27" s="137">
        <v>0</v>
      </c>
      <c r="G27" s="137">
        <v>14</v>
      </c>
      <c r="H27" s="137">
        <v>9</v>
      </c>
      <c r="I27" s="137">
        <v>122</v>
      </c>
      <c r="J27" s="137">
        <v>209</v>
      </c>
      <c r="K27" s="137">
        <v>30</v>
      </c>
      <c r="L27" s="137">
        <v>6</v>
      </c>
      <c r="M27" s="137">
        <v>0</v>
      </c>
      <c r="N27" s="137">
        <v>0</v>
      </c>
      <c r="O27" s="138">
        <f t="shared" si="0"/>
        <v>390</v>
      </c>
    </row>
    <row r="28" spans="1:16" ht="12.75">
      <c r="A28" s="137">
        <v>24</v>
      </c>
      <c r="B28" s="137">
        <v>1996</v>
      </c>
      <c r="C28" s="137">
        <v>0</v>
      </c>
      <c r="D28" s="137">
        <v>0</v>
      </c>
      <c r="E28" s="137">
        <v>0</v>
      </c>
      <c r="F28" s="137">
        <v>0</v>
      </c>
      <c r="G28" s="137">
        <v>0</v>
      </c>
      <c r="H28" s="137">
        <v>16</v>
      </c>
      <c r="I28" s="137">
        <v>198</v>
      </c>
      <c r="J28" s="137">
        <v>150</v>
      </c>
      <c r="K28" s="137">
        <v>17</v>
      </c>
      <c r="L28" s="137">
        <v>0</v>
      </c>
      <c r="M28" s="137">
        <v>0</v>
      </c>
      <c r="N28" s="137">
        <v>0</v>
      </c>
      <c r="O28" s="138">
        <f t="shared" si="0"/>
        <v>381</v>
      </c>
    </row>
    <row r="29" spans="1:16" ht="12.75">
      <c r="A29" s="137">
        <v>25</v>
      </c>
      <c r="B29" s="137">
        <v>1995</v>
      </c>
      <c r="C29" s="137">
        <v>0</v>
      </c>
      <c r="D29" s="137">
        <v>0</v>
      </c>
      <c r="E29" s="137">
        <v>0</v>
      </c>
      <c r="F29" s="137">
        <v>0</v>
      </c>
      <c r="G29" s="137">
        <v>14</v>
      </c>
      <c r="H29" s="137">
        <v>29</v>
      </c>
      <c r="I29" s="137">
        <v>119</v>
      </c>
      <c r="J29" s="137">
        <v>59</v>
      </c>
      <c r="K29" s="137">
        <v>38</v>
      </c>
      <c r="L29" s="137">
        <v>0</v>
      </c>
      <c r="M29" s="137">
        <v>0</v>
      </c>
      <c r="N29" s="137">
        <v>0</v>
      </c>
      <c r="O29" s="138">
        <f t="shared" si="0"/>
        <v>259</v>
      </c>
      <c r="P29" s="147"/>
    </row>
    <row r="30" spans="1:16" ht="12.75">
      <c r="A30" s="137">
        <v>26</v>
      </c>
      <c r="B30" s="137">
        <v>1994</v>
      </c>
      <c r="C30" s="137">
        <v>0</v>
      </c>
      <c r="D30" s="137">
        <v>0</v>
      </c>
      <c r="E30" s="137">
        <v>0</v>
      </c>
      <c r="F30" s="137">
        <v>0</v>
      </c>
      <c r="G30" s="137">
        <v>9</v>
      </c>
      <c r="H30" s="137">
        <v>37</v>
      </c>
      <c r="I30" s="137">
        <v>280</v>
      </c>
      <c r="J30" s="137">
        <v>159</v>
      </c>
      <c r="K30" s="137">
        <v>43</v>
      </c>
      <c r="L30" s="137">
        <v>0</v>
      </c>
      <c r="M30" s="137">
        <v>0</v>
      </c>
      <c r="N30" s="137">
        <v>0</v>
      </c>
      <c r="O30" s="138">
        <f t="shared" si="0"/>
        <v>528</v>
      </c>
    </row>
    <row r="31" spans="1:16" ht="12.75">
      <c r="A31" s="137">
        <v>27</v>
      </c>
      <c r="B31" s="137">
        <v>1993</v>
      </c>
      <c r="C31" s="137">
        <v>0</v>
      </c>
      <c r="D31" s="137">
        <v>0</v>
      </c>
      <c r="E31" s="137">
        <v>0</v>
      </c>
      <c r="F31" s="137">
        <v>0</v>
      </c>
      <c r="G31" s="137">
        <v>36</v>
      </c>
      <c r="H31" s="137">
        <v>27</v>
      </c>
      <c r="I31" s="137">
        <v>11</v>
      </c>
      <c r="J31" s="137">
        <v>64</v>
      </c>
      <c r="K31" s="137">
        <v>34</v>
      </c>
      <c r="L31" s="137">
        <v>0</v>
      </c>
      <c r="M31" s="137">
        <v>0</v>
      </c>
      <c r="N31" s="137">
        <v>0</v>
      </c>
      <c r="O31" s="138">
        <f t="shared" si="0"/>
        <v>172</v>
      </c>
    </row>
    <row r="32" spans="1:16" ht="12.75">
      <c r="A32" s="137">
        <v>28</v>
      </c>
      <c r="B32" s="137">
        <v>1992</v>
      </c>
      <c r="C32" s="137">
        <v>0</v>
      </c>
      <c r="D32" s="137">
        <v>0</v>
      </c>
      <c r="E32" s="137">
        <v>0</v>
      </c>
      <c r="F32" s="137">
        <v>0</v>
      </c>
      <c r="G32" s="137">
        <v>25</v>
      </c>
      <c r="H32" s="137">
        <v>159</v>
      </c>
      <c r="I32" s="137">
        <v>124</v>
      </c>
      <c r="J32" s="137">
        <v>209</v>
      </c>
      <c r="K32" s="137">
        <v>11</v>
      </c>
      <c r="L32" s="137">
        <v>8</v>
      </c>
      <c r="M32" s="137">
        <v>0</v>
      </c>
      <c r="N32" s="137">
        <v>0</v>
      </c>
      <c r="O32" s="138">
        <f t="shared" si="0"/>
        <v>536</v>
      </c>
    </row>
    <row r="33" spans="1:16" ht="12.75">
      <c r="A33" s="137">
        <v>29</v>
      </c>
      <c r="B33" s="137">
        <v>1991</v>
      </c>
      <c r="C33" s="137">
        <v>0</v>
      </c>
      <c r="D33" s="137">
        <v>0</v>
      </c>
      <c r="E33" s="137">
        <v>0</v>
      </c>
      <c r="F33" s="137">
        <v>0</v>
      </c>
      <c r="G33" s="137">
        <v>0</v>
      </c>
      <c r="H33" s="137">
        <v>0</v>
      </c>
      <c r="I33" s="137">
        <v>139</v>
      </c>
      <c r="J33" s="137">
        <v>187</v>
      </c>
      <c r="K33" s="137">
        <v>20</v>
      </c>
      <c r="L33" s="137">
        <v>0</v>
      </c>
      <c r="M33" s="137">
        <v>0</v>
      </c>
      <c r="N33" s="137">
        <v>0</v>
      </c>
      <c r="O33" s="138">
        <f t="shared" si="0"/>
        <v>346</v>
      </c>
    </row>
    <row r="34" spans="1:16" ht="12.75">
      <c r="A34" s="137">
        <v>30</v>
      </c>
      <c r="B34" s="137">
        <v>1990</v>
      </c>
      <c r="C34" s="137">
        <v>0</v>
      </c>
      <c r="D34" s="137">
        <v>0</v>
      </c>
      <c r="E34" s="137">
        <v>0</v>
      </c>
      <c r="F34" s="137">
        <v>0</v>
      </c>
      <c r="G34" s="137">
        <v>0</v>
      </c>
      <c r="H34" s="137">
        <v>42</v>
      </c>
      <c r="I34" s="137">
        <v>213</v>
      </c>
      <c r="J34" s="137">
        <v>157</v>
      </c>
      <c r="K34" s="137">
        <v>68</v>
      </c>
      <c r="L34" s="137">
        <v>0</v>
      </c>
      <c r="M34" s="137">
        <v>0</v>
      </c>
      <c r="N34" s="137">
        <v>0</v>
      </c>
      <c r="O34" s="138">
        <f t="shared" si="0"/>
        <v>480</v>
      </c>
    </row>
    <row r="35" spans="1:16" ht="12.75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8"/>
    </row>
    <row r="36" spans="1:16" ht="12.75">
      <c r="A36" s="137"/>
      <c r="B36" s="142" t="s">
        <v>348</v>
      </c>
      <c r="C36" s="143">
        <f t="shared" ref="C36:N36" si="1">AVERAGE(C5:C34)</f>
        <v>0</v>
      </c>
      <c r="D36" s="143">
        <f t="shared" si="1"/>
        <v>0</v>
      </c>
      <c r="E36" s="143">
        <f t="shared" si="1"/>
        <v>0</v>
      </c>
      <c r="F36" s="143">
        <f t="shared" si="1"/>
        <v>0</v>
      </c>
      <c r="G36" s="143">
        <f t="shared" si="1"/>
        <v>15</v>
      </c>
      <c r="H36" s="143">
        <f t="shared" si="1"/>
        <v>52</v>
      </c>
      <c r="I36" s="143">
        <f t="shared" si="1"/>
        <v>209</v>
      </c>
      <c r="J36" s="143">
        <f t="shared" si="1"/>
        <v>185</v>
      </c>
      <c r="K36" s="143">
        <f t="shared" si="1"/>
        <v>41</v>
      </c>
      <c r="L36" s="143">
        <f t="shared" si="1"/>
        <v>1</v>
      </c>
      <c r="M36" s="143">
        <f t="shared" si="1"/>
        <v>0</v>
      </c>
      <c r="N36" s="143">
        <f t="shared" si="1"/>
        <v>0</v>
      </c>
      <c r="O36" s="140">
        <f>SUM(C36:N36)</f>
        <v>503</v>
      </c>
      <c r="P36" s="148"/>
    </row>
    <row r="37" spans="1:16" ht="12" customHeight="1">
      <c r="A37" s="137"/>
      <c r="B37" s="142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0"/>
    </row>
    <row r="38" spans="1:16" ht="12" customHeight="1">
      <c r="A38" s="149"/>
      <c r="B38" s="150" t="s">
        <v>276</v>
      </c>
      <c r="C38" s="151">
        <v>0</v>
      </c>
      <c r="D38" s="151">
        <v>0</v>
      </c>
      <c r="E38" s="151">
        <v>0</v>
      </c>
      <c r="F38" s="151">
        <v>0</v>
      </c>
      <c r="G38" s="151">
        <v>14</v>
      </c>
      <c r="H38" s="151">
        <v>49</v>
      </c>
      <c r="I38" s="151">
        <v>180</v>
      </c>
      <c r="J38" s="151">
        <v>168</v>
      </c>
      <c r="K38" s="151">
        <v>38</v>
      </c>
      <c r="L38" s="151">
        <v>1</v>
      </c>
      <c r="M38" s="151">
        <v>0</v>
      </c>
      <c r="N38" s="151">
        <v>0</v>
      </c>
      <c r="O38" s="152">
        <f>SUM(C38:N38)</f>
        <v>450</v>
      </c>
    </row>
    <row r="39" spans="1:16" ht="12" customHeight="1">
      <c r="A39" s="149"/>
      <c r="B39" s="149"/>
    </row>
    <row r="40" spans="1:16" ht="12" customHeight="1">
      <c r="A40" s="149"/>
      <c r="B40" s="150" t="s">
        <v>249</v>
      </c>
      <c r="C40" s="148">
        <f>C36-C38</f>
        <v>0</v>
      </c>
      <c r="D40" s="148">
        <f t="shared" ref="D40:N40" si="2">D36-D38</f>
        <v>0</v>
      </c>
      <c r="E40" s="148">
        <f t="shared" si="2"/>
        <v>0</v>
      </c>
      <c r="F40" s="148">
        <f t="shared" si="2"/>
        <v>0</v>
      </c>
      <c r="G40" s="148">
        <f t="shared" si="2"/>
        <v>1</v>
      </c>
      <c r="H40" s="148">
        <f t="shared" si="2"/>
        <v>3</v>
      </c>
      <c r="I40" s="148">
        <f t="shared" si="2"/>
        <v>29</v>
      </c>
      <c r="J40" s="148">
        <f t="shared" si="2"/>
        <v>17</v>
      </c>
      <c r="K40" s="148">
        <f t="shared" si="2"/>
        <v>3</v>
      </c>
      <c r="L40" s="148">
        <f t="shared" si="2"/>
        <v>0</v>
      </c>
      <c r="M40" s="148">
        <f t="shared" si="2"/>
        <v>0</v>
      </c>
      <c r="N40" s="148">
        <f t="shared" si="2"/>
        <v>0</v>
      </c>
      <c r="O40" s="152">
        <f>SUM(C40:N40)</f>
        <v>53</v>
      </c>
    </row>
    <row r="41" spans="1:16" ht="12" customHeight="1">
      <c r="A41" s="149"/>
      <c r="B41" s="150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52"/>
    </row>
    <row r="42" spans="1:16" ht="12" customHeight="1">
      <c r="A42" s="149"/>
      <c r="B42" s="150" t="s">
        <v>242</v>
      </c>
      <c r="C42" s="151">
        <v>0</v>
      </c>
      <c r="D42" s="151">
        <v>0</v>
      </c>
      <c r="E42" s="151">
        <v>0</v>
      </c>
      <c r="F42" s="151">
        <v>1</v>
      </c>
      <c r="G42" s="151">
        <v>11</v>
      </c>
      <c r="H42" s="151">
        <v>46</v>
      </c>
      <c r="I42" s="151">
        <v>155</v>
      </c>
      <c r="J42" s="151">
        <v>154</v>
      </c>
      <c r="K42" s="151">
        <v>26</v>
      </c>
      <c r="L42" s="151">
        <v>1</v>
      </c>
      <c r="M42" s="151">
        <v>0</v>
      </c>
      <c r="N42" s="151">
        <v>0</v>
      </c>
      <c r="O42" s="152">
        <f>SUM(C42:N42)</f>
        <v>394</v>
      </c>
    </row>
    <row r="43" spans="1:16" ht="12" customHeight="1">
      <c r="A43" s="149"/>
      <c r="B43" s="149"/>
    </row>
    <row r="44" spans="1:16" ht="12" customHeight="1">
      <c r="A44" s="149"/>
      <c r="B44" s="150" t="s">
        <v>249</v>
      </c>
      <c r="C44" s="148">
        <f t="shared" ref="C44:N44" si="3">C36-C42</f>
        <v>0</v>
      </c>
      <c r="D44" s="148">
        <f t="shared" si="3"/>
        <v>0</v>
      </c>
      <c r="E44" s="148">
        <f t="shared" si="3"/>
        <v>0</v>
      </c>
      <c r="F44" s="148">
        <f t="shared" si="3"/>
        <v>-1</v>
      </c>
      <c r="G44" s="148">
        <f t="shared" si="3"/>
        <v>4</v>
      </c>
      <c r="H44" s="148">
        <f t="shared" si="3"/>
        <v>6</v>
      </c>
      <c r="I44" s="148">
        <f t="shared" si="3"/>
        <v>54</v>
      </c>
      <c r="J44" s="148">
        <f t="shared" si="3"/>
        <v>31</v>
      </c>
      <c r="K44" s="148">
        <f t="shared" si="3"/>
        <v>15</v>
      </c>
      <c r="L44" s="148">
        <f t="shared" si="3"/>
        <v>0</v>
      </c>
      <c r="M44" s="148">
        <f t="shared" si="3"/>
        <v>0</v>
      </c>
      <c r="N44" s="148">
        <f t="shared" si="3"/>
        <v>0</v>
      </c>
      <c r="O44" s="152">
        <f>SUM(C44:N44)</f>
        <v>109</v>
      </c>
    </row>
    <row r="45" spans="1:16" ht="12" customHeight="1">
      <c r="B45" s="150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52"/>
    </row>
    <row r="46" spans="1:16" ht="12" customHeight="1">
      <c r="B46" s="153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2"/>
    </row>
    <row r="48" spans="1:16" ht="12" customHeight="1">
      <c r="B48" s="150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52"/>
    </row>
    <row r="50" spans="3:15" ht="12" customHeight="1"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</row>
  </sheetData>
  <phoneticPr fontId="13" type="noConversion"/>
  <printOptions horizontalCentered="1"/>
  <pageMargins left="0.5" right="0.5" top="0.66" bottom="0.87" header="0.36" footer="0.45"/>
  <pageSetup orientation="landscape" r:id="rId1"/>
  <headerFooter alignWithMargins="0">
    <oddHeader>&amp;R&amp;"Times New Roman,Regular"&amp;10Adjustment No. __&amp;U2.10&amp;U__
Workpaper Ref. E-WN-__</oddHeader>
    <oddFooter>&amp;L&amp;"Times New Roman,Regular"file: &amp;F / &amp;A&amp;C&amp;"Times New Roman,Regular"&amp;10Page &amp;P of &amp;N&amp;R&amp;"Times New Roman,Regular"&amp;10Prep by:________  1st Review:________
Date: &amp;D     Mgr. Review:________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FF"/>
    <pageSetUpPr fitToPage="1"/>
  </sheetPr>
  <dimension ref="A1:Q49"/>
  <sheetViews>
    <sheetView workbookViewId="0">
      <selection activeCell="A5" sqref="A5"/>
    </sheetView>
  </sheetViews>
  <sheetFormatPr defaultRowHeight="12"/>
  <cols>
    <col min="1" max="1" width="24.625" customWidth="1"/>
    <col min="2" max="2" width="14.5" customWidth="1"/>
    <col min="3" max="3" width="9.25" customWidth="1"/>
    <col min="4" max="4" width="15.125" customWidth="1"/>
    <col min="5" max="5" width="14.125" customWidth="1"/>
    <col min="6" max="6" width="15.625" customWidth="1"/>
    <col min="7" max="7" width="16.25" customWidth="1"/>
    <col min="8" max="9" width="11.5" customWidth="1"/>
    <col min="10" max="10" width="16.875" customWidth="1"/>
    <col min="11" max="11" width="17.5" customWidth="1"/>
    <col min="14" max="14" width="11.625" customWidth="1"/>
    <col min="15" max="15" width="15.875" bestFit="1" customWidth="1"/>
    <col min="16" max="16" width="13.5" customWidth="1"/>
    <col min="17" max="17" width="10.875" bestFit="1" customWidth="1"/>
  </cols>
  <sheetData>
    <row r="1" spans="1:7" ht="15.75">
      <c r="A1" s="248" t="s">
        <v>7</v>
      </c>
      <c r="B1" s="248"/>
      <c r="C1" s="248"/>
      <c r="D1" s="248"/>
      <c r="E1" s="248"/>
      <c r="F1" s="248"/>
      <c r="G1" s="248"/>
    </row>
    <row r="2" spans="1:7" ht="6.6" customHeight="1">
      <c r="A2" s="1"/>
      <c r="B2" s="1"/>
      <c r="C2" s="1"/>
      <c r="D2" s="1"/>
      <c r="E2" s="1"/>
      <c r="F2" s="1"/>
      <c r="G2" s="3"/>
    </row>
    <row r="3" spans="1:7" ht="12.75">
      <c r="A3" s="247" t="s">
        <v>0</v>
      </c>
      <c r="B3" s="247"/>
      <c r="C3" s="247"/>
      <c r="D3" s="247"/>
      <c r="E3" s="247"/>
      <c r="F3" s="247"/>
      <c r="G3" s="247"/>
    </row>
    <row r="4" spans="1:7" ht="12.75">
      <c r="A4" s="246" t="s">
        <v>428</v>
      </c>
      <c r="B4" s="246"/>
      <c r="C4" s="246"/>
      <c r="D4" s="246"/>
      <c r="E4" s="246"/>
      <c r="F4" s="246"/>
      <c r="G4" s="246"/>
    </row>
    <row r="7" spans="1:7" ht="12.75">
      <c r="A7" s="2"/>
      <c r="B7" s="2"/>
      <c r="C7" s="4"/>
      <c r="D7" s="14" t="str">
        <f>DDH!D5</f>
        <v>1990- 2019</v>
      </c>
      <c r="E7" s="14" t="str">
        <f>DDH!E5</f>
        <v>1990 - 2019</v>
      </c>
      <c r="F7" s="2"/>
      <c r="G7" s="3"/>
    </row>
    <row r="8" spans="1:7" ht="12.75">
      <c r="A8" s="4" t="s">
        <v>5</v>
      </c>
      <c r="B8" s="14" t="str">
        <f>DDH!B6</f>
        <v>ACTUAL</v>
      </c>
      <c r="C8" s="14" t="str">
        <f>DDH!C6</f>
        <v>ACTUAL</v>
      </c>
      <c r="D8" s="14" t="str">
        <f>DDH!D6</f>
        <v>30 YEAR AVG</v>
      </c>
      <c r="E8" s="14" t="str">
        <f>DDH!E6</f>
        <v>30 YEAR AVG</v>
      </c>
      <c r="F8" s="14" t="str">
        <f>DDH!F6</f>
        <v>NORM - ACT</v>
      </c>
      <c r="G8" s="14" t="str">
        <f>DDH!G6</f>
        <v>NORM - ACT</v>
      </c>
    </row>
    <row r="9" spans="1:7" ht="12.75">
      <c r="A9" s="4" t="s">
        <v>8</v>
      </c>
      <c r="B9" s="14" t="str">
        <f>DDH!B7</f>
        <v>DDH</v>
      </c>
      <c r="C9" s="14" t="str">
        <f>DDH!C7</f>
        <v>DDC</v>
      </c>
      <c r="D9" s="14" t="str">
        <f>DDH!D7</f>
        <v>DDH</v>
      </c>
      <c r="E9" s="14" t="str">
        <f>DDH!E7</f>
        <v>DDC</v>
      </c>
      <c r="F9" s="14" t="str">
        <f>DDH!F7</f>
        <v>DDH</v>
      </c>
      <c r="G9" s="14" t="str">
        <f>DDH!G7</f>
        <v>DDC</v>
      </c>
    </row>
    <row r="10" spans="1:7" ht="12.75">
      <c r="A10" s="9">
        <f>DDH!A8</f>
        <v>42004</v>
      </c>
      <c r="B10" s="6">
        <f>DDH!B8</f>
        <v>1052</v>
      </c>
      <c r="C10" s="6">
        <f>DDH!C8</f>
        <v>0</v>
      </c>
      <c r="D10" s="6">
        <f>DDH!D8</f>
        <v>1103</v>
      </c>
      <c r="E10" s="6">
        <f>DDH!E8</f>
        <v>0</v>
      </c>
      <c r="F10" s="6">
        <f>D10-B10</f>
        <v>51</v>
      </c>
      <c r="G10" s="6">
        <f>E10-C10</f>
        <v>0</v>
      </c>
    </row>
    <row r="11" spans="1:7" ht="12.75">
      <c r="A11" s="9">
        <f t="shared" ref="A11:A21" si="0">A10+31</f>
        <v>42035</v>
      </c>
      <c r="B11" s="6">
        <f>DDH!B9</f>
        <v>1218</v>
      </c>
      <c r="C11" s="6">
        <f>DDH!C9</f>
        <v>0</v>
      </c>
      <c r="D11" s="6">
        <f>DDH!D9</f>
        <v>915</v>
      </c>
      <c r="E11" s="6">
        <f>DDH!E9</f>
        <v>0</v>
      </c>
      <c r="F11" s="6">
        <f t="shared" ref="F11:G21" si="1">D11-B11</f>
        <v>-303</v>
      </c>
      <c r="G11" s="6">
        <f t="shared" si="1"/>
        <v>0</v>
      </c>
    </row>
    <row r="12" spans="1:7" ht="12.75">
      <c r="A12" s="9">
        <f t="shared" si="0"/>
        <v>42066</v>
      </c>
      <c r="B12" s="6">
        <f>DDH!B10</f>
        <v>938</v>
      </c>
      <c r="C12" s="6">
        <f>DDH!C10</f>
        <v>0</v>
      </c>
      <c r="D12" s="6">
        <f>DDH!D10</f>
        <v>775</v>
      </c>
      <c r="E12" s="6">
        <f>DDH!E10</f>
        <v>0</v>
      </c>
      <c r="F12" s="6">
        <f t="shared" si="1"/>
        <v>-163</v>
      </c>
      <c r="G12" s="6">
        <f t="shared" si="1"/>
        <v>0</v>
      </c>
    </row>
    <row r="13" spans="1:7" ht="12.75">
      <c r="A13" s="9">
        <f t="shared" si="0"/>
        <v>42097</v>
      </c>
      <c r="B13" s="6">
        <f>DDH!B11</f>
        <v>500</v>
      </c>
      <c r="C13" s="6">
        <f>DDH!C11</f>
        <v>0</v>
      </c>
      <c r="D13" s="6">
        <f>DDH!D11</f>
        <v>542</v>
      </c>
      <c r="E13" s="6">
        <f>DDH!E11</f>
        <v>0</v>
      </c>
      <c r="F13" s="6">
        <f t="shared" si="1"/>
        <v>42</v>
      </c>
      <c r="G13" s="6">
        <f t="shared" si="1"/>
        <v>0</v>
      </c>
    </row>
    <row r="14" spans="1:7" ht="12.75">
      <c r="A14" s="9">
        <f t="shared" si="0"/>
        <v>42128</v>
      </c>
      <c r="B14" s="6">
        <f>DDH!B12</f>
        <v>180</v>
      </c>
      <c r="C14" s="6">
        <f>DDH!C12</f>
        <v>14</v>
      </c>
      <c r="D14" s="6">
        <f>DDH!D12</f>
        <v>298</v>
      </c>
      <c r="E14" s="6">
        <f>DDH!E12</f>
        <v>15</v>
      </c>
      <c r="F14" s="6">
        <f t="shared" si="1"/>
        <v>118</v>
      </c>
      <c r="G14" s="6">
        <f t="shared" si="1"/>
        <v>1</v>
      </c>
    </row>
    <row r="15" spans="1:7" ht="12.75">
      <c r="A15" s="9">
        <f t="shared" si="0"/>
        <v>42159</v>
      </c>
      <c r="B15" s="6">
        <f>DDH!B13</f>
        <v>96</v>
      </c>
      <c r="C15" s="6">
        <f>DDH!C13</f>
        <v>87</v>
      </c>
      <c r="D15" s="6">
        <f>DDH!D13</f>
        <v>137</v>
      </c>
      <c r="E15" s="6">
        <f>DDH!E13</f>
        <v>52</v>
      </c>
      <c r="F15" s="6">
        <f t="shared" si="1"/>
        <v>41</v>
      </c>
      <c r="G15" s="6">
        <f t="shared" si="1"/>
        <v>-35</v>
      </c>
    </row>
    <row r="16" spans="1:7" ht="12.75">
      <c r="A16" s="9">
        <f t="shared" si="0"/>
        <v>42190</v>
      </c>
      <c r="B16" s="6">
        <f>DDH!B14</f>
        <v>8</v>
      </c>
      <c r="C16" s="6">
        <f>DDH!C14</f>
        <v>152</v>
      </c>
      <c r="D16" s="6">
        <f>DDH!D14</f>
        <v>26</v>
      </c>
      <c r="E16" s="6">
        <f>DDH!E14</f>
        <v>209</v>
      </c>
      <c r="F16" s="6">
        <f t="shared" si="1"/>
        <v>18</v>
      </c>
      <c r="G16" s="6">
        <f t="shared" si="1"/>
        <v>57</v>
      </c>
    </row>
    <row r="17" spans="1:17" ht="12.75">
      <c r="A17" s="9">
        <f t="shared" si="0"/>
        <v>42221</v>
      </c>
      <c r="B17" s="6">
        <f>DDH!B15</f>
        <v>3</v>
      </c>
      <c r="C17" s="6">
        <f>DDH!C15</f>
        <v>230</v>
      </c>
      <c r="D17" s="6">
        <f>DDH!D15</f>
        <v>30</v>
      </c>
      <c r="E17" s="6">
        <f>DDH!E15</f>
        <v>185</v>
      </c>
      <c r="F17" s="6">
        <f t="shared" si="1"/>
        <v>27</v>
      </c>
      <c r="G17" s="6">
        <f t="shared" si="1"/>
        <v>-45</v>
      </c>
    </row>
    <row r="18" spans="1:17" ht="12.75">
      <c r="A18" s="9">
        <f t="shared" si="0"/>
        <v>42252</v>
      </c>
      <c r="B18" s="6">
        <f>DDH!B16</f>
        <v>209</v>
      </c>
      <c r="C18" s="6">
        <f>DDH!C16</f>
        <v>40</v>
      </c>
      <c r="D18" s="6">
        <f>DDH!D16</f>
        <v>158</v>
      </c>
      <c r="E18" s="6">
        <f>DDH!E16</f>
        <v>41</v>
      </c>
      <c r="F18" s="6">
        <f t="shared" si="1"/>
        <v>-51</v>
      </c>
      <c r="G18" s="6">
        <f t="shared" si="1"/>
        <v>1</v>
      </c>
    </row>
    <row r="19" spans="1:17" ht="12.75">
      <c r="A19" s="9">
        <f t="shared" si="0"/>
        <v>42283</v>
      </c>
      <c r="B19" s="6">
        <f>DDH!B17</f>
        <v>697</v>
      </c>
      <c r="C19" s="6">
        <f>DDH!C17</f>
        <v>0</v>
      </c>
      <c r="D19" s="6">
        <f>DDH!D17</f>
        <v>534</v>
      </c>
      <c r="E19" s="6">
        <f>DDH!E17</f>
        <v>1</v>
      </c>
      <c r="F19" s="6">
        <f t="shared" si="1"/>
        <v>-163</v>
      </c>
      <c r="G19" s="6">
        <f t="shared" si="1"/>
        <v>1</v>
      </c>
    </row>
    <row r="20" spans="1:17" ht="12.75">
      <c r="A20" s="9">
        <f t="shared" si="0"/>
        <v>42314</v>
      </c>
      <c r="B20" s="6">
        <f>DDH!B18</f>
        <v>875</v>
      </c>
      <c r="C20" s="6">
        <f>DDH!C18</f>
        <v>0</v>
      </c>
      <c r="D20" s="6">
        <f>DDH!D18</f>
        <v>863</v>
      </c>
      <c r="E20" s="6">
        <f>DDH!E18</f>
        <v>0</v>
      </c>
      <c r="F20" s="6">
        <f t="shared" si="1"/>
        <v>-12</v>
      </c>
      <c r="G20" s="6">
        <f t="shared" si="1"/>
        <v>0</v>
      </c>
    </row>
    <row r="21" spans="1:17" ht="12.75">
      <c r="A21" s="9">
        <f t="shared" si="0"/>
        <v>42345</v>
      </c>
      <c r="B21" s="6">
        <f>DDH!B19</f>
        <v>972</v>
      </c>
      <c r="C21" s="6">
        <f>DDH!C19</f>
        <v>0</v>
      </c>
      <c r="D21" s="6">
        <f>DDH!D19</f>
        <v>1132</v>
      </c>
      <c r="E21" s="6">
        <f>DDH!E19</f>
        <v>0</v>
      </c>
      <c r="F21" s="6">
        <f t="shared" si="1"/>
        <v>160</v>
      </c>
      <c r="G21" s="6">
        <f t="shared" si="1"/>
        <v>0</v>
      </c>
    </row>
    <row r="22" spans="1:17" ht="12.75">
      <c r="A22" s="11"/>
      <c r="B22" s="7">
        <f t="shared" ref="B22:G22" si="2">SUM(B10:B21)</f>
        <v>6748</v>
      </c>
      <c r="C22" s="7">
        <f t="shared" si="2"/>
        <v>523</v>
      </c>
      <c r="D22" s="7">
        <f t="shared" si="2"/>
        <v>6513</v>
      </c>
      <c r="E22" s="7">
        <f t="shared" si="2"/>
        <v>503</v>
      </c>
      <c r="F22" s="7">
        <f t="shared" si="2"/>
        <v>-235</v>
      </c>
      <c r="G22" s="7">
        <f t="shared" si="2"/>
        <v>-20</v>
      </c>
    </row>
    <row r="23" spans="1:17" ht="12.75">
      <c r="A23" s="2"/>
      <c r="B23" s="2"/>
      <c r="C23" s="2"/>
      <c r="D23" s="2"/>
      <c r="E23" s="2"/>
      <c r="F23" s="2"/>
      <c r="G23" s="3"/>
    </row>
    <row r="24" spans="1:17" ht="12.75">
      <c r="A24" s="19" t="s">
        <v>406</v>
      </c>
      <c r="B24" s="19" t="s">
        <v>46</v>
      </c>
      <c r="C24" s="12"/>
      <c r="D24" s="12" t="s">
        <v>287</v>
      </c>
      <c r="E24" s="135" t="s">
        <v>288</v>
      </c>
      <c r="F24" s="135" t="s">
        <v>289</v>
      </c>
      <c r="G24" s="5" t="s">
        <v>290</v>
      </c>
      <c r="H24" s="164" t="s">
        <v>300</v>
      </c>
      <c r="I24" s="164" t="s">
        <v>303</v>
      </c>
      <c r="L24" s="156" t="s">
        <v>400</v>
      </c>
    </row>
    <row r="25" spans="1:17" ht="12.75">
      <c r="A25" s="4" t="s">
        <v>6</v>
      </c>
      <c r="B25" s="5" t="s">
        <v>10</v>
      </c>
      <c r="C25" s="22"/>
      <c r="D25" s="12" t="s">
        <v>291</v>
      </c>
      <c r="E25" s="135" t="s">
        <v>291</v>
      </c>
      <c r="F25" s="135" t="s">
        <v>291</v>
      </c>
      <c r="G25" s="5" t="s">
        <v>292</v>
      </c>
      <c r="H25" s="164" t="s">
        <v>301</v>
      </c>
      <c r="I25" s="164" t="s">
        <v>301</v>
      </c>
      <c r="L25" s="156" t="s">
        <v>401</v>
      </c>
    </row>
    <row r="26" spans="1:17" ht="12.75">
      <c r="A26" s="4"/>
      <c r="B26" s="4" t="s">
        <v>43</v>
      </c>
      <c r="C26" s="12"/>
      <c r="D26" s="12" t="s">
        <v>293</v>
      </c>
      <c r="E26" s="135" t="s">
        <v>293</v>
      </c>
      <c r="F26" s="135" t="s">
        <v>293</v>
      </c>
      <c r="G26" s="5" t="s">
        <v>291</v>
      </c>
      <c r="H26" s="164" t="s">
        <v>302</v>
      </c>
      <c r="I26" s="164" t="s">
        <v>302</v>
      </c>
      <c r="J26" s="156" t="s">
        <v>294</v>
      </c>
      <c r="K26" s="156" t="s">
        <v>295</v>
      </c>
      <c r="L26" s="156" t="s">
        <v>402</v>
      </c>
      <c r="O26" s="155"/>
    </row>
    <row r="27" spans="1:17" ht="12.75">
      <c r="A27" s="2"/>
      <c r="B27" s="2"/>
      <c r="C27" s="23"/>
      <c r="D27" s="23"/>
      <c r="E27" s="2"/>
      <c r="F27" s="2"/>
      <c r="G27" s="17"/>
      <c r="H27" s="157"/>
      <c r="N27" s="24"/>
    </row>
    <row r="28" spans="1:17" ht="12.75">
      <c r="A28" s="13">
        <f>A10</f>
        <v>42004</v>
      </c>
      <c r="B28" s="6">
        <f>'Elec by Mo'!D81</f>
        <v>11846450</v>
      </c>
      <c r="C28" s="8"/>
      <c r="D28" s="243"/>
      <c r="E28" s="8">
        <f>J28+K28</f>
        <v>0</v>
      </c>
      <c r="F28" s="8">
        <f>D28+E28</f>
        <v>0</v>
      </c>
      <c r="G28" s="8">
        <f>F28+B28</f>
        <v>11846450</v>
      </c>
      <c r="H28" s="193" t="e">
        <f>F28/F$40</f>
        <v>#DIV/0!</v>
      </c>
      <c r="I28" s="193">
        <f>G28/G$40</f>
        <v>-0.18365000000000001</v>
      </c>
      <c r="J28" s="192">
        <f>N28+O28</f>
        <v>0</v>
      </c>
      <c r="K28" s="192">
        <f>P28+Q28</f>
        <v>0</v>
      </c>
      <c r="L28" s="158" t="e">
        <f>-K28/D28</f>
        <v>#DIV/0!</v>
      </c>
      <c r="N28" s="242"/>
      <c r="O28" s="242"/>
      <c r="P28" s="241"/>
      <c r="Q28" s="242"/>
    </row>
    <row r="29" spans="1:17" ht="12.75">
      <c r="A29" s="13">
        <f t="shared" ref="A29:A39" si="3">A11</f>
        <v>42035</v>
      </c>
      <c r="B29" s="6">
        <f>'Elec by Mo'!E81</f>
        <v>-69004882</v>
      </c>
      <c r="C29" s="8"/>
      <c r="D29" s="243"/>
      <c r="E29" s="8">
        <f t="shared" ref="E29:E39" si="4">J29+K29</f>
        <v>0</v>
      </c>
      <c r="F29" s="8">
        <f t="shared" ref="F29:F39" si="5">D29+E29</f>
        <v>0</v>
      </c>
      <c r="G29" s="8">
        <f t="shared" ref="G29:G39" si="6">F29+B29</f>
        <v>-69004882</v>
      </c>
      <c r="H29" s="193" t="e">
        <f t="shared" ref="H29:I39" si="7">F29/F$40</f>
        <v>#DIV/0!</v>
      </c>
      <c r="I29" s="193">
        <f t="shared" si="7"/>
        <v>1.06976</v>
      </c>
      <c r="J29" s="192">
        <f t="shared" ref="J29:J39" si="8">N29+O29</f>
        <v>0</v>
      </c>
      <c r="K29" s="192">
        <f>-J28</f>
        <v>0</v>
      </c>
      <c r="L29" s="158" t="e">
        <f t="shared" ref="L29:L39" si="9">-K29/D29</f>
        <v>#DIV/0!</v>
      </c>
      <c r="N29" s="242"/>
      <c r="O29" s="242"/>
      <c r="P29" s="16"/>
    </row>
    <row r="30" spans="1:17" ht="12.75">
      <c r="A30" s="13">
        <f t="shared" si="3"/>
        <v>42066</v>
      </c>
      <c r="B30" s="6">
        <f>'Elec by Mo'!F81</f>
        <v>-38393712</v>
      </c>
      <c r="C30" s="8"/>
      <c r="D30" s="243"/>
      <c r="E30" s="8">
        <f t="shared" si="4"/>
        <v>0</v>
      </c>
      <c r="F30" s="8">
        <f t="shared" si="5"/>
        <v>0</v>
      </c>
      <c r="G30" s="8">
        <f t="shared" si="6"/>
        <v>-38393712</v>
      </c>
      <c r="H30" s="193" t="e">
        <f t="shared" si="7"/>
        <v>#DIV/0!</v>
      </c>
      <c r="I30" s="193">
        <f t="shared" si="7"/>
        <v>0.59519999999999995</v>
      </c>
      <c r="J30" s="192">
        <f t="shared" si="8"/>
        <v>0</v>
      </c>
      <c r="K30" s="192">
        <f t="shared" ref="K30:K39" si="10">-J29</f>
        <v>0</v>
      </c>
      <c r="L30" s="158" t="e">
        <f t="shared" si="9"/>
        <v>#DIV/0!</v>
      </c>
      <c r="N30" s="242"/>
      <c r="O30" s="242"/>
      <c r="P30" s="16"/>
    </row>
    <row r="31" spans="1:17" ht="12.75">
      <c r="A31" s="13">
        <f t="shared" si="3"/>
        <v>42097</v>
      </c>
      <c r="B31" s="6">
        <f>'Elec by Mo'!G81</f>
        <v>6736917</v>
      </c>
      <c r="C31" s="8"/>
      <c r="D31" s="243"/>
      <c r="E31" s="8">
        <f t="shared" si="4"/>
        <v>0</v>
      </c>
      <c r="F31" s="8">
        <f t="shared" si="5"/>
        <v>0</v>
      </c>
      <c r="G31" s="8">
        <f t="shared" si="6"/>
        <v>6736917</v>
      </c>
      <c r="H31" s="193" t="e">
        <f t="shared" si="7"/>
        <v>#DIV/0!</v>
      </c>
      <c r="I31" s="193">
        <f t="shared" si="7"/>
        <v>-0.10444000000000001</v>
      </c>
      <c r="J31" s="192">
        <f t="shared" si="8"/>
        <v>0</v>
      </c>
      <c r="K31" s="192">
        <f t="shared" si="10"/>
        <v>0</v>
      </c>
      <c r="L31" s="158" t="e">
        <f t="shared" si="9"/>
        <v>#DIV/0!</v>
      </c>
      <c r="N31" s="242"/>
      <c r="O31" s="242"/>
      <c r="P31" s="16"/>
    </row>
    <row r="32" spans="1:17" ht="12.75">
      <c r="A32" s="13">
        <f t="shared" si="3"/>
        <v>42128</v>
      </c>
      <c r="B32" s="6">
        <f>'Elec by Mo'!H81</f>
        <v>19663224</v>
      </c>
      <c r="C32" s="8"/>
      <c r="D32" s="243"/>
      <c r="E32" s="8">
        <f t="shared" si="4"/>
        <v>0</v>
      </c>
      <c r="F32" s="8">
        <f t="shared" si="5"/>
        <v>0</v>
      </c>
      <c r="G32" s="8">
        <f t="shared" si="6"/>
        <v>19663224</v>
      </c>
      <c r="H32" s="193" t="e">
        <f t="shared" si="7"/>
        <v>#DIV/0!</v>
      </c>
      <c r="I32" s="193">
        <f t="shared" si="7"/>
        <v>-0.30482999999999999</v>
      </c>
      <c r="J32" s="192">
        <f t="shared" si="8"/>
        <v>0</v>
      </c>
      <c r="K32" s="192">
        <f t="shared" si="10"/>
        <v>0</v>
      </c>
      <c r="L32" s="158" t="e">
        <f t="shared" si="9"/>
        <v>#DIV/0!</v>
      </c>
      <c r="N32" s="242"/>
      <c r="O32" s="242"/>
      <c r="P32" s="16"/>
    </row>
    <row r="33" spans="1:16" ht="12.75">
      <c r="A33" s="13">
        <f t="shared" si="3"/>
        <v>42159</v>
      </c>
      <c r="B33" s="6">
        <f>'Elec by Mo'!I81</f>
        <v>-10879549</v>
      </c>
      <c r="C33" s="8"/>
      <c r="D33" s="243"/>
      <c r="E33" s="8">
        <f t="shared" si="4"/>
        <v>0</v>
      </c>
      <c r="F33" s="8">
        <f t="shared" si="5"/>
        <v>0</v>
      </c>
      <c r="G33" s="8">
        <f t="shared" si="6"/>
        <v>-10879549</v>
      </c>
      <c r="H33" s="193" t="e">
        <f t="shared" si="7"/>
        <v>#DIV/0!</v>
      </c>
      <c r="I33" s="193">
        <f t="shared" si="7"/>
        <v>0.16866</v>
      </c>
      <c r="J33" s="192">
        <f t="shared" si="8"/>
        <v>0</v>
      </c>
      <c r="K33" s="192">
        <f t="shared" si="10"/>
        <v>0</v>
      </c>
      <c r="L33" s="158" t="e">
        <f t="shared" si="9"/>
        <v>#DIV/0!</v>
      </c>
      <c r="N33" s="242"/>
      <c r="O33" s="242"/>
      <c r="P33" s="16"/>
    </row>
    <row r="34" spans="1:16" ht="12.75">
      <c r="A34" s="13">
        <f t="shared" si="3"/>
        <v>42190</v>
      </c>
      <c r="B34" s="6">
        <f>'Elec by Mo'!J81</f>
        <v>28539455</v>
      </c>
      <c r="C34" s="8"/>
      <c r="D34" s="243"/>
      <c r="E34" s="8">
        <f t="shared" si="4"/>
        <v>0</v>
      </c>
      <c r="F34" s="8">
        <f t="shared" si="5"/>
        <v>0</v>
      </c>
      <c r="G34" s="8">
        <f t="shared" si="6"/>
        <v>28539455</v>
      </c>
      <c r="H34" s="193" t="e">
        <f t="shared" si="7"/>
        <v>#DIV/0!</v>
      </c>
      <c r="I34" s="193">
        <f t="shared" si="7"/>
        <v>-0.44244</v>
      </c>
      <c r="J34" s="192">
        <f t="shared" si="8"/>
        <v>0</v>
      </c>
      <c r="K34" s="192">
        <f t="shared" si="10"/>
        <v>0</v>
      </c>
      <c r="L34" s="158" t="e">
        <f t="shared" si="9"/>
        <v>#DIV/0!</v>
      </c>
      <c r="N34" s="242"/>
      <c r="O34" s="242"/>
      <c r="P34" s="16"/>
    </row>
    <row r="35" spans="1:16" ht="12.75">
      <c r="A35" s="13">
        <f t="shared" si="3"/>
        <v>42221</v>
      </c>
      <c r="B35" s="6">
        <f>'Elec by Mo'!K81</f>
        <v>-22571455</v>
      </c>
      <c r="C35" s="8"/>
      <c r="D35" s="243"/>
      <c r="E35" s="8">
        <f t="shared" si="4"/>
        <v>0</v>
      </c>
      <c r="F35" s="8">
        <f t="shared" si="5"/>
        <v>0</v>
      </c>
      <c r="G35" s="8">
        <f t="shared" si="6"/>
        <v>-22571455</v>
      </c>
      <c r="H35" s="193" t="e">
        <f t="shared" si="7"/>
        <v>#DIV/0!</v>
      </c>
      <c r="I35" s="193">
        <f t="shared" si="7"/>
        <v>0.34992000000000001</v>
      </c>
      <c r="J35" s="192">
        <f t="shared" si="8"/>
        <v>0</v>
      </c>
      <c r="K35" s="192">
        <f t="shared" si="10"/>
        <v>0</v>
      </c>
      <c r="L35" s="158" t="e">
        <f t="shared" si="9"/>
        <v>#DIV/0!</v>
      </c>
      <c r="N35" s="242"/>
      <c r="O35" s="242"/>
      <c r="P35" s="16"/>
    </row>
    <row r="36" spans="1:16" ht="12.75">
      <c r="A36" s="13">
        <f t="shared" si="3"/>
        <v>42252</v>
      </c>
      <c r="B36" s="6">
        <f>'Elec by Mo'!L81</f>
        <v>492060</v>
      </c>
      <c r="C36" s="8"/>
      <c r="D36" s="243"/>
      <c r="E36" s="8">
        <f t="shared" si="4"/>
        <v>0</v>
      </c>
      <c r="F36" s="8">
        <f t="shared" si="5"/>
        <v>0</v>
      </c>
      <c r="G36" s="8">
        <f t="shared" si="6"/>
        <v>492060</v>
      </c>
      <c r="H36" s="193" t="e">
        <f t="shared" si="7"/>
        <v>#DIV/0!</v>
      </c>
      <c r="I36" s="193">
        <f t="shared" si="7"/>
        <v>-7.6299999999999996E-3</v>
      </c>
      <c r="J36" s="192">
        <f t="shared" si="8"/>
        <v>0</v>
      </c>
      <c r="K36" s="192">
        <f t="shared" si="10"/>
        <v>0</v>
      </c>
      <c r="L36" s="158" t="e">
        <f t="shared" si="9"/>
        <v>#DIV/0!</v>
      </c>
      <c r="N36" s="242"/>
      <c r="O36" s="242"/>
      <c r="P36" s="16"/>
    </row>
    <row r="37" spans="1:16" ht="12.75">
      <c r="A37" s="13">
        <f t="shared" si="3"/>
        <v>42283</v>
      </c>
      <c r="B37" s="6">
        <f>'Elec by Mo'!M81</f>
        <v>-26448998</v>
      </c>
      <c r="C37" s="8"/>
      <c r="D37" s="243"/>
      <c r="E37" s="8">
        <f t="shared" si="4"/>
        <v>0</v>
      </c>
      <c r="F37" s="8">
        <f t="shared" si="5"/>
        <v>0</v>
      </c>
      <c r="G37" s="8">
        <f t="shared" si="6"/>
        <v>-26448998</v>
      </c>
      <c r="H37" s="193" t="e">
        <f t="shared" si="7"/>
        <v>#DIV/0!</v>
      </c>
      <c r="I37" s="193">
        <f t="shared" si="7"/>
        <v>0.41003000000000001</v>
      </c>
      <c r="J37" s="192">
        <f t="shared" si="8"/>
        <v>0</v>
      </c>
      <c r="K37" s="192">
        <f t="shared" si="10"/>
        <v>0</v>
      </c>
      <c r="L37" s="158" t="e">
        <f t="shared" si="9"/>
        <v>#DIV/0!</v>
      </c>
      <c r="N37" s="242"/>
      <c r="O37" s="242"/>
      <c r="P37" s="16"/>
    </row>
    <row r="38" spans="1:16" ht="12.75">
      <c r="A38" s="13">
        <f t="shared" si="3"/>
        <v>42314</v>
      </c>
      <c r="B38" s="6">
        <f>'Elec by Mo'!N81</f>
        <v>-1950861</v>
      </c>
      <c r="C38" s="8"/>
      <c r="D38" s="243"/>
      <c r="E38" s="8">
        <f t="shared" si="4"/>
        <v>0</v>
      </c>
      <c r="F38" s="8">
        <f t="shared" si="5"/>
        <v>0</v>
      </c>
      <c r="G38" s="8">
        <f t="shared" si="6"/>
        <v>-1950861</v>
      </c>
      <c r="H38" s="193" t="e">
        <f t="shared" si="7"/>
        <v>#DIV/0!</v>
      </c>
      <c r="I38" s="193">
        <f t="shared" si="7"/>
        <v>3.024E-2</v>
      </c>
      <c r="J38" s="192">
        <f t="shared" si="8"/>
        <v>0</v>
      </c>
      <c r="K38" s="192">
        <f t="shared" si="10"/>
        <v>0</v>
      </c>
      <c r="L38" s="158" t="e">
        <f t="shared" si="9"/>
        <v>#DIV/0!</v>
      </c>
      <c r="N38" s="242"/>
      <c r="O38" s="242"/>
      <c r="P38" s="16"/>
    </row>
    <row r="39" spans="1:16" ht="12.75">
      <c r="A39" s="13">
        <f t="shared" si="3"/>
        <v>42345</v>
      </c>
      <c r="B39" s="6">
        <f>'Elec by Mo'!O81</f>
        <v>37466326</v>
      </c>
      <c r="C39" s="8"/>
      <c r="D39" s="243"/>
      <c r="E39" s="8">
        <f t="shared" si="4"/>
        <v>0</v>
      </c>
      <c r="F39" s="8">
        <f t="shared" si="5"/>
        <v>0</v>
      </c>
      <c r="G39" s="8">
        <f t="shared" si="6"/>
        <v>37466326</v>
      </c>
      <c r="H39" s="193" t="e">
        <f t="shared" si="7"/>
        <v>#DIV/0!</v>
      </c>
      <c r="I39" s="193">
        <f t="shared" si="7"/>
        <v>-0.58082999999999996</v>
      </c>
      <c r="J39" s="192">
        <f t="shared" si="8"/>
        <v>0</v>
      </c>
      <c r="K39" s="192">
        <f t="shared" si="10"/>
        <v>0</v>
      </c>
      <c r="L39" s="158" t="e">
        <f t="shared" si="9"/>
        <v>#DIV/0!</v>
      </c>
      <c r="N39" s="242"/>
      <c r="O39" s="242"/>
      <c r="P39" s="16"/>
    </row>
    <row r="40" spans="1:16" ht="12.75">
      <c r="A40" s="4" t="s">
        <v>42</v>
      </c>
      <c r="B40" s="7">
        <f>SUM(B28:B39)</f>
        <v>-64505025</v>
      </c>
      <c r="C40" s="8"/>
      <c r="D40" s="7">
        <f>SUM(D28:D39)</f>
        <v>0</v>
      </c>
      <c r="E40" s="7">
        <f t="shared" ref="E40:G40" si="11">SUM(E28:E39)</f>
        <v>0</v>
      </c>
      <c r="F40" s="7">
        <f t="shared" si="11"/>
        <v>0</v>
      </c>
      <c r="G40" s="7">
        <f t="shared" si="11"/>
        <v>-64505025</v>
      </c>
      <c r="H40" s="159" t="e">
        <f>SUM(H28:H39)</f>
        <v>#DIV/0!</v>
      </c>
      <c r="I40" s="159">
        <f>SUM(I28:I39)</f>
        <v>1</v>
      </c>
      <c r="J40" s="7">
        <f t="shared" ref="J40:K40" si="12">SUM(J28:J39)</f>
        <v>0</v>
      </c>
      <c r="K40" s="7">
        <f t="shared" si="12"/>
        <v>0</v>
      </c>
      <c r="N40">
        <f>SUM(N28:N39)</f>
        <v>0</v>
      </c>
      <c r="O40">
        <f>SUM(O28:O39)</f>
        <v>0</v>
      </c>
    </row>
    <row r="41" spans="1:16" ht="12.75">
      <c r="A41" s="2"/>
      <c r="B41" s="2"/>
      <c r="C41" s="2"/>
      <c r="D41" s="2"/>
      <c r="E41" s="2"/>
      <c r="F41" s="2"/>
      <c r="G41" s="21"/>
    </row>
    <row r="42" spans="1:16" ht="12.75">
      <c r="A42" s="2" t="s">
        <v>47</v>
      </c>
      <c r="B42" s="2"/>
      <c r="C42" s="2"/>
      <c r="D42" s="2"/>
      <c r="E42" s="2"/>
      <c r="F42" s="2"/>
      <c r="G42" s="3"/>
    </row>
    <row r="47" spans="1:16" ht="12.75">
      <c r="D47" s="191"/>
    </row>
    <row r="48" spans="1:16" ht="12.75">
      <c r="D48" s="191"/>
    </row>
    <row r="49" spans="4:4" ht="12.75">
      <c r="D49" s="191"/>
    </row>
  </sheetData>
  <mergeCells count="3">
    <mergeCell ref="A4:G4"/>
    <mergeCell ref="A3:G3"/>
    <mergeCell ref="A1:G1"/>
  </mergeCells>
  <phoneticPr fontId="0" type="noConversion"/>
  <printOptions horizontalCentered="1"/>
  <pageMargins left="0.25" right="0.25" top="0.8" bottom="0.81" header="0.5" footer="0.5"/>
  <pageSetup scale="79" orientation="landscape" r:id="rId1"/>
  <headerFooter alignWithMargins="0">
    <oddFooter>&amp;L&amp;"Times New Roman,Regular"file: &amp;F /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2"/>
  </sheetPr>
  <dimension ref="A1:R186"/>
  <sheetViews>
    <sheetView tabSelected="1" workbookViewId="0">
      <selection activeCell="Q74" sqref="Q74"/>
    </sheetView>
  </sheetViews>
  <sheetFormatPr defaultRowHeight="12"/>
  <cols>
    <col min="1" max="1" width="7.125" customWidth="1"/>
    <col min="2" max="2" width="7.5" customWidth="1"/>
    <col min="3" max="3" width="13" customWidth="1"/>
    <col min="4" max="4" width="4.125" customWidth="1"/>
    <col min="5" max="5" width="9" style="51"/>
    <col min="6" max="6" width="9.875" style="30" customWidth="1"/>
    <col min="7" max="7" width="9.875" style="184" customWidth="1"/>
    <col min="8" max="11" width="9.875" style="30" customWidth="1"/>
    <col min="12" max="14" width="9.875" style="30" bestFit="1" customWidth="1"/>
    <col min="15" max="17" width="9.875" bestFit="1" customWidth="1"/>
    <col min="18" max="18" width="14.5" customWidth="1"/>
    <col min="19" max="19" width="9" customWidth="1"/>
  </cols>
  <sheetData>
    <row r="1" spans="1:18" ht="12.75">
      <c r="A1" s="134" t="s">
        <v>412</v>
      </c>
      <c r="B1" s="30"/>
      <c r="C1" s="30"/>
      <c r="D1" s="30"/>
      <c r="E1" s="50"/>
      <c r="H1" s="160"/>
      <c r="J1" s="163"/>
      <c r="O1" s="30"/>
      <c r="P1" s="30"/>
      <c r="Q1" s="30"/>
      <c r="R1" s="30"/>
    </row>
    <row r="2" spans="1:18">
      <c r="A2" s="30"/>
      <c r="B2" s="30"/>
      <c r="C2" s="30"/>
      <c r="D2" s="30"/>
      <c r="E2" s="50"/>
      <c r="O2" s="30"/>
      <c r="P2" s="30"/>
      <c r="Q2" s="30"/>
      <c r="R2" s="30"/>
    </row>
    <row r="3" spans="1:18" ht="13.5" thickBot="1">
      <c r="A3" s="31"/>
      <c r="B3" s="32"/>
      <c r="C3" s="32"/>
      <c r="D3" s="33"/>
      <c r="E3" s="34"/>
      <c r="F3" s="186" t="s">
        <v>252</v>
      </c>
      <c r="G3" s="185"/>
      <c r="H3" s="185"/>
      <c r="I3" s="187"/>
      <c r="J3" s="188"/>
      <c r="K3" s="188"/>
      <c r="L3" s="188"/>
      <c r="M3" s="188"/>
      <c r="N3" s="188"/>
      <c r="O3" s="188"/>
      <c r="P3" s="188"/>
      <c r="Q3" s="187"/>
      <c r="R3" s="35"/>
    </row>
    <row r="4" spans="1:18" ht="13.5" thickBot="1">
      <c r="A4" s="36"/>
      <c r="B4" s="37"/>
      <c r="C4" s="37"/>
      <c r="D4" s="38"/>
      <c r="E4" s="39" t="s">
        <v>102</v>
      </c>
      <c r="F4" s="221" t="s">
        <v>407</v>
      </c>
      <c r="G4" s="221" t="s">
        <v>408</v>
      </c>
      <c r="H4" s="221" t="s">
        <v>409</v>
      </c>
      <c r="I4" s="221" t="s">
        <v>410</v>
      </c>
      <c r="J4" s="221" t="s">
        <v>411</v>
      </c>
      <c r="K4" s="221">
        <v>201906</v>
      </c>
      <c r="L4" s="221" t="s">
        <v>414</v>
      </c>
      <c r="M4" s="221" t="s">
        <v>415</v>
      </c>
      <c r="N4" s="221" t="s">
        <v>416</v>
      </c>
      <c r="O4" s="221" t="s">
        <v>417</v>
      </c>
      <c r="P4" s="221" t="s">
        <v>418</v>
      </c>
      <c r="Q4" s="221" t="s">
        <v>419</v>
      </c>
      <c r="R4" s="222" t="s">
        <v>12</v>
      </c>
    </row>
    <row r="5" spans="1:18" ht="13.5" thickBot="1">
      <c r="A5" s="39" t="s">
        <v>103</v>
      </c>
      <c r="B5" s="40" t="s">
        <v>104</v>
      </c>
      <c r="C5" s="41" t="s">
        <v>105</v>
      </c>
      <c r="D5" s="41" t="s">
        <v>106</v>
      </c>
      <c r="E5" s="49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4"/>
    </row>
    <row r="6" spans="1:18" ht="13.5" thickBot="1">
      <c r="A6" s="42" t="s">
        <v>107</v>
      </c>
      <c r="B6" s="43" t="s">
        <v>108</v>
      </c>
      <c r="C6" s="44" t="s">
        <v>372</v>
      </c>
      <c r="D6" s="41" t="s">
        <v>109</v>
      </c>
      <c r="E6" s="49" t="s">
        <v>95</v>
      </c>
      <c r="F6" s="219">
        <v>109281</v>
      </c>
      <c r="G6" s="219">
        <v>109288</v>
      </c>
      <c r="H6" s="219">
        <v>109370</v>
      </c>
      <c r="I6" s="219">
        <v>109346</v>
      </c>
      <c r="J6" s="219">
        <v>109458</v>
      </c>
      <c r="K6" s="219">
        <v>109284</v>
      </c>
      <c r="L6" s="219">
        <v>109672</v>
      </c>
      <c r="M6" s="219">
        <v>109858</v>
      </c>
      <c r="N6" s="219">
        <v>110104</v>
      </c>
      <c r="O6" s="219">
        <v>110464</v>
      </c>
      <c r="P6" s="219">
        <v>110566</v>
      </c>
      <c r="Q6" s="219">
        <v>110894</v>
      </c>
      <c r="R6" s="225">
        <f t="shared" ref="R6:R37" si="0">SUM(F6:Q6)</f>
        <v>1317585</v>
      </c>
    </row>
    <row r="7" spans="1:18" ht="13.5" thickBot="1">
      <c r="A7" s="45"/>
      <c r="B7" s="46"/>
      <c r="C7" s="47"/>
      <c r="D7" s="41" t="s">
        <v>111</v>
      </c>
      <c r="E7" s="49"/>
      <c r="F7" s="219">
        <v>5</v>
      </c>
      <c r="G7" s="219">
        <v>5</v>
      </c>
      <c r="H7" s="219">
        <v>5</v>
      </c>
      <c r="I7" s="219">
        <v>5</v>
      </c>
      <c r="J7" s="219">
        <v>5</v>
      </c>
      <c r="K7" s="219">
        <v>5</v>
      </c>
      <c r="L7" s="219">
        <v>5</v>
      </c>
      <c r="M7" s="219">
        <v>5</v>
      </c>
      <c r="N7" s="219">
        <v>5</v>
      </c>
      <c r="O7" s="219">
        <v>5</v>
      </c>
      <c r="P7" s="219">
        <v>7</v>
      </c>
      <c r="Q7" s="219">
        <v>6</v>
      </c>
      <c r="R7" s="225">
        <f t="shared" si="0"/>
        <v>63</v>
      </c>
    </row>
    <row r="8" spans="1:18" ht="13.5" thickBot="1">
      <c r="A8" s="45"/>
      <c r="B8" s="46"/>
      <c r="C8" s="48"/>
      <c r="D8" s="216" t="s">
        <v>373</v>
      </c>
      <c r="E8" s="49"/>
      <c r="F8" s="220">
        <v>109286</v>
      </c>
      <c r="G8" s="220">
        <v>109293</v>
      </c>
      <c r="H8" s="220">
        <v>109375</v>
      </c>
      <c r="I8" s="220">
        <v>109351</v>
      </c>
      <c r="J8" s="220">
        <v>109463</v>
      </c>
      <c r="K8" s="220">
        <v>109289</v>
      </c>
      <c r="L8" s="220">
        <v>109677</v>
      </c>
      <c r="M8" s="220">
        <v>109863</v>
      </c>
      <c r="N8" s="220">
        <v>110109</v>
      </c>
      <c r="O8" s="220">
        <v>110469</v>
      </c>
      <c r="P8" s="220">
        <v>110573</v>
      </c>
      <c r="Q8" s="220">
        <v>110900</v>
      </c>
      <c r="R8" s="220">
        <f t="shared" si="0"/>
        <v>1317648</v>
      </c>
    </row>
    <row r="9" spans="1:18" ht="13.5" thickBot="1">
      <c r="A9" s="45"/>
      <c r="B9" s="46"/>
      <c r="C9" s="44" t="s">
        <v>374</v>
      </c>
      <c r="D9" s="41" t="s">
        <v>110</v>
      </c>
      <c r="E9" s="49" t="s">
        <v>97</v>
      </c>
      <c r="F9" s="219">
        <v>16209</v>
      </c>
      <c r="G9" s="219">
        <v>16095</v>
      </c>
      <c r="H9" s="219">
        <v>16177</v>
      </c>
      <c r="I9" s="219">
        <v>16151</v>
      </c>
      <c r="J9" s="219">
        <v>16243</v>
      </c>
      <c r="K9" s="219">
        <v>16106</v>
      </c>
      <c r="L9" s="219">
        <v>16250</v>
      </c>
      <c r="M9" s="219">
        <v>16261</v>
      </c>
      <c r="N9" s="219">
        <v>16184</v>
      </c>
      <c r="O9" s="219">
        <v>16383</v>
      </c>
      <c r="P9" s="219">
        <v>16261</v>
      </c>
      <c r="Q9" s="219">
        <v>16033</v>
      </c>
      <c r="R9" s="225">
        <f t="shared" si="0"/>
        <v>194353</v>
      </c>
    </row>
    <row r="10" spans="1:18" ht="13.5" thickBot="1">
      <c r="A10" s="45"/>
      <c r="B10" s="46"/>
      <c r="C10" s="47"/>
      <c r="D10" s="41" t="s">
        <v>112</v>
      </c>
      <c r="E10" s="49" t="s">
        <v>98</v>
      </c>
      <c r="F10" s="219">
        <v>127</v>
      </c>
      <c r="G10" s="219">
        <v>125</v>
      </c>
      <c r="H10" s="219">
        <v>123</v>
      </c>
      <c r="I10" s="219">
        <v>122</v>
      </c>
      <c r="J10" s="219">
        <v>123</v>
      </c>
      <c r="K10" s="219">
        <v>122</v>
      </c>
      <c r="L10" s="219">
        <v>121</v>
      </c>
      <c r="M10" s="219">
        <v>121</v>
      </c>
      <c r="N10" s="219">
        <v>119</v>
      </c>
      <c r="O10" s="219">
        <v>119</v>
      </c>
      <c r="P10" s="219">
        <v>117</v>
      </c>
      <c r="Q10" s="219">
        <v>117</v>
      </c>
      <c r="R10" s="225">
        <f t="shared" si="0"/>
        <v>1456</v>
      </c>
    </row>
    <row r="11" spans="1:18" ht="13.5" thickBot="1">
      <c r="A11" s="45"/>
      <c r="B11" s="46"/>
      <c r="C11" s="47"/>
      <c r="D11" s="41" t="s">
        <v>111</v>
      </c>
      <c r="E11" s="49"/>
      <c r="F11" s="219">
        <v>31</v>
      </c>
      <c r="G11" s="219">
        <v>31</v>
      </c>
      <c r="H11" s="219">
        <v>30</v>
      </c>
      <c r="I11" s="219">
        <v>32</v>
      </c>
      <c r="J11" s="219">
        <v>31</v>
      </c>
      <c r="K11" s="219">
        <v>31</v>
      </c>
      <c r="L11" s="219">
        <v>31</v>
      </c>
      <c r="M11" s="219">
        <v>31</v>
      </c>
      <c r="N11" s="219">
        <v>31</v>
      </c>
      <c r="O11" s="219">
        <v>31</v>
      </c>
      <c r="P11" s="219">
        <v>31</v>
      </c>
      <c r="Q11" s="219">
        <v>31</v>
      </c>
      <c r="R11" s="225">
        <f t="shared" si="0"/>
        <v>372</v>
      </c>
    </row>
    <row r="12" spans="1:18" ht="13.5" thickBot="1">
      <c r="A12" s="45"/>
      <c r="B12" s="46"/>
      <c r="C12" s="48"/>
      <c r="D12" s="216" t="s">
        <v>375</v>
      </c>
      <c r="E12" s="49" t="s">
        <v>99</v>
      </c>
      <c r="F12" s="220">
        <v>16367</v>
      </c>
      <c r="G12" s="220">
        <v>16251</v>
      </c>
      <c r="H12" s="220">
        <v>16330</v>
      </c>
      <c r="I12" s="220">
        <v>16305</v>
      </c>
      <c r="J12" s="220">
        <v>16397</v>
      </c>
      <c r="K12" s="220">
        <v>16259</v>
      </c>
      <c r="L12" s="220">
        <v>16402</v>
      </c>
      <c r="M12" s="220">
        <v>16413</v>
      </c>
      <c r="N12" s="220">
        <v>16334</v>
      </c>
      <c r="O12" s="220">
        <v>16533</v>
      </c>
      <c r="P12" s="220">
        <v>16409</v>
      </c>
      <c r="Q12" s="220">
        <v>16181</v>
      </c>
      <c r="R12" s="220">
        <f t="shared" si="0"/>
        <v>196181</v>
      </c>
    </row>
    <row r="13" spans="1:18" ht="13.5" thickBot="1">
      <c r="A13" s="45"/>
      <c r="B13" s="46"/>
      <c r="C13" s="44" t="s">
        <v>376</v>
      </c>
      <c r="D13" s="41" t="s">
        <v>109</v>
      </c>
      <c r="E13" s="49" t="s">
        <v>96</v>
      </c>
      <c r="F13" s="219">
        <v>5590</v>
      </c>
      <c r="G13" s="219">
        <v>5558</v>
      </c>
      <c r="H13" s="219">
        <v>5598</v>
      </c>
      <c r="I13" s="219">
        <v>5612</v>
      </c>
      <c r="J13" s="219">
        <v>5659</v>
      </c>
      <c r="K13" s="219">
        <v>5607</v>
      </c>
      <c r="L13" s="219">
        <v>5692</v>
      </c>
      <c r="M13" s="219">
        <v>5679</v>
      </c>
      <c r="N13" s="219">
        <v>5667</v>
      </c>
      <c r="O13" s="219">
        <v>5767</v>
      </c>
      <c r="P13" s="219">
        <v>5753</v>
      </c>
      <c r="Q13" s="219">
        <v>5807</v>
      </c>
      <c r="R13" s="225">
        <f t="shared" si="0"/>
        <v>67989</v>
      </c>
    </row>
    <row r="14" spans="1:18" ht="13.5" thickBot="1">
      <c r="A14" s="45"/>
      <c r="B14" s="46"/>
      <c r="C14" s="48"/>
      <c r="D14" s="216" t="s">
        <v>377</v>
      </c>
      <c r="E14" s="49" t="s">
        <v>99</v>
      </c>
      <c r="F14" s="220">
        <v>5590</v>
      </c>
      <c r="G14" s="220">
        <v>5558</v>
      </c>
      <c r="H14" s="220">
        <v>5598</v>
      </c>
      <c r="I14" s="220">
        <v>5612</v>
      </c>
      <c r="J14" s="220">
        <v>5659</v>
      </c>
      <c r="K14" s="220">
        <v>5607</v>
      </c>
      <c r="L14" s="220">
        <v>5692</v>
      </c>
      <c r="M14" s="220">
        <v>5679</v>
      </c>
      <c r="N14" s="220">
        <v>5667</v>
      </c>
      <c r="O14" s="220">
        <v>5767</v>
      </c>
      <c r="P14" s="220">
        <v>5753</v>
      </c>
      <c r="Q14" s="220">
        <v>5807</v>
      </c>
      <c r="R14" s="220">
        <f t="shared" si="0"/>
        <v>67989</v>
      </c>
    </row>
    <row r="15" spans="1:18" ht="13.5" thickBot="1">
      <c r="A15" s="45"/>
      <c r="B15" s="46"/>
      <c r="C15" s="44" t="s">
        <v>378</v>
      </c>
      <c r="D15" s="41" t="s">
        <v>110</v>
      </c>
      <c r="E15" s="49" t="s">
        <v>126</v>
      </c>
      <c r="F15" s="219">
        <v>996</v>
      </c>
      <c r="G15" s="219">
        <v>986</v>
      </c>
      <c r="H15" s="219">
        <v>993</v>
      </c>
      <c r="I15" s="219">
        <v>988</v>
      </c>
      <c r="J15" s="219">
        <v>991</v>
      </c>
      <c r="K15" s="219">
        <v>980</v>
      </c>
      <c r="L15" s="219">
        <v>981</v>
      </c>
      <c r="M15" s="219">
        <v>974</v>
      </c>
      <c r="N15" s="219">
        <v>974</v>
      </c>
      <c r="O15" s="219">
        <v>975</v>
      </c>
      <c r="P15" s="219">
        <v>966</v>
      </c>
      <c r="Q15" s="219">
        <v>969</v>
      </c>
      <c r="R15" s="225">
        <f t="shared" si="0"/>
        <v>11773</v>
      </c>
    </row>
    <row r="16" spans="1:18" ht="13.5" thickBot="1">
      <c r="A16" s="45"/>
      <c r="B16" s="46"/>
      <c r="C16" s="47"/>
      <c r="D16" s="41" t="s">
        <v>112</v>
      </c>
      <c r="E16" s="49" t="s">
        <v>127</v>
      </c>
      <c r="F16" s="219">
        <v>55</v>
      </c>
      <c r="G16" s="219">
        <v>55</v>
      </c>
      <c r="H16" s="219">
        <v>56</v>
      </c>
      <c r="I16" s="219">
        <v>56</v>
      </c>
      <c r="J16" s="219">
        <v>58</v>
      </c>
      <c r="K16" s="219">
        <v>57</v>
      </c>
      <c r="L16" s="219">
        <v>59</v>
      </c>
      <c r="M16" s="219">
        <v>57</v>
      </c>
      <c r="N16" s="219">
        <v>58</v>
      </c>
      <c r="O16" s="219">
        <v>59</v>
      </c>
      <c r="P16" s="219">
        <v>58</v>
      </c>
      <c r="Q16" s="219">
        <v>61</v>
      </c>
      <c r="R16" s="225">
        <f t="shared" si="0"/>
        <v>689</v>
      </c>
    </row>
    <row r="17" spans="1:18" ht="13.5" thickBot="1">
      <c r="A17" s="45"/>
      <c r="B17" s="46"/>
      <c r="C17" s="47"/>
      <c r="D17" s="41" t="s">
        <v>111</v>
      </c>
      <c r="E17" s="49"/>
      <c r="F17" s="219">
        <v>4</v>
      </c>
      <c r="G17" s="219">
        <v>4</v>
      </c>
      <c r="H17" s="219">
        <v>4</v>
      </c>
      <c r="I17" s="219">
        <v>4</v>
      </c>
      <c r="J17" s="219">
        <v>4</v>
      </c>
      <c r="K17" s="219">
        <v>4</v>
      </c>
      <c r="L17" s="219">
        <v>4</v>
      </c>
      <c r="M17" s="219">
        <v>4</v>
      </c>
      <c r="N17" s="219">
        <v>4</v>
      </c>
      <c r="O17" s="219">
        <v>4</v>
      </c>
      <c r="P17" s="219">
        <v>4</v>
      </c>
      <c r="Q17" s="219">
        <v>4</v>
      </c>
      <c r="R17" s="225">
        <f t="shared" si="0"/>
        <v>48</v>
      </c>
    </row>
    <row r="18" spans="1:18" ht="13.5" thickBot="1">
      <c r="A18" s="45"/>
      <c r="B18" s="46"/>
      <c r="C18" s="48"/>
      <c r="D18" s="216" t="s">
        <v>379</v>
      </c>
      <c r="E18" s="49" t="s">
        <v>128</v>
      </c>
      <c r="F18" s="220">
        <v>1055</v>
      </c>
      <c r="G18" s="220">
        <v>1045</v>
      </c>
      <c r="H18" s="220">
        <v>1053</v>
      </c>
      <c r="I18" s="220">
        <v>1048</v>
      </c>
      <c r="J18" s="220">
        <v>1053</v>
      </c>
      <c r="K18" s="220">
        <v>1041</v>
      </c>
      <c r="L18" s="220">
        <v>1044</v>
      </c>
      <c r="M18" s="220">
        <v>1035</v>
      </c>
      <c r="N18" s="220">
        <v>1036</v>
      </c>
      <c r="O18" s="220">
        <v>1038</v>
      </c>
      <c r="P18" s="220">
        <v>1028</v>
      </c>
      <c r="Q18" s="220">
        <v>1034</v>
      </c>
      <c r="R18" s="220">
        <f t="shared" si="0"/>
        <v>12510</v>
      </c>
    </row>
    <row r="19" spans="1:18" ht="13.5" thickBot="1">
      <c r="A19" s="45"/>
      <c r="B19" s="46"/>
      <c r="C19" s="44" t="s">
        <v>380</v>
      </c>
      <c r="D19" s="41" t="s">
        <v>109</v>
      </c>
      <c r="E19" s="49" t="s">
        <v>100</v>
      </c>
      <c r="F19" s="219">
        <v>17</v>
      </c>
      <c r="G19" s="219">
        <v>17</v>
      </c>
      <c r="H19" s="219">
        <v>17</v>
      </c>
      <c r="I19" s="219">
        <v>17</v>
      </c>
      <c r="J19" s="219">
        <v>17</v>
      </c>
      <c r="K19" s="219">
        <v>17</v>
      </c>
      <c r="L19" s="219">
        <v>17</v>
      </c>
      <c r="M19" s="219">
        <v>17</v>
      </c>
      <c r="N19" s="219">
        <v>17</v>
      </c>
      <c r="O19" s="219">
        <v>17</v>
      </c>
      <c r="P19" s="219">
        <v>17</v>
      </c>
      <c r="Q19" s="219">
        <v>17</v>
      </c>
      <c r="R19" s="225">
        <f t="shared" si="0"/>
        <v>204</v>
      </c>
    </row>
    <row r="20" spans="1:18" ht="13.5" thickBot="1">
      <c r="A20" s="45"/>
      <c r="B20" s="46"/>
      <c r="C20" s="48"/>
      <c r="D20" s="216" t="s">
        <v>381</v>
      </c>
      <c r="E20" s="49" t="s">
        <v>128</v>
      </c>
      <c r="F20" s="220">
        <v>17</v>
      </c>
      <c r="G20" s="220">
        <v>17</v>
      </c>
      <c r="H20" s="220">
        <v>17</v>
      </c>
      <c r="I20" s="220">
        <v>17</v>
      </c>
      <c r="J20" s="220">
        <v>17</v>
      </c>
      <c r="K20" s="220">
        <v>17</v>
      </c>
      <c r="L20" s="220">
        <v>17</v>
      </c>
      <c r="M20" s="220">
        <v>17</v>
      </c>
      <c r="N20" s="220">
        <v>17</v>
      </c>
      <c r="O20" s="220">
        <v>17</v>
      </c>
      <c r="P20" s="220">
        <v>17</v>
      </c>
      <c r="Q20" s="220">
        <v>17</v>
      </c>
      <c r="R20" s="220">
        <f t="shared" si="0"/>
        <v>204</v>
      </c>
    </row>
    <row r="21" spans="1:18" ht="13.5" thickBot="1">
      <c r="A21" s="45"/>
      <c r="B21" s="46"/>
      <c r="C21" s="44" t="s">
        <v>382</v>
      </c>
      <c r="D21" s="41" t="s">
        <v>110</v>
      </c>
      <c r="E21" s="49" t="s">
        <v>129</v>
      </c>
      <c r="F21" s="219">
        <v>4</v>
      </c>
      <c r="G21" s="219">
        <v>3</v>
      </c>
      <c r="H21" s="219">
        <v>3</v>
      </c>
      <c r="I21" s="219">
        <v>3</v>
      </c>
      <c r="J21" s="219">
        <v>3</v>
      </c>
      <c r="K21" s="219">
        <v>3</v>
      </c>
      <c r="L21" s="219">
        <v>3</v>
      </c>
      <c r="M21" s="219">
        <v>3</v>
      </c>
      <c r="N21" s="219">
        <v>3</v>
      </c>
      <c r="O21" s="219">
        <v>3</v>
      </c>
      <c r="P21" s="219">
        <v>3</v>
      </c>
      <c r="Q21" s="219">
        <v>3</v>
      </c>
      <c r="R21" s="225">
        <f t="shared" si="0"/>
        <v>37</v>
      </c>
    </row>
    <row r="22" spans="1:18" ht="13.5" thickBot="1">
      <c r="A22" s="45"/>
      <c r="B22" s="46"/>
      <c r="C22" s="47"/>
      <c r="D22" s="41" t="s">
        <v>112</v>
      </c>
      <c r="E22" s="49" t="s">
        <v>130</v>
      </c>
      <c r="F22" s="219">
        <v>8</v>
      </c>
      <c r="G22" s="219">
        <v>8</v>
      </c>
      <c r="H22" s="219">
        <v>8</v>
      </c>
      <c r="I22" s="219">
        <v>8</v>
      </c>
      <c r="J22" s="219">
        <v>8</v>
      </c>
      <c r="K22" s="219">
        <v>7</v>
      </c>
      <c r="L22" s="219">
        <v>7</v>
      </c>
      <c r="M22" s="219">
        <v>7</v>
      </c>
      <c r="N22" s="219">
        <v>7</v>
      </c>
      <c r="O22" s="219">
        <v>7</v>
      </c>
      <c r="P22" s="219">
        <v>7</v>
      </c>
      <c r="Q22" s="219">
        <v>7</v>
      </c>
      <c r="R22" s="225">
        <f t="shared" si="0"/>
        <v>89</v>
      </c>
    </row>
    <row r="23" spans="1:18" ht="13.5" thickBot="1">
      <c r="A23" s="45"/>
      <c r="B23" s="46"/>
      <c r="C23" s="48"/>
      <c r="D23" s="216" t="s">
        <v>383</v>
      </c>
      <c r="E23" s="49" t="s">
        <v>131</v>
      </c>
      <c r="F23" s="220">
        <v>12</v>
      </c>
      <c r="G23" s="220">
        <v>11</v>
      </c>
      <c r="H23" s="220">
        <v>11</v>
      </c>
      <c r="I23" s="220">
        <v>11</v>
      </c>
      <c r="J23" s="220">
        <v>11</v>
      </c>
      <c r="K23" s="220">
        <v>10</v>
      </c>
      <c r="L23" s="220">
        <v>10</v>
      </c>
      <c r="M23" s="220">
        <v>10</v>
      </c>
      <c r="N23" s="220">
        <v>10</v>
      </c>
      <c r="O23" s="220">
        <v>10</v>
      </c>
      <c r="P23" s="220">
        <v>10</v>
      </c>
      <c r="Q23" s="220">
        <v>10</v>
      </c>
      <c r="R23" s="220">
        <f t="shared" si="0"/>
        <v>126</v>
      </c>
    </row>
    <row r="24" spans="1:18" ht="13.5" thickBot="1">
      <c r="A24" s="45"/>
      <c r="B24" s="46"/>
      <c r="C24" s="44" t="s">
        <v>113</v>
      </c>
      <c r="D24" s="41" t="s">
        <v>112</v>
      </c>
      <c r="E24" s="49"/>
      <c r="F24" s="219">
        <v>1</v>
      </c>
      <c r="G24" s="219">
        <v>1</v>
      </c>
      <c r="H24" s="219">
        <v>1</v>
      </c>
      <c r="I24" s="219">
        <v>1</v>
      </c>
      <c r="J24" s="219">
        <v>1</v>
      </c>
      <c r="K24" s="219">
        <v>1</v>
      </c>
      <c r="L24" s="219">
        <v>1</v>
      </c>
      <c r="M24" s="219">
        <v>1</v>
      </c>
      <c r="N24" s="219">
        <v>1</v>
      </c>
      <c r="O24" s="219">
        <v>1</v>
      </c>
      <c r="P24" s="219">
        <v>1</v>
      </c>
      <c r="Q24" s="219">
        <v>1</v>
      </c>
      <c r="R24" s="225">
        <f t="shared" si="0"/>
        <v>12</v>
      </c>
    </row>
    <row r="25" spans="1:18" ht="13.5" thickBot="1">
      <c r="A25" s="45"/>
      <c r="B25" s="46"/>
      <c r="C25" s="48"/>
      <c r="D25" s="216" t="s">
        <v>253</v>
      </c>
      <c r="E25" s="49"/>
      <c r="F25" s="220">
        <v>1</v>
      </c>
      <c r="G25" s="220">
        <v>1</v>
      </c>
      <c r="H25" s="220">
        <v>1</v>
      </c>
      <c r="I25" s="220">
        <v>1</v>
      </c>
      <c r="J25" s="220">
        <v>1</v>
      </c>
      <c r="K25" s="220">
        <v>1</v>
      </c>
      <c r="L25" s="220">
        <v>1</v>
      </c>
      <c r="M25" s="220">
        <v>1</v>
      </c>
      <c r="N25" s="220">
        <v>1</v>
      </c>
      <c r="O25" s="220">
        <v>1</v>
      </c>
      <c r="P25" s="220">
        <v>1</v>
      </c>
      <c r="Q25" s="220">
        <v>1</v>
      </c>
      <c r="R25" s="220">
        <f t="shared" si="0"/>
        <v>12</v>
      </c>
    </row>
    <row r="26" spans="1:18" ht="13.5" thickBot="1">
      <c r="A26" s="45"/>
      <c r="B26" s="46"/>
      <c r="C26" s="44" t="s">
        <v>384</v>
      </c>
      <c r="D26" s="41" t="s">
        <v>110</v>
      </c>
      <c r="E26" s="49" t="s">
        <v>132</v>
      </c>
      <c r="F26" s="219">
        <v>571</v>
      </c>
      <c r="G26" s="219">
        <v>554</v>
      </c>
      <c r="H26" s="219">
        <v>567</v>
      </c>
      <c r="I26" s="219">
        <v>560</v>
      </c>
      <c r="J26" s="219">
        <v>572</v>
      </c>
      <c r="K26" s="219">
        <v>563</v>
      </c>
      <c r="L26" s="219">
        <v>567</v>
      </c>
      <c r="M26" s="219">
        <v>563</v>
      </c>
      <c r="N26" s="219">
        <v>555</v>
      </c>
      <c r="O26" s="219">
        <v>577</v>
      </c>
      <c r="P26" s="219">
        <v>562</v>
      </c>
      <c r="Q26" s="219">
        <v>564</v>
      </c>
      <c r="R26" s="225">
        <f t="shared" si="0"/>
        <v>6775</v>
      </c>
    </row>
    <row r="27" spans="1:18" ht="13.5" thickBot="1">
      <c r="A27" s="45"/>
      <c r="B27" s="46"/>
      <c r="C27" s="47"/>
      <c r="D27" s="41" t="s">
        <v>112</v>
      </c>
      <c r="E27" s="49" t="s">
        <v>133</v>
      </c>
      <c r="F27" s="219">
        <v>167</v>
      </c>
      <c r="G27" s="219">
        <v>153</v>
      </c>
      <c r="H27" s="219">
        <v>164</v>
      </c>
      <c r="I27" s="219">
        <v>161</v>
      </c>
      <c r="J27" s="219">
        <v>165</v>
      </c>
      <c r="K27" s="219">
        <v>161</v>
      </c>
      <c r="L27" s="219">
        <v>162</v>
      </c>
      <c r="M27" s="219">
        <v>160</v>
      </c>
      <c r="N27" s="219">
        <v>160</v>
      </c>
      <c r="O27" s="219">
        <v>163</v>
      </c>
      <c r="P27" s="219">
        <v>155</v>
      </c>
      <c r="Q27" s="219">
        <v>162</v>
      </c>
      <c r="R27" s="225">
        <f t="shared" si="0"/>
        <v>1933</v>
      </c>
    </row>
    <row r="28" spans="1:18" ht="13.5" thickBot="1">
      <c r="A28" s="45"/>
      <c r="B28" s="46"/>
      <c r="C28" s="47"/>
      <c r="D28" s="41" t="s">
        <v>114</v>
      </c>
      <c r="E28" s="49" t="s">
        <v>133</v>
      </c>
      <c r="F28" s="219">
        <v>45</v>
      </c>
      <c r="G28" s="219">
        <v>44</v>
      </c>
      <c r="H28" s="219">
        <v>43</v>
      </c>
      <c r="I28" s="219">
        <v>43</v>
      </c>
      <c r="J28" s="219">
        <v>46</v>
      </c>
      <c r="K28" s="219">
        <v>44</v>
      </c>
      <c r="L28" s="219">
        <v>43</v>
      </c>
      <c r="M28" s="219">
        <v>43</v>
      </c>
      <c r="N28" s="219">
        <v>42</v>
      </c>
      <c r="O28" s="219">
        <v>44</v>
      </c>
      <c r="P28" s="219">
        <v>42</v>
      </c>
      <c r="Q28" s="219">
        <v>43</v>
      </c>
      <c r="R28" s="225">
        <f t="shared" si="0"/>
        <v>522</v>
      </c>
    </row>
    <row r="29" spans="1:18" ht="13.5" thickBot="1">
      <c r="A29" s="45"/>
      <c r="B29" s="46"/>
      <c r="C29" s="47"/>
      <c r="D29" s="41" t="s">
        <v>111</v>
      </c>
      <c r="E29" s="49"/>
      <c r="F29" s="219">
        <v>1</v>
      </c>
      <c r="G29" s="219">
        <v>1</v>
      </c>
      <c r="H29" s="219">
        <v>1</v>
      </c>
      <c r="I29" s="219">
        <v>1</v>
      </c>
      <c r="J29" s="219">
        <v>1</v>
      </c>
      <c r="K29" s="219">
        <v>1</v>
      </c>
      <c r="L29" s="219">
        <v>1</v>
      </c>
      <c r="M29" s="219">
        <v>1</v>
      </c>
      <c r="N29" s="219">
        <v>1</v>
      </c>
      <c r="O29" s="219">
        <v>1</v>
      </c>
      <c r="P29" s="219">
        <v>1</v>
      </c>
      <c r="Q29" s="219">
        <v>1</v>
      </c>
      <c r="R29" s="225">
        <f t="shared" si="0"/>
        <v>12</v>
      </c>
    </row>
    <row r="30" spans="1:18" ht="13.5" thickBot="1">
      <c r="A30" s="45"/>
      <c r="B30" s="46"/>
      <c r="C30" s="48"/>
      <c r="D30" s="216" t="s">
        <v>385</v>
      </c>
      <c r="E30" s="49" t="s">
        <v>135</v>
      </c>
      <c r="F30" s="220">
        <v>784</v>
      </c>
      <c r="G30" s="220">
        <v>752</v>
      </c>
      <c r="H30" s="220">
        <v>775</v>
      </c>
      <c r="I30" s="220">
        <v>765</v>
      </c>
      <c r="J30" s="220">
        <v>784</v>
      </c>
      <c r="K30" s="220">
        <v>769</v>
      </c>
      <c r="L30" s="220">
        <v>773</v>
      </c>
      <c r="M30" s="220">
        <v>767</v>
      </c>
      <c r="N30" s="220">
        <v>758</v>
      </c>
      <c r="O30" s="220">
        <v>785</v>
      </c>
      <c r="P30" s="220">
        <v>760</v>
      </c>
      <c r="Q30" s="220">
        <v>770</v>
      </c>
      <c r="R30" s="220">
        <f t="shared" si="0"/>
        <v>9242</v>
      </c>
    </row>
    <row r="31" spans="1:18" ht="13.5" thickBot="1">
      <c r="A31" s="45"/>
      <c r="B31" s="46"/>
      <c r="C31" s="44" t="s">
        <v>386</v>
      </c>
      <c r="D31" s="41" t="s">
        <v>109</v>
      </c>
      <c r="E31" s="49" t="s">
        <v>134</v>
      </c>
      <c r="F31" s="219">
        <v>631</v>
      </c>
      <c r="G31" s="219">
        <v>625</v>
      </c>
      <c r="H31" s="219">
        <v>628</v>
      </c>
      <c r="I31" s="219">
        <v>631</v>
      </c>
      <c r="J31" s="219">
        <v>636</v>
      </c>
      <c r="K31" s="219">
        <v>631</v>
      </c>
      <c r="L31" s="219">
        <v>639</v>
      </c>
      <c r="M31" s="219">
        <v>634</v>
      </c>
      <c r="N31" s="219">
        <v>634</v>
      </c>
      <c r="O31" s="219">
        <v>633</v>
      </c>
      <c r="P31" s="219">
        <v>630</v>
      </c>
      <c r="Q31" s="219">
        <v>636</v>
      </c>
      <c r="R31" s="225">
        <f t="shared" si="0"/>
        <v>7588</v>
      </c>
    </row>
    <row r="32" spans="1:18" ht="13.5" thickBot="1">
      <c r="A32" s="45"/>
      <c r="B32" s="46"/>
      <c r="C32" s="47"/>
      <c r="D32" s="41" t="s">
        <v>114</v>
      </c>
      <c r="E32" s="49" t="s">
        <v>133</v>
      </c>
      <c r="F32" s="219">
        <v>33</v>
      </c>
      <c r="G32" s="219">
        <v>33</v>
      </c>
      <c r="H32" s="219">
        <v>33</v>
      </c>
      <c r="I32" s="219">
        <v>33</v>
      </c>
      <c r="J32" s="219">
        <v>32</v>
      </c>
      <c r="K32" s="219">
        <v>31</v>
      </c>
      <c r="L32" s="219">
        <v>35</v>
      </c>
      <c r="M32" s="219">
        <v>33</v>
      </c>
      <c r="N32" s="219">
        <v>30</v>
      </c>
      <c r="O32" s="219">
        <v>36</v>
      </c>
      <c r="P32" s="219">
        <v>32</v>
      </c>
      <c r="Q32" s="219">
        <v>34</v>
      </c>
      <c r="R32" s="225">
        <f t="shared" si="0"/>
        <v>395</v>
      </c>
    </row>
    <row r="33" spans="1:18" ht="13.5" thickBot="1">
      <c r="A33" s="45"/>
      <c r="B33" s="46"/>
      <c r="C33" s="47"/>
      <c r="D33" s="41" t="s">
        <v>111</v>
      </c>
      <c r="E33" s="49"/>
      <c r="F33" s="219">
        <v>1</v>
      </c>
      <c r="G33" s="219">
        <v>1</v>
      </c>
      <c r="H33" s="219">
        <v>1</v>
      </c>
      <c r="I33" s="219">
        <v>1</v>
      </c>
      <c r="J33" s="219">
        <v>1</v>
      </c>
      <c r="K33" s="219">
        <v>1</v>
      </c>
      <c r="L33" s="219">
        <v>1</v>
      </c>
      <c r="M33" s="219">
        <v>1</v>
      </c>
      <c r="N33" s="219">
        <v>1</v>
      </c>
      <c r="O33" s="219">
        <v>1</v>
      </c>
      <c r="P33" s="219">
        <v>1</v>
      </c>
      <c r="Q33" s="219">
        <v>1</v>
      </c>
      <c r="R33" s="225">
        <f t="shared" si="0"/>
        <v>12</v>
      </c>
    </row>
    <row r="34" spans="1:18" ht="13.5" thickBot="1">
      <c r="A34" s="45"/>
      <c r="B34" s="46"/>
      <c r="C34" s="48"/>
      <c r="D34" s="216" t="s">
        <v>387</v>
      </c>
      <c r="E34" s="49" t="s">
        <v>135</v>
      </c>
      <c r="F34" s="220">
        <v>665</v>
      </c>
      <c r="G34" s="220">
        <v>659</v>
      </c>
      <c r="H34" s="220">
        <v>662</v>
      </c>
      <c r="I34" s="220">
        <v>665</v>
      </c>
      <c r="J34" s="220">
        <v>669</v>
      </c>
      <c r="K34" s="220">
        <v>663</v>
      </c>
      <c r="L34" s="220">
        <v>675</v>
      </c>
      <c r="M34" s="220">
        <v>668</v>
      </c>
      <c r="N34" s="220">
        <v>665</v>
      </c>
      <c r="O34" s="220">
        <v>670</v>
      </c>
      <c r="P34" s="220">
        <v>663</v>
      </c>
      <c r="Q34" s="220">
        <v>671</v>
      </c>
      <c r="R34" s="220">
        <f t="shared" si="0"/>
        <v>7995</v>
      </c>
    </row>
    <row r="35" spans="1:18" ht="13.5" thickBot="1">
      <c r="A35" s="45"/>
      <c r="B35" s="43" t="s">
        <v>115</v>
      </c>
      <c r="C35" s="44" t="s">
        <v>372</v>
      </c>
      <c r="D35" s="41" t="s">
        <v>109</v>
      </c>
      <c r="E35" s="49" t="s">
        <v>88</v>
      </c>
      <c r="F35" s="219">
        <v>217678</v>
      </c>
      <c r="G35" s="219">
        <v>211534</v>
      </c>
      <c r="H35" s="219">
        <v>222361</v>
      </c>
      <c r="I35" s="219">
        <v>215623</v>
      </c>
      <c r="J35" s="219">
        <v>219707</v>
      </c>
      <c r="K35" s="219">
        <v>217012</v>
      </c>
      <c r="L35" s="219">
        <v>217507</v>
      </c>
      <c r="M35" s="219">
        <v>218210</v>
      </c>
      <c r="N35" s="219">
        <v>212106</v>
      </c>
      <c r="O35" s="219">
        <v>224922</v>
      </c>
      <c r="P35" s="219">
        <v>219137</v>
      </c>
      <c r="Q35" s="219">
        <v>219471</v>
      </c>
      <c r="R35" s="225">
        <f t="shared" si="0"/>
        <v>2615268</v>
      </c>
    </row>
    <row r="36" spans="1:18" ht="13.5" thickBot="1">
      <c r="A36" s="45"/>
      <c r="B36" s="46"/>
      <c r="C36" s="47"/>
      <c r="D36" s="41" t="s">
        <v>111</v>
      </c>
      <c r="E36" s="49"/>
      <c r="F36" s="219">
        <v>6</v>
      </c>
      <c r="G36" s="219">
        <v>6</v>
      </c>
      <c r="H36" s="219">
        <v>5</v>
      </c>
      <c r="I36" s="219">
        <v>5</v>
      </c>
      <c r="J36" s="219">
        <v>7</v>
      </c>
      <c r="K36" s="219">
        <v>6</v>
      </c>
      <c r="L36" s="219">
        <v>6</v>
      </c>
      <c r="M36" s="219">
        <v>6</v>
      </c>
      <c r="N36" s="219">
        <v>6</v>
      </c>
      <c r="O36" s="219">
        <v>6</v>
      </c>
      <c r="P36" s="219">
        <v>6</v>
      </c>
      <c r="Q36" s="219">
        <v>6</v>
      </c>
      <c r="R36" s="225">
        <f t="shared" si="0"/>
        <v>71</v>
      </c>
    </row>
    <row r="37" spans="1:18" ht="13.5" thickBot="1">
      <c r="A37" s="45"/>
      <c r="B37" s="46"/>
      <c r="C37" s="48"/>
      <c r="D37" s="216" t="s">
        <v>373</v>
      </c>
      <c r="E37" s="49"/>
      <c r="F37" s="220">
        <v>217684</v>
      </c>
      <c r="G37" s="220">
        <v>211540</v>
      </c>
      <c r="H37" s="220">
        <v>222366</v>
      </c>
      <c r="I37" s="220">
        <v>215628</v>
      </c>
      <c r="J37" s="220">
        <v>219714</v>
      </c>
      <c r="K37" s="220">
        <v>217018</v>
      </c>
      <c r="L37" s="220">
        <v>217513</v>
      </c>
      <c r="M37" s="220">
        <v>218216</v>
      </c>
      <c r="N37" s="220">
        <v>212112</v>
      </c>
      <c r="O37" s="220">
        <v>224928</v>
      </c>
      <c r="P37" s="220">
        <v>219143</v>
      </c>
      <c r="Q37" s="220">
        <v>219477</v>
      </c>
      <c r="R37" s="220">
        <f t="shared" si="0"/>
        <v>2615339</v>
      </c>
    </row>
    <row r="38" spans="1:18" ht="13.5" thickBot="1">
      <c r="A38" s="45"/>
      <c r="B38" s="46"/>
      <c r="C38" s="44" t="s">
        <v>343</v>
      </c>
      <c r="D38" s="41" t="s">
        <v>109</v>
      </c>
      <c r="E38" s="49" t="s">
        <v>88</v>
      </c>
      <c r="F38" s="219">
        <v>388</v>
      </c>
      <c r="G38" s="219">
        <v>362</v>
      </c>
      <c r="H38" s="219">
        <v>381</v>
      </c>
      <c r="I38" s="219">
        <v>365</v>
      </c>
      <c r="J38" s="219">
        <v>373</v>
      </c>
      <c r="K38" s="219">
        <v>366</v>
      </c>
      <c r="L38" s="219">
        <v>359</v>
      </c>
      <c r="M38" s="219">
        <v>351</v>
      </c>
      <c r="N38" s="219">
        <v>343</v>
      </c>
      <c r="O38" s="219">
        <v>272</v>
      </c>
      <c r="P38" s="219">
        <v>290</v>
      </c>
      <c r="Q38" s="219">
        <v>328</v>
      </c>
      <c r="R38" s="225">
        <f t="shared" ref="R38:R69" si="1">SUM(F38:Q38)</f>
        <v>4178</v>
      </c>
    </row>
    <row r="39" spans="1:18" ht="13.5" thickBot="1">
      <c r="A39" s="45"/>
      <c r="B39" s="46"/>
      <c r="C39" s="48"/>
      <c r="D39" s="216" t="s">
        <v>344</v>
      </c>
      <c r="E39" s="49"/>
      <c r="F39" s="220">
        <v>388</v>
      </c>
      <c r="G39" s="220">
        <v>362</v>
      </c>
      <c r="H39" s="220">
        <v>381</v>
      </c>
      <c r="I39" s="220">
        <v>365</v>
      </c>
      <c r="J39" s="220">
        <v>373</v>
      </c>
      <c r="K39" s="220">
        <v>366</v>
      </c>
      <c r="L39" s="220">
        <v>359</v>
      </c>
      <c r="M39" s="220">
        <v>351</v>
      </c>
      <c r="N39" s="220">
        <v>343</v>
      </c>
      <c r="O39" s="220">
        <v>272</v>
      </c>
      <c r="P39" s="220">
        <v>290</v>
      </c>
      <c r="Q39" s="220">
        <v>328</v>
      </c>
      <c r="R39" s="220">
        <f t="shared" si="1"/>
        <v>4178</v>
      </c>
    </row>
    <row r="40" spans="1:18" ht="13.5" thickBot="1">
      <c r="A40" s="45"/>
      <c r="B40" s="46"/>
      <c r="C40" s="44" t="s">
        <v>374</v>
      </c>
      <c r="D40" s="41" t="s">
        <v>110</v>
      </c>
      <c r="E40" s="49" t="s">
        <v>90</v>
      </c>
      <c r="F40" s="219">
        <v>22789</v>
      </c>
      <c r="G40" s="219">
        <v>22164</v>
      </c>
      <c r="H40" s="219">
        <v>23152</v>
      </c>
      <c r="I40" s="219">
        <v>22684</v>
      </c>
      <c r="J40" s="219">
        <v>22817</v>
      </c>
      <c r="K40" s="219">
        <v>22711</v>
      </c>
      <c r="L40" s="219">
        <v>22734</v>
      </c>
      <c r="M40" s="219">
        <v>22772</v>
      </c>
      <c r="N40" s="219">
        <v>22354</v>
      </c>
      <c r="O40" s="219">
        <v>23230</v>
      </c>
      <c r="P40" s="219">
        <v>22673</v>
      </c>
      <c r="Q40" s="219">
        <v>22739</v>
      </c>
      <c r="R40" s="225">
        <f t="shared" si="1"/>
        <v>272819</v>
      </c>
    </row>
    <row r="41" spans="1:18" ht="13.5" thickBot="1">
      <c r="A41" s="45"/>
      <c r="B41" s="46"/>
      <c r="C41" s="47"/>
      <c r="D41" s="41" t="s">
        <v>112</v>
      </c>
      <c r="E41" s="49" t="s">
        <v>91</v>
      </c>
      <c r="F41" s="219">
        <v>127</v>
      </c>
      <c r="G41" s="219">
        <v>124</v>
      </c>
      <c r="H41" s="219">
        <v>129</v>
      </c>
      <c r="I41" s="219">
        <v>127</v>
      </c>
      <c r="J41" s="219">
        <v>119</v>
      </c>
      <c r="K41" s="219">
        <v>129</v>
      </c>
      <c r="L41" s="219">
        <v>123</v>
      </c>
      <c r="M41" s="219">
        <v>124</v>
      </c>
      <c r="N41" s="219">
        <v>124</v>
      </c>
      <c r="O41" s="219">
        <v>127</v>
      </c>
      <c r="P41" s="219">
        <v>124</v>
      </c>
      <c r="Q41" s="219">
        <v>124</v>
      </c>
      <c r="R41" s="225">
        <f t="shared" si="1"/>
        <v>1501</v>
      </c>
    </row>
    <row r="42" spans="1:18" ht="13.5" thickBot="1">
      <c r="A42" s="45"/>
      <c r="B42" s="46"/>
      <c r="C42" s="47"/>
      <c r="D42" s="41" t="s">
        <v>111</v>
      </c>
      <c r="E42" s="49"/>
      <c r="F42" s="219">
        <v>66</v>
      </c>
      <c r="G42" s="219">
        <v>62</v>
      </c>
      <c r="H42" s="219">
        <v>65</v>
      </c>
      <c r="I42" s="219">
        <v>63</v>
      </c>
      <c r="J42" s="219">
        <v>65</v>
      </c>
      <c r="K42" s="219">
        <v>65</v>
      </c>
      <c r="L42" s="219">
        <v>66</v>
      </c>
      <c r="M42" s="219">
        <v>67</v>
      </c>
      <c r="N42" s="219">
        <v>70</v>
      </c>
      <c r="O42" s="219">
        <v>64</v>
      </c>
      <c r="P42" s="219">
        <v>57</v>
      </c>
      <c r="Q42" s="219">
        <v>74</v>
      </c>
      <c r="R42" s="225">
        <f t="shared" si="1"/>
        <v>784</v>
      </c>
    </row>
    <row r="43" spans="1:18" ht="13.5" thickBot="1">
      <c r="A43" s="45"/>
      <c r="B43" s="46"/>
      <c r="C43" s="48"/>
      <c r="D43" s="216" t="s">
        <v>375</v>
      </c>
      <c r="E43" s="49" t="s">
        <v>92</v>
      </c>
      <c r="F43" s="220">
        <v>22982</v>
      </c>
      <c r="G43" s="220">
        <v>22350</v>
      </c>
      <c r="H43" s="220">
        <v>23346</v>
      </c>
      <c r="I43" s="220">
        <v>22874</v>
      </c>
      <c r="J43" s="220">
        <v>23001</v>
      </c>
      <c r="K43" s="220">
        <v>22905</v>
      </c>
      <c r="L43" s="220">
        <v>22923</v>
      </c>
      <c r="M43" s="220">
        <v>22963</v>
      </c>
      <c r="N43" s="220">
        <v>22548</v>
      </c>
      <c r="O43" s="220">
        <v>23421</v>
      </c>
      <c r="P43" s="220">
        <v>22854</v>
      </c>
      <c r="Q43" s="220">
        <v>22937</v>
      </c>
      <c r="R43" s="220">
        <f t="shared" si="1"/>
        <v>275104</v>
      </c>
    </row>
    <row r="44" spans="1:18" ht="13.5" thickBot="1">
      <c r="A44" s="45"/>
      <c r="B44" s="46"/>
      <c r="C44" s="44" t="s">
        <v>376</v>
      </c>
      <c r="D44" s="41" t="s">
        <v>109</v>
      </c>
      <c r="E44" s="49" t="s">
        <v>89</v>
      </c>
      <c r="F44" s="219">
        <v>9680</v>
      </c>
      <c r="G44" s="219">
        <v>9411</v>
      </c>
      <c r="H44" s="219">
        <v>9902</v>
      </c>
      <c r="I44" s="219">
        <v>9671</v>
      </c>
      <c r="J44" s="219">
        <v>9766</v>
      </c>
      <c r="K44" s="219">
        <v>9692</v>
      </c>
      <c r="L44" s="219">
        <v>9736</v>
      </c>
      <c r="M44" s="219">
        <v>9767</v>
      </c>
      <c r="N44" s="219">
        <v>9551</v>
      </c>
      <c r="O44" s="219">
        <v>10011</v>
      </c>
      <c r="P44" s="219">
        <v>9705</v>
      </c>
      <c r="Q44" s="219">
        <v>9795</v>
      </c>
      <c r="R44" s="225">
        <f t="shared" si="1"/>
        <v>116687</v>
      </c>
    </row>
    <row r="45" spans="1:18" ht="13.5" thickBot="1">
      <c r="A45" s="45"/>
      <c r="B45" s="46"/>
      <c r="C45" s="47"/>
      <c r="D45" s="41" t="s">
        <v>111</v>
      </c>
      <c r="E45" s="49"/>
      <c r="F45" s="219">
        <v>1</v>
      </c>
      <c r="G45" s="219">
        <v>1</v>
      </c>
      <c r="H45" s="219">
        <v>1</v>
      </c>
      <c r="I45" s="219">
        <v>1</v>
      </c>
      <c r="J45" s="219">
        <v>1</v>
      </c>
      <c r="K45" s="219">
        <v>1</v>
      </c>
      <c r="L45" s="219">
        <v>1</v>
      </c>
      <c r="M45" s="219">
        <v>1</v>
      </c>
      <c r="N45" s="219">
        <v>1</v>
      </c>
      <c r="O45" s="219">
        <v>1</v>
      </c>
      <c r="P45" s="219">
        <v>1</v>
      </c>
      <c r="Q45" s="219">
        <v>1</v>
      </c>
      <c r="R45" s="225">
        <f t="shared" si="1"/>
        <v>12</v>
      </c>
    </row>
    <row r="46" spans="1:18" ht="13.5" thickBot="1">
      <c r="A46" s="45"/>
      <c r="B46" s="46"/>
      <c r="C46" s="48"/>
      <c r="D46" s="216" t="s">
        <v>377</v>
      </c>
      <c r="E46" s="49" t="s">
        <v>92</v>
      </c>
      <c r="F46" s="220">
        <v>9681</v>
      </c>
      <c r="G46" s="220">
        <v>9412</v>
      </c>
      <c r="H46" s="220">
        <v>9903</v>
      </c>
      <c r="I46" s="220">
        <v>9672</v>
      </c>
      <c r="J46" s="220">
        <v>9767</v>
      </c>
      <c r="K46" s="220">
        <v>9693</v>
      </c>
      <c r="L46" s="220">
        <v>9737</v>
      </c>
      <c r="M46" s="220">
        <v>9768</v>
      </c>
      <c r="N46" s="220">
        <v>9552</v>
      </c>
      <c r="O46" s="220">
        <v>10012</v>
      </c>
      <c r="P46" s="220">
        <v>9706</v>
      </c>
      <c r="Q46" s="220">
        <v>9796</v>
      </c>
      <c r="R46" s="220">
        <f t="shared" si="1"/>
        <v>116699</v>
      </c>
    </row>
    <row r="47" spans="1:18" ht="13.5" thickBot="1">
      <c r="A47" s="45"/>
      <c r="B47" s="46"/>
      <c r="C47" s="44" t="s">
        <v>378</v>
      </c>
      <c r="D47" s="41" t="s">
        <v>110</v>
      </c>
      <c r="E47" s="49" t="s">
        <v>116</v>
      </c>
      <c r="F47" s="219">
        <v>1768</v>
      </c>
      <c r="G47" s="219">
        <v>1718</v>
      </c>
      <c r="H47" s="219">
        <v>1818</v>
      </c>
      <c r="I47" s="219">
        <v>1772</v>
      </c>
      <c r="J47" s="219">
        <v>1758</v>
      </c>
      <c r="K47" s="219">
        <v>1782</v>
      </c>
      <c r="L47" s="219">
        <v>1782</v>
      </c>
      <c r="M47" s="219">
        <v>1778</v>
      </c>
      <c r="N47" s="219">
        <v>1720</v>
      </c>
      <c r="O47" s="219">
        <v>1827</v>
      </c>
      <c r="P47" s="219">
        <v>1757</v>
      </c>
      <c r="Q47" s="219">
        <v>1787</v>
      </c>
      <c r="R47" s="225">
        <f t="shared" si="1"/>
        <v>21267</v>
      </c>
    </row>
    <row r="48" spans="1:18" ht="13.5" thickBot="1">
      <c r="A48" s="45"/>
      <c r="B48" s="46"/>
      <c r="C48" s="47"/>
      <c r="D48" s="41" t="s">
        <v>112</v>
      </c>
      <c r="E48" s="49" t="s">
        <v>117</v>
      </c>
      <c r="F48" s="219">
        <v>76</v>
      </c>
      <c r="G48" s="219">
        <v>75</v>
      </c>
      <c r="H48" s="219">
        <v>76</v>
      </c>
      <c r="I48" s="219">
        <v>77</v>
      </c>
      <c r="J48" s="219">
        <v>72</v>
      </c>
      <c r="K48" s="219">
        <v>78</v>
      </c>
      <c r="L48" s="219">
        <v>78</v>
      </c>
      <c r="M48" s="219">
        <v>74</v>
      </c>
      <c r="N48" s="219">
        <v>75</v>
      </c>
      <c r="O48" s="219">
        <v>77</v>
      </c>
      <c r="P48" s="219">
        <v>73</v>
      </c>
      <c r="Q48" s="219">
        <v>76</v>
      </c>
      <c r="R48" s="225">
        <f t="shared" si="1"/>
        <v>907</v>
      </c>
    </row>
    <row r="49" spans="1:18" ht="13.5" thickBot="1">
      <c r="A49" s="45"/>
      <c r="B49" s="46"/>
      <c r="C49" s="47"/>
      <c r="D49" s="41" t="s">
        <v>111</v>
      </c>
      <c r="E49" s="49"/>
      <c r="F49" s="219">
        <v>16</v>
      </c>
      <c r="G49" s="219">
        <v>16</v>
      </c>
      <c r="H49" s="219">
        <v>16</v>
      </c>
      <c r="I49" s="219">
        <v>16</v>
      </c>
      <c r="J49" s="219">
        <v>16</v>
      </c>
      <c r="K49" s="219">
        <v>17</v>
      </c>
      <c r="L49" s="219">
        <v>16</v>
      </c>
      <c r="M49" s="219">
        <v>16</v>
      </c>
      <c r="N49" s="219">
        <v>16</v>
      </c>
      <c r="O49" s="219">
        <v>16</v>
      </c>
      <c r="P49" s="219">
        <v>16</v>
      </c>
      <c r="Q49" s="219">
        <v>16</v>
      </c>
      <c r="R49" s="225">
        <f t="shared" si="1"/>
        <v>193</v>
      </c>
    </row>
    <row r="50" spans="1:18" ht="13.5" thickBot="1">
      <c r="A50" s="45"/>
      <c r="B50" s="46"/>
      <c r="C50" s="48"/>
      <c r="D50" s="216" t="s">
        <v>379</v>
      </c>
      <c r="E50" s="49" t="s">
        <v>118</v>
      </c>
      <c r="F50" s="220">
        <v>1860</v>
      </c>
      <c r="G50" s="220">
        <v>1809</v>
      </c>
      <c r="H50" s="220">
        <v>1910</v>
      </c>
      <c r="I50" s="220">
        <v>1865</v>
      </c>
      <c r="J50" s="220">
        <v>1846</v>
      </c>
      <c r="K50" s="220">
        <v>1877</v>
      </c>
      <c r="L50" s="220">
        <v>1876</v>
      </c>
      <c r="M50" s="220">
        <v>1868</v>
      </c>
      <c r="N50" s="220">
        <v>1811</v>
      </c>
      <c r="O50" s="220">
        <v>1920</v>
      </c>
      <c r="P50" s="220">
        <v>1846</v>
      </c>
      <c r="Q50" s="220">
        <v>1879</v>
      </c>
      <c r="R50" s="220">
        <f t="shared" si="1"/>
        <v>22367</v>
      </c>
    </row>
    <row r="51" spans="1:18" ht="13.5" thickBot="1">
      <c r="A51" s="45"/>
      <c r="B51" s="46"/>
      <c r="C51" s="44" t="s">
        <v>380</v>
      </c>
      <c r="D51" s="41" t="s">
        <v>109</v>
      </c>
      <c r="E51" s="49" t="s">
        <v>93</v>
      </c>
      <c r="F51" s="219">
        <v>50</v>
      </c>
      <c r="G51" s="219">
        <v>44</v>
      </c>
      <c r="H51" s="219">
        <v>50</v>
      </c>
      <c r="I51" s="219">
        <v>47</v>
      </c>
      <c r="J51" s="219">
        <v>48</v>
      </c>
      <c r="K51" s="219">
        <v>48</v>
      </c>
      <c r="L51" s="219">
        <v>47</v>
      </c>
      <c r="M51" s="219">
        <v>49</v>
      </c>
      <c r="N51" s="219">
        <v>44</v>
      </c>
      <c r="O51" s="219">
        <v>52</v>
      </c>
      <c r="P51" s="219">
        <v>48</v>
      </c>
      <c r="Q51" s="219">
        <v>47</v>
      </c>
      <c r="R51" s="225">
        <f t="shared" si="1"/>
        <v>574</v>
      </c>
    </row>
    <row r="52" spans="1:18" ht="13.5" thickBot="1">
      <c r="A52" s="45"/>
      <c r="B52" s="46"/>
      <c r="C52" s="48"/>
      <c r="D52" s="216" t="s">
        <v>381</v>
      </c>
      <c r="E52" s="49" t="s">
        <v>118</v>
      </c>
      <c r="F52" s="220">
        <v>50</v>
      </c>
      <c r="G52" s="220">
        <v>44</v>
      </c>
      <c r="H52" s="220">
        <v>50</v>
      </c>
      <c r="I52" s="220">
        <v>47</v>
      </c>
      <c r="J52" s="220">
        <v>48</v>
      </c>
      <c r="K52" s="220">
        <v>48</v>
      </c>
      <c r="L52" s="220">
        <v>47</v>
      </c>
      <c r="M52" s="220">
        <v>49</v>
      </c>
      <c r="N52" s="220">
        <v>44</v>
      </c>
      <c r="O52" s="220">
        <v>52</v>
      </c>
      <c r="P52" s="220">
        <v>48</v>
      </c>
      <c r="Q52" s="220">
        <v>47</v>
      </c>
      <c r="R52" s="220">
        <f t="shared" si="1"/>
        <v>574</v>
      </c>
    </row>
    <row r="53" spans="1:18" ht="13.5" thickBot="1">
      <c r="A53" s="45"/>
      <c r="B53" s="46"/>
      <c r="C53" s="44" t="s">
        <v>382</v>
      </c>
      <c r="D53" s="41" t="s">
        <v>110</v>
      </c>
      <c r="E53" s="49" t="s">
        <v>119</v>
      </c>
      <c r="F53" s="219">
        <v>10</v>
      </c>
      <c r="G53" s="219">
        <v>10</v>
      </c>
      <c r="H53" s="219">
        <v>10</v>
      </c>
      <c r="I53" s="219">
        <v>10</v>
      </c>
      <c r="J53" s="219">
        <v>10</v>
      </c>
      <c r="K53" s="219">
        <v>10</v>
      </c>
      <c r="L53" s="219">
        <v>10</v>
      </c>
      <c r="M53" s="219">
        <v>10</v>
      </c>
      <c r="N53" s="219">
        <v>10</v>
      </c>
      <c r="O53" s="219">
        <v>10</v>
      </c>
      <c r="P53" s="219">
        <v>10</v>
      </c>
      <c r="Q53" s="219">
        <v>10</v>
      </c>
      <c r="R53" s="225">
        <f t="shared" si="1"/>
        <v>120</v>
      </c>
    </row>
    <row r="54" spans="1:18" ht="13.5" thickBot="1">
      <c r="A54" s="45"/>
      <c r="B54" s="46"/>
      <c r="C54" s="47"/>
      <c r="D54" s="41" t="s">
        <v>112</v>
      </c>
      <c r="E54" s="49" t="s">
        <v>120</v>
      </c>
      <c r="F54" s="219">
        <v>13</v>
      </c>
      <c r="G54" s="219">
        <v>13</v>
      </c>
      <c r="H54" s="219">
        <v>13</v>
      </c>
      <c r="I54" s="219">
        <v>13</v>
      </c>
      <c r="J54" s="219">
        <v>13</v>
      </c>
      <c r="K54" s="219">
        <v>13</v>
      </c>
      <c r="L54" s="219">
        <v>13</v>
      </c>
      <c r="M54" s="219">
        <v>13</v>
      </c>
      <c r="N54" s="219">
        <v>13</v>
      </c>
      <c r="O54" s="219">
        <v>13</v>
      </c>
      <c r="P54" s="219">
        <v>13</v>
      </c>
      <c r="Q54" s="219">
        <v>13</v>
      </c>
      <c r="R54" s="225">
        <f t="shared" si="1"/>
        <v>156</v>
      </c>
    </row>
    <row r="55" spans="1:18" ht="13.5" thickBot="1">
      <c r="A55" s="45"/>
      <c r="B55" s="46"/>
      <c r="C55" s="48"/>
      <c r="D55" s="216" t="s">
        <v>383</v>
      </c>
      <c r="E55" s="49" t="s">
        <v>121</v>
      </c>
      <c r="F55" s="220">
        <v>23</v>
      </c>
      <c r="G55" s="220">
        <v>23</v>
      </c>
      <c r="H55" s="220">
        <v>23</v>
      </c>
      <c r="I55" s="220">
        <v>23</v>
      </c>
      <c r="J55" s="220">
        <v>23</v>
      </c>
      <c r="K55" s="220">
        <v>23</v>
      </c>
      <c r="L55" s="220">
        <v>23</v>
      </c>
      <c r="M55" s="220">
        <v>23</v>
      </c>
      <c r="N55" s="220">
        <v>23</v>
      </c>
      <c r="O55" s="220">
        <v>23</v>
      </c>
      <c r="P55" s="220">
        <v>23</v>
      </c>
      <c r="Q55" s="220">
        <v>23</v>
      </c>
      <c r="R55" s="220">
        <f t="shared" si="1"/>
        <v>276</v>
      </c>
    </row>
    <row r="56" spans="1:18" ht="13.5" thickBot="1">
      <c r="A56" s="45"/>
      <c r="B56" s="46"/>
      <c r="C56" s="44" t="s">
        <v>388</v>
      </c>
      <c r="D56" s="41" t="s">
        <v>114</v>
      </c>
      <c r="E56" s="49" t="s">
        <v>122</v>
      </c>
      <c r="F56" s="219">
        <v>3</v>
      </c>
      <c r="G56" s="219">
        <v>4</v>
      </c>
      <c r="H56" s="219">
        <v>4</v>
      </c>
      <c r="I56" s="219">
        <v>4</v>
      </c>
      <c r="J56" s="219">
        <v>3</v>
      </c>
      <c r="K56" s="219">
        <v>3</v>
      </c>
      <c r="L56" s="219">
        <v>3</v>
      </c>
      <c r="M56" s="219">
        <v>3</v>
      </c>
      <c r="N56" s="219">
        <v>3</v>
      </c>
      <c r="O56" s="219">
        <v>3</v>
      </c>
      <c r="P56" s="219">
        <v>3</v>
      </c>
      <c r="Q56" s="219">
        <v>3</v>
      </c>
      <c r="R56" s="225">
        <f t="shared" si="1"/>
        <v>39</v>
      </c>
    </row>
    <row r="57" spans="1:18" ht="13.5" thickBot="1">
      <c r="A57" s="45"/>
      <c r="B57" s="46"/>
      <c r="C57" s="47"/>
      <c r="D57" s="41" t="s">
        <v>109</v>
      </c>
      <c r="E57" s="49" t="s">
        <v>124</v>
      </c>
      <c r="F57" s="219">
        <v>55</v>
      </c>
      <c r="G57" s="219">
        <v>49</v>
      </c>
      <c r="H57" s="219">
        <v>49</v>
      </c>
      <c r="I57" s="219">
        <v>48</v>
      </c>
      <c r="J57" s="219">
        <v>50</v>
      </c>
      <c r="K57" s="219">
        <v>49</v>
      </c>
      <c r="L57" s="219">
        <v>49</v>
      </c>
      <c r="M57" s="219">
        <v>48</v>
      </c>
      <c r="N57" s="219">
        <v>50</v>
      </c>
      <c r="O57" s="219">
        <v>49</v>
      </c>
      <c r="P57" s="219">
        <v>48</v>
      </c>
      <c r="Q57" s="219">
        <v>48</v>
      </c>
      <c r="R57" s="225">
        <f t="shared" si="1"/>
        <v>592</v>
      </c>
    </row>
    <row r="58" spans="1:18" ht="13.5" thickBot="1">
      <c r="A58" s="45"/>
      <c r="B58" s="46"/>
      <c r="C58" s="48"/>
      <c r="D58" s="216" t="s">
        <v>389</v>
      </c>
      <c r="E58" s="49" t="s">
        <v>125</v>
      </c>
      <c r="F58" s="220">
        <v>58</v>
      </c>
      <c r="G58" s="220">
        <v>53</v>
      </c>
      <c r="H58" s="220">
        <v>53</v>
      </c>
      <c r="I58" s="220">
        <v>52</v>
      </c>
      <c r="J58" s="220">
        <v>53</v>
      </c>
      <c r="K58" s="220">
        <v>52</v>
      </c>
      <c r="L58" s="220">
        <v>52</v>
      </c>
      <c r="M58" s="220">
        <v>51</v>
      </c>
      <c r="N58" s="220">
        <v>53</v>
      </c>
      <c r="O58" s="220">
        <v>52</v>
      </c>
      <c r="P58" s="220">
        <v>51</v>
      </c>
      <c r="Q58" s="220">
        <v>51</v>
      </c>
      <c r="R58" s="220">
        <f t="shared" si="1"/>
        <v>631</v>
      </c>
    </row>
    <row r="59" spans="1:18" ht="13.5" thickBot="1">
      <c r="A59" s="45"/>
      <c r="B59" s="46"/>
      <c r="C59" s="44" t="s">
        <v>384</v>
      </c>
      <c r="D59" s="41" t="s">
        <v>110</v>
      </c>
      <c r="E59" s="49" t="s">
        <v>123</v>
      </c>
      <c r="F59" s="219">
        <v>672</v>
      </c>
      <c r="G59" s="219">
        <v>645</v>
      </c>
      <c r="H59" s="219">
        <v>682</v>
      </c>
      <c r="I59" s="219">
        <v>671</v>
      </c>
      <c r="J59" s="219">
        <v>681</v>
      </c>
      <c r="K59" s="219">
        <v>676</v>
      </c>
      <c r="L59" s="219">
        <v>684</v>
      </c>
      <c r="M59" s="219">
        <v>670</v>
      </c>
      <c r="N59" s="219">
        <v>676</v>
      </c>
      <c r="O59" s="219">
        <v>694</v>
      </c>
      <c r="P59" s="219">
        <v>659</v>
      </c>
      <c r="Q59" s="219">
        <v>677</v>
      </c>
      <c r="R59" s="225">
        <f t="shared" si="1"/>
        <v>8087</v>
      </c>
    </row>
    <row r="60" spans="1:18" ht="13.5" thickBot="1">
      <c r="A60" s="45"/>
      <c r="B60" s="46"/>
      <c r="C60" s="47"/>
      <c r="D60" s="41" t="s">
        <v>112</v>
      </c>
      <c r="E60" s="49" t="s">
        <v>122</v>
      </c>
      <c r="F60" s="219">
        <v>127</v>
      </c>
      <c r="G60" s="219">
        <v>126</v>
      </c>
      <c r="H60" s="219">
        <v>127</v>
      </c>
      <c r="I60" s="219">
        <v>131</v>
      </c>
      <c r="J60" s="219">
        <v>137</v>
      </c>
      <c r="K60" s="219">
        <v>132</v>
      </c>
      <c r="L60" s="219">
        <v>136</v>
      </c>
      <c r="M60" s="219">
        <v>138</v>
      </c>
      <c r="N60" s="219">
        <v>133</v>
      </c>
      <c r="O60" s="219">
        <v>139</v>
      </c>
      <c r="P60" s="219">
        <v>132</v>
      </c>
      <c r="Q60" s="219">
        <v>135</v>
      </c>
      <c r="R60" s="225">
        <f t="shared" si="1"/>
        <v>1593</v>
      </c>
    </row>
    <row r="61" spans="1:18" ht="13.5" thickBot="1">
      <c r="A61" s="45"/>
      <c r="B61" s="46"/>
      <c r="C61" s="47"/>
      <c r="D61" s="41" t="s">
        <v>114</v>
      </c>
      <c r="E61" s="49" t="s">
        <v>122</v>
      </c>
      <c r="F61" s="219">
        <v>413</v>
      </c>
      <c r="G61" s="219">
        <v>395</v>
      </c>
      <c r="H61" s="219">
        <v>390</v>
      </c>
      <c r="I61" s="219">
        <v>394</v>
      </c>
      <c r="J61" s="219">
        <v>387</v>
      </c>
      <c r="K61" s="219">
        <v>389</v>
      </c>
      <c r="L61" s="219">
        <v>388</v>
      </c>
      <c r="M61" s="219">
        <v>386</v>
      </c>
      <c r="N61" s="219">
        <v>384</v>
      </c>
      <c r="O61" s="219">
        <v>391</v>
      </c>
      <c r="P61" s="219">
        <v>385</v>
      </c>
      <c r="Q61" s="219">
        <v>381</v>
      </c>
      <c r="R61" s="225">
        <f t="shared" si="1"/>
        <v>4683</v>
      </c>
    </row>
    <row r="62" spans="1:18" ht="13.5" thickBot="1">
      <c r="A62" s="45"/>
      <c r="B62" s="46"/>
      <c r="C62" s="47"/>
      <c r="D62" s="41" t="s">
        <v>111</v>
      </c>
      <c r="E62" s="49"/>
      <c r="F62" s="219">
        <v>4</v>
      </c>
      <c r="G62" s="219">
        <v>4</v>
      </c>
      <c r="H62" s="219">
        <v>4</v>
      </c>
      <c r="I62" s="219">
        <v>4</v>
      </c>
      <c r="J62" s="219">
        <v>4</v>
      </c>
      <c r="K62" s="219">
        <v>4</v>
      </c>
      <c r="L62" s="219">
        <v>4</v>
      </c>
      <c r="M62" s="219">
        <v>4</v>
      </c>
      <c r="N62" s="219">
        <v>4</v>
      </c>
      <c r="O62" s="219">
        <v>4</v>
      </c>
      <c r="P62" s="219">
        <v>4</v>
      </c>
      <c r="Q62" s="219">
        <v>4</v>
      </c>
      <c r="R62" s="225">
        <f t="shared" si="1"/>
        <v>48</v>
      </c>
    </row>
    <row r="63" spans="1:18" ht="13.5" thickBot="1">
      <c r="A63" s="45"/>
      <c r="B63" s="46"/>
      <c r="C63" s="48"/>
      <c r="D63" s="216" t="s">
        <v>385</v>
      </c>
      <c r="E63" s="49" t="s">
        <v>125</v>
      </c>
      <c r="F63" s="220">
        <v>1216</v>
      </c>
      <c r="G63" s="220">
        <v>1170</v>
      </c>
      <c r="H63" s="220">
        <v>1203</v>
      </c>
      <c r="I63" s="220">
        <v>1200</v>
      </c>
      <c r="J63" s="220">
        <v>1209</v>
      </c>
      <c r="K63" s="220">
        <v>1201</v>
      </c>
      <c r="L63" s="220">
        <v>1212</v>
      </c>
      <c r="M63" s="220">
        <v>1198</v>
      </c>
      <c r="N63" s="220">
        <v>1197</v>
      </c>
      <c r="O63" s="220">
        <v>1228</v>
      </c>
      <c r="P63" s="220">
        <v>1180</v>
      </c>
      <c r="Q63" s="220">
        <v>1197</v>
      </c>
      <c r="R63" s="220">
        <f t="shared" si="1"/>
        <v>14411</v>
      </c>
    </row>
    <row r="64" spans="1:18" ht="13.5" thickBot="1">
      <c r="A64" s="45"/>
      <c r="B64" s="46"/>
      <c r="C64" s="44" t="s">
        <v>386</v>
      </c>
      <c r="D64" s="41" t="s">
        <v>109</v>
      </c>
      <c r="E64" s="49" t="s">
        <v>124</v>
      </c>
      <c r="F64" s="219">
        <v>1117</v>
      </c>
      <c r="G64" s="219">
        <v>1070</v>
      </c>
      <c r="H64" s="219">
        <v>1124</v>
      </c>
      <c r="I64" s="219">
        <v>1133</v>
      </c>
      <c r="J64" s="219">
        <v>1113</v>
      </c>
      <c r="K64" s="219">
        <v>1113</v>
      </c>
      <c r="L64" s="219">
        <v>1087</v>
      </c>
      <c r="M64" s="219">
        <v>1113</v>
      </c>
      <c r="N64" s="219">
        <v>1106</v>
      </c>
      <c r="O64" s="219">
        <v>1138</v>
      </c>
      <c r="P64" s="219">
        <v>1097</v>
      </c>
      <c r="Q64" s="219">
        <v>1105</v>
      </c>
      <c r="R64" s="225">
        <f t="shared" si="1"/>
        <v>13316</v>
      </c>
    </row>
    <row r="65" spans="1:18" ht="13.5" thickBot="1">
      <c r="A65" s="45"/>
      <c r="B65" s="46"/>
      <c r="C65" s="47"/>
      <c r="D65" s="41" t="s">
        <v>114</v>
      </c>
      <c r="E65" s="49" t="s">
        <v>122</v>
      </c>
      <c r="F65" s="219">
        <v>94</v>
      </c>
      <c r="G65" s="219">
        <v>94</v>
      </c>
      <c r="H65" s="219">
        <v>94</v>
      </c>
      <c r="I65" s="219">
        <v>94</v>
      </c>
      <c r="J65" s="219">
        <v>97</v>
      </c>
      <c r="K65" s="219">
        <v>91</v>
      </c>
      <c r="L65" s="219">
        <v>96</v>
      </c>
      <c r="M65" s="219">
        <v>98</v>
      </c>
      <c r="N65" s="219">
        <v>94</v>
      </c>
      <c r="O65" s="219">
        <v>94</v>
      </c>
      <c r="P65" s="219">
        <v>97</v>
      </c>
      <c r="Q65" s="219">
        <v>91</v>
      </c>
      <c r="R65" s="225">
        <f t="shared" si="1"/>
        <v>1134</v>
      </c>
    </row>
    <row r="66" spans="1:18" ht="13.5" thickBot="1">
      <c r="A66" s="45"/>
      <c r="B66" s="46"/>
      <c r="C66" s="48"/>
      <c r="D66" s="216" t="s">
        <v>387</v>
      </c>
      <c r="E66" s="49" t="s">
        <v>125</v>
      </c>
      <c r="F66" s="220">
        <v>1211</v>
      </c>
      <c r="G66" s="220">
        <v>1164</v>
      </c>
      <c r="H66" s="220">
        <v>1218</v>
      </c>
      <c r="I66" s="220">
        <v>1227</v>
      </c>
      <c r="J66" s="220">
        <v>1210</v>
      </c>
      <c r="K66" s="220">
        <v>1204</v>
      </c>
      <c r="L66" s="220">
        <v>1183</v>
      </c>
      <c r="M66" s="220">
        <v>1211</v>
      </c>
      <c r="N66" s="220">
        <v>1200</v>
      </c>
      <c r="O66" s="220">
        <v>1232</v>
      </c>
      <c r="P66" s="220">
        <v>1194</v>
      </c>
      <c r="Q66" s="220">
        <v>1196</v>
      </c>
      <c r="R66" s="220">
        <f t="shared" si="1"/>
        <v>14450</v>
      </c>
    </row>
    <row r="67" spans="1:18" ht="13.5" thickBot="1">
      <c r="A67" s="42" t="s">
        <v>174</v>
      </c>
      <c r="B67" s="43" t="s">
        <v>108</v>
      </c>
      <c r="C67" s="44" t="s">
        <v>352</v>
      </c>
      <c r="D67" s="41" t="s">
        <v>109</v>
      </c>
      <c r="E67" s="49" t="s">
        <v>68</v>
      </c>
      <c r="F67" s="219">
        <v>76042</v>
      </c>
      <c r="G67" s="219">
        <v>76018</v>
      </c>
      <c r="H67" s="219">
        <v>76126</v>
      </c>
      <c r="I67" s="219">
        <v>76205</v>
      </c>
      <c r="J67" s="219">
        <v>76297</v>
      </c>
      <c r="K67" s="219">
        <v>76231</v>
      </c>
      <c r="L67" s="219">
        <v>76446</v>
      </c>
      <c r="M67" s="219">
        <v>76639</v>
      </c>
      <c r="N67" s="219">
        <v>76758</v>
      </c>
      <c r="O67" s="219">
        <v>77178</v>
      </c>
      <c r="P67" s="219">
        <v>77319</v>
      </c>
      <c r="Q67" s="219">
        <v>77696</v>
      </c>
      <c r="R67" s="225">
        <f t="shared" si="1"/>
        <v>918955</v>
      </c>
    </row>
    <row r="68" spans="1:18" ht="13.5" thickBot="1">
      <c r="A68" s="45"/>
      <c r="B68" s="46"/>
      <c r="C68" s="47"/>
      <c r="D68" s="41" t="s">
        <v>110</v>
      </c>
      <c r="E68" s="49" t="s">
        <v>69</v>
      </c>
      <c r="F68" s="219">
        <v>7723</v>
      </c>
      <c r="G68" s="219">
        <v>7655</v>
      </c>
      <c r="H68" s="219">
        <v>7644</v>
      </c>
      <c r="I68" s="219">
        <v>7735</v>
      </c>
      <c r="J68" s="219">
        <v>7752</v>
      </c>
      <c r="K68" s="219">
        <v>7681</v>
      </c>
      <c r="L68" s="219">
        <v>7741</v>
      </c>
      <c r="M68" s="219">
        <v>7719</v>
      </c>
      <c r="N68" s="219">
        <v>7686</v>
      </c>
      <c r="O68" s="219">
        <v>7803</v>
      </c>
      <c r="P68" s="219">
        <v>7755</v>
      </c>
      <c r="Q68" s="219">
        <v>7791</v>
      </c>
      <c r="R68" s="225">
        <f t="shared" si="1"/>
        <v>92685</v>
      </c>
    </row>
    <row r="69" spans="1:18" ht="13.5" thickBot="1">
      <c r="A69" s="45"/>
      <c r="B69" s="46"/>
      <c r="C69" s="47"/>
      <c r="D69" s="41" t="s">
        <v>112</v>
      </c>
      <c r="E69" s="49" t="s">
        <v>70</v>
      </c>
      <c r="F69" s="219">
        <v>54</v>
      </c>
      <c r="G69" s="219">
        <v>53</v>
      </c>
      <c r="H69" s="219">
        <v>52</v>
      </c>
      <c r="I69" s="219">
        <v>53</v>
      </c>
      <c r="J69" s="219">
        <v>53</v>
      </c>
      <c r="K69" s="219">
        <v>52</v>
      </c>
      <c r="L69" s="219">
        <v>52</v>
      </c>
      <c r="M69" s="219">
        <v>52</v>
      </c>
      <c r="N69" s="219">
        <v>49</v>
      </c>
      <c r="O69" s="219">
        <v>52</v>
      </c>
      <c r="P69" s="219">
        <v>49</v>
      </c>
      <c r="Q69" s="219">
        <v>51</v>
      </c>
      <c r="R69" s="225">
        <f t="shared" si="1"/>
        <v>622</v>
      </c>
    </row>
    <row r="70" spans="1:18" ht="13.5" thickBot="1">
      <c r="A70" s="45"/>
      <c r="B70" s="46"/>
      <c r="C70" s="47"/>
      <c r="D70" s="41" t="s">
        <v>111</v>
      </c>
      <c r="E70" s="49"/>
      <c r="F70" s="219">
        <v>5</v>
      </c>
      <c r="G70" s="219">
        <v>5</v>
      </c>
      <c r="H70" s="219">
        <v>5</v>
      </c>
      <c r="I70" s="219">
        <v>5</v>
      </c>
      <c r="J70" s="219">
        <v>5</v>
      </c>
      <c r="K70" s="219">
        <v>5</v>
      </c>
      <c r="L70" s="219">
        <v>5</v>
      </c>
      <c r="M70" s="219">
        <v>5</v>
      </c>
      <c r="N70" s="219">
        <v>5</v>
      </c>
      <c r="O70" s="219">
        <v>5</v>
      </c>
      <c r="P70" s="219">
        <v>5</v>
      </c>
      <c r="Q70" s="219">
        <v>5</v>
      </c>
      <c r="R70" s="225">
        <f t="shared" ref="R70:R101" si="2">SUM(F70:Q70)</f>
        <v>60</v>
      </c>
    </row>
    <row r="71" spans="1:18" ht="13.5" thickBot="1">
      <c r="A71" s="45"/>
      <c r="B71" s="46"/>
      <c r="C71" s="48"/>
      <c r="D71" s="216" t="s">
        <v>360</v>
      </c>
      <c r="E71" s="49" t="s">
        <v>71</v>
      </c>
      <c r="F71" s="220">
        <v>83824</v>
      </c>
      <c r="G71" s="220">
        <v>83731</v>
      </c>
      <c r="H71" s="220">
        <v>83827</v>
      </c>
      <c r="I71" s="220">
        <v>83998</v>
      </c>
      <c r="J71" s="220">
        <v>84107</v>
      </c>
      <c r="K71" s="220">
        <v>83969</v>
      </c>
      <c r="L71" s="220">
        <v>84244</v>
      </c>
      <c r="M71" s="220">
        <v>84415</v>
      </c>
      <c r="N71" s="220">
        <v>84498</v>
      </c>
      <c r="O71" s="220">
        <v>85038</v>
      </c>
      <c r="P71" s="220">
        <v>85128</v>
      </c>
      <c r="Q71" s="220">
        <v>85543</v>
      </c>
      <c r="R71" s="220">
        <f t="shared" si="2"/>
        <v>1012322</v>
      </c>
    </row>
    <row r="72" spans="1:18" ht="13.5" thickBot="1">
      <c r="A72" s="45"/>
      <c r="B72" s="46"/>
      <c r="C72" s="44" t="s">
        <v>353</v>
      </c>
      <c r="D72" s="41" t="s">
        <v>109</v>
      </c>
      <c r="E72" s="49" t="s">
        <v>72</v>
      </c>
      <c r="F72" s="219">
        <v>107</v>
      </c>
      <c r="G72" s="219">
        <v>109</v>
      </c>
      <c r="H72" s="219">
        <v>108</v>
      </c>
      <c r="I72" s="219">
        <v>112</v>
      </c>
      <c r="J72" s="219">
        <v>107</v>
      </c>
      <c r="K72" s="219">
        <v>107</v>
      </c>
      <c r="L72" s="219">
        <v>108</v>
      </c>
      <c r="M72" s="219">
        <v>108</v>
      </c>
      <c r="N72" s="219">
        <v>108</v>
      </c>
      <c r="O72" s="219">
        <v>108</v>
      </c>
      <c r="P72" s="219">
        <v>108</v>
      </c>
      <c r="Q72" s="219">
        <v>108</v>
      </c>
      <c r="R72" s="225">
        <f t="shared" si="2"/>
        <v>1298</v>
      </c>
    </row>
    <row r="73" spans="1:18" ht="13.5" thickBot="1">
      <c r="A73" s="45"/>
      <c r="B73" s="46"/>
      <c r="C73" s="47"/>
      <c r="D73" s="41" t="s">
        <v>110</v>
      </c>
      <c r="E73" s="49" t="s">
        <v>73</v>
      </c>
      <c r="F73" s="219">
        <v>1362</v>
      </c>
      <c r="G73" s="219">
        <v>1361</v>
      </c>
      <c r="H73" s="219">
        <v>1363</v>
      </c>
      <c r="I73" s="219">
        <v>1358</v>
      </c>
      <c r="J73" s="219">
        <v>1355</v>
      </c>
      <c r="K73" s="219">
        <v>1351</v>
      </c>
      <c r="L73" s="219">
        <v>1365</v>
      </c>
      <c r="M73" s="219">
        <v>1358</v>
      </c>
      <c r="N73" s="219">
        <v>1357</v>
      </c>
      <c r="O73" s="219">
        <v>1378</v>
      </c>
      <c r="P73" s="219">
        <v>1374</v>
      </c>
      <c r="Q73" s="219">
        <v>1373</v>
      </c>
      <c r="R73" s="225">
        <f t="shared" si="2"/>
        <v>16355</v>
      </c>
    </row>
    <row r="74" spans="1:18" ht="13.5" thickBot="1">
      <c r="A74" s="45"/>
      <c r="B74" s="46"/>
      <c r="C74" s="47"/>
      <c r="D74" s="41" t="s">
        <v>112</v>
      </c>
      <c r="E74" s="49" t="s">
        <v>74</v>
      </c>
      <c r="F74" s="219">
        <v>36</v>
      </c>
      <c r="G74" s="219">
        <v>35</v>
      </c>
      <c r="H74" s="219">
        <v>36</v>
      </c>
      <c r="I74" s="219">
        <v>35</v>
      </c>
      <c r="J74" s="219">
        <v>38</v>
      </c>
      <c r="K74" s="219">
        <v>34</v>
      </c>
      <c r="L74" s="219">
        <v>38</v>
      </c>
      <c r="M74" s="219">
        <v>35</v>
      </c>
      <c r="N74" s="219">
        <v>35</v>
      </c>
      <c r="O74" s="219">
        <v>37</v>
      </c>
      <c r="P74" s="219">
        <v>36</v>
      </c>
      <c r="Q74" s="219">
        <v>36</v>
      </c>
      <c r="R74" s="225">
        <f t="shared" si="2"/>
        <v>431</v>
      </c>
    </row>
    <row r="75" spans="1:18" ht="13.5" thickBot="1">
      <c r="A75" s="45"/>
      <c r="B75" s="46"/>
      <c r="C75" s="47"/>
      <c r="D75" s="41" t="s">
        <v>111</v>
      </c>
      <c r="E75" s="49"/>
      <c r="F75" s="219">
        <v>4</v>
      </c>
      <c r="G75" s="219">
        <v>4</v>
      </c>
      <c r="H75" s="219">
        <v>4</v>
      </c>
      <c r="I75" s="219">
        <v>4</v>
      </c>
      <c r="J75" s="219">
        <v>4</v>
      </c>
      <c r="K75" s="219">
        <v>4</v>
      </c>
      <c r="L75" s="219">
        <v>4</v>
      </c>
      <c r="M75" s="219">
        <v>4</v>
      </c>
      <c r="N75" s="219">
        <v>4</v>
      </c>
      <c r="O75" s="219">
        <v>4</v>
      </c>
      <c r="P75" s="219">
        <v>4</v>
      </c>
      <c r="Q75" s="219">
        <v>4</v>
      </c>
      <c r="R75" s="225">
        <f t="shared" si="2"/>
        <v>48</v>
      </c>
    </row>
    <row r="76" spans="1:18" ht="13.5" thickBot="1">
      <c r="A76" s="45"/>
      <c r="B76" s="46"/>
      <c r="C76" s="48"/>
      <c r="D76" s="216" t="s">
        <v>361</v>
      </c>
      <c r="E76" s="49" t="s">
        <v>175</v>
      </c>
      <c r="F76" s="220">
        <v>1509</v>
      </c>
      <c r="G76" s="220">
        <v>1509</v>
      </c>
      <c r="H76" s="220">
        <v>1511</v>
      </c>
      <c r="I76" s="220">
        <v>1509</v>
      </c>
      <c r="J76" s="220">
        <v>1504</v>
      </c>
      <c r="K76" s="220">
        <v>1496</v>
      </c>
      <c r="L76" s="220">
        <v>1515</v>
      </c>
      <c r="M76" s="220">
        <v>1505</v>
      </c>
      <c r="N76" s="220">
        <v>1504</v>
      </c>
      <c r="O76" s="220">
        <v>1527</v>
      </c>
      <c r="P76" s="220">
        <v>1522</v>
      </c>
      <c r="Q76" s="220">
        <v>1521</v>
      </c>
      <c r="R76" s="220">
        <f t="shared" si="2"/>
        <v>18132</v>
      </c>
    </row>
    <row r="77" spans="1:18" ht="13.5" thickBot="1">
      <c r="A77" s="45"/>
      <c r="B77" s="46"/>
      <c r="C77" s="44" t="s">
        <v>368</v>
      </c>
      <c r="D77" s="41" t="s">
        <v>112</v>
      </c>
      <c r="E77" s="49" t="s">
        <v>74</v>
      </c>
      <c r="F77" s="219">
        <v>2</v>
      </c>
      <c r="G77" s="219">
        <v>2</v>
      </c>
      <c r="H77" s="219">
        <v>2</v>
      </c>
      <c r="I77" s="219">
        <v>2</v>
      </c>
      <c r="J77" s="219">
        <v>2</v>
      </c>
      <c r="K77" s="219">
        <v>2</v>
      </c>
      <c r="L77" s="219">
        <v>2</v>
      </c>
      <c r="M77" s="219">
        <v>2</v>
      </c>
      <c r="N77" s="219">
        <v>2</v>
      </c>
      <c r="O77" s="219">
        <v>2</v>
      </c>
      <c r="P77" s="219">
        <v>2</v>
      </c>
      <c r="Q77" s="219">
        <v>2</v>
      </c>
      <c r="R77" s="225">
        <f t="shared" si="2"/>
        <v>24</v>
      </c>
    </row>
    <row r="78" spans="1:18" ht="13.5" thickBot="1">
      <c r="A78" s="45"/>
      <c r="B78" s="46"/>
      <c r="C78" s="48"/>
      <c r="D78" s="216" t="s">
        <v>369</v>
      </c>
      <c r="E78" s="49" t="s">
        <v>175</v>
      </c>
      <c r="F78" s="220">
        <v>2</v>
      </c>
      <c r="G78" s="220">
        <v>2</v>
      </c>
      <c r="H78" s="220">
        <v>2</v>
      </c>
      <c r="I78" s="220">
        <v>2</v>
      </c>
      <c r="J78" s="220">
        <v>2</v>
      </c>
      <c r="K78" s="220">
        <v>2</v>
      </c>
      <c r="L78" s="220">
        <v>2</v>
      </c>
      <c r="M78" s="220">
        <v>2</v>
      </c>
      <c r="N78" s="220">
        <v>2</v>
      </c>
      <c r="O78" s="220">
        <v>2</v>
      </c>
      <c r="P78" s="220">
        <v>2</v>
      </c>
      <c r="Q78" s="220">
        <v>2</v>
      </c>
      <c r="R78" s="220">
        <f t="shared" si="2"/>
        <v>24</v>
      </c>
    </row>
    <row r="79" spans="1:18" ht="13.5" thickBot="1">
      <c r="A79" s="45"/>
      <c r="B79" s="46"/>
      <c r="C79" s="44" t="s">
        <v>357</v>
      </c>
      <c r="D79" s="41" t="s">
        <v>178</v>
      </c>
      <c r="E79" s="49"/>
      <c r="F79" s="219">
        <v>3</v>
      </c>
      <c r="G79" s="219">
        <v>3</v>
      </c>
      <c r="H79" s="219">
        <v>3</v>
      </c>
      <c r="I79" s="219">
        <v>3</v>
      </c>
      <c r="J79" s="219">
        <v>3</v>
      </c>
      <c r="K79" s="219">
        <v>3</v>
      </c>
      <c r="L79" s="219">
        <v>3</v>
      </c>
      <c r="M79" s="219">
        <v>3</v>
      </c>
      <c r="N79" s="219">
        <v>3</v>
      </c>
      <c r="O79" s="219">
        <v>3</v>
      </c>
      <c r="P79" s="219">
        <v>3</v>
      </c>
      <c r="Q79" s="219">
        <v>3</v>
      </c>
      <c r="R79" s="225">
        <f t="shared" si="2"/>
        <v>36</v>
      </c>
    </row>
    <row r="80" spans="1:18" ht="13.5" thickBot="1">
      <c r="A80" s="45"/>
      <c r="B80" s="46"/>
      <c r="C80" s="47"/>
      <c r="D80" s="41" t="s">
        <v>182</v>
      </c>
      <c r="E80" s="49"/>
      <c r="F80" s="219">
        <v>3</v>
      </c>
      <c r="G80" s="219">
        <v>3</v>
      </c>
      <c r="H80" s="219">
        <v>3</v>
      </c>
      <c r="I80" s="219">
        <v>3</v>
      </c>
      <c r="J80" s="219">
        <v>3</v>
      </c>
      <c r="K80" s="219">
        <v>3</v>
      </c>
      <c r="L80" s="219">
        <v>3</v>
      </c>
      <c r="M80" s="219">
        <v>3</v>
      </c>
      <c r="N80" s="219">
        <v>3</v>
      </c>
      <c r="O80" s="219">
        <v>3</v>
      </c>
      <c r="P80" s="219">
        <v>3</v>
      </c>
      <c r="Q80" s="219">
        <v>3</v>
      </c>
      <c r="R80" s="225">
        <f t="shared" si="2"/>
        <v>36</v>
      </c>
    </row>
    <row r="81" spans="1:18" ht="13.5" thickBot="1">
      <c r="A81" s="45"/>
      <c r="B81" s="46"/>
      <c r="C81" s="48"/>
      <c r="D81" s="216" t="s">
        <v>365</v>
      </c>
      <c r="E81" s="49"/>
      <c r="F81" s="220">
        <v>6</v>
      </c>
      <c r="G81" s="220">
        <v>6</v>
      </c>
      <c r="H81" s="220">
        <v>6</v>
      </c>
      <c r="I81" s="220">
        <v>6</v>
      </c>
      <c r="J81" s="220">
        <v>6</v>
      </c>
      <c r="K81" s="220">
        <v>6</v>
      </c>
      <c r="L81" s="220">
        <v>6</v>
      </c>
      <c r="M81" s="220">
        <v>6</v>
      </c>
      <c r="N81" s="220">
        <v>6</v>
      </c>
      <c r="O81" s="220">
        <v>6</v>
      </c>
      <c r="P81" s="220">
        <v>6</v>
      </c>
      <c r="Q81" s="220">
        <v>6</v>
      </c>
      <c r="R81" s="220">
        <f t="shared" si="2"/>
        <v>72</v>
      </c>
    </row>
    <row r="82" spans="1:18" ht="13.5" thickBot="1">
      <c r="A82" s="45"/>
      <c r="B82" s="46"/>
      <c r="C82" s="44" t="s">
        <v>358</v>
      </c>
      <c r="D82" s="41" t="s">
        <v>182</v>
      </c>
      <c r="E82" s="49"/>
      <c r="F82" s="219">
        <v>1</v>
      </c>
      <c r="G82" s="219">
        <v>1</v>
      </c>
      <c r="H82" s="219">
        <v>1</v>
      </c>
      <c r="I82" s="219">
        <v>1</v>
      </c>
      <c r="J82" s="219">
        <v>1</v>
      </c>
      <c r="K82" s="219">
        <v>1</v>
      </c>
      <c r="L82" s="219">
        <v>1</v>
      </c>
      <c r="M82" s="219">
        <v>1</v>
      </c>
      <c r="N82" s="219">
        <v>1</v>
      </c>
      <c r="O82" s="219">
        <v>1</v>
      </c>
      <c r="P82" s="219">
        <v>1</v>
      </c>
      <c r="Q82" s="219">
        <v>1</v>
      </c>
      <c r="R82" s="225">
        <f t="shared" si="2"/>
        <v>12</v>
      </c>
    </row>
    <row r="83" spans="1:18" ht="13.5" thickBot="1">
      <c r="A83" s="45"/>
      <c r="B83" s="46"/>
      <c r="C83" s="48"/>
      <c r="D83" s="216" t="s">
        <v>366</v>
      </c>
      <c r="E83" s="49"/>
      <c r="F83" s="220">
        <v>1</v>
      </c>
      <c r="G83" s="220">
        <v>1</v>
      </c>
      <c r="H83" s="220">
        <v>1</v>
      </c>
      <c r="I83" s="220">
        <v>1</v>
      </c>
      <c r="J83" s="220">
        <v>1</v>
      </c>
      <c r="K83" s="220">
        <v>1</v>
      </c>
      <c r="L83" s="220">
        <v>1</v>
      </c>
      <c r="M83" s="220">
        <v>1</v>
      </c>
      <c r="N83" s="220">
        <v>1</v>
      </c>
      <c r="O83" s="220">
        <v>1</v>
      </c>
      <c r="P83" s="220">
        <v>1</v>
      </c>
      <c r="Q83" s="220">
        <v>1</v>
      </c>
      <c r="R83" s="220">
        <f t="shared" si="2"/>
        <v>12</v>
      </c>
    </row>
    <row r="84" spans="1:18" ht="13.5" thickBot="1">
      <c r="A84" s="45"/>
      <c r="B84" s="46"/>
      <c r="C84" s="44" t="s">
        <v>370</v>
      </c>
      <c r="D84" s="41" t="s">
        <v>182</v>
      </c>
      <c r="E84" s="49"/>
      <c r="F84" s="219">
        <v>1</v>
      </c>
      <c r="G84" s="219">
        <v>1</v>
      </c>
      <c r="H84" s="219">
        <v>1</v>
      </c>
      <c r="I84" s="219">
        <v>1</v>
      </c>
      <c r="J84" s="219">
        <v>1</v>
      </c>
      <c r="K84" s="219">
        <v>1</v>
      </c>
      <c r="L84" s="219">
        <v>1</v>
      </c>
      <c r="M84" s="219">
        <v>1</v>
      </c>
      <c r="N84" s="219">
        <v>1</v>
      </c>
      <c r="O84" s="219">
        <v>1</v>
      </c>
      <c r="P84" s="219">
        <v>1</v>
      </c>
      <c r="Q84" s="219">
        <v>1</v>
      </c>
      <c r="R84" s="225">
        <f t="shared" si="2"/>
        <v>12</v>
      </c>
    </row>
    <row r="85" spans="1:18" ht="13.5" thickBot="1">
      <c r="A85" s="45"/>
      <c r="B85" s="46"/>
      <c r="C85" s="48"/>
      <c r="D85" s="216" t="s">
        <v>371</v>
      </c>
      <c r="E85" s="49"/>
      <c r="F85" s="220">
        <v>1</v>
      </c>
      <c r="G85" s="220">
        <v>1</v>
      </c>
      <c r="H85" s="220">
        <v>1</v>
      </c>
      <c r="I85" s="220">
        <v>1</v>
      </c>
      <c r="J85" s="220">
        <v>1</v>
      </c>
      <c r="K85" s="220">
        <v>1</v>
      </c>
      <c r="L85" s="220">
        <v>1</v>
      </c>
      <c r="M85" s="220">
        <v>1</v>
      </c>
      <c r="N85" s="220">
        <v>1</v>
      </c>
      <c r="O85" s="220">
        <v>1</v>
      </c>
      <c r="P85" s="220">
        <v>1</v>
      </c>
      <c r="Q85" s="220">
        <v>1</v>
      </c>
      <c r="R85" s="220">
        <f t="shared" si="2"/>
        <v>12</v>
      </c>
    </row>
    <row r="86" spans="1:18" ht="13.5" thickBot="1">
      <c r="A86" s="45"/>
      <c r="B86" s="43" t="s">
        <v>115</v>
      </c>
      <c r="C86" s="44" t="s">
        <v>352</v>
      </c>
      <c r="D86" s="41" t="s">
        <v>109</v>
      </c>
      <c r="E86" s="49" t="s">
        <v>60</v>
      </c>
      <c r="F86" s="219">
        <v>152095</v>
      </c>
      <c r="G86" s="219">
        <v>149368</v>
      </c>
      <c r="H86" s="219">
        <v>154550</v>
      </c>
      <c r="I86" s="219">
        <v>150785</v>
      </c>
      <c r="J86" s="219">
        <v>154456</v>
      </c>
      <c r="K86" s="219">
        <v>152246</v>
      </c>
      <c r="L86" s="219">
        <v>152974</v>
      </c>
      <c r="M86" s="219">
        <v>153300</v>
      </c>
      <c r="N86" s="219">
        <v>150150</v>
      </c>
      <c r="O86" s="219">
        <v>156888</v>
      </c>
      <c r="P86" s="219">
        <v>154329</v>
      </c>
      <c r="Q86" s="219">
        <v>154610</v>
      </c>
      <c r="R86" s="225">
        <f t="shared" si="2"/>
        <v>1835751</v>
      </c>
    </row>
    <row r="87" spans="1:18" ht="13.5" thickBot="1">
      <c r="A87" s="45"/>
      <c r="B87" s="46"/>
      <c r="C87" s="47"/>
      <c r="D87" s="41" t="s">
        <v>110</v>
      </c>
      <c r="E87" s="49" t="s">
        <v>61</v>
      </c>
      <c r="F87" s="219">
        <v>12092</v>
      </c>
      <c r="G87" s="219">
        <v>11933</v>
      </c>
      <c r="H87" s="219">
        <v>12282</v>
      </c>
      <c r="I87" s="219">
        <v>12060</v>
      </c>
      <c r="J87" s="219">
        <v>12169</v>
      </c>
      <c r="K87" s="219">
        <v>12086</v>
      </c>
      <c r="L87" s="219">
        <v>12119</v>
      </c>
      <c r="M87" s="219">
        <v>12139</v>
      </c>
      <c r="N87" s="219">
        <v>11934</v>
      </c>
      <c r="O87" s="219">
        <v>12339</v>
      </c>
      <c r="P87" s="219">
        <v>12173</v>
      </c>
      <c r="Q87" s="219">
        <v>12230</v>
      </c>
      <c r="R87" s="225">
        <f t="shared" si="2"/>
        <v>145556</v>
      </c>
    </row>
    <row r="88" spans="1:18" ht="13.5" thickBot="1">
      <c r="A88" s="45"/>
      <c r="B88" s="46"/>
      <c r="C88" s="47"/>
      <c r="D88" s="41" t="s">
        <v>112</v>
      </c>
      <c r="E88" s="49" t="s">
        <v>62</v>
      </c>
      <c r="F88" s="219">
        <v>73</v>
      </c>
      <c r="G88" s="219">
        <v>69</v>
      </c>
      <c r="H88" s="219">
        <v>71</v>
      </c>
      <c r="I88" s="219">
        <v>72</v>
      </c>
      <c r="J88" s="219">
        <v>72</v>
      </c>
      <c r="K88" s="219">
        <v>69</v>
      </c>
      <c r="L88" s="219">
        <v>74</v>
      </c>
      <c r="M88" s="219">
        <v>71</v>
      </c>
      <c r="N88" s="219">
        <v>70</v>
      </c>
      <c r="O88" s="219">
        <v>73</v>
      </c>
      <c r="P88" s="219">
        <v>71</v>
      </c>
      <c r="Q88" s="219">
        <v>73</v>
      </c>
      <c r="R88" s="225">
        <f t="shared" si="2"/>
        <v>858</v>
      </c>
    </row>
    <row r="89" spans="1:18" ht="13.5" thickBot="1">
      <c r="A89" s="45"/>
      <c r="B89" s="46"/>
      <c r="C89" s="47"/>
      <c r="D89" s="41" t="s">
        <v>111</v>
      </c>
      <c r="E89" s="49"/>
      <c r="F89" s="219">
        <v>28</v>
      </c>
      <c r="G89" s="219">
        <v>26</v>
      </c>
      <c r="H89" s="219">
        <v>26</v>
      </c>
      <c r="I89" s="219">
        <v>26</v>
      </c>
      <c r="J89" s="219">
        <v>25</v>
      </c>
      <c r="K89" s="219">
        <v>24</v>
      </c>
      <c r="L89" s="219">
        <v>24</v>
      </c>
      <c r="M89" s="219">
        <v>24</v>
      </c>
      <c r="N89" s="219">
        <v>24</v>
      </c>
      <c r="O89" s="219">
        <v>24</v>
      </c>
      <c r="P89" s="219">
        <v>19</v>
      </c>
      <c r="Q89" s="219">
        <v>24</v>
      </c>
      <c r="R89" s="225">
        <f t="shared" si="2"/>
        <v>294</v>
      </c>
    </row>
    <row r="90" spans="1:18" ht="13.5" thickBot="1">
      <c r="A90" s="45"/>
      <c r="B90" s="46"/>
      <c r="C90" s="48"/>
      <c r="D90" s="216" t="s">
        <v>360</v>
      </c>
      <c r="E90" s="49" t="s">
        <v>63</v>
      </c>
      <c r="F90" s="220">
        <v>164288</v>
      </c>
      <c r="G90" s="220">
        <v>161396</v>
      </c>
      <c r="H90" s="220">
        <v>166929</v>
      </c>
      <c r="I90" s="220">
        <v>162943</v>
      </c>
      <c r="J90" s="220">
        <v>166722</v>
      </c>
      <c r="K90" s="220">
        <v>164425</v>
      </c>
      <c r="L90" s="220">
        <v>165191</v>
      </c>
      <c r="M90" s="220">
        <v>165534</v>
      </c>
      <c r="N90" s="220">
        <v>162178</v>
      </c>
      <c r="O90" s="220">
        <v>169324</v>
      </c>
      <c r="P90" s="220">
        <v>166592</v>
      </c>
      <c r="Q90" s="220">
        <v>166937</v>
      </c>
      <c r="R90" s="220">
        <f t="shared" si="2"/>
        <v>1982459</v>
      </c>
    </row>
    <row r="91" spans="1:18" ht="13.5" thickBot="1">
      <c r="A91" s="45"/>
      <c r="B91" s="46"/>
      <c r="C91" s="44" t="s">
        <v>345</v>
      </c>
      <c r="D91" s="41" t="s">
        <v>109</v>
      </c>
      <c r="E91" s="49" t="s">
        <v>60</v>
      </c>
      <c r="F91" s="219">
        <v>167</v>
      </c>
      <c r="G91" s="219">
        <v>165</v>
      </c>
      <c r="H91" s="219">
        <v>166</v>
      </c>
      <c r="I91" s="219">
        <v>163</v>
      </c>
      <c r="J91" s="219">
        <v>164</v>
      </c>
      <c r="K91" s="219">
        <v>162</v>
      </c>
      <c r="L91" s="219">
        <v>164</v>
      </c>
      <c r="M91" s="219">
        <v>159</v>
      </c>
      <c r="N91" s="219">
        <v>154</v>
      </c>
      <c r="O91" s="219">
        <v>124</v>
      </c>
      <c r="P91" s="219">
        <v>137</v>
      </c>
      <c r="Q91" s="219">
        <v>155</v>
      </c>
      <c r="R91" s="225">
        <f t="shared" si="2"/>
        <v>1880</v>
      </c>
    </row>
    <row r="92" spans="1:18" ht="13.5" thickBot="1">
      <c r="A92" s="45"/>
      <c r="B92" s="46"/>
      <c r="C92" s="48"/>
      <c r="D92" s="216" t="s">
        <v>346</v>
      </c>
      <c r="E92" s="49" t="s">
        <v>63</v>
      </c>
      <c r="F92" s="220">
        <v>167</v>
      </c>
      <c r="G92" s="220">
        <v>165</v>
      </c>
      <c r="H92" s="220">
        <v>166</v>
      </c>
      <c r="I92" s="220">
        <v>163</v>
      </c>
      <c r="J92" s="220">
        <v>164</v>
      </c>
      <c r="K92" s="220">
        <v>162</v>
      </c>
      <c r="L92" s="220">
        <v>164</v>
      </c>
      <c r="M92" s="220">
        <v>159</v>
      </c>
      <c r="N92" s="220">
        <v>154</v>
      </c>
      <c r="O92" s="220">
        <v>124</v>
      </c>
      <c r="P92" s="220">
        <v>137</v>
      </c>
      <c r="Q92" s="220">
        <v>155</v>
      </c>
      <c r="R92" s="220">
        <f t="shared" si="2"/>
        <v>1880</v>
      </c>
    </row>
    <row r="93" spans="1:18" ht="13.5" thickBot="1">
      <c r="A93" s="45"/>
      <c r="B93" s="46"/>
      <c r="C93" s="44" t="s">
        <v>353</v>
      </c>
      <c r="D93" s="41" t="s">
        <v>109</v>
      </c>
      <c r="E93" s="49" t="s">
        <v>64</v>
      </c>
      <c r="F93" s="219">
        <v>302</v>
      </c>
      <c r="G93" s="219">
        <v>292</v>
      </c>
      <c r="H93" s="219">
        <v>307</v>
      </c>
      <c r="I93" s="219">
        <v>299</v>
      </c>
      <c r="J93" s="219">
        <v>298</v>
      </c>
      <c r="K93" s="219">
        <v>301</v>
      </c>
      <c r="L93" s="219">
        <v>300</v>
      </c>
      <c r="M93" s="219">
        <v>299</v>
      </c>
      <c r="N93" s="219">
        <v>289</v>
      </c>
      <c r="O93" s="219">
        <v>310</v>
      </c>
      <c r="P93" s="219">
        <v>288</v>
      </c>
      <c r="Q93" s="219">
        <v>304</v>
      </c>
      <c r="R93" s="225">
        <f t="shared" si="2"/>
        <v>3589</v>
      </c>
    </row>
    <row r="94" spans="1:18" ht="13.5" thickBot="1">
      <c r="A94" s="45"/>
      <c r="B94" s="46"/>
      <c r="C94" s="47"/>
      <c r="D94" s="41" t="s">
        <v>110</v>
      </c>
      <c r="E94" s="49" t="s">
        <v>65</v>
      </c>
      <c r="F94" s="219">
        <v>2721</v>
      </c>
      <c r="G94" s="219">
        <v>2679</v>
      </c>
      <c r="H94" s="219">
        <v>2766</v>
      </c>
      <c r="I94" s="219">
        <v>2725</v>
      </c>
      <c r="J94" s="219">
        <v>2728</v>
      </c>
      <c r="K94" s="219">
        <v>2716</v>
      </c>
      <c r="L94" s="219">
        <v>2731</v>
      </c>
      <c r="M94" s="219">
        <v>2726</v>
      </c>
      <c r="N94" s="219">
        <v>2670</v>
      </c>
      <c r="O94" s="219">
        <v>2749</v>
      </c>
      <c r="P94" s="219">
        <v>2715</v>
      </c>
      <c r="Q94" s="219">
        <v>2741</v>
      </c>
      <c r="R94" s="225">
        <f t="shared" si="2"/>
        <v>32667</v>
      </c>
    </row>
    <row r="95" spans="1:18" ht="13.5" thickBot="1">
      <c r="A95" s="45"/>
      <c r="B95" s="46"/>
      <c r="C95" s="47"/>
      <c r="D95" s="41" t="s">
        <v>112</v>
      </c>
      <c r="E95" s="49" t="s">
        <v>66</v>
      </c>
      <c r="F95" s="219">
        <v>57</v>
      </c>
      <c r="G95" s="219">
        <v>56</v>
      </c>
      <c r="H95" s="219">
        <v>58</v>
      </c>
      <c r="I95" s="219">
        <v>57</v>
      </c>
      <c r="J95" s="219">
        <v>57</v>
      </c>
      <c r="K95" s="219">
        <v>56</v>
      </c>
      <c r="L95" s="219">
        <v>57</v>
      </c>
      <c r="M95" s="219">
        <v>55</v>
      </c>
      <c r="N95" s="219">
        <v>57</v>
      </c>
      <c r="O95" s="219">
        <v>55</v>
      </c>
      <c r="P95" s="219">
        <v>56</v>
      </c>
      <c r="Q95" s="219">
        <v>57</v>
      </c>
      <c r="R95" s="225">
        <f t="shared" si="2"/>
        <v>678</v>
      </c>
    </row>
    <row r="96" spans="1:18" ht="13.5" thickBot="1">
      <c r="A96" s="45"/>
      <c r="B96" s="46"/>
      <c r="C96" s="47"/>
      <c r="D96" s="41" t="s">
        <v>111</v>
      </c>
      <c r="E96" s="49"/>
      <c r="F96" s="219">
        <v>19</v>
      </c>
      <c r="G96" s="219">
        <v>20</v>
      </c>
      <c r="H96" s="219">
        <v>20</v>
      </c>
      <c r="I96" s="219">
        <v>20</v>
      </c>
      <c r="J96" s="219">
        <v>20</v>
      </c>
      <c r="K96" s="219">
        <v>21</v>
      </c>
      <c r="L96" s="219">
        <v>21</v>
      </c>
      <c r="M96" s="219">
        <v>21</v>
      </c>
      <c r="N96" s="219">
        <v>20</v>
      </c>
      <c r="O96" s="219">
        <v>22</v>
      </c>
      <c r="P96" s="219">
        <v>21</v>
      </c>
      <c r="Q96" s="219">
        <v>21</v>
      </c>
      <c r="R96" s="225">
        <f t="shared" si="2"/>
        <v>246</v>
      </c>
    </row>
    <row r="97" spans="1:18" ht="13.5" thickBot="1">
      <c r="A97" s="45"/>
      <c r="B97" s="46"/>
      <c r="C97" s="48"/>
      <c r="D97" s="216" t="s">
        <v>361</v>
      </c>
      <c r="E97" s="49" t="s">
        <v>183</v>
      </c>
      <c r="F97" s="220">
        <v>3099</v>
      </c>
      <c r="G97" s="220">
        <v>3047</v>
      </c>
      <c r="H97" s="220">
        <v>3151</v>
      </c>
      <c r="I97" s="220">
        <v>3101</v>
      </c>
      <c r="J97" s="220">
        <v>3103</v>
      </c>
      <c r="K97" s="220">
        <v>3094</v>
      </c>
      <c r="L97" s="220">
        <v>3109</v>
      </c>
      <c r="M97" s="220">
        <v>3101</v>
      </c>
      <c r="N97" s="220">
        <v>3036</v>
      </c>
      <c r="O97" s="220">
        <v>3136</v>
      </c>
      <c r="P97" s="220">
        <v>3080</v>
      </c>
      <c r="Q97" s="220">
        <v>3123</v>
      </c>
      <c r="R97" s="220">
        <f t="shared" si="2"/>
        <v>37180</v>
      </c>
    </row>
    <row r="98" spans="1:18" ht="13.5" thickBot="1">
      <c r="A98" s="45"/>
      <c r="B98" s="46"/>
      <c r="C98" s="44" t="s">
        <v>368</v>
      </c>
      <c r="D98" s="41">
        <v>21</v>
      </c>
      <c r="E98" s="49" t="s">
        <v>65</v>
      </c>
      <c r="F98" s="219">
        <v>1</v>
      </c>
      <c r="G98" s="219">
        <v>1</v>
      </c>
      <c r="H98" s="219">
        <v>1</v>
      </c>
      <c r="I98" s="219">
        <v>1</v>
      </c>
      <c r="J98" s="219">
        <v>1</v>
      </c>
      <c r="K98" s="219">
        <v>1</v>
      </c>
      <c r="L98" s="219">
        <v>1</v>
      </c>
      <c r="M98" s="219">
        <v>1</v>
      </c>
      <c r="N98" s="219">
        <v>1</v>
      </c>
      <c r="O98" s="219">
        <v>1</v>
      </c>
      <c r="P98" s="219">
        <v>1</v>
      </c>
      <c r="Q98" s="219">
        <v>1</v>
      </c>
      <c r="R98" s="225">
        <f t="shared" si="2"/>
        <v>12</v>
      </c>
    </row>
    <row r="99" spans="1:18" ht="13.5" thickBot="1">
      <c r="A99" s="45"/>
      <c r="B99" s="46"/>
      <c r="C99" s="48"/>
      <c r="D99" s="216" t="s">
        <v>369</v>
      </c>
      <c r="E99" s="49" t="s">
        <v>183</v>
      </c>
      <c r="F99" s="220">
        <v>1</v>
      </c>
      <c r="G99" s="220">
        <v>1</v>
      </c>
      <c r="H99" s="220">
        <v>1</v>
      </c>
      <c r="I99" s="220">
        <v>1</v>
      </c>
      <c r="J99" s="220">
        <v>1</v>
      </c>
      <c r="K99" s="220">
        <v>1</v>
      </c>
      <c r="L99" s="220">
        <v>1</v>
      </c>
      <c r="M99" s="220">
        <v>1</v>
      </c>
      <c r="N99" s="220">
        <v>1</v>
      </c>
      <c r="O99" s="220">
        <v>1</v>
      </c>
      <c r="P99" s="220">
        <v>1</v>
      </c>
      <c r="Q99" s="220">
        <v>1</v>
      </c>
      <c r="R99" s="220">
        <f t="shared" si="2"/>
        <v>12</v>
      </c>
    </row>
    <row r="100" spans="1:18" ht="13.5" thickBot="1">
      <c r="A100" s="45"/>
      <c r="B100" s="46"/>
      <c r="C100" s="44" t="s">
        <v>354</v>
      </c>
      <c r="D100" s="41" t="s">
        <v>110</v>
      </c>
      <c r="E100" s="49" t="s">
        <v>67</v>
      </c>
      <c r="F100" s="219">
        <v>3</v>
      </c>
      <c r="G100" s="219">
        <v>3</v>
      </c>
      <c r="H100" s="219">
        <v>5</v>
      </c>
      <c r="I100" s="219">
        <v>5</v>
      </c>
      <c r="J100" s="219">
        <v>5</v>
      </c>
      <c r="K100" s="219">
        <v>-7</v>
      </c>
      <c r="L100" s="219">
        <v>3</v>
      </c>
      <c r="M100" s="219">
        <v>4</v>
      </c>
      <c r="N100" s="219">
        <v>4</v>
      </c>
      <c r="O100" s="219">
        <v>4</v>
      </c>
      <c r="P100" s="219">
        <v>4</v>
      </c>
      <c r="Q100" s="219">
        <v>4</v>
      </c>
      <c r="R100" s="225">
        <f t="shared" si="2"/>
        <v>37</v>
      </c>
    </row>
    <row r="101" spans="1:18" ht="13.5" thickBot="1">
      <c r="A101" s="45"/>
      <c r="B101" s="46"/>
      <c r="C101" s="48"/>
      <c r="D101" s="216" t="s">
        <v>362</v>
      </c>
      <c r="E101" s="49" t="s">
        <v>185</v>
      </c>
      <c r="F101" s="220">
        <v>3</v>
      </c>
      <c r="G101" s="220">
        <v>3</v>
      </c>
      <c r="H101" s="220">
        <v>5</v>
      </c>
      <c r="I101" s="220">
        <v>5</v>
      </c>
      <c r="J101" s="220">
        <v>5</v>
      </c>
      <c r="K101" s="220">
        <v>-7</v>
      </c>
      <c r="L101" s="220">
        <v>3</v>
      </c>
      <c r="M101" s="220">
        <v>4</v>
      </c>
      <c r="N101" s="220">
        <v>4</v>
      </c>
      <c r="O101" s="220">
        <v>4</v>
      </c>
      <c r="P101" s="220">
        <v>4</v>
      </c>
      <c r="Q101" s="220">
        <v>4</v>
      </c>
      <c r="R101" s="220">
        <f t="shared" si="2"/>
        <v>37</v>
      </c>
    </row>
    <row r="102" spans="1:18" ht="13.5" thickBot="1">
      <c r="A102" s="45"/>
      <c r="B102" s="46"/>
      <c r="C102" s="44" t="s">
        <v>355</v>
      </c>
      <c r="D102" s="41" t="s">
        <v>110</v>
      </c>
      <c r="E102" s="49" t="s">
        <v>67</v>
      </c>
      <c r="F102" s="219">
        <v>1</v>
      </c>
      <c r="G102" s="219">
        <v>1</v>
      </c>
      <c r="H102" s="219">
        <v>1</v>
      </c>
      <c r="I102" s="219">
        <v>1</v>
      </c>
      <c r="J102" s="219">
        <v>1</v>
      </c>
      <c r="K102" s="219">
        <v>1</v>
      </c>
      <c r="L102" s="219">
        <v>1</v>
      </c>
      <c r="M102" s="219">
        <v>1</v>
      </c>
      <c r="N102" s="219">
        <v>1</v>
      </c>
      <c r="O102" s="219">
        <v>1</v>
      </c>
      <c r="P102" s="219">
        <v>2</v>
      </c>
      <c r="Q102" s="219">
        <v>4</v>
      </c>
      <c r="R102" s="225">
        <f t="shared" ref="R102:R113" si="3">SUM(F102:Q102)</f>
        <v>16</v>
      </c>
    </row>
    <row r="103" spans="1:18" ht="13.5" thickBot="1">
      <c r="A103" s="45"/>
      <c r="B103" s="46"/>
      <c r="C103" s="48"/>
      <c r="D103" s="216" t="s">
        <v>363</v>
      </c>
      <c r="E103" s="49" t="s">
        <v>185</v>
      </c>
      <c r="F103" s="220">
        <v>1</v>
      </c>
      <c r="G103" s="220">
        <v>1</v>
      </c>
      <c r="H103" s="220">
        <v>1</v>
      </c>
      <c r="I103" s="220">
        <v>1</v>
      </c>
      <c r="J103" s="220">
        <v>1</v>
      </c>
      <c r="K103" s="220">
        <v>1</v>
      </c>
      <c r="L103" s="220">
        <v>1</v>
      </c>
      <c r="M103" s="220">
        <v>1</v>
      </c>
      <c r="N103" s="220">
        <v>1</v>
      </c>
      <c r="O103" s="220">
        <v>1</v>
      </c>
      <c r="P103" s="220">
        <v>2</v>
      </c>
      <c r="Q103" s="220">
        <v>4</v>
      </c>
      <c r="R103" s="220">
        <f t="shared" si="3"/>
        <v>16</v>
      </c>
    </row>
    <row r="104" spans="1:18" ht="13.5" thickBot="1">
      <c r="A104" s="45"/>
      <c r="B104" s="46"/>
      <c r="C104" s="44" t="s">
        <v>356</v>
      </c>
      <c r="D104" s="41" t="s">
        <v>181</v>
      </c>
      <c r="E104" s="49"/>
      <c r="F104" s="219">
        <v>2</v>
      </c>
      <c r="G104" s="219">
        <v>2</v>
      </c>
      <c r="H104" s="219">
        <v>2</v>
      </c>
      <c r="I104" s="219">
        <v>2</v>
      </c>
      <c r="J104" s="219">
        <v>2</v>
      </c>
      <c r="K104" s="219">
        <v>2</v>
      </c>
      <c r="L104" s="219">
        <v>2</v>
      </c>
      <c r="M104" s="219">
        <v>2</v>
      </c>
      <c r="N104" s="219">
        <v>1</v>
      </c>
      <c r="O104" s="219">
        <v>3</v>
      </c>
      <c r="P104" s="219">
        <v>2</v>
      </c>
      <c r="Q104" s="219">
        <v>1</v>
      </c>
      <c r="R104" s="225">
        <f t="shared" si="3"/>
        <v>23</v>
      </c>
    </row>
    <row r="105" spans="1:18" ht="13.5" thickBot="1">
      <c r="A105" s="45"/>
      <c r="B105" s="46"/>
      <c r="C105" s="48"/>
      <c r="D105" s="216" t="s">
        <v>364</v>
      </c>
      <c r="E105" s="49" t="s">
        <v>186</v>
      </c>
      <c r="F105" s="220">
        <v>2</v>
      </c>
      <c r="G105" s="220">
        <v>2</v>
      </c>
      <c r="H105" s="220">
        <v>2</v>
      </c>
      <c r="I105" s="220">
        <v>2</v>
      </c>
      <c r="J105" s="220">
        <v>2</v>
      </c>
      <c r="K105" s="220">
        <v>2</v>
      </c>
      <c r="L105" s="220">
        <v>2</v>
      </c>
      <c r="M105" s="220">
        <v>2</v>
      </c>
      <c r="N105" s="220">
        <v>1</v>
      </c>
      <c r="O105" s="220">
        <v>3</v>
      </c>
      <c r="P105" s="220">
        <v>2</v>
      </c>
      <c r="Q105" s="220">
        <v>1</v>
      </c>
      <c r="R105" s="220">
        <f t="shared" si="3"/>
        <v>23</v>
      </c>
    </row>
    <row r="106" spans="1:18" ht="13.5" thickBot="1">
      <c r="A106" s="45"/>
      <c r="B106" s="46"/>
      <c r="C106" s="44" t="s">
        <v>357</v>
      </c>
      <c r="D106" s="41" t="s">
        <v>178</v>
      </c>
      <c r="E106" s="49"/>
      <c r="F106" s="219">
        <v>19</v>
      </c>
      <c r="G106" s="219">
        <v>19</v>
      </c>
      <c r="H106" s="219">
        <v>19</v>
      </c>
      <c r="I106" s="219">
        <v>19</v>
      </c>
      <c r="J106" s="219">
        <v>19</v>
      </c>
      <c r="K106" s="219">
        <v>19</v>
      </c>
      <c r="L106" s="219">
        <v>19</v>
      </c>
      <c r="M106" s="219">
        <v>19</v>
      </c>
      <c r="N106" s="219">
        <v>19</v>
      </c>
      <c r="O106" s="219">
        <v>18</v>
      </c>
      <c r="P106" s="219">
        <v>18</v>
      </c>
      <c r="Q106" s="219">
        <v>18</v>
      </c>
      <c r="R106" s="225">
        <f t="shared" si="3"/>
        <v>225</v>
      </c>
    </row>
    <row r="107" spans="1:18" ht="13.5" thickBot="1">
      <c r="A107" s="45"/>
      <c r="B107" s="46"/>
      <c r="C107" s="47"/>
      <c r="D107" s="41" t="s">
        <v>182</v>
      </c>
      <c r="E107" s="49"/>
      <c r="F107" s="219">
        <v>20</v>
      </c>
      <c r="G107" s="219">
        <v>20</v>
      </c>
      <c r="H107" s="219">
        <v>20</v>
      </c>
      <c r="I107" s="219">
        <v>20</v>
      </c>
      <c r="J107" s="219">
        <v>20</v>
      </c>
      <c r="K107" s="219">
        <v>20</v>
      </c>
      <c r="L107" s="219">
        <v>20</v>
      </c>
      <c r="M107" s="219">
        <v>20</v>
      </c>
      <c r="N107" s="219">
        <v>20</v>
      </c>
      <c r="O107" s="219">
        <v>20</v>
      </c>
      <c r="P107" s="219">
        <v>19</v>
      </c>
      <c r="Q107" s="219">
        <v>19</v>
      </c>
      <c r="R107" s="225">
        <f t="shared" si="3"/>
        <v>238</v>
      </c>
    </row>
    <row r="108" spans="1:18" ht="13.5" thickBot="1">
      <c r="A108" s="45"/>
      <c r="B108" s="46"/>
      <c r="C108" s="48"/>
      <c r="D108" s="216" t="s">
        <v>365</v>
      </c>
      <c r="E108" s="49"/>
      <c r="F108" s="220">
        <v>39</v>
      </c>
      <c r="G108" s="220">
        <v>39</v>
      </c>
      <c r="H108" s="220">
        <v>39</v>
      </c>
      <c r="I108" s="220">
        <v>39</v>
      </c>
      <c r="J108" s="220">
        <v>39</v>
      </c>
      <c r="K108" s="220">
        <v>39</v>
      </c>
      <c r="L108" s="220">
        <v>39</v>
      </c>
      <c r="M108" s="220">
        <v>39</v>
      </c>
      <c r="N108" s="220">
        <v>39</v>
      </c>
      <c r="O108" s="220">
        <v>38</v>
      </c>
      <c r="P108" s="220">
        <v>37</v>
      </c>
      <c r="Q108" s="220">
        <v>37</v>
      </c>
      <c r="R108" s="220">
        <f t="shared" si="3"/>
        <v>463</v>
      </c>
    </row>
    <row r="109" spans="1:18" ht="13.5" thickBot="1">
      <c r="A109" s="45"/>
      <c r="B109" s="46"/>
      <c r="C109" s="44" t="s">
        <v>358</v>
      </c>
      <c r="D109" s="41" t="s">
        <v>187</v>
      </c>
      <c r="E109" s="49"/>
      <c r="F109" s="219">
        <v>3</v>
      </c>
      <c r="G109" s="219">
        <v>3</v>
      </c>
      <c r="H109" s="219">
        <v>3</v>
      </c>
      <c r="I109" s="219">
        <v>3</v>
      </c>
      <c r="J109" s="219">
        <v>3</v>
      </c>
      <c r="K109" s="219">
        <v>1</v>
      </c>
      <c r="L109" s="219">
        <v>3</v>
      </c>
      <c r="M109" s="219">
        <v>3</v>
      </c>
      <c r="N109" s="219">
        <v>3</v>
      </c>
      <c r="O109" s="219">
        <v>3</v>
      </c>
      <c r="P109" s="219">
        <v>3</v>
      </c>
      <c r="Q109" s="219">
        <v>3</v>
      </c>
      <c r="R109" s="225">
        <f t="shared" si="3"/>
        <v>34</v>
      </c>
    </row>
    <row r="110" spans="1:18" ht="13.5" thickBot="1">
      <c r="A110" s="45"/>
      <c r="B110" s="46"/>
      <c r="C110" s="48"/>
      <c r="D110" s="216" t="s">
        <v>366</v>
      </c>
      <c r="E110" s="49"/>
      <c r="F110" s="220">
        <v>3</v>
      </c>
      <c r="G110" s="220">
        <v>3</v>
      </c>
      <c r="H110" s="220">
        <v>3</v>
      </c>
      <c r="I110" s="220">
        <v>3</v>
      </c>
      <c r="J110" s="220">
        <v>3</v>
      </c>
      <c r="K110" s="220">
        <v>1</v>
      </c>
      <c r="L110" s="220">
        <v>3</v>
      </c>
      <c r="M110" s="220">
        <v>3</v>
      </c>
      <c r="N110" s="220">
        <v>3</v>
      </c>
      <c r="O110" s="220">
        <v>3</v>
      </c>
      <c r="P110" s="220">
        <v>3</v>
      </c>
      <c r="Q110" s="220">
        <v>3</v>
      </c>
      <c r="R110" s="220">
        <f t="shared" si="3"/>
        <v>34</v>
      </c>
    </row>
    <row r="111" spans="1:18" ht="13.5" thickBot="1">
      <c r="A111" s="45"/>
      <c r="B111" s="46"/>
      <c r="C111" s="44" t="s">
        <v>359</v>
      </c>
      <c r="D111" s="41" t="s">
        <v>178</v>
      </c>
      <c r="E111" s="49"/>
      <c r="F111" s="219">
        <v>1</v>
      </c>
      <c r="G111" s="219">
        <v>1</v>
      </c>
      <c r="H111" s="219">
        <v>1</v>
      </c>
      <c r="I111" s="219">
        <v>1</v>
      </c>
      <c r="J111" s="219">
        <v>1</v>
      </c>
      <c r="K111" s="219">
        <v>1</v>
      </c>
      <c r="L111" s="219">
        <v>1</v>
      </c>
      <c r="M111" s="219">
        <v>1</v>
      </c>
      <c r="N111" s="219">
        <v>1</v>
      </c>
      <c r="O111" s="219">
        <v>1</v>
      </c>
      <c r="P111" s="219">
        <v>1</v>
      </c>
      <c r="Q111" s="219">
        <v>1</v>
      </c>
      <c r="R111" s="225">
        <f t="shared" si="3"/>
        <v>12</v>
      </c>
    </row>
    <row r="112" spans="1:18" ht="13.5" thickBot="1">
      <c r="A112" s="45"/>
      <c r="B112" s="46"/>
      <c r="C112" s="47"/>
      <c r="D112" s="41" t="s">
        <v>182</v>
      </c>
      <c r="E112" s="49"/>
      <c r="F112" s="219">
        <v>4</v>
      </c>
      <c r="G112" s="219">
        <v>4</v>
      </c>
      <c r="H112" s="219">
        <v>4</v>
      </c>
      <c r="I112" s="219">
        <v>4</v>
      </c>
      <c r="J112" s="219">
        <v>4</v>
      </c>
      <c r="K112" s="219">
        <v>4</v>
      </c>
      <c r="L112" s="219">
        <v>4</v>
      </c>
      <c r="M112" s="219">
        <v>4</v>
      </c>
      <c r="N112" s="219">
        <v>4</v>
      </c>
      <c r="O112" s="219">
        <v>4</v>
      </c>
      <c r="P112" s="219">
        <v>4</v>
      </c>
      <c r="Q112" s="219">
        <v>4</v>
      </c>
      <c r="R112" s="225">
        <f t="shared" si="3"/>
        <v>48</v>
      </c>
    </row>
    <row r="113" spans="1:18" ht="13.5" thickBot="1">
      <c r="A113" s="45"/>
      <c r="B113" s="46"/>
      <c r="C113" s="48"/>
      <c r="D113" s="216" t="s">
        <v>367</v>
      </c>
      <c r="E113" s="49"/>
      <c r="F113" s="220">
        <v>5</v>
      </c>
      <c r="G113" s="220">
        <v>5</v>
      </c>
      <c r="H113" s="220">
        <v>5</v>
      </c>
      <c r="I113" s="220">
        <v>5</v>
      </c>
      <c r="J113" s="220">
        <v>5</v>
      </c>
      <c r="K113" s="220">
        <v>5</v>
      </c>
      <c r="L113" s="220">
        <v>5</v>
      </c>
      <c r="M113" s="220">
        <v>5</v>
      </c>
      <c r="N113" s="220">
        <v>5</v>
      </c>
      <c r="O113" s="220">
        <v>5</v>
      </c>
      <c r="P113" s="220">
        <v>5</v>
      </c>
      <c r="Q113" s="220">
        <v>5</v>
      </c>
      <c r="R113" s="220">
        <f t="shared" si="3"/>
        <v>60</v>
      </c>
    </row>
    <row r="118" spans="1:18" ht="12.75">
      <c r="A118" s="60" t="s">
        <v>168</v>
      </c>
      <c r="B118" s="60"/>
      <c r="C118" s="60"/>
      <c r="D118" s="60"/>
      <c r="E118" s="60"/>
      <c r="F118" s="64"/>
      <c r="G118" s="82"/>
      <c r="H118" s="64"/>
      <c r="I118" s="64"/>
      <c r="J118" s="64"/>
      <c r="K118" s="64"/>
      <c r="L118" s="64"/>
      <c r="M118" s="64"/>
      <c r="N118" s="64"/>
      <c r="O118" s="60"/>
      <c r="P118" s="60"/>
      <c r="Q118" s="60"/>
    </row>
    <row r="119" spans="1:18" ht="12.75">
      <c r="A119" s="60"/>
      <c r="B119" s="60"/>
      <c r="C119" s="60"/>
      <c r="D119" s="64"/>
      <c r="E119" s="113"/>
      <c r="F119" s="64"/>
      <c r="G119" s="82"/>
      <c r="H119" s="64"/>
      <c r="I119" s="64"/>
      <c r="J119" s="64"/>
      <c r="K119" s="64"/>
      <c r="L119" s="64"/>
      <c r="M119" s="64"/>
      <c r="N119" s="64"/>
      <c r="O119" s="64"/>
      <c r="P119" s="64"/>
      <c r="Q119" s="64"/>
    </row>
    <row r="120" spans="1:18" ht="12.75">
      <c r="A120" s="60"/>
      <c r="B120" s="60"/>
      <c r="C120" s="60"/>
      <c r="D120" s="64"/>
      <c r="E120" s="113"/>
      <c r="F120" s="64"/>
      <c r="G120" s="82"/>
      <c r="H120" s="64"/>
      <c r="I120" s="64"/>
      <c r="J120" s="64"/>
      <c r="K120" s="64"/>
      <c r="L120" s="64"/>
      <c r="M120" s="64"/>
      <c r="N120" s="64"/>
      <c r="O120" s="64"/>
      <c r="P120" s="64"/>
      <c r="Q120" s="64"/>
    </row>
    <row r="121" spans="1:18" ht="12.75">
      <c r="A121" s="60"/>
      <c r="B121" s="60"/>
      <c r="C121" s="60"/>
      <c r="D121" s="60"/>
      <c r="E121" s="60"/>
      <c r="F121" s="161" t="str">
        <f t="shared" ref="F121:Q121" si="4">F4</f>
        <v>201901</v>
      </c>
      <c r="G121" s="161" t="str">
        <f t="shared" si="4"/>
        <v>201902</v>
      </c>
      <c r="H121" s="161" t="str">
        <f t="shared" si="4"/>
        <v>201903</v>
      </c>
      <c r="I121" s="161" t="str">
        <f t="shared" si="4"/>
        <v>201904</v>
      </c>
      <c r="J121" s="161" t="str">
        <f t="shared" si="4"/>
        <v>201905</v>
      </c>
      <c r="K121" s="161">
        <f t="shared" si="4"/>
        <v>201906</v>
      </c>
      <c r="L121" s="161" t="str">
        <f t="shared" si="4"/>
        <v>201907</v>
      </c>
      <c r="M121" s="161" t="str">
        <f t="shared" si="4"/>
        <v>201908</v>
      </c>
      <c r="N121" s="161" t="str">
        <f t="shared" si="4"/>
        <v>201909</v>
      </c>
      <c r="O121" s="63" t="str">
        <f t="shared" si="4"/>
        <v>201910</v>
      </c>
      <c r="P121" s="63" t="str">
        <f t="shared" si="4"/>
        <v>201911</v>
      </c>
      <c r="Q121" s="63" t="str">
        <f t="shared" si="4"/>
        <v>201912</v>
      </c>
    </row>
    <row r="122" spans="1:18" ht="12.75">
      <c r="A122" s="60" t="s">
        <v>136</v>
      </c>
      <c r="B122" s="60"/>
      <c r="C122" s="60"/>
      <c r="D122" s="60"/>
      <c r="E122" s="60" t="s">
        <v>88</v>
      </c>
      <c r="F122" s="162">
        <f t="shared" ref="F122:Q131" si="5">ROUND(SUMIF($E$6:$E$113,$E122,F$6:F$113),0)</f>
        <v>218066</v>
      </c>
      <c r="G122" s="162">
        <f t="shared" si="5"/>
        <v>211896</v>
      </c>
      <c r="H122" s="162">
        <f t="shared" si="5"/>
        <v>222742</v>
      </c>
      <c r="I122" s="162">
        <f t="shared" si="5"/>
        <v>215988</v>
      </c>
      <c r="J122" s="162">
        <f t="shared" si="5"/>
        <v>220080</v>
      </c>
      <c r="K122" s="162">
        <f t="shared" si="5"/>
        <v>217378</v>
      </c>
      <c r="L122" s="162">
        <f t="shared" si="5"/>
        <v>217866</v>
      </c>
      <c r="M122" s="162">
        <f t="shared" si="5"/>
        <v>218561</v>
      </c>
      <c r="N122" s="162">
        <f t="shared" si="5"/>
        <v>212449</v>
      </c>
      <c r="O122" s="62">
        <f t="shared" si="5"/>
        <v>225194</v>
      </c>
      <c r="P122" s="62">
        <f t="shared" si="5"/>
        <v>219427</v>
      </c>
      <c r="Q122" s="62">
        <f t="shared" si="5"/>
        <v>219799</v>
      </c>
    </row>
    <row r="123" spans="1:18" ht="12.75">
      <c r="A123" s="60" t="s">
        <v>137</v>
      </c>
      <c r="B123" s="60"/>
      <c r="C123" s="60"/>
      <c r="D123" s="60"/>
      <c r="E123" s="60" t="s">
        <v>89</v>
      </c>
      <c r="F123" s="162">
        <f t="shared" si="5"/>
        <v>9680</v>
      </c>
      <c r="G123" s="162">
        <f t="shared" si="5"/>
        <v>9411</v>
      </c>
      <c r="H123" s="162">
        <f t="shared" si="5"/>
        <v>9902</v>
      </c>
      <c r="I123" s="162">
        <f t="shared" si="5"/>
        <v>9671</v>
      </c>
      <c r="J123" s="162">
        <f t="shared" si="5"/>
        <v>9766</v>
      </c>
      <c r="K123" s="162">
        <f t="shared" si="5"/>
        <v>9692</v>
      </c>
      <c r="L123" s="162">
        <f t="shared" si="5"/>
        <v>9736</v>
      </c>
      <c r="M123" s="162">
        <f t="shared" si="5"/>
        <v>9767</v>
      </c>
      <c r="N123" s="162">
        <f t="shared" si="5"/>
        <v>9551</v>
      </c>
      <c r="O123" s="62">
        <f t="shared" si="5"/>
        <v>10011</v>
      </c>
      <c r="P123" s="62">
        <f t="shared" si="5"/>
        <v>9705</v>
      </c>
      <c r="Q123" s="62">
        <f t="shared" si="5"/>
        <v>9795</v>
      </c>
    </row>
    <row r="124" spans="1:18" ht="12.75">
      <c r="A124" s="60" t="s">
        <v>138</v>
      </c>
      <c r="B124" s="60"/>
      <c r="C124" s="60"/>
      <c r="D124" s="60"/>
      <c r="E124" s="60" t="s">
        <v>90</v>
      </c>
      <c r="F124" s="162">
        <f t="shared" si="5"/>
        <v>22789</v>
      </c>
      <c r="G124" s="162">
        <f t="shared" si="5"/>
        <v>22164</v>
      </c>
      <c r="H124" s="162">
        <f t="shared" si="5"/>
        <v>23152</v>
      </c>
      <c r="I124" s="162">
        <f t="shared" si="5"/>
        <v>22684</v>
      </c>
      <c r="J124" s="162">
        <f t="shared" si="5"/>
        <v>22817</v>
      </c>
      <c r="K124" s="162">
        <f t="shared" si="5"/>
        <v>22711</v>
      </c>
      <c r="L124" s="162">
        <f t="shared" si="5"/>
        <v>22734</v>
      </c>
      <c r="M124" s="162">
        <f t="shared" si="5"/>
        <v>22772</v>
      </c>
      <c r="N124" s="162">
        <f t="shared" si="5"/>
        <v>22354</v>
      </c>
      <c r="O124" s="62">
        <f t="shared" si="5"/>
        <v>23230</v>
      </c>
      <c r="P124" s="62">
        <f t="shared" si="5"/>
        <v>22673</v>
      </c>
      <c r="Q124" s="62">
        <f t="shared" si="5"/>
        <v>22739</v>
      </c>
    </row>
    <row r="125" spans="1:18" ht="12.75">
      <c r="A125" s="60" t="s">
        <v>139</v>
      </c>
      <c r="B125" s="60"/>
      <c r="C125" s="60"/>
      <c r="D125" s="60"/>
      <c r="E125" s="60" t="s">
        <v>91</v>
      </c>
      <c r="F125" s="162">
        <f t="shared" si="5"/>
        <v>127</v>
      </c>
      <c r="G125" s="162">
        <f t="shared" si="5"/>
        <v>124</v>
      </c>
      <c r="H125" s="162">
        <f t="shared" si="5"/>
        <v>129</v>
      </c>
      <c r="I125" s="162">
        <f t="shared" si="5"/>
        <v>127</v>
      </c>
      <c r="J125" s="162">
        <f t="shared" si="5"/>
        <v>119</v>
      </c>
      <c r="K125" s="162">
        <f t="shared" si="5"/>
        <v>129</v>
      </c>
      <c r="L125" s="162">
        <f t="shared" si="5"/>
        <v>123</v>
      </c>
      <c r="M125" s="162">
        <f t="shared" si="5"/>
        <v>124</v>
      </c>
      <c r="N125" s="162">
        <f t="shared" si="5"/>
        <v>124</v>
      </c>
      <c r="O125" s="62">
        <f t="shared" si="5"/>
        <v>127</v>
      </c>
      <c r="P125" s="62">
        <f t="shared" si="5"/>
        <v>124</v>
      </c>
      <c r="Q125" s="62">
        <f t="shared" si="5"/>
        <v>124</v>
      </c>
    </row>
    <row r="126" spans="1:18" ht="12.75">
      <c r="A126" s="60" t="s">
        <v>140</v>
      </c>
      <c r="B126" s="60"/>
      <c r="C126" s="60"/>
      <c r="D126" s="60"/>
      <c r="E126" s="60" t="s">
        <v>92</v>
      </c>
      <c r="F126" s="162">
        <f t="shared" si="5"/>
        <v>32663</v>
      </c>
      <c r="G126" s="162">
        <f t="shared" si="5"/>
        <v>31762</v>
      </c>
      <c r="H126" s="162">
        <f t="shared" si="5"/>
        <v>33249</v>
      </c>
      <c r="I126" s="162">
        <f t="shared" si="5"/>
        <v>32546</v>
      </c>
      <c r="J126" s="162">
        <f t="shared" si="5"/>
        <v>32768</v>
      </c>
      <c r="K126" s="162">
        <f t="shared" si="5"/>
        <v>32598</v>
      </c>
      <c r="L126" s="162">
        <f t="shared" si="5"/>
        <v>32660</v>
      </c>
      <c r="M126" s="162">
        <f t="shared" si="5"/>
        <v>32731</v>
      </c>
      <c r="N126" s="162">
        <f t="shared" si="5"/>
        <v>32100</v>
      </c>
      <c r="O126" s="62">
        <f t="shared" si="5"/>
        <v>33433</v>
      </c>
      <c r="P126" s="62">
        <f t="shared" si="5"/>
        <v>32560</v>
      </c>
      <c r="Q126" s="62">
        <f t="shared" si="5"/>
        <v>32733</v>
      </c>
    </row>
    <row r="127" spans="1:18" ht="12.75">
      <c r="A127" s="60" t="s">
        <v>141</v>
      </c>
      <c r="B127" s="60"/>
      <c r="C127" s="60"/>
      <c r="D127" s="60"/>
      <c r="E127" s="60" t="s">
        <v>93</v>
      </c>
      <c r="F127" s="162">
        <f t="shared" si="5"/>
        <v>50</v>
      </c>
      <c r="G127" s="162">
        <f t="shared" si="5"/>
        <v>44</v>
      </c>
      <c r="H127" s="162">
        <f t="shared" si="5"/>
        <v>50</v>
      </c>
      <c r="I127" s="162">
        <f t="shared" si="5"/>
        <v>47</v>
      </c>
      <c r="J127" s="162">
        <f t="shared" si="5"/>
        <v>48</v>
      </c>
      <c r="K127" s="162">
        <f t="shared" si="5"/>
        <v>48</v>
      </c>
      <c r="L127" s="162">
        <f t="shared" si="5"/>
        <v>47</v>
      </c>
      <c r="M127" s="162">
        <f t="shared" si="5"/>
        <v>49</v>
      </c>
      <c r="N127" s="162">
        <f t="shared" si="5"/>
        <v>44</v>
      </c>
      <c r="O127" s="62">
        <f t="shared" si="5"/>
        <v>52</v>
      </c>
      <c r="P127" s="62">
        <f t="shared" si="5"/>
        <v>48</v>
      </c>
      <c r="Q127" s="62">
        <f t="shared" si="5"/>
        <v>47</v>
      </c>
    </row>
    <row r="128" spans="1:18" ht="12.75">
      <c r="A128" s="60" t="s">
        <v>142</v>
      </c>
      <c r="B128" s="60"/>
      <c r="C128" s="60"/>
      <c r="D128" s="60"/>
      <c r="E128" s="60" t="s">
        <v>116</v>
      </c>
      <c r="F128" s="162">
        <f t="shared" si="5"/>
        <v>1768</v>
      </c>
      <c r="G128" s="162">
        <f t="shared" si="5"/>
        <v>1718</v>
      </c>
      <c r="H128" s="162">
        <f t="shared" si="5"/>
        <v>1818</v>
      </c>
      <c r="I128" s="162">
        <f t="shared" si="5"/>
        <v>1772</v>
      </c>
      <c r="J128" s="162">
        <f t="shared" si="5"/>
        <v>1758</v>
      </c>
      <c r="K128" s="162">
        <f t="shared" si="5"/>
        <v>1782</v>
      </c>
      <c r="L128" s="162">
        <f t="shared" si="5"/>
        <v>1782</v>
      </c>
      <c r="M128" s="162">
        <f t="shared" si="5"/>
        <v>1778</v>
      </c>
      <c r="N128" s="162">
        <f t="shared" si="5"/>
        <v>1720</v>
      </c>
      <c r="O128" s="62">
        <f t="shared" si="5"/>
        <v>1827</v>
      </c>
      <c r="P128" s="62">
        <f t="shared" si="5"/>
        <v>1757</v>
      </c>
      <c r="Q128" s="62">
        <f t="shared" si="5"/>
        <v>1787</v>
      </c>
    </row>
    <row r="129" spans="1:17" ht="12.75">
      <c r="A129" s="60" t="s">
        <v>143</v>
      </c>
      <c r="B129" s="60"/>
      <c r="C129" s="60"/>
      <c r="D129" s="60"/>
      <c r="E129" s="60" t="s">
        <v>117</v>
      </c>
      <c r="F129" s="162">
        <f t="shared" si="5"/>
        <v>76</v>
      </c>
      <c r="G129" s="162">
        <f t="shared" si="5"/>
        <v>75</v>
      </c>
      <c r="H129" s="162">
        <f t="shared" si="5"/>
        <v>76</v>
      </c>
      <c r="I129" s="162">
        <f t="shared" si="5"/>
        <v>77</v>
      </c>
      <c r="J129" s="162">
        <f t="shared" si="5"/>
        <v>72</v>
      </c>
      <c r="K129" s="162">
        <f t="shared" si="5"/>
        <v>78</v>
      </c>
      <c r="L129" s="162">
        <f t="shared" si="5"/>
        <v>78</v>
      </c>
      <c r="M129" s="162">
        <f t="shared" si="5"/>
        <v>74</v>
      </c>
      <c r="N129" s="162">
        <f t="shared" si="5"/>
        <v>75</v>
      </c>
      <c r="O129" s="62">
        <f t="shared" si="5"/>
        <v>77</v>
      </c>
      <c r="P129" s="62">
        <f t="shared" si="5"/>
        <v>73</v>
      </c>
      <c r="Q129" s="62">
        <f t="shared" si="5"/>
        <v>76</v>
      </c>
    </row>
    <row r="130" spans="1:17" ht="12.75">
      <c r="A130" s="60" t="s">
        <v>144</v>
      </c>
      <c r="B130" s="60"/>
      <c r="C130" s="60"/>
      <c r="D130" s="60"/>
      <c r="E130" s="60" t="s">
        <v>118</v>
      </c>
      <c r="F130" s="162">
        <f t="shared" si="5"/>
        <v>1910</v>
      </c>
      <c r="G130" s="162">
        <f t="shared" si="5"/>
        <v>1853</v>
      </c>
      <c r="H130" s="162">
        <f t="shared" si="5"/>
        <v>1960</v>
      </c>
      <c r="I130" s="162">
        <f t="shared" si="5"/>
        <v>1912</v>
      </c>
      <c r="J130" s="162">
        <f t="shared" si="5"/>
        <v>1894</v>
      </c>
      <c r="K130" s="162">
        <f t="shared" si="5"/>
        <v>1925</v>
      </c>
      <c r="L130" s="162">
        <f t="shared" si="5"/>
        <v>1923</v>
      </c>
      <c r="M130" s="162">
        <f t="shared" si="5"/>
        <v>1917</v>
      </c>
      <c r="N130" s="162">
        <f t="shared" si="5"/>
        <v>1855</v>
      </c>
      <c r="O130" s="62">
        <f t="shared" si="5"/>
        <v>1972</v>
      </c>
      <c r="P130" s="62">
        <f t="shared" si="5"/>
        <v>1894</v>
      </c>
      <c r="Q130" s="62">
        <f t="shared" si="5"/>
        <v>1926</v>
      </c>
    </row>
    <row r="131" spans="1:17" ht="12.75">
      <c r="A131" s="60" t="s">
        <v>145</v>
      </c>
      <c r="B131" s="60"/>
      <c r="C131" s="60"/>
      <c r="D131" s="60"/>
      <c r="E131" s="60" t="s">
        <v>119</v>
      </c>
      <c r="F131" s="162">
        <f t="shared" si="5"/>
        <v>10</v>
      </c>
      <c r="G131" s="162">
        <f t="shared" si="5"/>
        <v>10</v>
      </c>
      <c r="H131" s="162">
        <f t="shared" si="5"/>
        <v>10</v>
      </c>
      <c r="I131" s="162">
        <f t="shared" si="5"/>
        <v>10</v>
      </c>
      <c r="J131" s="162">
        <f t="shared" si="5"/>
        <v>10</v>
      </c>
      <c r="K131" s="162">
        <f t="shared" si="5"/>
        <v>10</v>
      </c>
      <c r="L131" s="162">
        <f t="shared" si="5"/>
        <v>10</v>
      </c>
      <c r="M131" s="162">
        <f t="shared" si="5"/>
        <v>10</v>
      </c>
      <c r="N131" s="162">
        <f t="shared" si="5"/>
        <v>10</v>
      </c>
      <c r="O131" s="62">
        <f t="shared" si="5"/>
        <v>10</v>
      </c>
      <c r="P131" s="62">
        <f t="shared" si="5"/>
        <v>10</v>
      </c>
      <c r="Q131" s="62">
        <f t="shared" si="5"/>
        <v>10</v>
      </c>
    </row>
    <row r="132" spans="1:17" ht="12.75">
      <c r="A132" s="60" t="s">
        <v>146</v>
      </c>
      <c r="B132" s="60"/>
      <c r="C132" s="60"/>
      <c r="D132" s="60"/>
      <c r="E132" s="60" t="s">
        <v>120</v>
      </c>
      <c r="F132" s="162">
        <f t="shared" ref="F132:Q141" si="6">ROUND(SUMIF($E$6:$E$113,$E132,F$6:F$113),0)</f>
        <v>13</v>
      </c>
      <c r="G132" s="162">
        <f t="shared" si="6"/>
        <v>13</v>
      </c>
      <c r="H132" s="162">
        <f t="shared" si="6"/>
        <v>13</v>
      </c>
      <c r="I132" s="162">
        <f t="shared" si="6"/>
        <v>13</v>
      </c>
      <c r="J132" s="162">
        <f t="shared" si="6"/>
        <v>13</v>
      </c>
      <c r="K132" s="162">
        <f t="shared" si="6"/>
        <v>13</v>
      </c>
      <c r="L132" s="162">
        <f t="shared" si="6"/>
        <v>13</v>
      </c>
      <c r="M132" s="162">
        <f t="shared" si="6"/>
        <v>13</v>
      </c>
      <c r="N132" s="162">
        <f t="shared" si="6"/>
        <v>13</v>
      </c>
      <c r="O132" s="62">
        <f t="shared" si="6"/>
        <v>13</v>
      </c>
      <c r="P132" s="62">
        <f t="shared" si="6"/>
        <v>13</v>
      </c>
      <c r="Q132" s="62">
        <f t="shared" si="6"/>
        <v>13</v>
      </c>
    </row>
    <row r="133" spans="1:17" ht="12.75">
      <c r="A133" s="60" t="s">
        <v>147</v>
      </c>
      <c r="B133" s="60"/>
      <c r="C133" s="60"/>
      <c r="D133" s="60"/>
      <c r="E133" s="60" t="s">
        <v>121</v>
      </c>
      <c r="F133" s="162">
        <f t="shared" si="6"/>
        <v>23</v>
      </c>
      <c r="G133" s="162">
        <f t="shared" si="6"/>
        <v>23</v>
      </c>
      <c r="H133" s="162">
        <f t="shared" si="6"/>
        <v>23</v>
      </c>
      <c r="I133" s="162">
        <f t="shared" si="6"/>
        <v>23</v>
      </c>
      <c r="J133" s="162">
        <f t="shared" si="6"/>
        <v>23</v>
      </c>
      <c r="K133" s="162">
        <f t="shared" si="6"/>
        <v>23</v>
      </c>
      <c r="L133" s="162">
        <f t="shared" si="6"/>
        <v>23</v>
      </c>
      <c r="M133" s="162">
        <f t="shared" si="6"/>
        <v>23</v>
      </c>
      <c r="N133" s="162">
        <f t="shared" si="6"/>
        <v>23</v>
      </c>
      <c r="O133" s="62">
        <f t="shared" si="6"/>
        <v>23</v>
      </c>
      <c r="P133" s="62">
        <f t="shared" si="6"/>
        <v>23</v>
      </c>
      <c r="Q133" s="62">
        <f t="shared" si="6"/>
        <v>23</v>
      </c>
    </row>
    <row r="134" spans="1:17" ht="12.75">
      <c r="A134" s="60" t="s">
        <v>148</v>
      </c>
      <c r="B134" s="60"/>
      <c r="C134" s="60"/>
      <c r="D134" s="60"/>
      <c r="E134" s="60" t="s">
        <v>124</v>
      </c>
      <c r="F134" s="162">
        <f t="shared" si="6"/>
        <v>1172</v>
      </c>
      <c r="G134" s="162">
        <f t="shared" si="6"/>
        <v>1119</v>
      </c>
      <c r="H134" s="162">
        <f t="shared" si="6"/>
        <v>1173</v>
      </c>
      <c r="I134" s="162">
        <f t="shared" si="6"/>
        <v>1181</v>
      </c>
      <c r="J134" s="162">
        <f t="shared" si="6"/>
        <v>1163</v>
      </c>
      <c r="K134" s="162">
        <f t="shared" si="6"/>
        <v>1162</v>
      </c>
      <c r="L134" s="162">
        <f t="shared" si="6"/>
        <v>1136</v>
      </c>
      <c r="M134" s="162">
        <f t="shared" si="6"/>
        <v>1161</v>
      </c>
      <c r="N134" s="162">
        <f t="shared" si="6"/>
        <v>1156</v>
      </c>
      <c r="O134" s="62">
        <f t="shared" si="6"/>
        <v>1187</v>
      </c>
      <c r="P134" s="62">
        <f t="shared" si="6"/>
        <v>1145</v>
      </c>
      <c r="Q134" s="62">
        <f t="shared" si="6"/>
        <v>1153</v>
      </c>
    </row>
    <row r="135" spans="1:17" ht="12.75">
      <c r="A135" s="60" t="s">
        <v>149</v>
      </c>
      <c r="B135" s="60"/>
      <c r="C135" s="60"/>
      <c r="D135" s="60"/>
      <c r="E135" s="60" t="s">
        <v>123</v>
      </c>
      <c r="F135" s="162">
        <f t="shared" si="6"/>
        <v>672</v>
      </c>
      <c r="G135" s="162">
        <f t="shared" si="6"/>
        <v>645</v>
      </c>
      <c r="H135" s="162">
        <f t="shared" si="6"/>
        <v>682</v>
      </c>
      <c r="I135" s="162">
        <f t="shared" si="6"/>
        <v>671</v>
      </c>
      <c r="J135" s="162">
        <f t="shared" si="6"/>
        <v>681</v>
      </c>
      <c r="K135" s="162">
        <f t="shared" si="6"/>
        <v>676</v>
      </c>
      <c r="L135" s="162">
        <f t="shared" si="6"/>
        <v>684</v>
      </c>
      <c r="M135" s="162">
        <f t="shared" si="6"/>
        <v>670</v>
      </c>
      <c r="N135" s="162">
        <f t="shared" si="6"/>
        <v>676</v>
      </c>
      <c r="O135" s="62">
        <f t="shared" si="6"/>
        <v>694</v>
      </c>
      <c r="P135" s="62">
        <f t="shared" si="6"/>
        <v>659</v>
      </c>
      <c r="Q135" s="62">
        <f t="shared" si="6"/>
        <v>677</v>
      </c>
    </row>
    <row r="136" spans="1:17" ht="12.75">
      <c r="A136" s="60" t="s">
        <v>150</v>
      </c>
      <c r="B136" s="60"/>
      <c r="C136" s="60"/>
      <c r="D136" s="60"/>
      <c r="E136" s="60" t="s">
        <v>122</v>
      </c>
      <c r="F136" s="162">
        <f t="shared" si="6"/>
        <v>637</v>
      </c>
      <c r="G136" s="162">
        <f t="shared" si="6"/>
        <v>619</v>
      </c>
      <c r="H136" s="162">
        <f t="shared" si="6"/>
        <v>615</v>
      </c>
      <c r="I136" s="162">
        <f t="shared" si="6"/>
        <v>623</v>
      </c>
      <c r="J136" s="162">
        <f t="shared" si="6"/>
        <v>624</v>
      </c>
      <c r="K136" s="162">
        <f t="shared" si="6"/>
        <v>615</v>
      </c>
      <c r="L136" s="162">
        <f t="shared" si="6"/>
        <v>623</v>
      </c>
      <c r="M136" s="162">
        <f t="shared" si="6"/>
        <v>625</v>
      </c>
      <c r="N136" s="162">
        <f t="shared" si="6"/>
        <v>614</v>
      </c>
      <c r="O136" s="62">
        <f t="shared" si="6"/>
        <v>627</v>
      </c>
      <c r="P136" s="62">
        <f t="shared" si="6"/>
        <v>617</v>
      </c>
      <c r="Q136" s="62">
        <f t="shared" si="6"/>
        <v>610</v>
      </c>
    </row>
    <row r="137" spans="1:17" ht="12.75">
      <c r="A137" s="60" t="s">
        <v>151</v>
      </c>
      <c r="B137" s="60"/>
      <c r="C137" s="60"/>
      <c r="D137" s="60"/>
      <c r="E137" s="60" t="s">
        <v>125</v>
      </c>
      <c r="F137" s="162">
        <f t="shared" si="6"/>
        <v>2485</v>
      </c>
      <c r="G137" s="162">
        <f t="shared" si="6"/>
        <v>2387</v>
      </c>
      <c r="H137" s="162">
        <f t="shared" si="6"/>
        <v>2474</v>
      </c>
      <c r="I137" s="162">
        <f t="shared" si="6"/>
        <v>2479</v>
      </c>
      <c r="J137" s="162">
        <f t="shared" si="6"/>
        <v>2472</v>
      </c>
      <c r="K137" s="162">
        <f t="shared" si="6"/>
        <v>2457</v>
      </c>
      <c r="L137" s="162">
        <f t="shared" si="6"/>
        <v>2447</v>
      </c>
      <c r="M137" s="162">
        <f t="shared" si="6"/>
        <v>2460</v>
      </c>
      <c r="N137" s="162">
        <f t="shared" si="6"/>
        <v>2450</v>
      </c>
      <c r="O137" s="62">
        <f t="shared" si="6"/>
        <v>2512</v>
      </c>
      <c r="P137" s="62">
        <f t="shared" si="6"/>
        <v>2425</v>
      </c>
      <c r="Q137" s="62">
        <f t="shared" si="6"/>
        <v>2444</v>
      </c>
    </row>
    <row r="138" spans="1:17" ht="12.75">
      <c r="A138" s="60"/>
      <c r="B138" s="60"/>
      <c r="C138" s="60"/>
      <c r="D138" s="60"/>
      <c r="E138" s="60"/>
      <c r="F138" s="162">
        <f t="shared" si="6"/>
        <v>0</v>
      </c>
      <c r="G138" s="162">
        <f t="shared" si="6"/>
        <v>0</v>
      </c>
      <c r="H138" s="162">
        <f t="shared" si="6"/>
        <v>0</v>
      </c>
      <c r="I138" s="162">
        <f t="shared" si="6"/>
        <v>0</v>
      </c>
      <c r="J138" s="162">
        <f t="shared" si="6"/>
        <v>0</v>
      </c>
      <c r="K138" s="162">
        <f t="shared" si="6"/>
        <v>0</v>
      </c>
      <c r="L138" s="162">
        <f t="shared" si="6"/>
        <v>0</v>
      </c>
      <c r="M138" s="162">
        <f t="shared" si="6"/>
        <v>0</v>
      </c>
      <c r="N138" s="162">
        <f t="shared" si="6"/>
        <v>0</v>
      </c>
      <c r="O138" s="62">
        <f t="shared" si="6"/>
        <v>0</v>
      </c>
      <c r="P138" s="62">
        <f t="shared" si="6"/>
        <v>0</v>
      </c>
      <c r="Q138" s="62">
        <f t="shared" si="6"/>
        <v>0</v>
      </c>
    </row>
    <row r="139" spans="1:17" ht="12.75">
      <c r="A139" s="60" t="s">
        <v>152</v>
      </c>
      <c r="B139" s="60"/>
      <c r="C139" s="60"/>
      <c r="D139" s="60"/>
      <c r="E139" s="60" t="s">
        <v>95</v>
      </c>
      <c r="F139" s="162">
        <f t="shared" si="6"/>
        <v>109281</v>
      </c>
      <c r="G139" s="162">
        <f t="shared" si="6"/>
        <v>109288</v>
      </c>
      <c r="H139" s="162">
        <f t="shared" si="6"/>
        <v>109370</v>
      </c>
      <c r="I139" s="162">
        <f t="shared" si="6"/>
        <v>109346</v>
      </c>
      <c r="J139" s="162">
        <f t="shared" si="6"/>
        <v>109458</v>
      </c>
      <c r="K139" s="162">
        <f t="shared" si="6"/>
        <v>109284</v>
      </c>
      <c r="L139" s="162">
        <f t="shared" si="6"/>
        <v>109672</v>
      </c>
      <c r="M139" s="162">
        <f t="shared" si="6"/>
        <v>109858</v>
      </c>
      <c r="N139" s="162">
        <f t="shared" si="6"/>
        <v>110104</v>
      </c>
      <c r="O139" s="62">
        <f t="shared" si="6"/>
        <v>110464</v>
      </c>
      <c r="P139" s="62">
        <f t="shared" si="6"/>
        <v>110566</v>
      </c>
      <c r="Q139" s="62">
        <f t="shared" si="6"/>
        <v>110894</v>
      </c>
    </row>
    <row r="140" spans="1:17" ht="12.75">
      <c r="A140" s="60" t="s">
        <v>153</v>
      </c>
      <c r="B140" s="60"/>
      <c r="C140" s="60"/>
      <c r="D140" s="60"/>
      <c r="E140" s="60" t="s">
        <v>96</v>
      </c>
      <c r="F140" s="162">
        <f t="shared" si="6"/>
        <v>5590</v>
      </c>
      <c r="G140" s="162">
        <f t="shared" si="6"/>
        <v>5558</v>
      </c>
      <c r="H140" s="162">
        <f t="shared" si="6"/>
        <v>5598</v>
      </c>
      <c r="I140" s="162">
        <f t="shared" si="6"/>
        <v>5612</v>
      </c>
      <c r="J140" s="162">
        <f t="shared" si="6"/>
        <v>5659</v>
      </c>
      <c r="K140" s="162">
        <f t="shared" si="6"/>
        <v>5607</v>
      </c>
      <c r="L140" s="162">
        <f t="shared" si="6"/>
        <v>5692</v>
      </c>
      <c r="M140" s="162">
        <f t="shared" si="6"/>
        <v>5679</v>
      </c>
      <c r="N140" s="162">
        <f t="shared" si="6"/>
        <v>5667</v>
      </c>
      <c r="O140" s="62">
        <f t="shared" si="6"/>
        <v>5767</v>
      </c>
      <c r="P140" s="62">
        <f t="shared" si="6"/>
        <v>5753</v>
      </c>
      <c r="Q140" s="62">
        <f t="shared" si="6"/>
        <v>5807</v>
      </c>
    </row>
    <row r="141" spans="1:17" ht="12.75">
      <c r="A141" s="60" t="s">
        <v>154</v>
      </c>
      <c r="B141" s="60"/>
      <c r="C141" s="60"/>
      <c r="D141" s="60"/>
      <c r="E141" s="60" t="s">
        <v>97</v>
      </c>
      <c r="F141" s="162">
        <f t="shared" si="6"/>
        <v>16209</v>
      </c>
      <c r="G141" s="162">
        <f t="shared" si="6"/>
        <v>16095</v>
      </c>
      <c r="H141" s="162">
        <f t="shared" si="6"/>
        <v>16177</v>
      </c>
      <c r="I141" s="162">
        <f t="shared" si="6"/>
        <v>16151</v>
      </c>
      <c r="J141" s="162">
        <f t="shared" si="6"/>
        <v>16243</v>
      </c>
      <c r="K141" s="162">
        <f t="shared" si="6"/>
        <v>16106</v>
      </c>
      <c r="L141" s="162">
        <f t="shared" si="6"/>
        <v>16250</v>
      </c>
      <c r="M141" s="162">
        <f t="shared" si="6"/>
        <v>16261</v>
      </c>
      <c r="N141" s="162">
        <f t="shared" si="6"/>
        <v>16184</v>
      </c>
      <c r="O141" s="62">
        <f t="shared" si="6"/>
        <v>16383</v>
      </c>
      <c r="P141" s="62">
        <f t="shared" si="6"/>
        <v>16261</v>
      </c>
      <c r="Q141" s="62">
        <f t="shared" si="6"/>
        <v>16033</v>
      </c>
    </row>
    <row r="142" spans="1:17" ht="12.75">
      <c r="A142" s="60" t="s">
        <v>155</v>
      </c>
      <c r="B142" s="60"/>
      <c r="C142" s="60"/>
      <c r="D142" s="60"/>
      <c r="E142" s="60" t="s">
        <v>98</v>
      </c>
      <c r="F142" s="162">
        <f t="shared" ref="F142:Q154" si="7">ROUND(SUMIF($E$6:$E$113,$E142,F$6:F$113),0)</f>
        <v>127</v>
      </c>
      <c r="G142" s="162">
        <f t="shared" si="7"/>
        <v>125</v>
      </c>
      <c r="H142" s="162">
        <f t="shared" si="7"/>
        <v>123</v>
      </c>
      <c r="I142" s="162">
        <f t="shared" si="7"/>
        <v>122</v>
      </c>
      <c r="J142" s="162">
        <f t="shared" si="7"/>
        <v>123</v>
      </c>
      <c r="K142" s="162">
        <f t="shared" si="7"/>
        <v>122</v>
      </c>
      <c r="L142" s="162">
        <f t="shared" si="7"/>
        <v>121</v>
      </c>
      <c r="M142" s="162">
        <f t="shared" si="7"/>
        <v>121</v>
      </c>
      <c r="N142" s="162">
        <f t="shared" si="7"/>
        <v>119</v>
      </c>
      <c r="O142" s="62">
        <f t="shared" si="7"/>
        <v>119</v>
      </c>
      <c r="P142" s="62">
        <f t="shared" si="7"/>
        <v>117</v>
      </c>
      <c r="Q142" s="62">
        <f t="shared" si="7"/>
        <v>117</v>
      </c>
    </row>
    <row r="143" spans="1:17" ht="12.75">
      <c r="A143" s="60" t="s">
        <v>156</v>
      </c>
      <c r="B143" s="60"/>
      <c r="C143" s="60"/>
      <c r="D143" s="60"/>
      <c r="E143" s="60" t="s">
        <v>99</v>
      </c>
      <c r="F143" s="162">
        <f t="shared" si="7"/>
        <v>21957</v>
      </c>
      <c r="G143" s="162">
        <f t="shared" si="7"/>
        <v>21809</v>
      </c>
      <c r="H143" s="162">
        <f t="shared" si="7"/>
        <v>21928</v>
      </c>
      <c r="I143" s="162">
        <f t="shared" si="7"/>
        <v>21917</v>
      </c>
      <c r="J143" s="162">
        <f t="shared" si="7"/>
        <v>22056</v>
      </c>
      <c r="K143" s="162">
        <f t="shared" si="7"/>
        <v>21866</v>
      </c>
      <c r="L143" s="162">
        <f t="shared" si="7"/>
        <v>22094</v>
      </c>
      <c r="M143" s="162">
        <f t="shared" si="7"/>
        <v>22092</v>
      </c>
      <c r="N143" s="162">
        <f t="shared" si="7"/>
        <v>22001</v>
      </c>
      <c r="O143" s="62">
        <f t="shared" si="7"/>
        <v>22300</v>
      </c>
      <c r="P143" s="62">
        <f t="shared" si="7"/>
        <v>22162</v>
      </c>
      <c r="Q143" s="62">
        <f t="shared" si="7"/>
        <v>21988</v>
      </c>
    </row>
    <row r="144" spans="1:17" ht="12.75">
      <c r="A144" s="60" t="s">
        <v>157</v>
      </c>
      <c r="B144" s="60"/>
      <c r="C144" s="60"/>
      <c r="D144" s="60"/>
      <c r="E144" s="60" t="s">
        <v>100</v>
      </c>
      <c r="F144" s="162">
        <f t="shared" si="7"/>
        <v>17</v>
      </c>
      <c r="G144" s="162">
        <f t="shared" si="7"/>
        <v>17</v>
      </c>
      <c r="H144" s="162">
        <f t="shared" si="7"/>
        <v>17</v>
      </c>
      <c r="I144" s="162">
        <f t="shared" si="7"/>
        <v>17</v>
      </c>
      <c r="J144" s="162">
        <f t="shared" si="7"/>
        <v>17</v>
      </c>
      <c r="K144" s="162">
        <f t="shared" si="7"/>
        <v>17</v>
      </c>
      <c r="L144" s="162">
        <f t="shared" si="7"/>
        <v>17</v>
      </c>
      <c r="M144" s="162">
        <f t="shared" si="7"/>
        <v>17</v>
      </c>
      <c r="N144" s="162">
        <f t="shared" si="7"/>
        <v>17</v>
      </c>
      <c r="O144" s="62">
        <f t="shared" si="7"/>
        <v>17</v>
      </c>
      <c r="P144" s="62">
        <f t="shared" si="7"/>
        <v>17</v>
      </c>
      <c r="Q144" s="62">
        <f t="shared" si="7"/>
        <v>17</v>
      </c>
    </row>
    <row r="145" spans="1:17" ht="12.75">
      <c r="A145" s="60" t="s">
        <v>158</v>
      </c>
      <c r="B145" s="60"/>
      <c r="C145" s="60"/>
      <c r="D145" s="60"/>
      <c r="E145" s="60" t="s">
        <v>126</v>
      </c>
      <c r="F145" s="162">
        <f t="shared" si="7"/>
        <v>996</v>
      </c>
      <c r="G145" s="162">
        <f t="shared" si="7"/>
        <v>986</v>
      </c>
      <c r="H145" s="162">
        <f t="shared" si="7"/>
        <v>993</v>
      </c>
      <c r="I145" s="162">
        <f t="shared" si="7"/>
        <v>988</v>
      </c>
      <c r="J145" s="162">
        <f t="shared" si="7"/>
        <v>991</v>
      </c>
      <c r="K145" s="162">
        <f t="shared" si="7"/>
        <v>980</v>
      </c>
      <c r="L145" s="162">
        <f t="shared" si="7"/>
        <v>981</v>
      </c>
      <c r="M145" s="162">
        <f t="shared" si="7"/>
        <v>974</v>
      </c>
      <c r="N145" s="162">
        <f t="shared" si="7"/>
        <v>974</v>
      </c>
      <c r="O145" s="62">
        <f t="shared" si="7"/>
        <v>975</v>
      </c>
      <c r="P145" s="62">
        <f t="shared" si="7"/>
        <v>966</v>
      </c>
      <c r="Q145" s="62">
        <f t="shared" si="7"/>
        <v>969</v>
      </c>
    </row>
    <row r="146" spans="1:17" ht="12.75">
      <c r="A146" s="60" t="s">
        <v>159</v>
      </c>
      <c r="B146" s="60"/>
      <c r="C146" s="60"/>
      <c r="D146" s="60"/>
      <c r="E146" s="60" t="s">
        <v>127</v>
      </c>
      <c r="F146" s="162">
        <f t="shared" si="7"/>
        <v>55</v>
      </c>
      <c r="G146" s="162">
        <f t="shared" si="7"/>
        <v>55</v>
      </c>
      <c r="H146" s="162">
        <f t="shared" si="7"/>
        <v>56</v>
      </c>
      <c r="I146" s="162">
        <f t="shared" si="7"/>
        <v>56</v>
      </c>
      <c r="J146" s="162">
        <f t="shared" si="7"/>
        <v>58</v>
      </c>
      <c r="K146" s="162">
        <f t="shared" si="7"/>
        <v>57</v>
      </c>
      <c r="L146" s="162">
        <f t="shared" si="7"/>
        <v>59</v>
      </c>
      <c r="M146" s="162">
        <f t="shared" si="7"/>
        <v>57</v>
      </c>
      <c r="N146" s="162">
        <f t="shared" si="7"/>
        <v>58</v>
      </c>
      <c r="O146" s="62">
        <f t="shared" si="7"/>
        <v>59</v>
      </c>
      <c r="P146" s="62">
        <f t="shared" si="7"/>
        <v>58</v>
      </c>
      <c r="Q146" s="62">
        <f t="shared" si="7"/>
        <v>61</v>
      </c>
    </row>
    <row r="147" spans="1:17" ht="12.75">
      <c r="A147" s="60" t="s">
        <v>160</v>
      </c>
      <c r="B147" s="60"/>
      <c r="C147" s="60"/>
      <c r="D147" s="60"/>
      <c r="E147" s="60" t="s">
        <v>128</v>
      </c>
      <c r="F147" s="162">
        <f t="shared" si="7"/>
        <v>1072</v>
      </c>
      <c r="G147" s="162">
        <f t="shared" si="7"/>
        <v>1062</v>
      </c>
      <c r="H147" s="162">
        <f t="shared" si="7"/>
        <v>1070</v>
      </c>
      <c r="I147" s="162">
        <f t="shared" si="7"/>
        <v>1065</v>
      </c>
      <c r="J147" s="162">
        <f t="shared" si="7"/>
        <v>1070</v>
      </c>
      <c r="K147" s="162">
        <f t="shared" si="7"/>
        <v>1058</v>
      </c>
      <c r="L147" s="162">
        <f t="shared" si="7"/>
        <v>1061</v>
      </c>
      <c r="M147" s="162">
        <f t="shared" si="7"/>
        <v>1052</v>
      </c>
      <c r="N147" s="162">
        <f t="shared" si="7"/>
        <v>1053</v>
      </c>
      <c r="O147" s="62">
        <f t="shared" si="7"/>
        <v>1055</v>
      </c>
      <c r="P147" s="62">
        <f t="shared" si="7"/>
        <v>1045</v>
      </c>
      <c r="Q147" s="62">
        <f t="shared" si="7"/>
        <v>1051</v>
      </c>
    </row>
    <row r="148" spans="1:17" ht="12.75">
      <c r="A148" s="60" t="s">
        <v>161</v>
      </c>
      <c r="B148" s="60"/>
      <c r="C148" s="60"/>
      <c r="D148" s="60"/>
      <c r="E148" s="60" t="s">
        <v>129</v>
      </c>
      <c r="F148" s="162">
        <f t="shared" si="7"/>
        <v>4</v>
      </c>
      <c r="G148" s="162">
        <f t="shared" si="7"/>
        <v>3</v>
      </c>
      <c r="H148" s="162">
        <f t="shared" si="7"/>
        <v>3</v>
      </c>
      <c r="I148" s="162">
        <f t="shared" si="7"/>
        <v>3</v>
      </c>
      <c r="J148" s="162">
        <f t="shared" si="7"/>
        <v>3</v>
      </c>
      <c r="K148" s="162">
        <f t="shared" si="7"/>
        <v>3</v>
      </c>
      <c r="L148" s="162">
        <f t="shared" si="7"/>
        <v>3</v>
      </c>
      <c r="M148" s="162">
        <f t="shared" si="7"/>
        <v>3</v>
      </c>
      <c r="N148" s="162">
        <f t="shared" si="7"/>
        <v>3</v>
      </c>
      <c r="O148" s="62">
        <f t="shared" si="7"/>
        <v>3</v>
      </c>
      <c r="P148" s="62">
        <f t="shared" si="7"/>
        <v>3</v>
      </c>
      <c r="Q148" s="62">
        <f t="shared" si="7"/>
        <v>3</v>
      </c>
    </row>
    <row r="149" spans="1:17" ht="12.75">
      <c r="A149" s="60" t="s">
        <v>162</v>
      </c>
      <c r="B149" s="60"/>
      <c r="C149" s="60"/>
      <c r="D149" s="60"/>
      <c r="E149" s="60" t="s">
        <v>130</v>
      </c>
      <c r="F149" s="162">
        <f t="shared" si="7"/>
        <v>8</v>
      </c>
      <c r="G149" s="162">
        <f t="shared" si="7"/>
        <v>8</v>
      </c>
      <c r="H149" s="162">
        <f t="shared" si="7"/>
        <v>8</v>
      </c>
      <c r="I149" s="162">
        <f t="shared" si="7"/>
        <v>8</v>
      </c>
      <c r="J149" s="162">
        <f t="shared" si="7"/>
        <v>8</v>
      </c>
      <c r="K149" s="162">
        <f t="shared" si="7"/>
        <v>7</v>
      </c>
      <c r="L149" s="162">
        <f t="shared" si="7"/>
        <v>7</v>
      </c>
      <c r="M149" s="162">
        <f t="shared" si="7"/>
        <v>7</v>
      </c>
      <c r="N149" s="162">
        <f t="shared" si="7"/>
        <v>7</v>
      </c>
      <c r="O149" s="62">
        <f t="shared" si="7"/>
        <v>7</v>
      </c>
      <c r="P149" s="62">
        <f t="shared" si="7"/>
        <v>7</v>
      </c>
      <c r="Q149" s="62">
        <f t="shared" si="7"/>
        <v>7</v>
      </c>
    </row>
    <row r="150" spans="1:17" ht="12.75">
      <c r="A150" s="60" t="s">
        <v>163</v>
      </c>
      <c r="B150" s="60"/>
      <c r="C150" s="60"/>
      <c r="D150" s="60"/>
      <c r="E150" s="60" t="s">
        <v>131</v>
      </c>
      <c r="F150" s="162">
        <f t="shared" si="7"/>
        <v>12</v>
      </c>
      <c r="G150" s="162">
        <f t="shared" si="7"/>
        <v>11</v>
      </c>
      <c r="H150" s="162">
        <f t="shared" si="7"/>
        <v>11</v>
      </c>
      <c r="I150" s="162">
        <f t="shared" si="7"/>
        <v>11</v>
      </c>
      <c r="J150" s="162">
        <f t="shared" si="7"/>
        <v>11</v>
      </c>
      <c r="K150" s="162">
        <f t="shared" si="7"/>
        <v>10</v>
      </c>
      <c r="L150" s="162">
        <f t="shared" si="7"/>
        <v>10</v>
      </c>
      <c r="M150" s="162">
        <f t="shared" si="7"/>
        <v>10</v>
      </c>
      <c r="N150" s="162">
        <f t="shared" si="7"/>
        <v>10</v>
      </c>
      <c r="O150" s="62">
        <f t="shared" si="7"/>
        <v>10</v>
      </c>
      <c r="P150" s="62">
        <f t="shared" si="7"/>
        <v>10</v>
      </c>
      <c r="Q150" s="62">
        <f t="shared" si="7"/>
        <v>10</v>
      </c>
    </row>
    <row r="151" spans="1:17" ht="12.75">
      <c r="A151" s="60" t="s">
        <v>164</v>
      </c>
      <c r="B151" s="60"/>
      <c r="C151" s="60"/>
      <c r="D151" s="60"/>
      <c r="E151" s="60" t="s">
        <v>134</v>
      </c>
      <c r="F151" s="162">
        <f t="shared" si="7"/>
        <v>631</v>
      </c>
      <c r="G151" s="162">
        <f t="shared" si="7"/>
        <v>625</v>
      </c>
      <c r="H151" s="162">
        <f t="shared" si="7"/>
        <v>628</v>
      </c>
      <c r="I151" s="162">
        <f t="shared" si="7"/>
        <v>631</v>
      </c>
      <c r="J151" s="162">
        <f t="shared" si="7"/>
        <v>636</v>
      </c>
      <c r="K151" s="162">
        <f t="shared" si="7"/>
        <v>631</v>
      </c>
      <c r="L151" s="162">
        <f t="shared" si="7"/>
        <v>639</v>
      </c>
      <c r="M151" s="162">
        <f t="shared" si="7"/>
        <v>634</v>
      </c>
      <c r="N151" s="162">
        <f t="shared" si="7"/>
        <v>634</v>
      </c>
      <c r="O151" s="62">
        <f t="shared" si="7"/>
        <v>633</v>
      </c>
      <c r="P151" s="62">
        <f t="shared" si="7"/>
        <v>630</v>
      </c>
      <c r="Q151" s="62">
        <f t="shared" si="7"/>
        <v>636</v>
      </c>
    </row>
    <row r="152" spans="1:17" ht="12.75">
      <c r="A152" s="60" t="s">
        <v>165</v>
      </c>
      <c r="B152" s="60"/>
      <c r="C152" s="60"/>
      <c r="D152" s="60"/>
      <c r="E152" s="60" t="s">
        <v>132</v>
      </c>
      <c r="F152" s="162">
        <f t="shared" si="7"/>
        <v>571</v>
      </c>
      <c r="G152" s="162">
        <f t="shared" si="7"/>
        <v>554</v>
      </c>
      <c r="H152" s="162">
        <f t="shared" si="7"/>
        <v>567</v>
      </c>
      <c r="I152" s="162">
        <f t="shared" si="7"/>
        <v>560</v>
      </c>
      <c r="J152" s="162">
        <f t="shared" si="7"/>
        <v>572</v>
      </c>
      <c r="K152" s="162">
        <f t="shared" si="7"/>
        <v>563</v>
      </c>
      <c r="L152" s="162">
        <f t="shared" si="7"/>
        <v>567</v>
      </c>
      <c r="M152" s="162">
        <f t="shared" si="7"/>
        <v>563</v>
      </c>
      <c r="N152" s="162">
        <f t="shared" si="7"/>
        <v>555</v>
      </c>
      <c r="O152" s="62">
        <f t="shared" si="7"/>
        <v>577</v>
      </c>
      <c r="P152" s="62">
        <f t="shared" si="7"/>
        <v>562</v>
      </c>
      <c r="Q152" s="62">
        <f t="shared" si="7"/>
        <v>564</v>
      </c>
    </row>
    <row r="153" spans="1:17" ht="12.75">
      <c r="A153" s="60" t="s">
        <v>166</v>
      </c>
      <c r="B153" s="60"/>
      <c r="C153" s="60"/>
      <c r="D153" s="60"/>
      <c r="E153" s="60" t="s">
        <v>133</v>
      </c>
      <c r="F153" s="162">
        <f t="shared" si="7"/>
        <v>245</v>
      </c>
      <c r="G153" s="162">
        <f t="shared" si="7"/>
        <v>230</v>
      </c>
      <c r="H153" s="162">
        <f t="shared" si="7"/>
        <v>240</v>
      </c>
      <c r="I153" s="162">
        <f t="shared" si="7"/>
        <v>237</v>
      </c>
      <c r="J153" s="162">
        <f t="shared" si="7"/>
        <v>243</v>
      </c>
      <c r="K153" s="162">
        <f t="shared" si="7"/>
        <v>236</v>
      </c>
      <c r="L153" s="162">
        <f t="shared" si="7"/>
        <v>240</v>
      </c>
      <c r="M153" s="162">
        <f t="shared" si="7"/>
        <v>236</v>
      </c>
      <c r="N153" s="162">
        <f t="shared" si="7"/>
        <v>232</v>
      </c>
      <c r="O153" s="62">
        <f t="shared" si="7"/>
        <v>243</v>
      </c>
      <c r="P153" s="62">
        <f t="shared" si="7"/>
        <v>229</v>
      </c>
      <c r="Q153" s="62">
        <f t="shared" si="7"/>
        <v>239</v>
      </c>
    </row>
    <row r="154" spans="1:17" ht="12.75">
      <c r="A154" s="60" t="s">
        <v>167</v>
      </c>
      <c r="B154" s="60"/>
      <c r="C154" s="60"/>
      <c r="D154" s="60"/>
      <c r="E154" s="60" t="s">
        <v>135</v>
      </c>
      <c r="F154" s="162">
        <f t="shared" si="7"/>
        <v>1449</v>
      </c>
      <c r="G154" s="162">
        <f t="shared" si="7"/>
        <v>1411</v>
      </c>
      <c r="H154" s="162">
        <f t="shared" si="7"/>
        <v>1437</v>
      </c>
      <c r="I154" s="162">
        <f t="shared" si="7"/>
        <v>1430</v>
      </c>
      <c r="J154" s="162">
        <f t="shared" si="7"/>
        <v>1453</v>
      </c>
      <c r="K154" s="162">
        <f t="shared" si="7"/>
        <v>1432</v>
      </c>
      <c r="L154" s="162">
        <f t="shared" si="7"/>
        <v>1448</v>
      </c>
      <c r="M154" s="162">
        <f t="shared" si="7"/>
        <v>1435</v>
      </c>
      <c r="N154" s="162">
        <f t="shared" si="7"/>
        <v>1423</v>
      </c>
      <c r="O154" s="62">
        <f t="shared" si="7"/>
        <v>1455</v>
      </c>
      <c r="P154" s="62">
        <f t="shared" si="7"/>
        <v>1423</v>
      </c>
      <c r="Q154" s="62">
        <f t="shared" si="7"/>
        <v>1441</v>
      </c>
    </row>
    <row r="155" spans="1:17" ht="12.75">
      <c r="A155" s="60"/>
      <c r="B155" s="60"/>
      <c r="C155" s="60"/>
      <c r="D155" s="60"/>
      <c r="E155" s="60"/>
      <c r="F155" s="64"/>
      <c r="G155" s="82"/>
      <c r="H155" s="64"/>
      <c r="I155" s="64"/>
      <c r="J155" s="64"/>
      <c r="K155" s="64"/>
      <c r="L155" s="64"/>
      <c r="M155" s="64"/>
      <c r="N155" s="64"/>
      <c r="O155" s="60"/>
      <c r="P155" s="60"/>
      <c r="Q155" s="60"/>
    </row>
    <row r="157" spans="1:17" ht="12.75">
      <c r="A157" s="60" t="s">
        <v>168</v>
      </c>
      <c r="B157" s="60"/>
      <c r="C157" s="60"/>
      <c r="D157" s="60"/>
      <c r="E157" s="60"/>
      <c r="F157" s="64"/>
      <c r="G157" s="82"/>
      <c r="H157" s="64"/>
      <c r="I157" s="64"/>
      <c r="J157" s="64"/>
      <c r="K157" s="64"/>
      <c r="L157" s="64"/>
      <c r="M157" s="64"/>
      <c r="N157" s="64"/>
      <c r="O157" s="60"/>
      <c r="P157" s="60"/>
      <c r="Q157" s="60"/>
    </row>
    <row r="158" spans="1:17" ht="12.75">
      <c r="A158" s="60"/>
      <c r="B158" s="60"/>
      <c r="C158" s="60"/>
      <c r="D158" s="60"/>
      <c r="E158" s="61"/>
      <c r="F158" s="64"/>
      <c r="G158" s="82"/>
      <c r="H158" s="64"/>
      <c r="I158" s="64"/>
      <c r="J158" s="64"/>
      <c r="K158" s="64"/>
      <c r="L158" s="64"/>
      <c r="M158" s="64"/>
      <c r="N158" s="64"/>
      <c r="O158" s="60"/>
      <c r="P158" s="60"/>
      <c r="Q158" s="60"/>
    </row>
    <row r="159" spans="1:17" ht="12.75">
      <c r="A159" s="60"/>
      <c r="B159" s="60"/>
      <c r="C159" s="60"/>
      <c r="D159" s="60"/>
      <c r="E159" s="61"/>
      <c r="F159" s="64"/>
      <c r="G159" s="82"/>
      <c r="H159" s="64"/>
      <c r="I159" s="64"/>
      <c r="J159" s="64"/>
      <c r="K159" s="64"/>
      <c r="L159" s="64"/>
      <c r="M159" s="64"/>
      <c r="N159" s="64"/>
      <c r="O159" s="60"/>
      <c r="P159" s="60"/>
      <c r="Q159" s="60"/>
    </row>
    <row r="160" spans="1:17" ht="12.75">
      <c r="A160" s="60"/>
      <c r="B160" s="60"/>
      <c r="C160" s="60"/>
      <c r="D160" s="60"/>
      <c r="E160" s="60"/>
      <c r="F160" s="161" t="str">
        <f t="shared" ref="F160:Q160" si="8">F4</f>
        <v>201901</v>
      </c>
      <c r="G160" s="161" t="str">
        <f t="shared" si="8"/>
        <v>201902</v>
      </c>
      <c r="H160" s="161" t="str">
        <f t="shared" si="8"/>
        <v>201903</v>
      </c>
      <c r="I160" s="161" t="str">
        <f t="shared" si="8"/>
        <v>201904</v>
      </c>
      <c r="J160" s="161" t="str">
        <f t="shared" si="8"/>
        <v>201905</v>
      </c>
      <c r="K160" s="161">
        <f t="shared" si="8"/>
        <v>201906</v>
      </c>
      <c r="L160" s="161" t="str">
        <f t="shared" si="8"/>
        <v>201907</v>
      </c>
      <c r="M160" s="161" t="str">
        <f t="shared" si="8"/>
        <v>201908</v>
      </c>
      <c r="N160" s="161" t="str">
        <f t="shared" si="8"/>
        <v>201909</v>
      </c>
      <c r="O160" s="63" t="str">
        <f t="shared" si="8"/>
        <v>201910</v>
      </c>
      <c r="P160" s="63" t="str">
        <f t="shared" si="8"/>
        <v>201911</v>
      </c>
      <c r="Q160" s="63" t="str">
        <f t="shared" si="8"/>
        <v>201912</v>
      </c>
    </row>
    <row r="161" spans="1:17" ht="12.75">
      <c r="A161" s="60" t="s">
        <v>188</v>
      </c>
      <c r="B161" s="60"/>
      <c r="C161" s="60"/>
      <c r="D161" s="60"/>
      <c r="E161" s="60" t="s">
        <v>60</v>
      </c>
      <c r="F161" s="162">
        <f t="shared" ref="F161:Q170" si="9">ROUND(SUMIF($E$6:$E$113,$E161,F$6:F$113),0)</f>
        <v>152262</v>
      </c>
      <c r="G161" s="162">
        <f t="shared" si="9"/>
        <v>149533</v>
      </c>
      <c r="H161" s="162">
        <f t="shared" si="9"/>
        <v>154716</v>
      </c>
      <c r="I161" s="162">
        <f t="shared" si="9"/>
        <v>150948</v>
      </c>
      <c r="J161" s="162">
        <f t="shared" si="9"/>
        <v>154620</v>
      </c>
      <c r="K161" s="162">
        <f t="shared" si="9"/>
        <v>152408</v>
      </c>
      <c r="L161" s="162">
        <f t="shared" si="9"/>
        <v>153138</v>
      </c>
      <c r="M161" s="162">
        <f t="shared" si="9"/>
        <v>153459</v>
      </c>
      <c r="N161" s="162">
        <f t="shared" si="9"/>
        <v>150304</v>
      </c>
      <c r="O161" s="62">
        <f t="shared" si="9"/>
        <v>157012</v>
      </c>
      <c r="P161" s="62">
        <f t="shared" si="9"/>
        <v>154466</v>
      </c>
      <c r="Q161" s="62">
        <f t="shared" si="9"/>
        <v>154765</v>
      </c>
    </row>
    <row r="162" spans="1:17" ht="12.75">
      <c r="A162" s="60" t="s">
        <v>189</v>
      </c>
      <c r="B162" s="60"/>
      <c r="C162" s="60"/>
      <c r="D162" s="60"/>
      <c r="E162" s="60" t="s">
        <v>61</v>
      </c>
      <c r="F162" s="162">
        <f t="shared" si="9"/>
        <v>12092</v>
      </c>
      <c r="G162" s="162">
        <f t="shared" si="9"/>
        <v>11933</v>
      </c>
      <c r="H162" s="162">
        <f t="shared" si="9"/>
        <v>12282</v>
      </c>
      <c r="I162" s="162">
        <f t="shared" si="9"/>
        <v>12060</v>
      </c>
      <c r="J162" s="162">
        <f t="shared" si="9"/>
        <v>12169</v>
      </c>
      <c r="K162" s="162">
        <f t="shared" si="9"/>
        <v>12086</v>
      </c>
      <c r="L162" s="162">
        <f t="shared" si="9"/>
        <v>12119</v>
      </c>
      <c r="M162" s="162">
        <f t="shared" si="9"/>
        <v>12139</v>
      </c>
      <c r="N162" s="162">
        <f t="shared" si="9"/>
        <v>11934</v>
      </c>
      <c r="O162" s="62">
        <f t="shared" si="9"/>
        <v>12339</v>
      </c>
      <c r="P162" s="62">
        <f t="shared" si="9"/>
        <v>12173</v>
      </c>
      <c r="Q162" s="62">
        <f t="shared" si="9"/>
        <v>12230</v>
      </c>
    </row>
    <row r="163" spans="1:17" ht="12.75">
      <c r="A163" s="60" t="s">
        <v>190</v>
      </c>
      <c r="B163" s="60"/>
      <c r="C163" s="60"/>
      <c r="D163" s="60"/>
      <c r="E163" s="60" t="s">
        <v>62</v>
      </c>
      <c r="F163" s="162">
        <f t="shared" si="9"/>
        <v>73</v>
      </c>
      <c r="G163" s="162">
        <f t="shared" si="9"/>
        <v>69</v>
      </c>
      <c r="H163" s="162">
        <f t="shared" si="9"/>
        <v>71</v>
      </c>
      <c r="I163" s="162">
        <f t="shared" si="9"/>
        <v>72</v>
      </c>
      <c r="J163" s="162">
        <f t="shared" si="9"/>
        <v>72</v>
      </c>
      <c r="K163" s="162">
        <f t="shared" si="9"/>
        <v>69</v>
      </c>
      <c r="L163" s="162">
        <f t="shared" si="9"/>
        <v>74</v>
      </c>
      <c r="M163" s="162">
        <f t="shared" si="9"/>
        <v>71</v>
      </c>
      <c r="N163" s="162">
        <f t="shared" si="9"/>
        <v>70</v>
      </c>
      <c r="O163" s="62">
        <f t="shared" si="9"/>
        <v>73</v>
      </c>
      <c r="P163" s="62">
        <f t="shared" si="9"/>
        <v>71</v>
      </c>
      <c r="Q163" s="62">
        <f t="shared" si="9"/>
        <v>73</v>
      </c>
    </row>
    <row r="164" spans="1:17" ht="12.75">
      <c r="A164" s="60" t="s">
        <v>191</v>
      </c>
      <c r="B164" s="60"/>
      <c r="C164" s="60"/>
      <c r="D164" s="60"/>
      <c r="E164" s="60" t="s">
        <v>63</v>
      </c>
      <c r="F164" s="162">
        <f t="shared" si="9"/>
        <v>164455</v>
      </c>
      <c r="G164" s="162">
        <f t="shared" si="9"/>
        <v>161561</v>
      </c>
      <c r="H164" s="162">
        <f t="shared" si="9"/>
        <v>167095</v>
      </c>
      <c r="I164" s="162">
        <f t="shared" si="9"/>
        <v>163106</v>
      </c>
      <c r="J164" s="162">
        <f t="shared" si="9"/>
        <v>166886</v>
      </c>
      <c r="K164" s="162">
        <f t="shared" si="9"/>
        <v>164587</v>
      </c>
      <c r="L164" s="162">
        <f t="shared" si="9"/>
        <v>165355</v>
      </c>
      <c r="M164" s="162">
        <f t="shared" si="9"/>
        <v>165693</v>
      </c>
      <c r="N164" s="162">
        <f t="shared" si="9"/>
        <v>162332</v>
      </c>
      <c r="O164" s="62">
        <f t="shared" si="9"/>
        <v>169448</v>
      </c>
      <c r="P164" s="62">
        <f t="shared" si="9"/>
        <v>166729</v>
      </c>
      <c r="Q164" s="62">
        <f t="shared" si="9"/>
        <v>167092</v>
      </c>
    </row>
    <row r="165" spans="1:17" ht="12.75">
      <c r="A165" s="60" t="s">
        <v>192</v>
      </c>
      <c r="B165" s="60"/>
      <c r="C165" s="60"/>
      <c r="D165" s="60"/>
      <c r="E165" s="60" t="s">
        <v>64</v>
      </c>
      <c r="F165" s="162">
        <f t="shared" si="9"/>
        <v>302</v>
      </c>
      <c r="G165" s="162">
        <f t="shared" si="9"/>
        <v>292</v>
      </c>
      <c r="H165" s="162">
        <f t="shared" si="9"/>
        <v>307</v>
      </c>
      <c r="I165" s="162">
        <f t="shared" si="9"/>
        <v>299</v>
      </c>
      <c r="J165" s="162">
        <f t="shared" si="9"/>
        <v>298</v>
      </c>
      <c r="K165" s="162">
        <f t="shared" si="9"/>
        <v>301</v>
      </c>
      <c r="L165" s="162">
        <f t="shared" si="9"/>
        <v>300</v>
      </c>
      <c r="M165" s="162">
        <f t="shared" si="9"/>
        <v>299</v>
      </c>
      <c r="N165" s="162">
        <f t="shared" si="9"/>
        <v>289</v>
      </c>
      <c r="O165" s="62">
        <f t="shared" si="9"/>
        <v>310</v>
      </c>
      <c r="P165" s="62">
        <f t="shared" si="9"/>
        <v>288</v>
      </c>
      <c r="Q165" s="62">
        <f t="shared" si="9"/>
        <v>304</v>
      </c>
    </row>
    <row r="166" spans="1:17" ht="12.75">
      <c r="A166" s="60" t="s">
        <v>193</v>
      </c>
      <c r="B166" s="60"/>
      <c r="C166" s="60"/>
      <c r="D166" s="60"/>
      <c r="E166" s="60" t="s">
        <v>65</v>
      </c>
      <c r="F166" s="162">
        <f t="shared" si="9"/>
        <v>2722</v>
      </c>
      <c r="G166" s="162">
        <f t="shared" si="9"/>
        <v>2680</v>
      </c>
      <c r="H166" s="162">
        <f t="shared" si="9"/>
        <v>2767</v>
      </c>
      <c r="I166" s="162">
        <f t="shared" si="9"/>
        <v>2726</v>
      </c>
      <c r="J166" s="162">
        <f t="shared" si="9"/>
        <v>2729</v>
      </c>
      <c r="K166" s="162">
        <f t="shared" si="9"/>
        <v>2717</v>
      </c>
      <c r="L166" s="162">
        <f t="shared" si="9"/>
        <v>2732</v>
      </c>
      <c r="M166" s="162">
        <f t="shared" si="9"/>
        <v>2727</v>
      </c>
      <c r="N166" s="162">
        <f t="shared" si="9"/>
        <v>2671</v>
      </c>
      <c r="O166" s="62">
        <f t="shared" si="9"/>
        <v>2750</v>
      </c>
      <c r="P166" s="62">
        <f t="shared" si="9"/>
        <v>2716</v>
      </c>
      <c r="Q166" s="62">
        <f t="shared" si="9"/>
        <v>2742</v>
      </c>
    </row>
    <row r="167" spans="1:17" ht="12.75">
      <c r="A167" s="60" t="s">
        <v>194</v>
      </c>
      <c r="B167" s="60"/>
      <c r="C167" s="60"/>
      <c r="D167" s="60"/>
      <c r="E167" s="60" t="s">
        <v>66</v>
      </c>
      <c r="F167" s="162">
        <f t="shared" si="9"/>
        <v>57</v>
      </c>
      <c r="G167" s="162">
        <f t="shared" si="9"/>
        <v>56</v>
      </c>
      <c r="H167" s="162">
        <f t="shared" si="9"/>
        <v>58</v>
      </c>
      <c r="I167" s="162">
        <f t="shared" si="9"/>
        <v>57</v>
      </c>
      <c r="J167" s="162">
        <f t="shared" si="9"/>
        <v>57</v>
      </c>
      <c r="K167" s="162">
        <f t="shared" si="9"/>
        <v>56</v>
      </c>
      <c r="L167" s="162">
        <f t="shared" si="9"/>
        <v>57</v>
      </c>
      <c r="M167" s="162">
        <f t="shared" si="9"/>
        <v>55</v>
      </c>
      <c r="N167" s="162">
        <f t="shared" si="9"/>
        <v>57</v>
      </c>
      <c r="O167" s="62">
        <f t="shared" si="9"/>
        <v>55</v>
      </c>
      <c r="P167" s="62">
        <f t="shared" si="9"/>
        <v>56</v>
      </c>
      <c r="Q167" s="62">
        <f t="shared" si="9"/>
        <v>57</v>
      </c>
    </row>
    <row r="168" spans="1:17" ht="12.75">
      <c r="A168" s="60" t="s">
        <v>195</v>
      </c>
      <c r="B168" s="60"/>
      <c r="C168" s="60"/>
      <c r="D168" s="60"/>
      <c r="E168" s="60" t="s">
        <v>183</v>
      </c>
      <c r="F168" s="162">
        <f t="shared" si="9"/>
        <v>3100</v>
      </c>
      <c r="G168" s="162">
        <f t="shared" si="9"/>
        <v>3048</v>
      </c>
      <c r="H168" s="162">
        <f t="shared" si="9"/>
        <v>3152</v>
      </c>
      <c r="I168" s="162">
        <f t="shared" si="9"/>
        <v>3102</v>
      </c>
      <c r="J168" s="162">
        <f t="shared" si="9"/>
        <v>3104</v>
      </c>
      <c r="K168" s="162">
        <f t="shared" si="9"/>
        <v>3095</v>
      </c>
      <c r="L168" s="162">
        <f t="shared" si="9"/>
        <v>3110</v>
      </c>
      <c r="M168" s="162">
        <f t="shared" si="9"/>
        <v>3102</v>
      </c>
      <c r="N168" s="162">
        <f t="shared" si="9"/>
        <v>3037</v>
      </c>
      <c r="O168" s="62">
        <f t="shared" si="9"/>
        <v>3137</v>
      </c>
      <c r="P168" s="62">
        <f t="shared" si="9"/>
        <v>3081</v>
      </c>
      <c r="Q168" s="62">
        <f t="shared" si="9"/>
        <v>3124</v>
      </c>
    </row>
    <row r="169" spans="1:17" ht="12.75">
      <c r="A169" s="60" t="s">
        <v>196</v>
      </c>
      <c r="B169" s="60"/>
      <c r="C169" s="60"/>
      <c r="D169" s="60"/>
      <c r="E169" s="60" t="s">
        <v>197</v>
      </c>
      <c r="F169" s="162">
        <f t="shared" si="9"/>
        <v>0</v>
      </c>
      <c r="G169" s="162">
        <f t="shared" si="9"/>
        <v>0</v>
      </c>
      <c r="H169" s="162">
        <f t="shared" si="9"/>
        <v>0</v>
      </c>
      <c r="I169" s="162">
        <f t="shared" si="9"/>
        <v>0</v>
      </c>
      <c r="J169" s="162">
        <f t="shared" si="9"/>
        <v>0</v>
      </c>
      <c r="K169" s="162">
        <f t="shared" si="9"/>
        <v>0</v>
      </c>
      <c r="L169" s="162">
        <f t="shared" si="9"/>
        <v>0</v>
      </c>
      <c r="M169" s="162">
        <f t="shared" si="9"/>
        <v>0</v>
      </c>
      <c r="N169" s="162">
        <f t="shared" si="9"/>
        <v>0</v>
      </c>
      <c r="O169" s="62">
        <f t="shared" si="9"/>
        <v>0</v>
      </c>
      <c r="P169" s="62">
        <f t="shared" si="9"/>
        <v>0</v>
      </c>
      <c r="Q169" s="62">
        <f t="shared" si="9"/>
        <v>0</v>
      </c>
    </row>
    <row r="170" spans="1:17" ht="12.75">
      <c r="A170" s="60" t="s">
        <v>198</v>
      </c>
      <c r="B170" s="60"/>
      <c r="C170" s="60"/>
      <c r="D170" s="60"/>
      <c r="E170" s="60" t="s">
        <v>67</v>
      </c>
      <c r="F170" s="162">
        <f t="shared" si="9"/>
        <v>4</v>
      </c>
      <c r="G170" s="162">
        <f t="shared" si="9"/>
        <v>4</v>
      </c>
      <c r="H170" s="162">
        <f t="shared" si="9"/>
        <v>6</v>
      </c>
      <c r="I170" s="162">
        <f t="shared" si="9"/>
        <v>6</v>
      </c>
      <c r="J170" s="162">
        <f t="shared" si="9"/>
        <v>6</v>
      </c>
      <c r="K170" s="162">
        <f t="shared" si="9"/>
        <v>-6</v>
      </c>
      <c r="L170" s="162">
        <f t="shared" si="9"/>
        <v>4</v>
      </c>
      <c r="M170" s="162">
        <f t="shared" si="9"/>
        <v>5</v>
      </c>
      <c r="N170" s="162">
        <f t="shared" si="9"/>
        <v>5</v>
      </c>
      <c r="O170" s="62">
        <f t="shared" si="9"/>
        <v>5</v>
      </c>
      <c r="P170" s="62">
        <f t="shared" si="9"/>
        <v>6</v>
      </c>
      <c r="Q170" s="62">
        <f t="shared" si="9"/>
        <v>8</v>
      </c>
    </row>
    <row r="171" spans="1:17" ht="12.75">
      <c r="A171" s="60" t="s">
        <v>199</v>
      </c>
      <c r="B171" s="60"/>
      <c r="C171" s="60"/>
      <c r="D171" s="60"/>
      <c r="E171" s="60" t="s">
        <v>184</v>
      </c>
      <c r="F171" s="162">
        <f t="shared" ref="F171:Q180" si="10">ROUND(SUMIF($E$6:$E$113,$E171,F$6:F$113),0)</f>
        <v>0</v>
      </c>
      <c r="G171" s="162">
        <f t="shared" si="10"/>
        <v>0</v>
      </c>
      <c r="H171" s="162">
        <f t="shared" si="10"/>
        <v>0</v>
      </c>
      <c r="I171" s="162">
        <f t="shared" si="10"/>
        <v>0</v>
      </c>
      <c r="J171" s="162">
        <f t="shared" si="10"/>
        <v>0</v>
      </c>
      <c r="K171" s="162">
        <f t="shared" si="10"/>
        <v>0</v>
      </c>
      <c r="L171" s="162">
        <f t="shared" si="10"/>
        <v>0</v>
      </c>
      <c r="M171" s="162">
        <f t="shared" si="10"/>
        <v>0</v>
      </c>
      <c r="N171" s="162">
        <f t="shared" si="10"/>
        <v>0</v>
      </c>
      <c r="O171" s="62">
        <f t="shared" si="10"/>
        <v>0</v>
      </c>
      <c r="P171" s="62">
        <f t="shared" si="10"/>
        <v>0</v>
      </c>
      <c r="Q171" s="62">
        <f t="shared" si="10"/>
        <v>0</v>
      </c>
    </row>
    <row r="172" spans="1:17" ht="12.75">
      <c r="A172" s="60" t="s">
        <v>200</v>
      </c>
      <c r="B172" s="60"/>
      <c r="C172" s="60"/>
      <c r="D172" s="60"/>
      <c r="E172" s="60" t="s">
        <v>185</v>
      </c>
      <c r="F172" s="162">
        <f t="shared" si="10"/>
        <v>4</v>
      </c>
      <c r="G172" s="162">
        <f t="shared" si="10"/>
        <v>4</v>
      </c>
      <c r="H172" s="162">
        <f t="shared" si="10"/>
        <v>6</v>
      </c>
      <c r="I172" s="162">
        <f t="shared" si="10"/>
        <v>6</v>
      </c>
      <c r="J172" s="162">
        <f t="shared" si="10"/>
        <v>6</v>
      </c>
      <c r="K172" s="162">
        <f t="shared" si="10"/>
        <v>-6</v>
      </c>
      <c r="L172" s="162">
        <f t="shared" si="10"/>
        <v>4</v>
      </c>
      <c r="M172" s="162">
        <f t="shared" si="10"/>
        <v>5</v>
      </c>
      <c r="N172" s="162">
        <f t="shared" si="10"/>
        <v>5</v>
      </c>
      <c r="O172" s="62">
        <f t="shared" si="10"/>
        <v>5</v>
      </c>
      <c r="P172" s="62">
        <f t="shared" si="10"/>
        <v>6</v>
      </c>
      <c r="Q172" s="62">
        <f t="shared" si="10"/>
        <v>8</v>
      </c>
    </row>
    <row r="173" spans="1:17" ht="12.75">
      <c r="A173" s="60" t="s">
        <v>201</v>
      </c>
      <c r="B173" s="60"/>
      <c r="C173" s="60"/>
      <c r="D173" s="60"/>
      <c r="E173" s="60" t="s">
        <v>186</v>
      </c>
      <c r="F173" s="162">
        <f t="shared" si="10"/>
        <v>2</v>
      </c>
      <c r="G173" s="162">
        <f t="shared" si="10"/>
        <v>2</v>
      </c>
      <c r="H173" s="162">
        <f t="shared" si="10"/>
        <v>2</v>
      </c>
      <c r="I173" s="162">
        <f t="shared" si="10"/>
        <v>2</v>
      </c>
      <c r="J173" s="162">
        <f t="shared" si="10"/>
        <v>2</v>
      </c>
      <c r="K173" s="162">
        <f t="shared" si="10"/>
        <v>2</v>
      </c>
      <c r="L173" s="162">
        <f t="shared" si="10"/>
        <v>2</v>
      </c>
      <c r="M173" s="162">
        <f t="shared" si="10"/>
        <v>2</v>
      </c>
      <c r="N173" s="162">
        <f t="shared" si="10"/>
        <v>1</v>
      </c>
      <c r="O173" s="62">
        <f t="shared" si="10"/>
        <v>3</v>
      </c>
      <c r="P173" s="62">
        <f t="shared" si="10"/>
        <v>2</v>
      </c>
      <c r="Q173" s="62">
        <f t="shared" si="10"/>
        <v>1</v>
      </c>
    </row>
    <row r="174" spans="1:17" ht="12.75">
      <c r="A174" s="60"/>
      <c r="B174" s="60"/>
      <c r="C174" s="60"/>
      <c r="D174" s="60"/>
      <c r="E174" s="60"/>
      <c r="F174" s="162">
        <f t="shared" si="10"/>
        <v>0</v>
      </c>
      <c r="G174" s="162">
        <f t="shared" si="10"/>
        <v>0</v>
      </c>
      <c r="H174" s="162">
        <f t="shared" si="10"/>
        <v>0</v>
      </c>
      <c r="I174" s="162">
        <f t="shared" si="10"/>
        <v>0</v>
      </c>
      <c r="J174" s="162">
        <f t="shared" si="10"/>
        <v>0</v>
      </c>
      <c r="K174" s="162">
        <f t="shared" si="10"/>
        <v>0</v>
      </c>
      <c r="L174" s="162">
        <f t="shared" si="10"/>
        <v>0</v>
      </c>
      <c r="M174" s="162">
        <f t="shared" si="10"/>
        <v>0</v>
      </c>
      <c r="N174" s="162">
        <f t="shared" si="10"/>
        <v>0</v>
      </c>
      <c r="O174" s="62">
        <f t="shared" si="10"/>
        <v>0</v>
      </c>
      <c r="P174" s="62">
        <f t="shared" si="10"/>
        <v>0</v>
      </c>
      <c r="Q174" s="62">
        <f t="shared" si="10"/>
        <v>0</v>
      </c>
    </row>
    <row r="175" spans="1:17" ht="12.75">
      <c r="A175" s="60" t="s">
        <v>202</v>
      </c>
      <c r="B175" s="60"/>
      <c r="C175" s="60"/>
      <c r="D175" s="60"/>
      <c r="E175" s="60" t="s">
        <v>68</v>
      </c>
      <c r="F175" s="162">
        <f t="shared" si="10"/>
        <v>76042</v>
      </c>
      <c r="G175" s="162">
        <f t="shared" si="10"/>
        <v>76018</v>
      </c>
      <c r="H175" s="162">
        <f t="shared" si="10"/>
        <v>76126</v>
      </c>
      <c r="I175" s="162">
        <f t="shared" si="10"/>
        <v>76205</v>
      </c>
      <c r="J175" s="162">
        <f t="shared" si="10"/>
        <v>76297</v>
      </c>
      <c r="K175" s="162">
        <f t="shared" si="10"/>
        <v>76231</v>
      </c>
      <c r="L175" s="162">
        <f t="shared" si="10"/>
        <v>76446</v>
      </c>
      <c r="M175" s="162">
        <f t="shared" si="10"/>
        <v>76639</v>
      </c>
      <c r="N175" s="162">
        <f t="shared" si="10"/>
        <v>76758</v>
      </c>
      <c r="O175" s="62">
        <f t="shared" si="10"/>
        <v>77178</v>
      </c>
      <c r="P175" s="62">
        <f t="shared" si="10"/>
        <v>77319</v>
      </c>
      <c r="Q175" s="62">
        <f t="shared" si="10"/>
        <v>77696</v>
      </c>
    </row>
    <row r="176" spans="1:17" ht="12.75">
      <c r="A176" s="60" t="s">
        <v>203</v>
      </c>
      <c r="B176" s="60"/>
      <c r="C176" s="60"/>
      <c r="D176" s="60"/>
      <c r="E176" s="60" t="s">
        <v>69</v>
      </c>
      <c r="F176" s="162">
        <f t="shared" si="10"/>
        <v>7723</v>
      </c>
      <c r="G176" s="162">
        <f t="shared" si="10"/>
        <v>7655</v>
      </c>
      <c r="H176" s="162">
        <f t="shared" si="10"/>
        <v>7644</v>
      </c>
      <c r="I176" s="162">
        <f t="shared" si="10"/>
        <v>7735</v>
      </c>
      <c r="J176" s="162">
        <f t="shared" si="10"/>
        <v>7752</v>
      </c>
      <c r="K176" s="162">
        <f t="shared" si="10"/>
        <v>7681</v>
      </c>
      <c r="L176" s="162">
        <f t="shared" si="10"/>
        <v>7741</v>
      </c>
      <c r="M176" s="162">
        <f t="shared" si="10"/>
        <v>7719</v>
      </c>
      <c r="N176" s="162">
        <f t="shared" si="10"/>
        <v>7686</v>
      </c>
      <c r="O176" s="62">
        <f t="shared" si="10"/>
        <v>7803</v>
      </c>
      <c r="P176" s="62">
        <f t="shared" si="10"/>
        <v>7755</v>
      </c>
      <c r="Q176" s="62">
        <f t="shared" si="10"/>
        <v>7791</v>
      </c>
    </row>
    <row r="177" spans="1:17" ht="12.75">
      <c r="A177" s="60" t="s">
        <v>204</v>
      </c>
      <c r="B177" s="60"/>
      <c r="C177" s="60"/>
      <c r="D177" s="60"/>
      <c r="E177" s="60" t="s">
        <v>70</v>
      </c>
      <c r="F177" s="162">
        <f t="shared" si="10"/>
        <v>54</v>
      </c>
      <c r="G177" s="162">
        <f t="shared" si="10"/>
        <v>53</v>
      </c>
      <c r="H177" s="162">
        <f t="shared" si="10"/>
        <v>52</v>
      </c>
      <c r="I177" s="162">
        <f t="shared" si="10"/>
        <v>53</v>
      </c>
      <c r="J177" s="162">
        <f t="shared" si="10"/>
        <v>53</v>
      </c>
      <c r="K177" s="162">
        <f t="shared" si="10"/>
        <v>52</v>
      </c>
      <c r="L177" s="162">
        <f t="shared" si="10"/>
        <v>52</v>
      </c>
      <c r="M177" s="162">
        <f t="shared" si="10"/>
        <v>52</v>
      </c>
      <c r="N177" s="162">
        <f t="shared" si="10"/>
        <v>49</v>
      </c>
      <c r="O177" s="62">
        <f t="shared" si="10"/>
        <v>52</v>
      </c>
      <c r="P177" s="62">
        <f t="shared" si="10"/>
        <v>49</v>
      </c>
      <c r="Q177" s="62">
        <f t="shared" si="10"/>
        <v>51</v>
      </c>
    </row>
    <row r="178" spans="1:17" ht="12.75">
      <c r="A178" s="60" t="s">
        <v>205</v>
      </c>
      <c r="B178" s="60"/>
      <c r="C178" s="60"/>
      <c r="D178" s="60"/>
      <c r="E178" s="60" t="s">
        <v>71</v>
      </c>
      <c r="F178" s="162">
        <f t="shared" si="10"/>
        <v>83824</v>
      </c>
      <c r="G178" s="162">
        <f t="shared" si="10"/>
        <v>83731</v>
      </c>
      <c r="H178" s="162">
        <f t="shared" si="10"/>
        <v>83827</v>
      </c>
      <c r="I178" s="162">
        <f t="shared" si="10"/>
        <v>83998</v>
      </c>
      <c r="J178" s="162">
        <f t="shared" si="10"/>
        <v>84107</v>
      </c>
      <c r="K178" s="162">
        <f t="shared" si="10"/>
        <v>83969</v>
      </c>
      <c r="L178" s="162">
        <f t="shared" si="10"/>
        <v>84244</v>
      </c>
      <c r="M178" s="162">
        <f t="shared" si="10"/>
        <v>84415</v>
      </c>
      <c r="N178" s="162">
        <f t="shared" si="10"/>
        <v>84498</v>
      </c>
      <c r="O178" s="62">
        <f t="shared" si="10"/>
        <v>85038</v>
      </c>
      <c r="P178" s="62">
        <f t="shared" si="10"/>
        <v>85128</v>
      </c>
      <c r="Q178" s="62">
        <f t="shared" si="10"/>
        <v>85543</v>
      </c>
    </row>
    <row r="179" spans="1:17" ht="12.75">
      <c r="A179" s="60" t="s">
        <v>206</v>
      </c>
      <c r="B179" s="60"/>
      <c r="C179" s="60"/>
      <c r="D179" s="60"/>
      <c r="E179" s="60" t="s">
        <v>72</v>
      </c>
      <c r="F179" s="162">
        <f t="shared" si="10"/>
        <v>107</v>
      </c>
      <c r="G179" s="162">
        <f t="shared" si="10"/>
        <v>109</v>
      </c>
      <c r="H179" s="162">
        <f t="shared" si="10"/>
        <v>108</v>
      </c>
      <c r="I179" s="162">
        <f t="shared" si="10"/>
        <v>112</v>
      </c>
      <c r="J179" s="162">
        <f t="shared" si="10"/>
        <v>107</v>
      </c>
      <c r="K179" s="162">
        <f t="shared" si="10"/>
        <v>107</v>
      </c>
      <c r="L179" s="162">
        <f t="shared" si="10"/>
        <v>108</v>
      </c>
      <c r="M179" s="162">
        <f t="shared" si="10"/>
        <v>108</v>
      </c>
      <c r="N179" s="162">
        <f t="shared" si="10"/>
        <v>108</v>
      </c>
      <c r="O179" s="62">
        <f t="shared" si="10"/>
        <v>108</v>
      </c>
      <c r="P179" s="62">
        <f t="shared" si="10"/>
        <v>108</v>
      </c>
      <c r="Q179" s="62">
        <f t="shared" si="10"/>
        <v>108</v>
      </c>
    </row>
    <row r="180" spans="1:17" ht="12.75">
      <c r="A180" s="60" t="s">
        <v>207</v>
      </c>
      <c r="B180" s="60"/>
      <c r="C180" s="60"/>
      <c r="D180" s="60"/>
      <c r="E180" s="60" t="s">
        <v>73</v>
      </c>
      <c r="F180" s="162">
        <f t="shared" si="10"/>
        <v>1362</v>
      </c>
      <c r="G180" s="162">
        <f t="shared" si="10"/>
        <v>1361</v>
      </c>
      <c r="H180" s="162">
        <f t="shared" si="10"/>
        <v>1363</v>
      </c>
      <c r="I180" s="162">
        <f t="shared" si="10"/>
        <v>1358</v>
      </c>
      <c r="J180" s="162">
        <f t="shared" si="10"/>
        <v>1355</v>
      </c>
      <c r="K180" s="162">
        <f t="shared" si="10"/>
        <v>1351</v>
      </c>
      <c r="L180" s="162">
        <f t="shared" si="10"/>
        <v>1365</v>
      </c>
      <c r="M180" s="162">
        <f t="shared" si="10"/>
        <v>1358</v>
      </c>
      <c r="N180" s="162">
        <f t="shared" si="10"/>
        <v>1357</v>
      </c>
      <c r="O180" s="62">
        <f t="shared" si="10"/>
        <v>1378</v>
      </c>
      <c r="P180" s="62">
        <f t="shared" si="10"/>
        <v>1374</v>
      </c>
      <c r="Q180" s="62">
        <f t="shared" si="10"/>
        <v>1373</v>
      </c>
    </row>
    <row r="181" spans="1:17" ht="12.75">
      <c r="A181" s="60" t="s">
        <v>208</v>
      </c>
      <c r="B181" s="60"/>
      <c r="C181" s="60"/>
      <c r="D181" s="60"/>
      <c r="E181" s="60" t="s">
        <v>74</v>
      </c>
      <c r="F181" s="162">
        <f t="shared" ref="F181:Q186" si="11">ROUND(SUMIF($E$6:$E$113,$E181,F$6:F$113),0)</f>
        <v>38</v>
      </c>
      <c r="G181" s="162">
        <f t="shared" si="11"/>
        <v>37</v>
      </c>
      <c r="H181" s="162">
        <f t="shared" si="11"/>
        <v>38</v>
      </c>
      <c r="I181" s="162">
        <f t="shared" si="11"/>
        <v>37</v>
      </c>
      <c r="J181" s="162">
        <f t="shared" si="11"/>
        <v>40</v>
      </c>
      <c r="K181" s="162">
        <f t="shared" si="11"/>
        <v>36</v>
      </c>
      <c r="L181" s="162">
        <f t="shared" si="11"/>
        <v>40</v>
      </c>
      <c r="M181" s="162">
        <f t="shared" si="11"/>
        <v>37</v>
      </c>
      <c r="N181" s="162">
        <f t="shared" si="11"/>
        <v>37</v>
      </c>
      <c r="O181" s="62">
        <f t="shared" si="11"/>
        <v>39</v>
      </c>
      <c r="P181" s="62">
        <f t="shared" si="11"/>
        <v>38</v>
      </c>
      <c r="Q181" s="62">
        <f t="shared" si="11"/>
        <v>38</v>
      </c>
    </row>
    <row r="182" spans="1:17" ht="12.75">
      <c r="A182" s="60" t="s">
        <v>209</v>
      </c>
      <c r="B182" s="60"/>
      <c r="C182" s="60"/>
      <c r="D182" s="60"/>
      <c r="E182" s="60" t="s">
        <v>175</v>
      </c>
      <c r="F182" s="162">
        <f t="shared" si="11"/>
        <v>1511</v>
      </c>
      <c r="G182" s="162">
        <f t="shared" si="11"/>
        <v>1511</v>
      </c>
      <c r="H182" s="162">
        <f t="shared" si="11"/>
        <v>1513</v>
      </c>
      <c r="I182" s="162">
        <f t="shared" si="11"/>
        <v>1511</v>
      </c>
      <c r="J182" s="162">
        <f t="shared" si="11"/>
        <v>1506</v>
      </c>
      <c r="K182" s="162">
        <f t="shared" si="11"/>
        <v>1498</v>
      </c>
      <c r="L182" s="162">
        <f t="shared" si="11"/>
        <v>1517</v>
      </c>
      <c r="M182" s="162">
        <f t="shared" si="11"/>
        <v>1507</v>
      </c>
      <c r="N182" s="162">
        <f t="shared" si="11"/>
        <v>1506</v>
      </c>
      <c r="O182" s="62">
        <f t="shared" si="11"/>
        <v>1529</v>
      </c>
      <c r="P182" s="62">
        <f t="shared" si="11"/>
        <v>1524</v>
      </c>
      <c r="Q182" s="62">
        <f t="shared" si="11"/>
        <v>1523</v>
      </c>
    </row>
    <row r="183" spans="1:17" ht="12.75">
      <c r="A183" s="60" t="s">
        <v>210</v>
      </c>
      <c r="B183" s="60"/>
      <c r="C183" s="60"/>
      <c r="D183" s="60"/>
      <c r="E183" s="60" t="s">
        <v>176</v>
      </c>
      <c r="F183" s="162">
        <f t="shared" si="11"/>
        <v>0</v>
      </c>
      <c r="G183" s="162">
        <f t="shared" si="11"/>
        <v>0</v>
      </c>
      <c r="H183" s="162">
        <f t="shared" si="11"/>
        <v>0</v>
      </c>
      <c r="I183" s="162">
        <f t="shared" si="11"/>
        <v>0</v>
      </c>
      <c r="J183" s="162">
        <f t="shared" si="11"/>
        <v>0</v>
      </c>
      <c r="K183" s="162">
        <f t="shared" si="11"/>
        <v>0</v>
      </c>
      <c r="L183" s="162">
        <f t="shared" si="11"/>
        <v>0</v>
      </c>
      <c r="M183" s="162">
        <f t="shared" si="11"/>
        <v>0</v>
      </c>
      <c r="N183" s="162">
        <f t="shared" si="11"/>
        <v>0</v>
      </c>
      <c r="O183" s="62">
        <f t="shared" si="11"/>
        <v>0</v>
      </c>
      <c r="P183" s="62">
        <f t="shared" si="11"/>
        <v>0</v>
      </c>
      <c r="Q183" s="62">
        <f t="shared" si="11"/>
        <v>0</v>
      </c>
    </row>
    <row r="184" spans="1:17" ht="12.75">
      <c r="A184" s="60" t="s">
        <v>211</v>
      </c>
      <c r="B184" s="60"/>
      <c r="C184" s="60"/>
      <c r="D184" s="60"/>
      <c r="E184" s="60" t="s">
        <v>177</v>
      </c>
      <c r="F184" s="162">
        <f t="shared" si="11"/>
        <v>0</v>
      </c>
      <c r="G184" s="162">
        <f t="shared" si="11"/>
        <v>0</v>
      </c>
      <c r="H184" s="162">
        <f t="shared" si="11"/>
        <v>0</v>
      </c>
      <c r="I184" s="162">
        <f t="shared" si="11"/>
        <v>0</v>
      </c>
      <c r="J184" s="162">
        <f t="shared" si="11"/>
        <v>0</v>
      </c>
      <c r="K184" s="162">
        <f t="shared" si="11"/>
        <v>0</v>
      </c>
      <c r="L184" s="162">
        <f t="shared" si="11"/>
        <v>0</v>
      </c>
      <c r="M184" s="162">
        <f t="shared" si="11"/>
        <v>0</v>
      </c>
      <c r="N184" s="162">
        <f t="shared" si="11"/>
        <v>0</v>
      </c>
      <c r="O184" s="62">
        <f t="shared" si="11"/>
        <v>0</v>
      </c>
      <c r="P184" s="62">
        <f t="shared" si="11"/>
        <v>0</v>
      </c>
      <c r="Q184" s="62">
        <f t="shared" si="11"/>
        <v>0</v>
      </c>
    </row>
    <row r="185" spans="1:17" ht="12.75">
      <c r="A185" s="60" t="s">
        <v>212</v>
      </c>
      <c r="B185" s="60"/>
      <c r="C185" s="60"/>
      <c r="D185" s="60"/>
      <c r="E185" s="60" t="s">
        <v>179</v>
      </c>
      <c r="F185" s="162">
        <f t="shared" si="11"/>
        <v>0</v>
      </c>
      <c r="G185" s="162">
        <f t="shared" si="11"/>
        <v>0</v>
      </c>
      <c r="H185" s="162">
        <f t="shared" si="11"/>
        <v>0</v>
      </c>
      <c r="I185" s="162">
        <f t="shared" si="11"/>
        <v>0</v>
      </c>
      <c r="J185" s="162">
        <f t="shared" si="11"/>
        <v>0</v>
      </c>
      <c r="K185" s="162">
        <f t="shared" si="11"/>
        <v>0</v>
      </c>
      <c r="L185" s="162">
        <f t="shared" si="11"/>
        <v>0</v>
      </c>
      <c r="M185" s="162">
        <f t="shared" si="11"/>
        <v>0</v>
      </c>
      <c r="N185" s="162">
        <f t="shared" si="11"/>
        <v>0</v>
      </c>
      <c r="O185" s="62">
        <f t="shared" si="11"/>
        <v>0</v>
      </c>
      <c r="P185" s="62">
        <f t="shared" si="11"/>
        <v>0</v>
      </c>
      <c r="Q185" s="62">
        <f t="shared" si="11"/>
        <v>0</v>
      </c>
    </row>
    <row r="186" spans="1:17" ht="12.75">
      <c r="A186" s="60" t="s">
        <v>213</v>
      </c>
      <c r="B186" s="60"/>
      <c r="C186" s="60"/>
      <c r="D186" s="60"/>
      <c r="E186" s="60" t="s">
        <v>180</v>
      </c>
      <c r="F186" s="162">
        <f t="shared" si="11"/>
        <v>0</v>
      </c>
      <c r="G186" s="162">
        <f t="shared" si="11"/>
        <v>0</v>
      </c>
      <c r="H186" s="162">
        <f t="shared" si="11"/>
        <v>0</v>
      </c>
      <c r="I186" s="162">
        <f t="shared" si="11"/>
        <v>0</v>
      </c>
      <c r="J186" s="162">
        <f t="shared" si="11"/>
        <v>0</v>
      </c>
      <c r="K186" s="162">
        <f t="shared" si="11"/>
        <v>0</v>
      </c>
      <c r="L186" s="162">
        <f t="shared" si="11"/>
        <v>0</v>
      </c>
      <c r="M186" s="162">
        <f t="shared" si="11"/>
        <v>0</v>
      </c>
      <c r="N186" s="162">
        <f t="shared" si="11"/>
        <v>0</v>
      </c>
      <c r="O186" s="62">
        <f t="shared" si="11"/>
        <v>0</v>
      </c>
      <c r="P186" s="62">
        <f t="shared" si="11"/>
        <v>0</v>
      </c>
      <c r="Q186" s="62">
        <f t="shared" si="11"/>
        <v>0</v>
      </c>
    </row>
  </sheetData>
  <phoneticPr fontId="11" type="noConversion"/>
  <printOptions horizontalCentered="1" verticalCentered="1"/>
  <pageMargins left="0.5" right="0.5" top="0.5" bottom="0.5" header="0.5" footer="0.3"/>
  <pageSetup scale="83" orientation="landscape" r:id="rId1"/>
  <headerFooter alignWithMargins="0">
    <oddFooter>&amp;L&amp;"Times New Roman,Regular"file: &amp;F&amp;C&amp;A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workbookViewId="0">
      <selection activeCell="D37" sqref="D37"/>
    </sheetView>
  </sheetViews>
  <sheetFormatPr defaultRowHeight="12"/>
  <cols>
    <col min="1" max="1" width="6.75" customWidth="1"/>
    <col min="2" max="2" width="4.25" customWidth="1"/>
    <col min="3" max="3" width="23.25" customWidth="1"/>
    <col min="4" max="4" width="12.375" customWidth="1"/>
    <col min="5" max="5" width="13.625" customWidth="1"/>
  </cols>
  <sheetData>
    <row r="1" spans="1:6" ht="15">
      <c r="A1" s="167" t="s">
        <v>304</v>
      </c>
      <c r="B1" s="167"/>
      <c r="C1" s="167"/>
      <c r="D1" s="167"/>
      <c r="E1" s="168"/>
    </row>
    <row r="2" spans="1:6" ht="15">
      <c r="A2" s="167" t="s">
        <v>334</v>
      </c>
      <c r="B2" s="167"/>
      <c r="C2" s="167"/>
      <c r="D2" s="167"/>
      <c r="E2" s="168"/>
      <c r="F2" s="167" t="s">
        <v>351</v>
      </c>
    </row>
    <row r="3" spans="1:6" ht="15">
      <c r="A3" s="167" t="s">
        <v>413</v>
      </c>
      <c r="B3" s="167"/>
      <c r="C3" s="167"/>
      <c r="D3" s="167"/>
      <c r="E3" s="168"/>
    </row>
    <row r="4" spans="1:6" ht="15">
      <c r="A4" s="167"/>
      <c r="B4" s="167"/>
      <c r="C4" s="167"/>
      <c r="D4" s="167"/>
      <c r="E4" s="168"/>
    </row>
    <row r="5" spans="1:6" ht="15">
      <c r="A5" s="167"/>
      <c r="B5" s="167"/>
      <c r="C5" s="167"/>
      <c r="D5" s="167"/>
      <c r="E5" s="168"/>
    </row>
    <row r="6" spans="1:6" ht="12.75">
      <c r="A6" s="169" t="s">
        <v>305</v>
      </c>
      <c r="B6" s="170"/>
      <c r="C6" s="170"/>
      <c r="D6" s="171"/>
      <c r="E6" s="168"/>
    </row>
    <row r="7" spans="1:6" ht="45" customHeight="1">
      <c r="A7" s="172" t="s">
        <v>306</v>
      </c>
      <c r="B7" s="170"/>
      <c r="C7" s="170" t="s">
        <v>307</v>
      </c>
      <c r="D7" s="173" t="s">
        <v>308</v>
      </c>
      <c r="E7" s="174" t="s">
        <v>335</v>
      </c>
    </row>
    <row r="8" spans="1:6" ht="12.75">
      <c r="A8" s="175"/>
      <c r="B8" s="171"/>
      <c r="C8" s="171"/>
      <c r="D8" s="171"/>
      <c r="E8" s="183" t="s">
        <v>336</v>
      </c>
    </row>
    <row r="9" spans="1:6" ht="12.75">
      <c r="A9" s="172"/>
      <c r="B9" s="170" t="s">
        <v>309</v>
      </c>
      <c r="C9" s="170"/>
      <c r="D9" s="170"/>
      <c r="E9" s="168"/>
    </row>
    <row r="10" spans="1:6" ht="12.75">
      <c r="A10" s="176">
        <v>1</v>
      </c>
      <c r="B10" s="177" t="s">
        <v>310</v>
      </c>
      <c r="C10" s="177"/>
      <c r="D10" s="178">
        <v>0.95638599999999996</v>
      </c>
      <c r="E10" s="168">
        <f>ROUND('Elec by Mo'!C103/1000,0)</f>
        <v>-3836</v>
      </c>
    </row>
    <row r="11" spans="1:6" ht="12.75">
      <c r="A11" s="176">
        <v>2</v>
      </c>
      <c r="B11" s="179" t="s">
        <v>311</v>
      </c>
      <c r="C11" s="179"/>
      <c r="D11" s="179"/>
      <c r="E11" s="168"/>
    </row>
    <row r="12" spans="1:6" ht="12.75">
      <c r="A12" s="176">
        <v>3</v>
      </c>
      <c r="B12" s="179" t="s">
        <v>312</v>
      </c>
      <c r="C12" s="179"/>
      <c r="D12" s="179"/>
      <c r="E12" s="168"/>
    </row>
    <row r="13" spans="1:6" ht="12.75">
      <c r="A13" s="176">
        <v>4</v>
      </c>
      <c r="B13" s="179" t="s">
        <v>313</v>
      </c>
      <c r="C13" s="179"/>
      <c r="D13" s="179"/>
      <c r="E13" s="180">
        <f>SUM(E10:E12)</f>
        <v>-3836</v>
      </c>
    </row>
    <row r="14" spans="1:6" ht="12.75">
      <c r="A14" s="176">
        <v>5</v>
      </c>
      <c r="B14" s="179" t="s">
        <v>314</v>
      </c>
      <c r="C14" s="179"/>
      <c r="D14" s="179"/>
      <c r="E14" s="168">
        <f>ROUND('Elec by Mo'!C111/1000,0)</f>
        <v>2883</v>
      </c>
    </row>
    <row r="15" spans="1:6" ht="12.75">
      <c r="A15" s="176">
        <v>6</v>
      </c>
      <c r="B15" s="179" t="s">
        <v>315</v>
      </c>
      <c r="C15" s="179"/>
      <c r="D15" s="179"/>
      <c r="E15" s="180">
        <f>SUM(E13:E14)</f>
        <v>-953</v>
      </c>
    </row>
    <row r="16" spans="1:6" ht="12.75">
      <c r="A16" s="176"/>
      <c r="B16" s="179"/>
      <c r="C16" s="179"/>
      <c r="D16" s="179"/>
      <c r="E16" s="168"/>
    </row>
    <row r="17" spans="1:5" ht="12.75">
      <c r="A17" s="176"/>
      <c r="B17" s="179" t="s">
        <v>316</v>
      </c>
      <c r="C17" s="179"/>
      <c r="D17" s="179"/>
      <c r="E17" s="168"/>
    </row>
    <row r="18" spans="1:5" ht="12.75">
      <c r="A18" s="176"/>
      <c r="B18" s="179" t="s">
        <v>317</v>
      </c>
      <c r="C18" s="179"/>
      <c r="D18" s="179"/>
      <c r="E18" s="168"/>
    </row>
    <row r="19" spans="1:5" ht="12.75">
      <c r="A19" s="176">
        <v>7</v>
      </c>
      <c r="B19" s="179"/>
      <c r="C19" s="179" t="s">
        <v>318</v>
      </c>
      <c r="D19" s="179"/>
      <c r="E19" s="168"/>
    </row>
    <row r="20" spans="1:5" ht="12.75">
      <c r="A20" s="176">
        <v>8</v>
      </c>
      <c r="B20" s="179"/>
      <c r="C20" s="179" t="s">
        <v>319</v>
      </c>
      <c r="D20" s="179" t="s">
        <v>337</v>
      </c>
      <c r="E20" s="168">
        <f>ROUND('Elec by Mo'!C138/1000,0)</f>
        <v>-774</v>
      </c>
    </row>
    <row r="21" spans="1:5" ht="12.75">
      <c r="A21" s="176">
        <v>9</v>
      </c>
      <c r="B21" s="179"/>
      <c r="C21" s="179" t="s">
        <v>320</v>
      </c>
      <c r="D21" s="179"/>
      <c r="E21" s="168"/>
    </row>
    <row r="22" spans="1:5" ht="12.75">
      <c r="A22" s="176">
        <v>10</v>
      </c>
      <c r="B22" s="179"/>
      <c r="C22" s="181" t="s">
        <v>321</v>
      </c>
      <c r="D22" s="181"/>
      <c r="E22" s="168"/>
    </row>
    <row r="23" spans="1:5" ht="12.75">
      <c r="A23" s="176">
        <v>11</v>
      </c>
      <c r="B23" s="179"/>
      <c r="C23" s="179" t="s">
        <v>322</v>
      </c>
      <c r="D23" s="179"/>
      <c r="E23" s="168"/>
    </row>
    <row r="24" spans="1:5" ht="12.75">
      <c r="A24" s="176">
        <v>12</v>
      </c>
      <c r="B24" s="179" t="s">
        <v>323</v>
      </c>
      <c r="C24" s="179"/>
      <c r="D24" s="179"/>
      <c r="E24" s="180">
        <f>SUM(E19:E23)</f>
        <v>-774</v>
      </c>
    </row>
    <row r="25" spans="1:5" ht="12.75">
      <c r="A25" s="176"/>
      <c r="B25" s="179"/>
      <c r="C25" s="179"/>
      <c r="D25" s="179"/>
      <c r="E25" s="168"/>
    </row>
    <row r="26" spans="1:5" ht="12.75">
      <c r="A26" s="176"/>
      <c r="B26" s="179" t="s">
        <v>324</v>
      </c>
      <c r="C26" s="179"/>
      <c r="D26" s="179"/>
      <c r="E26" s="168"/>
    </row>
    <row r="27" spans="1:5" ht="12.75">
      <c r="A27" s="176">
        <v>13</v>
      </c>
      <c r="B27" s="179"/>
      <c r="C27" s="179" t="s">
        <v>318</v>
      </c>
      <c r="D27" s="179"/>
      <c r="E27" s="168"/>
    </row>
    <row r="28" spans="1:5" ht="12.75">
      <c r="A28" s="176">
        <v>14</v>
      </c>
      <c r="B28" s="179"/>
      <c r="C28" s="179" t="s">
        <v>325</v>
      </c>
      <c r="D28" s="179"/>
      <c r="E28" s="168"/>
    </row>
    <row r="29" spans="1:5" ht="12.75">
      <c r="A29" s="176">
        <v>15</v>
      </c>
      <c r="B29" s="179"/>
      <c r="C29" s="179" t="s">
        <v>322</v>
      </c>
      <c r="D29" s="178">
        <v>3.8618E-2</v>
      </c>
      <c r="E29" s="168">
        <f>(E$10)*$D29</f>
        <v>-148</v>
      </c>
    </row>
    <row r="30" spans="1:5" ht="12.75">
      <c r="A30" s="176">
        <v>16</v>
      </c>
      <c r="B30" s="179" t="s">
        <v>326</v>
      </c>
      <c r="C30" s="179"/>
      <c r="D30" s="178"/>
      <c r="E30" s="180">
        <f>SUM(E27:E29)</f>
        <v>-148</v>
      </c>
    </row>
    <row r="31" spans="1:5" ht="12.75">
      <c r="A31" s="179"/>
      <c r="B31" s="179"/>
      <c r="C31" s="179"/>
      <c r="D31" s="178"/>
      <c r="E31" s="168"/>
    </row>
    <row r="32" spans="1:5" ht="12.75">
      <c r="A32" s="176">
        <v>17</v>
      </c>
      <c r="B32" s="179" t="s">
        <v>327</v>
      </c>
      <c r="C32" s="179"/>
      <c r="D32" s="178">
        <v>2.996E-3</v>
      </c>
      <c r="E32" s="168">
        <f>(E$10)*$D32</f>
        <v>-11</v>
      </c>
    </row>
    <row r="33" spans="1:5" ht="12.75">
      <c r="A33" s="176">
        <v>18</v>
      </c>
      <c r="B33" s="179" t="s">
        <v>328</v>
      </c>
      <c r="C33" s="179"/>
      <c r="D33" s="178"/>
      <c r="E33" s="168"/>
    </row>
    <row r="34" spans="1:5" ht="12.75">
      <c r="A34" s="176">
        <v>19</v>
      </c>
      <c r="B34" s="179" t="s">
        <v>329</v>
      </c>
      <c r="C34" s="179"/>
      <c r="D34" s="178"/>
      <c r="E34" s="168"/>
    </row>
    <row r="35" spans="1:5" ht="12.75">
      <c r="A35" s="176"/>
      <c r="B35" s="179"/>
      <c r="C35" s="179"/>
      <c r="D35" s="178"/>
      <c r="E35" s="168"/>
    </row>
    <row r="36" spans="1:5" ht="12.75">
      <c r="A36" s="179"/>
      <c r="B36" s="179" t="s">
        <v>330</v>
      </c>
      <c r="C36" s="179"/>
      <c r="D36" s="178"/>
      <c r="E36" s="168"/>
    </row>
    <row r="37" spans="1:5" ht="12.75">
      <c r="A37" s="176">
        <v>20</v>
      </c>
      <c r="B37" s="179"/>
      <c r="C37" s="179" t="s">
        <v>318</v>
      </c>
      <c r="D37" s="178">
        <v>2E-3</v>
      </c>
      <c r="E37" s="168">
        <f>(E$10)*$D37</f>
        <v>-8</v>
      </c>
    </row>
    <row r="38" spans="1:5" ht="12.75">
      <c r="A38" s="176">
        <v>21</v>
      </c>
      <c r="B38" s="179"/>
      <c r="C38" s="179" t="s">
        <v>325</v>
      </c>
      <c r="D38" s="178"/>
      <c r="E38" s="168"/>
    </row>
    <row r="39" spans="1:5" ht="12.75">
      <c r="A39" s="182">
        <v>22</v>
      </c>
      <c r="B39" s="179"/>
      <c r="C39" s="179" t="s">
        <v>322</v>
      </c>
      <c r="D39" s="178"/>
      <c r="E39" s="168"/>
    </row>
    <row r="40" spans="1:5" ht="12.75">
      <c r="A40" s="176">
        <v>23</v>
      </c>
      <c r="B40" s="179" t="s">
        <v>331</v>
      </c>
      <c r="C40" s="179"/>
      <c r="D40" s="179"/>
      <c r="E40" s="180">
        <f>SUM(E37:E39)</f>
        <v>-8</v>
      </c>
    </row>
    <row r="41" spans="1:5" ht="12.75">
      <c r="A41" s="176">
        <v>24</v>
      </c>
      <c r="B41" s="179" t="s">
        <v>332</v>
      </c>
      <c r="C41" s="179"/>
      <c r="D41" s="179"/>
      <c r="E41" s="168">
        <f>E24+E30+E32+E33+E34+E40</f>
        <v>-941</v>
      </c>
    </row>
    <row r="42" spans="1:5" ht="12.75">
      <c r="A42" s="179"/>
      <c r="B42" s="179"/>
      <c r="C42" s="179"/>
      <c r="D42" s="179"/>
      <c r="E42" s="168"/>
    </row>
    <row r="43" spans="1:5" ht="12.75">
      <c r="A43" s="176">
        <v>25</v>
      </c>
      <c r="B43" s="179" t="s">
        <v>333</v>
      </c>
      <c r="C43" s="179"/>
      <c r="D43" s="179"/>
      <c r="E43" s="168">
        <f>E15-E41</f>
        <v>-12</v>
      </c>
    </row>
  </sheetData>
  <pageMargins left="0.7" right="0.7" top="0.38" bottom="0.33" header="0.54" footer="0.3"/>
  <pageSetup scale="96" orientation="landscape" r:id="rId1"/>
  <headerFooter>
    <oddHeader>&amp;R&amp;F / 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5051886B567C409A328D41AE987385" ma:contentTypeVersion="52" ma:contentTypeDescription="" ma:contentTypeScope="" ma:versionID="e3c202f02d7f73bc59bb312cb008b0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DB7E4FB-5747-4818-B832-60557C255C38}"/>
</file>

<file path=customXml/itemProps2.xml><?xml version="1.0" encoding="utf-8"?>
<ds:datastoreItem xmlns:ds="http://schemas.openxmlformats.org/officeDocument/2006/customXml" ds:itemID="{5667D462-C018-4ED9-BCF3-676588F36886}"/>
</file>

<file path=customXml/itemProps3.xml><?xml version="1.0" encoding="utf-8"?>
<ds:datastoreItem xmlns:ds="http://schemas.openxmlformats.org/officeDocument/2006/customXml" ds:itemID="{74676EFB-69A0-4C60-AF63-0B45F49A28AF}"/>
</file>

<file path=customXml/itemProps4.xml><?xml version="1.0" encoding="utf-8"?>
<ds:datastoreItem xmlns:ds="http://schemas.openxmlformats.org/officeDocument/2006/customXml" ds:itemID="{26727060-7589-43B1-BF49-B2E9BD9B75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Elec by Mo</vt:lpstr>
      <vt:lpstr>Electric Factors</vt:lpstr>
      <vt:lpstr>DDH</vt:lpstr>
      <vt:lpstr>30 yr avg Heating </vt:lpstr>
      <vt:lpstr>30 yr avg Cooling </vt:lpstr>
      <vt:lpstr>PS WC</vt:lpstr>
      <vt:lpstr>Cust Data</vt:lpstr>
      <vt:lpstr>WA Adj Summary</vt:lpstr>
      <vt:lpstr>'30 yr avg Cooling '!Print_Area</vt:lpstr>
      <vt:lpstr>'30 yr avg Heating '!Print_Area</vt:lpstr>
      <vt:lpstr>'Cust Data'!Print_Area</vt:lpstr>
      <vt:lpstr>DDH!Print_Area</vt:lpstr>
      <vt:lpstr>'Elec by Mo'!Print_Area</vt:lpstr>
      <vt:lpstr>'Electric Factors'!Print_Area</vt:lpstr>
      <vt:lpstr>'PS WC'!Print_Area</vt:lpstr>
      <vt:lpstr>'Elec by Mo'!Print_Titles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Knox, Tara</dc:creator>
  <cp:lastModifiedBy>Knox, Tara</cp:lastModifiedBy>
  <cp:lastPrinted>2019-02-19T21:58:20Z</cp:lastPrinted>
  <dcterms:created xsi:type="dcterms:W3CDTF">1997-07-31T22:54:06Z</dcterms:created>
  <dcterms:modified xsi:type="dcterms:W3CDTF">2020-04-21T22:58:21Z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0x0101006E56B4D1795A2E4DB2F0B01679ED314A009B5051886B567C409A328D41AE987385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