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840" tabRatio="774" activeTab="3"/>
  </bookViews>
  <sheets>
    <sheet name="Calendar Period Ended 12-18" sheetId="1" r:id="rId1"/>
    <sheet name="6 Month P-L 6-19" sheetId="2" r:id="rId2"/>
    <sheet name="Fiscal Period Ended 6-19" sheetId="3" r:id="rId3"/>
    <sheet name="Pro Forma" sheetId="4" r:id="rId4"/>
    <sheet name="Restating Entries" sheetId="5" r:id="rId5"/>
    <sheet name="Pro Forma Entries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1">'6 Month P-L 6-19'!$A$8:$I$107</definedName>
    <definedName name="_xlnm.Print_Area" localSheetId="0">'Calendar Period Ended 12-18'!$A$6:$P$123</definedName>
    <definedName name="_xlnm.Print_Area" localSheetId="2">'Fiscal Period Ended 6-19'!$A$6:$R$137</definedName>
    <definedName name="_xlnm.Print_Area" localSheetId="3">'Pro Forma'!$A$9:$M$71</definedName>
    <definedName name="_xlnm.Print_Area" localSheetId="5">'Pro Forma Entries'!$A$7:$L$75</definedName>
    <definedName name="_xlnm.Print_Area" localSheetId="4">'Restating Entries'!$A$7:$L$91</definedName>
    <definedName name="_xlnm.Print_Titles" localSheetId="1">'6 Month P-L 6-19'!$1:$7</definedName>
    <definedName name="_xlnm.Print_Titles" localSheetId="0">'Calendar Period Ended 12-18'!$1:$5</definedName>
    <definedName name="_xlnm.Print_Titles" localSheetId="2">'Fiscal Period Ended 6-19'!$1:$5</definedName>
    <definedName name="_xlnm.Print_Titles" localSheetId="3">'Pro Forma'!$1:$8</definedName>
    <definedName name="_xlnm.Print_Titles" localSheetId="5">'Pro Forma Entries'!$1:$6</definedName>
    <definedName name="_xlnm.Print_Titles" localSheetId="4">'Restating Entries'!$1:$6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3" i="6" l="1"/>
  <c r="K10" i="4"/>
  <c r="K9" i="4"/>
  <c r="K11" i="4" s="1"/>
  <c r="K16" i="4" s="1"/>
  <c r="B72" i="6"/>
  <c r="L16" i="6" l="1"/>
  <c r="L64" i="6" l="1"/>
  <c r="L8" i="6" l="1"/>
  <c r="K20" i="4" s="1"/>
  <c r="L12" i="6"/>
  <c r="B15" i="6"/>
  <c r="B19" i="6" s="1"/>
  <c r="B23" i="6" s="1"/>
  <c r="B27" i="6" s="1"/>
  <c r="B31" i="6" s="1"/>
  <c r="B35" i="6" s="1"/>
  <c r="B39" i="6" s="1"/>
  <c r="B43" i="6" s="1"/>
  <c r="B47" i="6" s="1"/>
  <c r="B51" i="6" s="1"/>
  <c r="B55" i="6" s="1"/>
  <c r="B59" i="6" s="1"/>
  <c r="B63" i="6" s="1"/>
  <c r="B67" i="6" s="1"/>
  <c r="B11" i="6"/>
  <c r="L68" i="6"/>
  <c r="L20" i="6" l="1"/>
  <c r="K27" i="4"/>
  <c r="L63" i="5" l="1"/>
  <c r="K53" i="4" l="1"/>
  <c r="R10" i="3" l="1"/>
  <c r="R9" i="3"/>
  <c r="L90" i="5" l="1"/>
  <c r="I66" i="4" s="1"/>
  <c r="L94" i="5"/>
  <c r="I20" i="4" s="1"/>
  <c r="K67" i="4" l="1"/>
  <c r="M67" i="4" s="1"/>
  <c r="O117" i="3" l="1"/>
  <c r="N117" i="3"/>
  <c r="M117" i="3"/>
  <c r="L117" i="3"/>
  <c r="K117" i="3"/>
  <c r="J117" i="3"/>
  <c r="I117" i="3"/>
  <c r="H117" i="3"/>
  <c r="G117" i="3"/>
  <c r="F117" i="3"/>
  <c r="E117" i="3"/>
  <c r="D117" i="3"/>
  <c r="Q131" i="3"/>
  <c r="P130" i="3"/>
  <c r="P117" i="3" s="1"/>
  <c r="R117" i="3" s="1"/>
  <c r="AG67" i="3" l="1"/>
  <c r="W52" i="2"/>
  <c r="V52" i="2"/>
  <c r="U52" i="2"/>
  <c r="T52" i="2"/>
  <c r="S52" i="2"/>
  <c r="R52" i="2"/>
  <c r="L60" i="6" l="1"/>
  <c r="L56" i="6"/>
  <c r="L52" i="6"/>
  <c r="K40" i="4" s="1"/>
  <c r="L48" i="6"/>
  <c r="K44" i="4" s="1"/>
  <c r="L44" i="6"/>
  <c r="K64" i="4" s="1"/>
  <c r="L40" i="6" l="1"/>
  <c r="K55" i="4" s="1"/>
  <c r="L36" i="6" l="1"/>
  <c r="L32" i="6"/>
  <c r="L58" i="5"/>
  <c r="I41" i="4" s="1"/>
  <c r="L28" i="6"/>
  <c r="L24" i="6"/>
  <c r="K41" i="4" l="1"/>
  <c r="I45" i="4" l="1"/>
  <c r="I42" i="4"/>
  <c r="I35" i="4"/>
  <c r="I30" i="4"/>
  <c r="I29" i="4"/>
  <c r="I23" i="4"/>
  <c r="I22" i="4"/>
  <c r="I19" i="4"/>
  <c r="I14" i="4"/>
  <c r="L76" i="5" l="1"/>
  <c r="I47" i="4" s="1"/>
  <c r="L80" i="5"/>
  <c r="I55" i="4" s="1"/>
  <c r="L45" i="5" l="1"/>
  <c r="I33" i="4" s="1"/>
  <c r="L40" i="5"/>
  <c r="I32" i="4" s="1"/>
  <c r="K47" i="4" l="1"/>
  <c r="K32" i="4"/>
  <c r="A20" i="4" l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8" i="4" s="1"/>
  <c r="A10" i="4"/>
  <c r="A13" i="4" s="1"/>
  <c r="A14" i="4" s="1"/>
  <c r="K28" i="4"/>
  <c r="K69" i="4" s="1"/>
  <c r="K70" i="4" s="1"/>
  <c r="I11" i="4" l="1"/>
  <c r="O124" i="3" l="1"/>
  <c r="N124" i="3"/>
  <c r="M124" i="3"/>
  <c r="L124" i="3"/>
  <c r="K124" i="3"/>
  <c r="J124" i="3"/>
  <c r="Q11" i="3" l="1"/>
  <c r="Q15" i="3" s="1"/>
  <c r="Q125" i="3" l="1"/>
  <c r="Q127" i="3" s="1"/>
  <c r="R130" i="3"/>
  <c r="R128" i="3"/>
  <c r="R126" i="3"/>
  <c r="Q133" i="3" l="1"/>
  <c r="O137" i="3" l="1"/>
  <c r="N137" i="3"/>
  <c r="M137" i="3"/>
  <c r="L137" i="3"/>
  <c r="K137" i="3"/>
  <c r="J137" i="3"/>
  <c r="I137" i="3"/>
  <c r="H137" i="3"/>
  <c r="G137" i="3"/>
  <c r="F137" i="3"/>
  <c r="E137" i="3"/>
  <c r="D137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P110" i="2"/>
  <c r="P129" i="1"/>
  <c r="P135" i="3" l="1"/>
  <c r="O129" i="3"/>
  <c r="O131" i="3" s="1"/>
  <c r="N129" i="3"/>
  <c r="N131" i="3" s="1"/>
  <c r="M129" i="3"/>
  <c r="M131" i="3" s="1"/>
  <c r="L129" i="3"/>
  <c r="L131" i="3" s="1"/>
  <c r="K129" i="3"/>
  <c r="K131" i="3" s="1"/>
  <c r="J129" i="3"/>
  <c r="J131" i="3" s="1"/>
  <c r="I129" i="3"/>
  <c r="I131" i="3" s="1"/>
  <c r="H129" i="3"/>
  <c r="H131" i="3" s="1"/>
  <c r="G129" i="3"/>
  <c r="G131" i="3" s="1"/>
  <c r="F129" i="3"/>
  <c r="F131" i="3" s="1"/>
  <c r="E129" i="3"/>
  <c r="E131" i="3" s="1"/>
  <c r="D129" i="3"/>
  <c r="D131" i="3" s="1"/>
  <c r="P106" i="2"/>
  <c r="P125" i="1"/>
  <c r="P129" i="3" l="1"/>
  <c r="P131" i="3" s="1"/>
  <c r="O14" i="3"/>
  <c r="O13" i="3"/>
  <c r="O8" i="3"/>
  <c r="O7" i="3"/>
  <c r="O11" i="3" s="1"/>
  <c r="N14" i="3"/>
  <c r="N13" i="3"/>
  <c r="N8" i="3"/>
  <c r="N7" i="3"/>
  <c r="M14" i="3"/>
  <c r="M13" i="3"/>
  <c r="M8" i="3"/>
  <c r="M7" i="3"/>
  <c r="L13" i="3"/>
  <c r="L14" i="3"/>
  <c r="L8" i="3"/>
  <c r="L7" i="3"/>
  <c r="K7" i="3"/>
  <c r="K8" i="3"/>
  <c r="K13" i="3"/>
  <c r="K14" i="3"/>
  <c r="J14" i="3"/>
  <c r="J13" i="3"/>
  <c r="J8" i="3"/>
  <c r="J7" i="3"/>
  <c r="K11" i="3" l="1"/>
  <c r="K15" i="3" s="1"/>
  <c r="J11" i="3"/>
  <c r="L11" i="3"/>
  <c r="L15" i="3" s="1"/>
  <c r="N11" i="3"/>
  <c r="N15" i="3" s="1"/>
  <c r="M11" i="3"/>
  <c r="M15" i="3" s="1"/>
  <c r="R129" i="3"/>
  <c r="R131" i="3" s="1"/>
  <c r="O15" i="3"/>
  <c r="J15" i="3"/>
  <c r="O118" i="3"/>
  <c r="N118" i="3"/>
  <c r="M118" i="3"/>
  <c r="L118" i="3"/>
  <c r="J118" i="3"/>
  <c r="I107" i="3"/>
  <c r="H107" i="3"/>
  <c r="G107" i="3"/>
  <c r="F107" i="3"/>
  <c r="E107" i="3"/>
  <c r="D107" i="3"/>
  <c r="I14" i="3"/>
  <c r="H14" i="3"/>
  <c r="G14" i="3"/>
  <c r="F14" i="3"/>
  <c r="E14" i="3"/>
  <c r="I13" i="3"/>
  <c r="H13" i="3"/>
  <c r="G13" i="3"/>
  <c r="F13" i="3"/>
  <c r="E13" i="3"/>
  <c r="I8" i="3"/>
  <c r="H8" i="3"/>
  <c r="G8" i="3"/>
  <c r="F8" i="3"/>
  <c r="E8" i="3"/>
  <c r="I7" i="3"/>
  <c r="H7" i="3"/>
  <c r="G7" i="3"/>
  <c r="F7" i="3"/>
  <c r="E7" i="3"/>
  <c r="D14" i="3"/>
  <c r="D13" i="3"/>
  <c r="D8" i="3"/>
  <c r="D7" i="3"/>
  <c r="D11" i="3" l="1"/>
  <c r="D15" i="3" s="1"/>
  <c r="F11" i="3"/>
  <c r="E11" i="3"/>
  <c r="G11" i="3"/>
  <c r="G15" i="3" s="1"/>
  <c r="H11" i="3"/>
  <c r="H15" i="3" s="1"/>
  <c r="I11" i="3"/>
  <c r="I15" i="3" s="1"/>
  <c r="E15" i="3"/>
  <c r="F15" i="3"/>
  <c r="O123" i="3"/>
  <c r="N123" i="3"/>
  <c r="M123" i="3"/>
  <c r="L123" i="3"/>
  <c r="K123" i="3"/>
  <c r="J123" i="3"/>
  <c r="O122" i="3"/>
  <c r="N122" i="3"/>
  <c r="M122" i="3"/>
  <c r="L122" i="3"/>
  <c r="K122" i="3"/>
  <c r="J122" i="3"/>
  <c r="O121" i="3"/>
  <c r="N121" i="3"/>
  <c r="M121" i="3"/>
  <c r="L121" i="3"/>
  <c r="K121" i="3"/>
  <c r="J121" i="3"/>
  <c r="O120" i="3"/>
  <c r="N120" i="3"/>
  <c r="M120" i="3"/>
  <c r="L120" i="3"/>
  <c r="K120" i="3"/>
  <c r="J120" i="3"/>
  <c r="O119" i="3"/>
  <c r="N119" i="3"/>
  <c r="M119" i="3"/>
  <c r="L119" i="3"/>
  <c r="K119" i="3"/>
  <c r="J119" i="3"/>
  <c r="O116" i="3"/>
  <c r="N116" i="3"/>
  <c r="M116" i="3"/>
  <c r="L116" i="3"/>
  <c r="K116" i="3"/>
  <c r="J116" i="3"/>
  <c r="O115" i="3"/>
  <c r="N115" i="3"/>
  <c r="M115" i="3"/>
  <c r="L115" i="3"/>
  <c r="K115" i="3"/>
  <c r="J115" i="3"/>
  <c r="O114" i="3"/>
  <c r="N114" i="3"/>
  <c r="M114" i="3"/>
  <c r="L114" i="3"/>
  <c r="K114" i="3"/>
  <c r="J114" i="3"/>
  <c r="O112" i="3"/>
  <c r="N112" i="3"/>
  <c r="M112" i="3"/>
  <c r="L112" i="3"/>
  <c r="K112" i="3"/>
  <c r="J112" i="3"/>
  <c r="O111" i="3"/>
  <c r="N111" i="3"/>
  <c r="M111" i="3"/>
  <c r="L111" i="3"/>
  <c r="K111" i="3"/>
  <c r="J111" i="3"/>
  <c r="O110" i="3"/>
  <c r="N110" i="3"/>
  <c r="M110" i="3"/>
  <c r="L110" i="3"/>
  <c r="K110" i="3"/>
  <c r="J110" i="3"/>
  <c r="O109" i="3"/>
  <c r="N109" i="3"/>
  <c r="M109" i="3"/>
  <c r="L109" i="3"/>
  <c r="K109" i="3"/>
  <c r="J109" i="3"/>
  <c r="O108" i="3"/>
  <c r="N108" i="3"/>
  <c r="M108" i="3"/>
  <c r="L108" i="3"/>
  <c r="K108" i="3"/>
  <c r="J108" i="3"/>
  <c r="O107" i="3"/>
  <c r="N107" i="3"/>
  <c r="M107" i="3"/>
  <c r="L107" i="3"/>
  <c r="K107" i="3"/>
  <c r="J107" i="3"/>
  <c r="O106" i="3"/>
  <c r="N106" i="3"/>
  <c r="M106" i="3"/>
  <c r="L106" i="3"/>
  <c r="K106" i="3"/>
  <c r="J106" i="3"/>
  <c r="O105" i="3"/>
  <c r="N105" i="3"/>
  <c r="M105" i="3"/>
  <c r="L105" i="3"/>
  <c r="K105" i="3"/>
  <c r="J105" i="3"/>
  <c r="O104" i="3"/>
  <c r="N104" i="3"/>
  <c r="M104" i="3"/>
  <c r="L104" i="3"/>
  <c r="K104" i="3"/>
  <c r="J104" i="3"/>
  <c r="O103" i="3"/>
  <c r="N103" i="3"/>
  <c r="M103" i="3"/>
  <c r="L103" i="3"/>
  <c r="K103" i="3"/>
  <c r="J103" i="3"/>
  <c r="O102" i="3"/>
  <c r="N102" i="3"/>
  <c r="M102" i="3"/>
  <c r="L102" i="3"/>
  <c r="K102" i="3"/>
  <c r="J102" i="3"/>
  <c r="O101" i="3"/>
  <c r="N101" i="3"/>
  <c r="M101" i="3"/>
  <c r="L101" i="3"/>
  <c r="K101" i="3"/>
  <c r="J101" i="3"/>
  <c r="O100" i="3"/>
  <c r="N100" i="3"/>
  <c r="M100" i="3"/>
  <c r="L100" i="3"/>
  <c r="K100" i="3"/>
  <c r="J100" i="3"/>
  <c r="O99" i="3"/>
  <c r="N99" i="3"/>
  <c r="M99" i="3"/>
  <c r="L99" i="3"/>
  <c r="K99" i="3"/>
  <c r="J99" i="3"/>
  <c r="O98" i="3"/>
  <c r="N98" i="3"/>
  <c r="M98" i="3"/>
  <c r="L98" i="3"/>
  <c r="K98" i="3"/>
  <c r="J98" i="3"/>
  <c r="O97" i="3"/>
  <c r="N97" i="3"/>
  <c r="M97" i="3"/>
  <c r="L97" i="3"/>
  <c r="K97" i="3"/>
  <c r="J97" i="3"/>
  <c r="O96" i="3"/>
  <c r="N96" i="3"/>
  <c r="M96" i="3"/>
  <c r="L96" i="3"/>
  <c r="K96" i="3"/>
  <c r="J96" i="3"/>
  <c r="O95" i="3"/>
  <c r="N95" i="3"/>
  <c r="M95" i="3"/>
  <c r="L95" i="3"/>
  <c r="K95" i="3"/>
  <c r="J95" i="3"/>
  <c r="O94" i="3"/>
  <c r="N94" i="3"/>
  <c r="M94" i="3"/>
  <c r="L94" i="3"/>
  <c r="K94" i="3"/>
  <c r="J94" i="3"/>
  <c r="O93" i="3"/>
  <c r="N93" i="3"/>
  <c r="M93" i="3"/>
  <c r="L93" i="3"/>
  <c r="K93" i="3"/>
  <c r="J93" i="3"/>
  <c r="O92" i="3"/>
  <c r="N92" i="3"/>
  <c r="M92" i="3"/>
  <c r="L92" i="3"/>
  <c r="K92" i="3"/>
  <c r="J92" i="3"/>
  <c r="O91" i="3"/>
  <c r="N91" i="3"/>
  <c r="M91" i="3"/>
  <c r="L91" i="3"/>
  <c r="K91" i="3"/>
  <c r="J91" i="3"/>
  <c r="O90" i="3"/>
  <c r="N90" i="3"/>
  <c r="M90" i="3"/>
  <c r="L90" i="3"/>
  <c r="K90" i="3"/>
  <c r="J90" i="3"/>
  <c r="O89" i="3"/>
  <c r="N89" i="3"/>
  <c r="M89" i="3"/>
  <c r="L89" i="3"/>
  <c r="K89" i="3"/>
  <c r="J89" i="3"/>
  <c r="O88" i="3"/>
  <c r="N88" i="3"/>
  <c r="M88" i="3"/>
  <c r="L88" i="3"/>
  <c r="K88" i="3"/>
  <c r="J88" i="3"/>
  <c r="O87" i="3"/>
  <c r="N87" i="3"/>
  <c r="M87" i="3"/>
  <c r="L87" i="3"/>
  <c r="K87" i="3"/>
  <c r="J87" i="3"/>
  <c r="O86" i="3"/>
  <c r="N86" i="3"/>
  <c r="M86" i="3"/>
  <c r="L86" i="3"/>
  <c r="K86" i="3"/>
  <c r="J86" i="3"/>
  <c r="O85" i="3"/>
  <c r="N85" i="3"/>
  <c r="M85" i="3"/>
  <c r="L85" i="3"/>
  <c r="K85" i="3"/>
  <c r="J85" i="3"/>
  <c r="O84" i="3"/>
  <c r="N84" i="3"/>
  <c r="M84" i="3"/>
  <c r="L84" i="3"/>
  <c r="K84" i="3"/>
  <c r="J84" i="3"/>
  <c r="O83" i="3"/>
  <c r="N83" i="3"/>
  <c r="M83" i="3"/>
  <c r="L83" i="3"/>
  <c r="K83" i="3"/>
  <c r="J83" i="3"/>
  <c r="O82" i="3"/>
  <c r="N82" i="3"/>
  <c r="M82" i="3"/>
  <c r="L82" i="3"/>
  <c r="K82" i="3"/>
  <c r="J82" i="3"/>
  <c r="O81" i="3"/>
  <c r="N81" i="3"/>
  <c r="M81" i="3"/>
  <c r="L81" i="3"/>
  <c r="K81" i="3"/>
  <c r="J81" i="3"/>
  <c r="O80" i="3"/>
  <c r="N80" i="3"/>
  <c r="M80" i="3"/>
  <c r="L80" i="3"/>
  <c r="K80" i="3"/>
  <c r="J80" i="3"/>
  <c r="O79" i="3"/>
  <c r="N79" i="3"/>
  <c r="M79" i="3"/>
  <c r="L79" i="3"/>
  <c r="K79" i="3"/>
  <c r="J79" i="3"/>
  <c r="O77" i="3"/>
  <c r="N77" i="3"/>
  <c r="M77" i="3"/>
  <c r="L77" i="3"/>
  <c r="K77" i="3"/>
  <c r="J77" i="3"/>
  <c r="O76" i="3"/>
  <c r="N76" i="3"/>
  <c r="M76" i="3"/>
  <c r="L76" i="3"/>
  <c r="K76" i="3"/>
  <c r="J76" i="3"/>
  <c r="O75" i="3"/>
  <c r="N75" i="3"/>
  <c r="M75" i="3"/>
  <c r="L75" i="3"/>
  <c r="K75" i="3"/>
  <c r="J75" i="3"/>
  <c r="O73" i="3"/>
  <c r="N73" i="3"/>
  <c r="M73" i="3"/>
  <c r="L73" i="3"/>
  <c r="K73" i="3"/>
  <c r="J73" i="3"/>
  <c r="O72" i="3"/>
  <c r="N72" i="3"/>
  <c r="M72" i="3"/>
  <c r="L72" i="3"/>
  <c r="K72" i="3"/>
  <c r="J72" i="3"/>
  <c r="J68" i="3"/>
  <c r="K68" i="3"/>
  <c r="L68" i="3"/>
  <c r="M68" i="3"/>
  <c r="N68" i="3"/>
  <c r="O68" i="3"/>
  <c r="O67" i="3"/>
  <c r="N67" i="3"/>
  <c r="M67" i="3"/>
  <c r="L67" i="3"/>
  <c r="K67" i="3"/>
  <c r="J67" i="3"/>
  <c r="O66" i="3"/>
  <c r="N66" i="3"/>
  <c r="M66" i="3"/>
  <c r="L66" i="3"/>
  <c r="K66" i="3"/>
  <c r="J66" i="3"/>
  <c r="O65" i="3"/>
  <c r="N65" i="3"/>
  <c r="M65" i="3"/>
  <c r="L65" i="3"/>
  <c r="K65" i="3"/>
  <c r="J65" i="3"/>
  <c r="O64" i="3"/>
  <c r="N64" i="3"/>
  <c r="M64" i="3"/>
  <c r="L64" i="3"/>
  <c r="K64" i="3"/>
  <c r="J64" i="3"/>
  <c r="O63" i="3"/>
  <c r="N63" i="3"/>
  <c r="M63" i="3"/>
  <c r="L63" i="3"/>
  <c r="K63" i="3"/>
  <c r="J63" i="3"/>
  <c r="O62" i="3"/>
  <c r="N62" i="3"/>
  <c r="M62" i="3"/>
  <c r="L62" i="3"/>
  <c r="K62" i="3"/>
  <c r="J62" i="3"/>
  <c r="O61" i="3"/>
  <c r="N61" i="3"/>
  <c r="M61" i="3"/>
  <c r="L61" i="3"/>
  <c r="K61" i="3"/>
  <c r="J61" i="3"/>
  <c r="O60" i="3"/>
  <c r="N60" i="3"/>
  <c r="M60" i="3"/>
  <c r="L60" i="3"/>
  <c r="K60" i="3"/>
  <c r="J60" i="3"/>
  <c r="O55" i="3"/>
  <c r="N55" i="3"/>
  <c r="M55" i="3"/>
  <c r="L55" i="3"/>
  <c r="K55" i="3"/>
  <c r="J55" i="3"/>
  <c r="O52" i="3"/>
  <c r="N52" i="3"/>
  <c r="M52" i="3"/>
  <c r="L52" i="3"/>
  <c r="K52" i="3"/>
  <c r="J52" i="3"/>
  <c r="O51" i="3"/>
  <c r="N51" i="3"/>
  <c r="M51" i="3"/>
  <c r="L51" i="3"/>
  <c r="K51" i="3"/>
  <c r="J51" i="3"/>
  <c r="O50" i="3"/>
  <c r="N50" i="3"/>
  <c r="M50" i="3"/>
  <c r="L50" i="3"/>
  <c r="K50" i="3"/>
  <c r="J50" i="3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O46" i="3"/>
  <c r="N46" i="3"/>
  <c r="M46" i="3"/>
  <c r="L46" i="3"/>
  <c r="K46" i="3"/>
  <c r="J46" i="3"/>
  <c r="O45" i="3"/>
  <c r="N45" i="3"/>
  <c r="M45" i="3"/>
  <c r="L45" i="3"/>
  <c r="K45" i="3"/>
  <c r="J45" i="3"/>
  <c r="O43" i="3"/>
  <c r="N43" i="3"/>
  <c r="M43" i="3"/>
  <c r="L43" i="3"/>
  <c r="K43" i="3"/>
  <c r="J43" i="3"/>
  <c r="O42" i="3"/>
  <c r="N42" i="3"/>
  <c r="M42" i="3"/>
  <c r="L42" i="3"/>
  <c r="K42" i="3"/>
  <c r="J42" i="3"/>
  <c r="O41" i="3"/>
  <c r="N41" i="3"/>
  <c r="M41" i="3"/>
  <c r="L41" i="3"/>
  <c r="K41" i="3"/>
  <c r="J41" i="3"/>
  <c r="O40" i="3"/>
  <c r="N40" i="3"/>
  <c r="M40" i="3"/>
  <c r="L40" i="3"/>
  <c r="K40" i="3"/>
  <c r="J40" i="3"/>
  <c r="O39" i="3"/>
  <c r="N39" i="3"/>
  <c r="M39" i="3"/>
  <c r="L39" i="3"/>
  <c r="K39" i="3"/>
  <c r="J39" i="3"/>
  <c r="O38" i="3"/>
  <c r="N38" i="3"/>
  <c r="M38" i="3"/>
  <c r="L38" i="3"/>
  <c r="K38" i="3"/>
  <c r="J38" i="3"/>
  <c r="O37" i="3"/>
  <c r="N37" i="3"/>
  <c r="M37" i="3"/>
  <c r="L37" i="3"/>
  <c r="K37" i="3"/>
  <c r="J37" i="3"/>
  <c r="O35" i="3"/>
  <c r="N35" i="3"/>
  <c r="M35" i="3"/>
  <c r="L35" i="3"/>
  <c r="K35" i="3"/>
  <c r="J35" i="3"/>
  <c r="O34" i="3"/>
  <c r="N34" i="3"/>
  <c r="M34" i="3"/>
  <c r="L34" i="3"/>
  <c r="K34" i="3"/>
  <c r="J34" i="3"/>
  <c r="O33" i="3"/>
  <c r="N33" i="3"/>
  <c r="M33" i="3"/>
  <c r="L33" i="3"/>
  <c r="K33" i="3"/>
  <c r="J33" i="3"/>
  <c r="O32" i="3"/>
  <c r="N32" i="3"/>
  <c r="M32" i="3"/>
  <c r="L32" i="3"/>
  <c r="K32" i="3"/>
  <c r="J32" i="3"/>
  <c r="O31" i="3"/>
  <c r="N31" i="3"/>
  <c r="M31" i="3"/>
  <c r="L31" i="3"/>
  <c r="K31" i="3"/>
  <c r="J31" i="3"/>
  <c r="O30" i="3"/>
  <c r="N30" i="3"/>
  <c r="M30" i="3"/>
  <c r="L30" i="3"/>
  <c r="K30" i="3"/>
  <c r="J30" i="3"/>
  <c r="O29" i="3"/>
  <c r="N29" i="3"/>
  <c r="M29" i="3"/>
  <c r="L29" i="3"/>
  <c r="K29" i="3"/>
  <c r="J29" i="3"/>
  <c r="O27" i="3"/>
  <c r="N27" i="3"/>
  <c r="M27" i="3"/>
  <c r="L27" i="3"/>
  <c r="K27" i="3"/>
  <c r="J27" i="3"/>
  <c r="O26" i="3"/>
  <c r="N26" i="3"/>
  <c r="M26" i="3"/>
  <c r="L26" i="3"/>
  <c r="K26" i="3"/>
  <c r="J26" i="3"/>
  <c r="O21" i="3"/>
  <c r="N21" i="3"/>
  <c r="M21" i="3"/>
  <c r="L21" i="3"/>
  <c r="K21" i="3"/>
  <c r="J21" i="3"/>
  <c r="O20" i="3"/>
  <c r="N20" i="3"/>
  <c r="M20" i="3"/>
  <c r="L20" i="3"/>
  <c r="K20" i="3"/>
  <c r="J20" i="3"/>
  <c r="O19" i="3"/>
  <c r="N19" i="3"/>
  <c r="M19" i="3"/>
  <c r="L19" i="3"/>
  <c r="K19" i="3"/>
  <c r="J19" i="3"/>
  <c r="I124" i="3"/>
  <c r="H124" i="3"/>
  <c r="G124" i="3"/>
  <c r="F124" i="3"/>
  <c r="E124" i="3"/>
  <c r="D124" i="3"/>
  <c r="I123" i="3"/>
  <c r="H123" i="3"/>
  <c r="G123" i="3"/>
  <c r="F123" i="3"/>
  <c r="E123" i="3"/>
  <c r="D123" i="3"/>
  <c r="I122" i="3"/>
  <c r="H122" i="3"/>
  <c r="G122" i="3"/>
  <c r="F122" i="3"/>
  <c r="E122" i="3"/>
  <c r="D122" i="3"/>
  <c r="I121" i="3"/>
  <c r="H121" i="3"/>
  <c r="G121" i="3"/>
  <c r="F121" i="3"/>
  <c r="E121" i="3"/>
  <c r="D121" i="3"/>
  <c r="I120" i="3"/>
  <c r="H120" i="3"/>
  <c r="G120" i="3"/>
  <c r="F120" i="3"/>
  <c r="E120" i="3"/>
  <c r="D120" i="3"/>
  <c r="I119" i="3"/>
  <c r="H119" i="3"/>
  <c r="G119" i="3"/>
  <c r="F119" i="3"/>
  <c r="E119" i="3"/>
  <c r="D119" i="3"/>
  <c r="I118" i="3"/>
  <c r="H118" i="3"/>
  <c r="G118" i="3"/>
  <c r="F118" i="3"/>
  <c r="E118" i="3"/>
  <c r="D118" i="3"/>
  <c r="I116" i="3"/>
  <c r="H116" i="3"/>
  <c r="G116" i="3"/>
  <c r="F116" i="3"/>
  <c r="E116" i="3"/>
  <c r="D116" i="3"/>
  <c r="I115" i="3"/>
  <c r="H115" i="3"/>
  <c r="G115" i="3"/>
  <c r="F115" i="3"/>
  <c r="E115" i="3"/>
  <c r="D115" i="3"/>
  <c r="I114" i="3"/>
  <c r="H114" i="3"/>
  <c r="G114" i="3"/>
  <c r="F114" i="3"/>
  <c r="E114" i="3"/>
  <c r="D114" i="3"/>
  <c r="I113" i="3"/>
  <c r="H113" i="3"/>
  <c r="G113" i="3"/>
  <c r="F113" i="3"/>
  <c r="E113" i="3"/>
  <c r="D113" i="3"/>
  <c r="I112" i="3"/>
  <c r="H112" i="3"/>
  <c r="G112" i="3"/>
  <c r="F112" i="3"/>
  <c r="E112" i="3"/>
  <c r="D112" i="3"/>
  <c r="I111" i="3"/>
  <c r="H111" i="3"/>
  <c r="G111" i="3"/>
  <c r="F111" i="3"/>
  <c r="E111" i="3"/>
  <c r="D111" i="3"/>
  <c r="I110" i="3"/>
  <c r="H110" i="3"/>
  <c r="G110" i="3"/>
  <c r="F110" i="3"/>
  <c r="E110" i="3"/>
  <c r="D110" i="3"/>
  <c r="I109" i="3"/>
  <c r="H109" i="3"/>
  <c r="G109" i="3"/>
  <c r="F109" i="3"/>
  <c r="E109" i="3"/>
  <c r="D109" i="3"/>
  <c r="I108" i="3"/>
  <c r="H108" i="3"/>
  <c r="G108" i="3"/>
  <c r="F108" i="3"/>
  <c r="E108" i="3"/>
  <c r="D108" i="3"/>
  <c r="I106" i="3"/>
  <c r="H106" i="3"/>
  <c r="G106" i="3"/>
  <c r="F106" i="3"/>
  <c r="E106" i="3"/>
  <c r="D106" i="3"/>
  <c r="I105" i="3"/>
  <c r="H105" i="3"/>
  <c r="G105" i="3"/>
  <c r="F105" i="3"/>
  <c r="E105" i="3"/>
  <c r="D105" i="3"/>
  <c r="I104" i="3"/>
  <c r="H104" i="3"/>
  <c r="G104" i="3"/>
  <c r="F104" i="3"/>
  <c r="E104" i="3"/>
  <c r="D104" i="3"/>
  <c r="I103" i="3"/>
  <c r="H103" i="3"/>
  <c r="G103" i="3"/>
  <c r="F103" i="3"/>
  <c r="E103" i="3"/>
  <c r="D103" i="3"/>
  <c r="I102" i="3"/>
  <c r="H102" i="3"/>
  <c r="G102" i="3"/>
  <c r="F102" i="3"/>
  <c r="E102" i="3"/>
  <c r="D102" i="3"/>
  <c r="I101" i="3"/>
  <c r="H101" i="3"/>
  <c r="G101" i="3"/>
  <c r="F101" i="3"/>
  <c r="E101" i="3"/>
  <c r="D101" i="3"/>
  <c r="I100" i="3"/>
  <c r="H100" i="3"/>
  <c r="G100" i="3"/>
  <c r="F100" i="3"/>
  <c r="E100" i="3"/>
  <c r="D100" i="3"/>
  <c r="I99" i="3"/>
  <c r="H99" i="3"/>
  <c r="G99" i="3"/>
  <c r="F99" i="3"/>
  <c r="E99" i="3"/>
  <c r="D99" i="3"/>
  <c r="I98" i="3"/>
  <c r="H98" i="3"/>
  <c r="G98" i="3"/>
  <c r="F98" i="3"/>
  <c r="E98" i="3"/>
  <c r="D98" i="3"/>
  <c r="I97" i="3"/>
  <c r="H97" i="3"/>
  <c r="G97" i="3"/>
  <c r="F97" i="3"/>
  <c r="E97" i="3"/>
  <c r="D97" i="3"/>
  <c r="I96" i="3"/>
  <c r="H96" i="3"/>
  <c r="G96" i="3"/>
  <c r="F96" i="3"/>
  <c r="E96" i="3"/>
  <c r="D96" i="3"/>
  <c r="I95" i="3"/>
  <c r="H95" i="3"/>
  <c r="G95" i="3"/>
  <c r="F95" i="3"/>
  <c r="E95" i="3"/>
  <c r="D95" i="3"/>
  <c r="I94" i="3"/>
  <c r="H94" i="3"/>
  <c r="G94" i="3"/>
  <c r="F94" i="3"/>
  <c r="E94" i="3"/>
  <c r="D94" i="3"/>
  <c r="I93" i="3"/>
  <c r="H93" i="3"/>
  <c r="G93" i="3"/>
  <c r="F93" i="3"/>
  <c r="E93" i="3"/>
  <c r="D93" i="3"/>
  <c r="I92" i="3"/>
  <c r="H92" i="3"/>
  <c r="G92" i="3"/>
  <c r="F92" i="3"/>
  <c r="E92" i="3"/>
  <c r="D92" i="3"/>
  <c r="I91" i="3"/>
  <c r="H91" i="3"/>
  <c r="G91" i="3"/>
  <c r="F91" i="3"/>
  <c r="E91" i="3"/>
  <c r="D91" i="3"/>
  <c r="I90" i="3"/>
  <c r="H90" i="3"/>
  <c r="G90" i="3"/>
  <c r="F90" i="3"/>
  <c r="E90" i="3"/>
  <c r="D90" i="3"/>
  <c r="I89" i="3"/>
  <c r="H89" i="3"/>
  <c r="G89" i="3"/>
  <c r="F89" i="3"/>
  <c r="E89" i="3"/>
  <c r="D89" i="3"/>
  <c r="I88" i="3"/>
  <c r="H88" i="3"/>
  <c r="G88" i="3"/>
  <c r="F88" i="3"/>
  <c r="E88" i="3"/>
  <c r="D88" i="3"/>
  <c r="I87" i="3"/>
  <c r="H87" i="3"/>
  <c r="G87" i="3"/>
  <c r="F87" i="3"/>
  <c r="E87" i="3"/>
  <c r="D87" i="3"/>
  <c r="I86" i="3"/>
  <c r="H86" i="3"/>
  <c r="G86" i="3"/>
  <c r="F86" i="3"/>
  <c r="E86" i="3"/>
  <c r="D86" i="3"/>
  <c r="I85" i="3"/>
  <c r="H85" i="3"/>
  <c r="G85" i="3"/>
  <c r="F85" i="3"/>
  <c r="E85" i="3"/>
  <c r="D85" i="3"/>
  <c r="I84" i="3"/>
  <c r="H84" i="3"/>
  <c r="G84" i="3"/>
  <c r="F84" i="3"/>
  <c r="E84" i="3"/>
  <c r="D84" i="3"/>
  <c r="I83" i="3"/>
  <c r="H83" i="3"/>
  <c r="G83" i="3"/>
  <c r="F83" i="3"/>
  <c r="E83" i="3"/>
  <c r="D83" i="3"/>
  <c r="I82" i="3"/>
  <c r="H82" i="3"/>
  <c r="G82" i="3"/>
  <c r="F82" i="3"/>
  <c r="E82" i="3"/>
  <c r="D82" i="3"/>
  <c r="I81" i="3"/>
  <c r="H81" i="3"/>
  <c r="G81" i="3"/>
  <c r="F81" i="3"/>
  <c r="E81" i="3"/>
  <c r="D81" i="3"/>
  <c r="I80" i="3"/>
  <c r="H80" i="3"/>
  <c r="G80" i="3"/>
  <c r="F80" i="3"/>
  <c r="E80" i="3"/>
  <c r="D80" i="3"/>
  <c r="I79" i="3"/>
  <c r="H79" i="3"/>
  <c r="G79" i="3"/>
  <c r="F79" i="3"/>
  <c r="E79" i="3"/>
  <c r="D79" i="3"/>
  <c r="I78" i="3"/>
  <c r="H78" i="3"/>
  <c r="G78" i="3"/>
  <c r="F78" i="3"/>
  <c r="E78" i="3"/>
  <c r="D78" i="3"/>
  <c r="I77" i="3"/>
  <c r="H77" i="3"/>
  <c r="G77" i="3"/>
  <c r="F77" i="3"/>
  <c r="E77" i="3"/>
  <c r="D77" i="3"/>
  <c r="I76" i="3"/>
  <c r="H76" i="3"/>
  <c r="G76" i="3"/>
  <c r="F76" i="3"/>
  <c r="E76" i="3"/>
  <c r="D76" i="3"/>
  <c r="I75" i="3"/>
  <c r="H75" i="3"/>
  <c r="G75" i="3"/>
  <c r="F75" i="3"/>
  <c r="E75" i="3"/>
  <c r="D75" i="3"/>
  <c r="I74" i="3"/>
  <c r="H74" i="3"/>
  <c r="G74" i="3"/>
  <c r="F74" i="3"/>
  <c r="E74" i="3"/>
  <c r="D74" i="3"/>
  <c r="I73" i="3"/>
  <c r="H73" i="3"/>
  <c r="G73" i="3"/>
  <c r="F73" i="3"/>
  <c r="E73" i="3"/>
  <c r="D73" i="3"/>
  <c r="I72" i="3"/>
  <c r="H72" i="3"/>
  <c r="G72" i="3"/>
  <c r="F72" i="3"/>
  <c r="E72" i="3"/>
  <c r="D72" i="3"/>
  <c r="I71" i="3"/>
  <c r="H71" i="3"/>
  <c r="G71" i="3"/>
  <c r="F71" i="3"/>
  <c r="E71" i="3"/>
  <c r="D71" i="3"/>
  <c r="I70" i="3"/>
  <c r="H70" i="3"/>
  <c r="G70" i="3"/>
  <c r="F70" i="3"/>
  <c r="E70" i="3"/>
  <c r="D70" i="3"/>
  <c r="I69" i="3"/>
  <c r="H69" i="3"/>
  <c r="G69" i="3"/>
  <c r="F69" i="3"/>
  <c r="E69" i="3"/>
  <c r="D69" i="3"/>
  <c r="I68" i="3"/>
  <c r="H68" i="3"/>
  <c r="G68" i="3"/>
  <c r="F68" i="3"/>
  <c r="E68" i="3"/>
  <c r="D68" i="3"/>
  <c r="I67" i="3"/>
  <c r="H67" i="3"/>
  <c r="G67" i="3"/>
  <c r="F67" i="3"/>
  <c r="E67" i="3"/>
  <c r="D67" i="3"/>
  <c r="I66" i="3"/>
  <c r="H66" i="3"/>
  <c r="G66" i="3"/>
  <c r="F66" i="3"/>
  <c r="E66" i="3"/>
  <c r="D66" i="3"/>
  <c r="I65" i="3"/>
  <c r="H65" i="3"/>
  <c r="G65" i="3"/>
  <c r="F65" i="3"/>
  <c r="E65" i="3"/>
  <c r="D65" i="3"/>
  <c r="I64" i="3"/>
  <c r="H64" i="3"/>
  <c r="G64" i="3"/>
  <c r="F64" i="3"/>
  <c r="E64" i="3"/>
  <c r="D64" i="3"/>
  <c r="I63" i="3"/>
  <c r="H63" i="3"/>
  <c r="G63" i="3"/>
  <c r="F63" i="3"/>
  <c r="E63" i="3"/>
  <c r="D63" i="3"/>
  <c r="I62" i="3"/>
  <c r="H62" i="3"/>
  <c r="G62" i="3"/>
  <c r="F62" i="3"/>
  <c r="E62" i="3"/>
  <c r="D62" i="3"/>
  <c r="I61" i="3"/>
  <c r="H61" i="3"/>
  <c r="G61" i="3"/>
  <c r="F61" i="3"/>
  <c r="E61" i="3"/>
  <c r="D61" i="3"/>
  <c r="I60" i="3"/>
  <c r="H60" i="3"/>
  <c r="G60" i="3"/>
  <c r="F60" i="3"/>
  <c r="E60" i="3"/>
  <c r="D60" i="3"/>
  <c r="I59" i="3"/>
  <c r="H59" i="3"/>
  <c r="G59" i="3"/>
  <c r="F59" i="3"/>
  <c r="E59" i="3"/>
  <c r="D59" i="3"/>
  <c r="I58" i="3"/>
  <c r="H58" i="3"/>
  <c r="G58" i="3"/>
  <c r="F58" i="3"/>
  <c r="E58" i="3"/>
  <c r="D58" i="3"/>
  <c r="I57" i="3"/>
  <c r="H57" i="3"/>
  <c r="G57" i="3"/>
  <c r="F57" i="3"/>
  <c r="E57" i="3"/>
  <c r="D57" i="3"/>
  <c r="I56" i="3"/>
  <c r="H56" i="3"/>
  <c r="G56" i="3"/>
  <c r="F56" i="3"/>
  <c r="E56" i="3"/>
  <c r="D56" i="3"/>
  <c r="I55" i="3"/>
  <c r="H55" i="3"/>
  <c r="G55" i="3"/>
  <c r="F55" i="3"/>
  <c r="E55" i="3"/>
  <c r="D55" i="3"/>
  <c r="I54" i="3"/>
  <c r="H54" i="3"/>
  <c r="G54" i="3"/>
  <c r="F54" i="3"/>
  <c r="E54" i="3"/>
  <c r="D54" i="3"/>
  <c r="I53" i="3"/>
  <c r="H53" i="3"/>
  <c r="G53" i="3"/>
  <c r="F53" i="3"/>
  <c r="E53" i="3"/>
  <c r="D53" i="3"/>
  <c r="I52" i="3"/>
  <c r="H52" i="3"/>
  <c r="G52" i="3"/>
  <c r="F52" i="3"/>
  <c r="E52" i="3"/>
  <c r="D52" i="3"/>
  <c r="I51" i="3"/>
  <c r="H51" i="3"/>
  <c r="G51" i="3"/>
  <c r="F51" i="3"/>
  <c r="E51" i="3"/>
  <c r="D51" i="3"/>
  <c r="I50" i="3"/>
  <c r="H50" i="3"/>
  <c r="G50" i="3"/>
  <c r="F50" i="3"/>
  <c r="E50" i="3"/>
  <c r="D50" i="3"/>
  <c r="I49" i="3"/>
  <c r="H49" i="3"/>
  <c r="G49" i="3"/>
  <c r="F49" i="3"/>
  <c r="E49" i="3"/>
  <c r="D49" i="3"/>
  <c r="I48" i="3"/>
  <c r="H48" i="3"/>
  <c r="G48" i="3"/>
  <c r="F48" i="3"/>
  <c r="E48" i="3"/>
  <c r="D48" i="3"/>
  <c r="I47" i="3"/>
  <c r="H47" i="3"/>
  <c r="G47" i="3"/>
  <c r="F47" i="3"/>
  <c r="E47" i="3"/>
  <c r="D47" i="3"/>
  <c r="I46" i="3"/>
  <c r="H46" i="3"/>
  <c r="G46" i="3"/>
  <c r="F46" i="3"/>
  <c r="E46" i="3"/>
  <c r="D46" i="3"/>
  <c r="I45" i="3"/>
  <c r="H45" i="3"/>
  <c r="G45" i="3"/>
  <c r="F45" i="3"/>
  <c r="E45" i="3"/>
  <c r="D45" i="3"/>
  <c r="I44" i="3"/>
  <c r="H44" i="3"/>
  <c r="G44" i="3"/>
  <c r="F44" i="3"/>
  <c r="E44" i="3"/>
  <c r="D44" i="3"/>
  <c r="I43" i="3"/>
  <c r="H43" i="3"/>
  <c r="G43" i="3"/>
  <c r="F43" i="3"/>
  <c r="E43" i="3"/>
  <c r="D43" i="3"/>
  <c r="I42" i="3"/>
  <c r="H42" i="3"/>
  <c r="G42" i="3"/>
  <c r="F42" i="3"/>
  <c r="E42" i="3"/>
  <c r="D42" i="3"/>
  <c r="I41" i="3"/>
  <c r="H41" i="3"/>
  <c r="G41" i="3"/>
  <c r="F41" i="3"/>
  <c r="E41" i="3"/>
  <c r="D41" i="3"/>
  <c r="I40" i="3"/>
  <c r="H40" i="3"/>
  <c r="G40" i="3"/>
  <c r="F40" i="3"/>
  <c r="E40" i="3"/>
  <c r="D40" i="3"/>
  <c r="I39" i="3"/>
  <c r="H39" i="3"/>
  <c r="G39" i="3"/>
  <c r="F39" i="3"/>
  <c r="E39" i="3"/>
  <c r="D39" i="3"/>
  <c r="I38" i="3"/>
  <c r="H38" i="3"/>
  <c r="G38" i="3"/>
  <c r="F38" i="3"/>
  <c r="E38" i="3"/>
  <c r="D38" i="3"/>
  <c r="I37" i="3"/>
  <c r="H37" i="3"/>
  <c r="G37" i="3"/>
  <c r="F37" i="3"/>
  <c r="E37" i="3"/>
  <c r="D37" i="3"/>
  <c r="I36" i="3"/>
  <c r="H36" i="3"/>
  <c r="G36" i="3"/>
  <c r="F36" i="3"/>
  <c r="E36" i="3"/>
  <c r="D36" i="3"/>
  <c r="I35" i="3"/>
  <c r="H35" i="3"/>
  <c r="G35" i="3"/>
  <c r="F35" i="3"/>
  <c r="E35" i="3"/>
  <c r="D35" i="3"/>
  <c r="I34" i="3"/>
  <c r="H34" i="3"/>
  <c r="G34" i="3"/>
  <c r="F34" i="3"/>
  <c r="E34" i="3"/>
  <c r="D34" i="3"/>
  <c r="I33" i="3"/>
  <c r="H33" i="3"/>
  <c r="G33" i="3"/>
  <c r="F33" i="3"/>
  <c r="E33" i="3"/>
  <c r="D33" i="3"/>
  <c r="I32" i="3"/>
  <c r="H32" i="3"/>
  <c r="G32" i="3"/>
  <c r="F32" i="3"/>
  <c r="E32" i="3"/>
  <c r="D32" i="3"/>
  <c r="I31" i="3"/>
  <c r="H31" i="3"/>
  <c r="G31" i="3"/>
  <c r="F31" i="3"/>
  <c r="E31" i="3"/>
  <c r="D31" i="3"/>
  <c r="I30" i="3"/>
  <c r="H30" i="3"/>
  <c r="G30" i="3"/>
  <c r="F30" i="3"/>
  <c r="E30" i="3"/>
  <c r="D30" i="3"/>
  <c r="I29" i="3"/>
  <c r="H29" i="3"/>
  <c r="G29" i="3"/>
  <c r="F29" i="3"/>
  <c r="E29" i="3"/>
  <c r="D29" i="3"/>
  <c r="I28" i="3"/>
  <c r="H28" i="3"/>
  <c r="G28" i="3"/>
  <c r="F28" i="3"/>
  <c r="E28" i="3"/>
  <c r="D28" i="3"/>
  <c r="I27" i="3"/>
  <c r="H27" i="3"/>
  <c r="G27" i="3"/>
  <c r="F27" i="3"/>
  <c r="E27" i="3"/>
  <c r="D27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M125" i="3" l="1"/>
  <c r="J125" i="3"/>
  <c r="N125" i="3"/>
  <c r="N127" i="3" s="1"/>
  <c r="N133" i="3" s="1"/>
  <c r="O125" i="3"/>
  <c r="O127" i="3" s="1"/>
  <c r="O133" i="3" s="1"/>
  <c r="K125" i="3"/>
  <c r="L125" i="3"/>
  <c r="I125" i="3"/>
  <c r="D125" i="3"/>
  <c r="E125" i="3"/>
  <c r="F125" i="3"/>
  <c r="H125" i="3"/>
  <c r="P20" i="3"/>
  <c r="P24" i="3"/>
  <c r="P28" i="3"/>
  <c r="P36" i="3"/>
  <c r="P44" i="3"/>
  <c r="P56" i="3"/>
  <c r="P60" i="3"/>
  <c r="P64" i="3"/>
  <c r="P72" i="3"/>
  <c r="P113" i="3"/>
  <c r="P118" i="3"/>
  <c r="G125" i="3"/>
  <c r="P32" i="3"/>
  <c r="P40" i="3"/>
  <c r="P48" i="3"/>
  <c r="P52" i="3"/>
  <c r="P68" i="3"/>
  <c r="P80" i="3"/>
  <c r="P84" i="3"/>
  <c r="P92" i="3"/>
  <c r="P104" i="3"/>
  <c r="P27" i="3"/>
  <c r="P31" i="3"/>
  <c r="P35" i="3"/>
  <c r="P39" i="3"/>
  <c r="P47" i="3"/>
  <c r="P51" i="3"/>
  <c r="P55" i="3"/>
  <c r="P59" i="3"/>
  <c r="P75" i="3"/>
  <c r="P83" i="3"/>
  <c r="P91" i="3"/>
  <c r="P95" i="3"/>
  <c r="P103" i="3"/>
  <c r="P116" i="3"/>
  <c r="P7" i="3"/>
  <c r="P13" i="3"/>
  <c r="P30" i="3"/>
  <c r="P38" i="3"/>
  <c r="P50" i="3"/>
  <c r="P54" i="3"/>
  <c r="P58" i="3"/>
  <c r="P62" i="3"/>
  <c r="P66" i="3"/>
  <c r="P78" i="3"/>
  <c r="P86" i="3"/>
  <c r="P94" i="3"/>
  <c r="P98" i="3"/>
  <c r="P111" i="3"/>
  <c r="P120" i="3"/>
  <c r="P76" i="3"/>
  <c r="P88" i="3"/>
  <c r="P96" i="3"/>
  <c r="P100" i="3"/>
  <c r="P109" i="3"/>
  <c r="P122" i="3"/>
  <c r="P19" i="3"/>
  <c r="P23" i="3"/>
  <c r="P43" i="3"/>
  <c r="P63" i="3"/>
  <c r="P67" i="3"/>
  <c r="P71" i="3"/>
  <c r="P79" i="3"/>
  <c r="P87" i="3"/>
  <c r="P99" i="3"/>
  <c r="P108" i="3"/>
  <c r="P112" i="3"/>
  <c r="P121" i="3"/>
  <c r="P8" i="3"/>
  <c r="P14" i="3"/>
  <c r="P22" i="3"/>
  <c r="P26" i="3"/>
  <c r="P34" i="3"/>
  <c r="P42" i="3"/>
  <c r="P46" i="3"/>
  <c r="P70" i="3"/>
  <c r="P74" i="3"/>
  <c r="P82" i="3"/>
  <c r="P90" i="3"/>
  <c r="P102" i="3"/>
  <c r="P106" i="3"/>
  <c r="P115" i="3"/>
  <c r="P124" i="3"/>
  <c r="R124" i="3" s="1"/>
  <c r="G68" i="4" s="1"/>
  <c r="P21" i="3"/>
  <c r="P25" i="3"/>
  <c r="P29" i="3"/>
  <c r="P33" i="3"/>
  <c r="P37" i="3"/>
  <c r="P41" i="3"/>
  <c r="P45" i="3"/>
  <c r="P49" i="3"/>
  <c r="P53" i="3"/>
  <c r="P57" i="3"/>
  <c r="P61" i="3"/>
  <c r="P65" i="3"/>
  <c r="P69" i="3"/>
  <c r="P73" i="3"/>
  <c r="P77" i="3"/>
  <c r="P81" i="3"/>
  <c r="P85" i="3"/>
  <c r="P89" i="3"/>
  <c r="P93" i="3"/>
  <c r="P97" i="3"/>
  <c r="P101" i="3"/>
  <c r="P105" i="3"/>
  <c r="P110" i="3"/>
  <c r="P114" i="3"/>
  <c r="P119" i="3"/>
  <c r="P123" i="3"/>
  <c r="P107" i="3"/>
  <c r="D102" i="2"/>
  <c r="E102" i="2"/>
  <c r="F102" i="2"/>
  <c r="G102" i="2"/>
  <c r="H102" i="2"/>
  <c r="I102" i="2"/>
  <c r="J102" i="2"/>
  <c r="K102" i="2"/>
  <c r="L102" i="2"/>
  <c r="M102" i="2"/>
  <c r="N102" i="2"/>
  <c r="O102" i="2"/>
  <c r="D13" i="2"/>
  <c r="D104" i="2" s="1"/>
  <c r="D108" i="2" s="1"/>
  <c r="E13" i="2"/>
  <c r="F13" i="2"/>
  <c r="G13" i="2"/>
  <c r="H13" i="2"/>
  <c r="I13" i="2"/>
  <c r="J13" i="2"/>
  <c r="J104" i="2" s="1"/>
  <c r="J108" i="2" s="1"/>
  <c r="K13" i="2"/>
  <c r="K104" i="2" s="1"/>
  <c r="K108" i="2" s="1"/>
  <c r="L13" i="2"/>
  <c r="L104" i="2" s="1"/>
  <c r="L108" i="2" s="1"/>
  <c r="M13" i="2"/>
  <c r="N13" i="2"/>
  <c r="O13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02" i="2" s="1"/>
  <c r="P12" i="2"/>
  <c r="P11" i="2"/>
  <c r="P10" i="2"/>
  <c r="D120" i="1"/>
  <c r="E120" i="1"/>
  <c r="F120" i="1"/>
  <c r="G120" i="1"/>
  <c r="H120" i="1"/>
  <c r="I120" i="1"/>
  <c r="J120" i="1"/>
  <c r="K120" i="1"/>
  <c r="L120" i="1"/>
  <c r="M120" i="1"/>
  <c r="N120" i="1"/>
  <c r="O120" i="1"/>
  <c r="D11" i="1"/>
  <c r="D123" i="1" s="1"/>
  <c r="D127" i="1" s="1"/>
  <c r="E11" i="1"/>
  <c r="F11" i="1"/>
  <c r="G11" i="1"/>
  <c r="H11" i="1"/>
  <c r="I11" i="1"/>
  <c r="I123" i="1" s="1"/>
  <c r="I127" i="1" s="1"/>
  <c r="J11" i="1"/>
  <c r="J123" i="1" s="1"/>
  <c r="J127" i="1" s="1"/>
  <c r="K11" i="1"/>
  <c r="K123" i="1" s="1"/>
  <c r="K127" i="1" s="1"/>
  <c r="L11" i="1"/>
  <c r="L123" i="1" s="1"/>
  <c r="L127" i="1" s="1"/>
  <c r="M11" i="1"/>
  <c r="N11" i="1"/>
  <c r="O11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0" i="1"/>
  <c r="P9" i="1"/>
  <c r="P8" i="1"/>
  <c r="P11" i="3" l="1"/>
  <c r="P15" i="3" s="1"/>
  <c r="H123" i="1"/>
  <c r="H127" i="1" s="1"/>
  <c r="O123" i="1"/>
  <c r="O127" i="1" s="1"/>
  <c r="G123" i="1"/>
  <c r="G127" i="1" s="1"/>
  <c r="O104" i="2"/>
  <c r="O108" i="2" s="1"/>
  <c r="G104" i="2"/>
  <c r="G108" i="2" s="1"/>
  <c r="I104" i="2"/>
  <c r="I108" i="2" s="1"/>
  <c r="H104" i="2"/>
  <c r="H108" i="2" s="1"/>
  <c r="N104" i="2"/>
  <c r="N108" i="2" s="1"/>
  <c r="F104" i="2"/>
  <c r="F108" i="2" s="1"/>
  <c r="N123" i="1"/>
  <c r="N127" i="1" s="1"/>
  <c r="F123" i="1"/>
  <c r="F127" i="1" s="1"/>
  <c r="M123" i="1"/>
  <c r="M127" i="1" s="1"/>
  <c r="E123" i="1"/>
  <c r="E127" i="1" s="1"/>
  <c r="M104" i="2"/>
  <c r="M108" i="2" s="1"/>
  <c r="E104" i="2"/>
  <c r="E108" i="2" s="1"/>
  <c r="R37" i="1"/>
  <c r="T37" i="1" s="1"/>
  <c r="R41" i="3"/>
  <c r="R114" i="1"/>
  <c r="T114" i="1" s="1"/>
  <c r="R119" i="3"/>
  <c r="R110" i="1"/>
  <c r="T110" i="1" s="1"/>
  <c r="R114" i="3"/>
  <c r="G64" i="4" s="1"/>
  <c r="M64" i="4" s="1"/>
  <c r="R77" i="1"/>
  <c r="T77" i="1" s="1"/>
  <c r="R81" i="3"/>
  <c r="R45" i="1"/>
  <c r="T45" i="1" s="1"/>
  <c r="R49" i="3"/>
  <c r="R70" i="1"/>
  <c r="T70" i="1" s="1"/>
  <c r="R74" i="3"/>
  <c r="R67" i="1"/>
  <c r="T67" i="1" s="1"/>
  <c r="R71" i="3"/>
  <c r="R96" i="1"/>
  <c r="T96" i="1" s="1"/>
  <c r="R100" i="3"/>
  <c r="R107" i="1"/>
  <c r="T107" i="1" s="1"/>
  <c r="R111" i="3"/>
  <c r="R50" i="1"/>
  <c r="T50" i="1" s="1"/>
  <c r="R54" i="3"/>
  <c r="R7" i="1"/>
  <c r="R7" i="3"/>
  <c r="R11" i="3" s="1"/>
  <c r="R51" i="1"/>
  <c r="T51" i="1" s="1"/>
  <c r="R55" i="3"/>
  <c r="G39" i="4" s="1"/>
  <c r="M39" i="4" s="1"/>
  <c r="R100" i="1"/>
  <c r="T100" i="1" s="1"/>
  <c r="R104" i="3"/>
  <c r="R28" i="1"/>
  <c r="T28" i="1" s="1"/>
  <c r="R32" i="3"/>
  <c r="G29" i="4" s="1"/>
  <c r="M29" i="4" s="1"/>
  <c r="R40" i="1"/>
  <c r="T40" i="1" s="1"/>
  <c r="R44" i="3"/>
  <c r="G35" i="4" s="1"/>
  <c r="R73" i="1"/>
  <c r="T73" i="1" s="1"/>
  <c r="R77" i="3"/>
  <c r="R8" i="1"/>
  <c r="T8" i="1" s="1"/>
  <c r="R8" i="3"/>
  <c r="G10" i="4" s="1"/>
  <c r="M10" i="4" s="1"/>
  <c r="R46" i="1"/>
  <c r="T46" i="1" s="1"/>
  <c r="R50" i="3"/>
  <c r="R32" i="1"/>
  <c r="T32" i="1" s="1"/>
  <c r="R36" i="3"/>
  <c r="R69" i="1"/>
  <c r="T69" i="1" s="1"/>
  <c r="R73" i="3"/>
  <c r="G47" i="4" s="1"/>
  <c r="M47" i="4" s="1"/>
  <c r="R59" i="1"/>
  <c r="T59" i="1" s="1"/>
  <c r="R63" i="3"/>
  <c r="R34" i="1"/>
  <c r="T34" i="1" s="1"/>
  <c r="R38" i="3"/>
  <c r="R97" i="1"/>
  <c r="T97" i="1" s="1"/>
  <c r="R101" i="3"/>
  <c r="R65" i="1"/>
  <c r="T65" i="1" s="1"/>
  <c r="R69" i="3"/>
  <c r="R33" i="1"/>
  <c r="T33" i="1" s="1"/>
  <c r="R37" i="3"/>
  <c r="G31" i="4" s="1"/>
  <c r="M31" i="4" s="1"/>
  <c r="R111" i="1"/>
  <c r="T111" i="1" s="1"/>
  <c r="R115" i="3"/>
  <c r="R38" i="1"/>
  <c r="T38" i="1" s="1"/>
  <c r="R42" i="3"/>
  <c r="R108" i="1"/>
  <c r="T108" i="1" s="1"/>
  <c r="R112" i="3"/>
  <c r="R39" i="1"/>
  <c r="T39" i="1" s="1"/>
  <c r="R43" i="3"/>
  <c r="G34" i="4" s="1"/>
  <c r="M34" i="4" s="1"/>
  <c r="R72" i="1"/>
  <c r="T72" i="1" s="1"/>
  <c r="R76" i="3"/>
  <c r="R82" i="1"/>
  <c r="T82" i="1" s="1"/>
  <c r="R86" i="3"/>
  <c r="R26" i="1"/>
  <c r="T26" i="1" s="1"/>
  <c r="R30" i="3"/>
  <c r="G27" i="4" s="1"/>
  <c r="M27" i="4" s="1"/>
  <c r="R91" i="1"/>
  <c r="T91" i="1" s="1"/>
  <c r="R95" i="3"/>
  <c r="R35" i="1"/>
  <c r="T35" i="1" s="1"/>
  <c r="R39" i="3"/>
  <c r="R76" i="1"/>
  <c r="T76" i="1" s="1"/>
  <c r="R80" i="3"/>
  <c r="R109" i="1"/>
  <c r="T109" i="1" s="1"/>
  <c r="R113" i="3"/>
  <c r="G63" i="4" s="1"/>
  <c r="M63" i="4" s="1"/>
  <c r="R20" i="1"/>
  <c r="T20" i="1" s="1"/>
  <c r="R24" i="3"/>
  <c r="G24" i="4" s="1"/>
  <c r="M24" i="4" s="1"/>
  <c r="R106" i="1"/>
  <c r="T106" i="1" s="1"/>
  <c r="R110" i="3"/>
  <c r="G61" i="4" s="1"/>
  <c r="M61" i="4" s="1"/>
  <c r="R92" i="1"/>
  <c r="T92" i="1" s="1"/>
  <c r="R96" i="3"/>
  <c r="R47" i="1"/>
  <c r="T47" i="1" s="1"/>
  <c r="R51" i="3"/>
  <c r="R116" i="1"/>
  <c r="T116" i="1" s="1"/>
  <c r="R121" i="3"/>
  <c r="R84" i="1"/>
  <c r="T84" i="1" s="1"/>
  <c r="R88" i="3"/>
  <c r="R99" i="1"/>
  <c r="T99" i="1" s="1"/>
  <c r="R103" i="3"/>
  <c r="R43" i="1"/>
  <c r="T43" i="1" s="1"/>
  <c r="R47" i="3"/>
  <c r="R80" i="1"/>
  <c r="T80" i="1" s="1"/>
  <c r="R84" i="3"/>
  <c r="G52" i="4" s="1"/>
  <c r="M52" i="4" s="1"/>
  <c r="R113" i="1"/>
  <c r="T113" i="1" s="1"/>
  <c r="R118" i="3"/>
  <c r="R24" i="1"/>
  <c r="T24" i="1" s="1"/>
  <c r="R28" i="3"/>
  <c r="R93" i="1"/>
  <c r="T93" i="1" s="1"/>
  <c r="R97" i="3"/>
  <c r="R61" i="1"/>
  <c r="T61" i="1" s="1"/>
  <c r="R65" i="3"/>
  <c r="G42" i="4" s="1"/>
  <c r="M42" i="4" s="1"/>
  <c r="R29" i="1"/>
  <c r="T29" i="1" s="1"/>
  <c r="R33" i="3"/>
  <c r="R102" i="1"/>
  <c r="T102" i="1" s="1"/>
  <c r="R106" i="3"/>
  <c r="R30" i="1"/>
  <c r="T30" i="1" s="1"/>
  <c r="R34" i="3"/>
  <c r="R104" i="1"/>
  <c r="T104" i="1" s="1"/>
  <c r="R108" i="3"/>
  <c r="R19" i="1"/>
  <c r="T19" i="1" s="1"/>
  <c r="R23" i="3"/>
  <c r="G23" i="4" s="1"/>
  <c r="M23" i="4" s="1"/>
  <c r="R74" i="1"/>
  <c r="T74" i="1" s="1"/>
  <c r="R78" i="3"/>
  <c r="R87" i="1"/>
  <c r="T87" i="1" s="1"/>
  <c r="R91" i="3"/>
  <c r="R31" i="1"/>
  <c r="T31" i="1" s="1"/>
  <c r="R35" i="3"/>
  <c r="R64" i="1"/>
  <c r="T64" i="1" s="1"/>
  <c r="R68" i="3"/>
  <c r="G45" i="4" s="1"/>
  <c r="M45" i="4" s="1"/>
  <c r="R68" i="1"/>
  <c r="T68" i="1" s="1"/>
  <c r="R72" i="3"/>
  <c r="R16" i="1"/>
  <c r="T16" i="1" s="1"/>
  <c r="R20" i="3"/>
  <c r="G20" i="4" s="1"/>
  <c r="M20" i="4" s="1"/>
  <c r="R42" i="1"/>
  <c r="T42" i="1" s="1"/>
  <c r="R46" i="3"/>
  <c r="R103" i="1"/>
  <c r="T103" i="1" s="1"/>
  <c r="R107" i="3"/>
  <c r="R57" i="1"/>
  <c r="T57" i="1" s="1"/>
  <c r="R61" i="3"/>
  <c r="R98" i="1"/>
  <c r="T98" i="1" s="1"/>
  <c r="R102" i="3"/>
  <c r="R22" i="1"/>
  <c r="T22" i="1" s="1"/>
  <c r="R26" i="3"/>
  <c r="R15" i="1"/>
  <c r="T15" i="1" s="1"/>
  <c r="R19" i="3"/>
  <c r="G19" i="4" s="1"/>
  <c r="M19" i="4" s="1"/>
  <c r="R62" i="1"/>
  <c r="T62" i="1" s="1"/>
  <c r="R66" i="3"/>
  <c r="G43" i="4" s="1"/>
  <c r="M43" i="4" s="1"/>
  <c r="R79" i="1"/>
  <c r="T79" i="1" s="1"/>
  <c r="R83" i="3"/>
  <c r="R27" i="1"/>
  <c r="T27" i="1" s="1"/>
  <c r="R31" i="3"/>
  <c r="G28" i="4" s="1"/>
  <c r="M28" i="4" s="1"/>
  <c r="R48" i="1"/>
  <c r="T48" i="1" s="1"/>
  <c r="R52" i="3"/>
  <c r="G37" i="4" s="1"/>
  <c r="M37" i="4" s="1"/>
  <c r="R60" i="1"/>
  <c r="T60" i="1" s="1"/>
  <c r="R64" i="3"/>
  <c r="G41" i="4" s="1"/>
  <c r="M41" i="4" s="1"/>
  <c r="R41" i="1"/>
  <c r="T41" i="1" s="1"/>
  <c r="R45" i="3"/>
  <c r="R63" i="1"/>
  <c r="T63" i="1" s="1"/>
  <c r="R67" i="3"/>
  <c r="R88" i="1"/>
  <c r="T88" i="1" s="1"/>
  <c r="R92" i="3"/>
  <c r="R101" i="1"/>
  <c r="T101" i="1" s="1"/>
  <c r="R105" i="3"/>
  <c r="R90" i="1"/>
  <c r="T90" i="1" s="1"/>
  <c r="R94" i="3"/>
  <c r="R89" i="1"/>
  <c r="T89" i="1" s="1"/>
  <c r="R93" i="3"/>
  <c r="R25" i="1"/>
  <c r="T25" i="1" s="1"/>
  <c r="R29" i="3"/>
  <c r="G26" i="4" s="1"/>
  <c r="M26" i="4" s="1"/>
  <c r="R95" i="1"/>
  <c r="T95" i="1" s="1"/>
  <c r="R99" i="3"/>
  <c r="R118" i="1"/>
  <c r="T118" i="1" s="1"/>
  <c r="R123" i="3"/>
  <c r="R85" i="1"/>
  <c r="T85" i="1" s="1"/>
  <c r="R89" i="3"/>
  <c r="R53" i="1"/>
  <c r="T53" i="1" s="1"/>
  <c r="R57" i="3"/>
  <c r="R21" i="1"/>
  <c r="T21" i="1" s="1"/>
  <c r="R25" i="3"/>
  <c r="R86" i="1"/>
  <c r="T86" i="1" s="1"/>
  <c r="R90" i="3"/>
  <c r="R18" i="1"/>
  <c r="T18" i="1" s="1"/>
  <c r="R22" i="3"/>
  <c r="G22" i="4" s="1"/>
  <c r="M22" i="4" s="1"/>
  <c r="R83" i="1"/>
  <c r="T83" i="1" s="1"/>
  <c r="R87" i="3"/>
  <c r="R117" i="1"/>
  <c r="T117" i="1" s="1"/>
  <c r="R122" i="3"/>
  <c r="R58" i="1"/>
  <c r="T58" i="1" s="1"/>
  <c r="R62" i="3"/>
  <c r="R71" i="1"/>
  <c r="T71" i="1" s="1"/>
  <c r="R75" i="3"/>
  <c r="R23" i="1"/>
  <c r="T23" i="1" s="1"/>
  <c r="R27" i="3"/>
  <c r="R44" i="1"/>
  <c r="T44" i="1" s="1"/>
  <c r="R48" i="3"/>
  <c r="R56" i="1"/>
  <c r="T56" i="1" s="1"/>
  <c r="R60" i="3"/>
  <c r="R66" i="1"/>
  <c r="T66" i="1" s="1"/>
  <c r="R70" i="3"/>
  <c r="R94" i="1"/>
  <c r="T94" i="1" s="1"/>
  <c r="R98" i="3"/>
  <c r="R112" i="1"/>
  <c r="T112" i="1" s="1"/>
  <c r="R116" i="3"/>
  <c r="R81" i="1"/>
  <c r="T81" i="1" s="1"/>
  <c r="R85" i="3"/>
  <c r="R49" i="1"/>
  <c r="T49" i="1" s="1"/>
  <c r="R53" i="3"/>
  <c r="G38" i="4" s="1"/>
  <c r="M38" i="4" s="1"/>
  <c r="R17" i="1"/>
  <c r="T17" i="1" s="1"/>
  <c r="R21" i="3"/>
  <c r="G21" i="4" s="1"/>
  <c r="M21" i="4" s="1"/>
  <c r="R78" i="1"/>
  <c r="T78" i="1" s="1"/>
  <c r="R82" i="3"/>
  <c r="R10" i="1"/>
  <c r="T10" i="1" s="1"/>
  <c r="R14" i="3"/>
  <c r="G14" i="4" s="1"/>
  <c r="R75" i="1"/>
  <c r="T75" i="1" s="1"/>
  <c r="R79" i="3"/>
  <c r="G50" i="4" s="1"/>
  <c r="M50" i="4" s="1"/>
  <c r="R105" i="1"/>
  <c r="T105" i="1" s="1"/>
  <c r="R109" i="3"/>
  <c r="R115" i="1"/>
  <c r="T115" i="1" s="1"/>
  <c r="R120" i="3"/>
  <c r="R54" i="1"/>
  <c r="T54" i="1" s="1"/>
  <c r="R58" i="3"/>
  <c r="R9" i="1"/>
  <c r="T9" i="1" s="1"/>
  <c r="R13" i="3"/>
  <c r="G13" i="4" s="1"/>
  <c r="M13" i="4" s="1"/>
  <c r="R55" i="1"/>
  <c r="T55" i="1" s="1"/>
  <c r="R59" i="3"/>
  <c r="R36" i="1"/>
  <c r="T36" i="1" s="1"/>
  <c r="R40" i="3"/>
  <c r="R52" i="1"/>
  <c r="T52" i="1" s="1"/>
  <c r="R56" i="3"/>
  <c r="R119" i="1"/>
  <c r="T119" i="1" s="1"/>
  <c r="M127" i="3"/>
  <c r="M133" i="3" s="1"/>
  <c r="J127" i="3"/>
  <c r="J133" i="3" s="1"/>
  <c r="L127" i="3"/>
  <c r="L133" i="3" s="1"/>
  <c r="K127" i="3"/>
  <c r="K133" i="3" s="1"/>
  <c r="I127" i="3"/>
  <c r="I133" i="3" s="1"/>
  <c r="P120" i="1"/>
  <c r="E127" i="3"/>
  <c r="E133" i="3" s="1"/>
  <c r="H127" i="3"/>
  <c r="H133" i="3" s="1"/>
  <c r="F127" i="3"/>
  <c r="F133" i="3" s="1"/>
  <c r="D127" i="3"/>
  <c r="D133" i="3" s="1"/>
  <c r="G127" i="3"/>
  <c r="G133" i="3" s="1"/>
  <c r="P125" i="3"/>
  <c r="P9" i="2"/>
  <c r="P13" i="2" s="1"/>
  <c r="P104" i="2" s="1"/>
  <c r="P108" i="2" s="1"/>
  <c r="P7" i="1"/>
  <c r="P11" i="1" s="1"/>
  <c r="P123" i="1" s="1"/>
  <c r="P127" i="1" s="1"/>
  <c r="G40" i="4" l="1"/>
  <c r="M40" i="4" s="1"/>
  <c r="G65" i="4"/>
  <c r="G15" i="4"/>
  <c r="G56" i="4"/>
  <c r="M56" i="4" s="1"/>
  <c r="G44" i="4"/>
  <c r="M44" i="4" s="1"/>
  <c r="AH67" i="3"/>
  <c r="G48" i="4"/>
  <c r="M48" i="4" s="1"/>
  <c r="G53" i="4"/>
  <c r="M53" i="4" s="1"/>
  <c r="G60" i="4"/>
  <c r="M60" i="4" s="1"/>
  <c r="G59" i="4"/>
  <c r="M59" i="4" s="1"/>
  <c r="G49" i="4"/>
  <c r="M49" i="4" s="1"/>
  <c r="G36" i="4"/>
  <c r="G57" i="4"/>
  <c r="M57" i="4" s="1"/>
  <c r="T7" i="1"/>
  <c r="U7" i="1" s="1"/>
  <c r="G58" i="4"/>
  <c r="M58" i="4" s="1"/>
  <c r="G55" i="4"/>
  <c r="M55" i="4" s="1"/>
  <c r="G33" i="4"/>
  <c r="M33" i="4" s="1"/>
  <c r="G51" i="4"/>
  <c r="M51" i="4" s="1"/>
  <c r="L84" i="5"/>
  <c r="I65" i="4" s="1"/>
  <c r="G46" i="4"/>
  <c r="M46" i="4" s="1"/>
  <c r="G54" i="4"/>
  <c r="M54" i="4" s="1"/>
  <c r="G25" i="4"/>
  <c r="M25" i="4" s="1"/>
  <c r="G62" i="4"/>
  <c r="M62" i="4" s="1"/>
  <c r="G66" i="4"/>
  <c r="M66" i="4" s="1"/>
  <c r="G32" i="4"/>
  <c r="G30" i="4"/>
  <c r="R15" i="3"/>
  <c r="G9" i="4"/>
  <c r="R120" i="1"/>
  <c r="T120" i="1" s="1"/>
  <c r="I15" i="4"/>
  <c r="I16" i="4" s="1"/>
  <c r="R125" i="3"/>
  <c r="M68" i="4"/>
  <c r="R11" i="1"/>
  <c r="T11" i="1" s="1"/>
  <c r="P127" i="3"/>
  <c r="M9" i="4" l="1"/>
  <c r="G11" i="4"/>
  <c r="G16" i="4" s="1"/>
  <c r="G69" i="4"/>
  <c r="L54" i="5"/>
  <c r="I36" i="4" s="1"/>
  <c r="M36" i="4" s="1"/>
  <c r="M30" i="4"/>
  <c r="M65" i="4"/>
  <c r="M32" i="4"/>
  <c r="P133" i="3"/>
  <c r="R133" i="3" s="1"/>
  <c r="R127" i="3"/>
  <c r="M35" i="4"/>
  <c r="M14" i="4"/>
  <c r="M15" i="4"/>
  <c r="M11" i="4" l="1"/>
  <c r="M16" i="4" s="1"/>
  <c r="I69" i="4"/>
  <c r="I70" i="4" s="1"/>
  <c r="M69" i="4"/>
  <c r="O69" i="4" s="1"/>
  <c r="G70" i="4"/>
  <c r="M70" i="4" l="1"/>
</calcChain>
</file>

<file path=xl/sharedStrings.xml><?xml version="1.0" encoding="utf-8"?>
<sst xmlns="http://schemas.openxmlformats.org/spreadsheetml/2006/main" count="991" uniqueCount="431">
  <si>
    <t>Puget Sound Pilots</t>
  </si>
  <si>
    <t>Monthly Revenue, Expenses and Distributions</t>
  </si>
  <si>
    <t>For the year ended December 31, 2018</t>
  </si>
  <si>
    <t>Account Number</t>
  </si>
  <si>
    <t>Account  Name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</si>
  <si>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</si>
  <si>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</si>
  <si>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</si>
  <si>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</si>
  <si>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</si>
  <si>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</si>
  <si>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</si>
  <si>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</si>
  <si>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</si>
  <si>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</si>
  <si>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</si>
  <si>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</si>
  <si>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</si>
  <si>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Revenues</t>
  </si>
  <si>
    <t>Account: 40100-000</t>
  </si>
  <si>
    <t>Pilotage Fees Earned</t>
  </si>
  <si>
    <t>Account: 40120-000</t>
  </si>
  <si>
    <t>Boat Fees Earned</t>
  </si>
  <si>
    <t>Account: 40200-000</t>
  </si>
  <si>
    <t>Interest Income</t>
  </si>
  <si>
    <t>Account: 40230-000</t>
  </si>
  <si>
    <t>Finance Charges</t>
  </si>
  <si>
    <t>Expenses</t>
  </si>
  <si>
    <t>Account: 50050-009</t>
  </si>
  <si>
    <t>Administrative Expenses</t>
  </si>
  <si>
    <t>Account: 50100-009</t>
  </si>
  <si>
    <t>Attorney Fees</t>
  </si>
  <si>
    <t>Account: 50150-009</t>
  </si>
  <si>
    <t>Bank Fees</t>
  </si>
  <si>
    <t>Account: 50200-009</t>
  </si>
  <si>
    <t>Provisions for Unreceivable A/R</t>
  </si>
  <si>
    <t>Account: 50250-009</t>
  </si>
  <si>
    <t>Capital Assets</t>
  </si>
  <si>
    <t>Account: 50300-006</t>
  </si>
  <si>
    <t>Commission-Senate Bill 5096</t>
  </si>
  <si>
    <t>Account: 50500-006</t>
  </si>
  <si>
    <t>Computer Maintenance - Seattle</t>
  </si>
  <si>
    <t>Account: 50500-007</t>
  </si>
  <si>
    <t>Computer Maintenance - P.A.</t>
  </si>
  <si>
    <t>Account: 50500-009</t>
  </si>
  <si>
    <t>Computer Maintenance, Hardware, Phone</t>
  </si>
  <si>
    <t>Account: 50510-006</t>
  </si>
  <si>
    <t>Computer Maintenance/Repair - Dispatch</t>
  </si>
  <si>
    <t>Account: 50600-009</t>
  </si>
  <si>
    <t>Computer Programming, Changes</t>
  </si>
  <si>
    <t>Account: 50700-009</t>
  </si>
  <si>
    <t>Consulting Fees</t>
  </si>
  <si>
    <t>Account: 50800-009</t>
  </si>
  <si>
    <t>CPA Fees</t>
  </si>
  <si>
    <t>Account: 50850-009</t>
  </si>
  <si>
    <t>Donations</t>
  </si>
  <si>
    <t>Account: 50900-009</t>
  </si>
  <si>
    <t>Dues, Other</t>
  </si>
  <si>
    <t>Account: 50910-009</t>
  </si>
  <si>
    <t>Dues, MM&amp;P</t>
  </si>
  <si>
    <t>Account: 50920-009</t>
  </si>
  <si>
    <t>Dues, APA</t>
  </si>
  <si>
    <t>Account: 50930-009</t>
  </si>
  <si>
    <t>Dues, Marine Exchange</t>
  </si>
  <si>
    <t>Account: 50970-007</t>
  </si>
  <si>
    <t>Ediz Hook, Prev. Maintenance</t>
  </si>
  <si>
    <t>Account: 51000-006</t>
  </si>
  <si>
    <t>Employee Health &amp; Welfare - Seattle</t>
  </si>
  <si>
    <t>Account: 51000-007</t>
  </si>
  <si>
    <t>Employee Health &amp; Welfare - P.A.</t>
  </si>
  <si>
    <t>Account: 51100-006</t>
  </si>
  <si>
    <t>Employee Pension - Seattle</t>
  </si>
  <si>
    <t>Account: 51100-007</t>
  </si>
  <si>
    <t>Employee Pension - P.A.</t>
  </si>
  <si>
    <t>Account: 51100-009</t>
  </si>
  <si>
    <t>MP/Retirement Plan, Manager</t>
  </si>
  <si>
    <t>Account: 51200-009</t>
  </si>
  <si>
    <t>Equipment Leases</t>
  </si>
  <si>
    <t>Account: 51300-008</t>
  </si>
  <si>
    <t>Amortization Expense</t>
  </si>
  <si>
    <t>Account: 51310-009</t>
  </si>
  <si>
    <t>Depreciation, Portable Radios</t>
  </si>
  <si>
    <t>Account: 51320-009</t>
  </si>
  <si>
    <t>Depreciation, Computer</t>
  </si>
  <si>
    <t>Account: 51330-006</t>
  </si>
  <si>
    <t>Depreciation, Equipment &amp; Furniture - Seattle</t>
  </si>
  <si>
    <t>Account: 51330-007</t>
  </si>
  <si>
    <t>Depreciation, Equipment &amp; Furniture - P.A.</t>
  </si>
  <si>
    <t>Account: 51340-006</t>
  </si>
  <si>
    <t>Depreciation, Leasehold Improv. - Seattle</t>
  </si>
  <si>
    <t>Account: 51380-007</t>
  </si>
  <si>
    <t>Depreciation, Buildings - P.A.</t>
  </si>
  <si>
    <t>Account: 51400-008</t>
  </si>
  <si>
    <t>Depreciation, Juan de Fuca</t>
  </si>
  <si>
    <t>Account: 51430-006</t>
  </si>
  <si>
    <t>Drug Testing</t>
  </si>
  <si>
    <t>Account: 51440-007</t>
  </si>
  <si>
    <t>Education - P.A.</t>
  </si>
  <si>
    <t>Account: 51500-006</t>
  </si>
  <si>
    <t>Food - Office</t>
  </si>
  <si>
    <t>Account: 51500-007</t>
  </si>
  <si>
    <t>Food - P.A.</t>
  </si>
  <si>
    <t>Account: 51500-009</t>
  </si>
  <si>
    <t>Food - Pilots</t>
  </si>
  <si>
    <t>Account: 51520-009</t>
  </si>
  <si>
    <t>Gifts</t>
  </si>
  <si>
    <t>Account: 51550-007</t>
  </si>
  <si>
    <t>Lodging - PA</t>
  </si>
  <si>
    <t>Account: 51560-006</t>
  </si>
  <si>
    <t>Industry Events</t>
  </si>
  <si>
    <t>Account: 51600-006</t>
  </si>
  <si>
    <t>Insurance - Seattle</t>
  </si>
  <si>
    <t>Account: 51600-007</t>
  </si>
  <si>
    <t>Insurance - P.A.</t>
  </si>
  <si>
    <t>Account: 51600-008</t>
  </si>
  <si>
    <t>Insurance, Boats</t>
  </si>
  <si>
    <t>Account: 51610-006</t>
  </si>
  <si>
    <t>Insurance - License &amp; Defense</t>
  </si>
  <si>
    <t>Account: 51620-006</t>
  </si>
  <si>
    <t>Insurance - Medical</t>
  </si>
  <si>
    <t>Account: 51765-009</t>
  </si>
  <si>
    <t>Interest, Dispatch Software</t>
  </si>
  <si>
    <t>Account: 51900-007</t>
  </si>
  <si>
    <t>Laundry - P.A.</t>
  </si>
  <si>
    <t>Account: 51940-006</t>
  </si>
  <si>
    <t>License Fees - Pilots</t>
  </si>
  <si>
    <t>Account: 51950-009</t>
  </si>
  <si>
    <t>Lobbyist</t>
  </si>
  <si>
    <t>Account: 52050-007</t>
  </si>
  <si>
    <t>Miscellaneous - P.A.</t>
  </si>
  <si>
    <t>Account: 52100-006</t>
  </si>
  <si>
    <t>Office Supplies - Seattle</t>
  </si>
  <si>
    <t>Account: 52100-007</t>
  </si>
  <si>
    <t>Office Supplies - P.A.</t>
  </si>
  <si>
    <t>Account: 52220-009</t>
  </si>
  <si>
    <t>Pension, 1978</t>
  </si>
  <si>
    <t>Account: 52230-009</t>
  </si>
  <si>
    <t>Pension, Puget Sound Pilots</t>
  </si>
  <si>
    <t>Account: 52240-009</t>
  </si>
  <si>
    <t>Pension, Grays Harbor Pilots</t>
  </si>
  <si>
    <t>Account: 52250-009</t>
  </si>
  <si>
    <t>Pension, Tabler</t>
  </si>
  <si>
    <t>Account: 52300-006</t>
  </si>
  <si>
    <t>Postage - Seattle</t>
  </si>
  <si>
    <t>Account: 52300-007</t>
  </si>
  <si>
    <t>Postage - P.A.</t>
  </si>
  <si>
    <t>Account: 52400-006</t>
  </si>
  <si>
    <t>Printing - Seattle</t>
  </si>
  <si>
    <t>Account: 52450-009</t>
  </si>
  <si>
    <t>Promotion</t>
  </si>
  <si>
    <t>Account: 52560-008</t>
  </si>
  <si>
    <t>Puget Sound, Fuel</t>
  </si>
  <si>
    <t>Account: 52570-008</t>
  </si>
  <si>
    <t>Puget Sound, Prev. Maintenance</t>
  </si>
  <si>
    <t>Account: 52660-008</t>
  </si>
  <si>
    <t>Juan de Fuca, Fuel</t>
  </si>
  <si>
    <t>Account: 52670-008</t>
  </si>
  <si>
    <t>Juan de Fuca, Prev. Maintenance</t>
  </si>
  <si>
    <t>Account: 52700-006</t>
  </si>
  <si>
    <t>Radio Maintenance - Seattle</t>
  </si>
  <si>
    <t>Account: 52900-006</t>
  </si>
  <si>
    <t>Rent &amp; Parking - Seattle</t>
  </si>
  <si>
    <t>Account: 52900-007</t>
  </si>
  <si>
    <t>Rent, Tidelands Lease</t>
  </si>
  <si>
    <t>Account: 52950-006</t>
  </si>
  <si>
    <t>Repairs &amp; Maintenance - Seattle</t>
  </si>
  <si>
    <t>Account: 52950-007</t>
  </si>
  <si>
    <t>Repairs &amp; Maintenance - P.A.</t>
  </si>
  <si>
    <t>Account: 53010-006</t>
  </si>
  <si>
    <t>Salaries, Regular - Seattle</t>
  </si>
  <si>
    <t>Account: 53010-007</t>
  </si>
  <si>
    <t>Salaries, Regular - P.A.</t>
  </si>
  <si>
    <t>Account: 53020-006</t>
  </si>
  <si>
    <t>Salaries, Overtime - Seattle</t>
  </si>
  <si>
    <t>Account: 53020-007</t>
  </si>
  <si>
    <t>Salaries, Overtime - P.A.</t>
  </si>
  <si>
    <t>Account: 53100-006</t>
  </si>
  <si>
    <t>Subscriptions - Seattle</t>
  </si>
  <si>
    <t>Account: 53100-007</t>
  </si>
  <si>
    <t>Subscriptions - P.A.</t>
  </si>
  <si>
    <t>Account: 53200-006</t>
  </si>
  <si>
    <t>Supplies - Seattle</t>
  </si>
  <si>
    <t>Account: 53200-007</t>
  </si>
  <si>
    <t>Supplies - P.A.</t>
  </si>
  <si>
    <t>Account: 53250-009</t>
  </si>
  <si>
    <t>Suspense</t>
  </si>
  <si>
    <t>Account: 53320-006</t>
  </si>
  <si>
    <t>Taxes, FICA/Medicare - Seattle</t>
  </si>
  <si>
    <t>Account: 53320-007</t>
  </si>
  <si>
    <t>Taxes, FICA/Medicare - P.A.</t>
  </si>
  <si>
    <t>Account: 53330-006</t>
  </si>
  <si>
    <t>Taxes, SUTA - Seattle</t>
  </si>
  <si>
    <t>Account: 53330-007</t>
  </si>
  <si>
    <t>Taxes, SUTA - P.A.</t>
  </si>
  <si>
    <t>Account: 53340-006</t>
  </si>
  <si>
    <t>Taxes, FUTA - Seattle</t>
  </si>
  <si>
    <t>Account: 53340-007</t>
  </si>
  <si>
    <t>Taxes, FUTA - P.A.</t>
  </si>
  <si>
    <t>Account: 53350-006</t>
  </si>
  <si>
    <t>Taxes, L &amp; I - Seattle</t>
  </si>
  <si>
    <t>Account: 53360-006</t>
  </si>
  <si>
    <t>Taxes, Property - Seattle</t>
  </si>
  <si>
    <t>Account: 53360-007</t>
  </si>
  <si>
    <t>Taxes, Property - P.A.</t>
  </si>
  <si>
    <t>Account: 53370-006</t>
  </si>
  <si>
    <t>Taxes, Food/Subscriptions - Seattle</t>
  </si>
  <si>
    <t>Account: 53370-007</t>
  </si>
  <si>
    <t>Taxes, Food/Subscriptions - P.A.</t>
  </si>
  <si>
    <t>Account: 53370-009</t>
  </si>
  <si>
    <t>Taxes, B &amp; O</t>
  </si>
  <si>
    <t>Account: 53400-006</t>
  </si>
  <si>
    <t>Telephone &amp; Communications - Seattle</t>
  </si>
  <si>
    <t>Account: 53400-007</t>
  </si>
  <si>
    <t>Telephone &amp; Communications - P.A.</t>
  </si>
  <si>
    <t>Account: 53450-006</t>
  </si>
  <si>
    <t>Tide Books</t>
  </si>
  <si>
    <t>Account: 53500-006</t>
  </si>
  <si>
    <t>Training, Pilots</t>
  </si>
  <si>
    <t>Account: 53600-006</t>
  </si>
  <si>
    <t>Transportation Expense - Seattle</t>
  </si>
  <si>
    <t>Account: 53600-007</t>
  </si>
  <si>
    <t>Transportation Expense - P.A.</t>
  </si>
  <si>
    <t>Account: 53650-006</t>
  </si>
  <si>
    <t>Travel Expense - Seattle</t>
  </si>
  <si>
    <t>Account: 53700-006</t>
  </si>
  <si>
    <t>Entertainment</t>
  </si>
  <si>
    <t>Account: 53700-007</t>
  </si>
  <si>
    <t>Employee Reimbursments - P.A.</t>
  </si>
  <si>
    <t>Account: 53700-009</t>
  </si>
  <si>
    <t>Travel/Ent./Promo./Mileage/Meetings</t>
  </si>
  <si>
    <t>Account: 53710-006</t>
  </si>
  <si>
    <t>Office Functions</t>
  </si>
  <si>
    <t>Account: 53750-006</t>
  </si>
  <si>
    <t>Conferences</t>
  </si>
  <si>
    <t>Account: 53800-007</t>
  </si>
  <si>
    <t>Utilities - P.A.</t>
  </si>
  <si>
    <t>For the Period January 1, 2019 to June 30, 2019</t>
  </si>
  <si>
    <t>Account: 53360-008</t>
  </si>
  <si>
    <t>Taxes, Property - Boats</t>
  </si>
  <si>
    <t>Excess of Revenues over Expenses before Distributions</t>
  </si>
  <si>
    <t>Compare FY</t>
  </si>
  <si>
    <t>6-19 to 12-18</t>
  </si>
  <si>
    <t>Difference</t>
  </si>
  <si>
    <t>Total Expenses</t>
  </si>
  <si>
    <r>
      <t xml:space="preserve">Distribution Days </t>
    </r>
    <r>
      <rPr>
        <b/>
        <u/>
        <sz val="11"/>
        <color theme="1"/>
        <rFont val="Calibri"/>
        <family val="2"/>
      </rPr>
      <t>aka</t>
    </r>
    <r>
      <rPr>
        <sz val="11"/>
        <color theme="1"/>
        <rFont val="Calibri"/>
        <family val="2"/>
      </rPr>
      <t xml:space="preserve"> Duty Days</t>
    </r>
  </si>
  <si>
    <t>Excess of Revenues over Expenses and  Distributions</t>
  </si>
  <si>
    <t>Member Distributions</t>
  </si>
  <si>
    <t>Pilot Count</t>
  </si>
  <si>
    <t>For the 12 month fiscal period ended June 30, 2019</t>
  </si>
  <si>
    <r>
      <t>&lt;&lt;&lt;&lt;&lt;&lt;&lt;&lt;&lt;&lt;&lt;&lt;&lt;&lt;&lt;&lt;&lt;&lt;&lt;&lt;&lt;&lt;</t>
    </r>
    <r>
      <rPr>
        <b/>
        <i/>
        <sz val="14"/>
        <color theme="1"/>
        <rFont val="Calibri"/>
        <family val="2"/>
      </rPr>
      <t>2018</t>
    </r>
    <r>
      <rPr>
        <b/>
        <i/>
        <sz val="11"/>
        <color theme="1"/>
        <rFont val="Calibri"/>
        <family val="2"/>
      </rPr>
      <t>&gt;&gt;&gt;&gt;&gt;&gt;&gt;&gt;&gt;&gt;&gt;&gt;&gt;&gt;&gt;&gt;&gt;&gt;&gt;&gt;&gt;</t>
    </r>
  </si>
  <si>
    <r>
      <t>&lt;&lt;&lt;&lt;&lt;&lt;&lt;&lt;&lt;&lt;&lt;&lt;&lt;&lt;&lt;&lt;&lt;&lt;&lt;&lt;&lt;&lt;</t>
    </r>
    <r>
      <rPr>
        <b/>
        <i/>
        <sz val="14"/>
        <color theme="1"/>
        <rFont val="Calibri"/>
        <family val="2"/>
      </rPr>
      <t>2019</t>
    </r>
    <r>
      <rPr>
        <b/>
        <i/>
        <sz val="11"/>
        <color theme="1"/>
        <rFont val="Calibri"/>
        <family val="2"/>
      </rPr>
      <t>&gt;&gt;&gt;&gt;&gt;&gt;&gt;&gt;&gt;&gt;&gt;&gt;&gt;&gt;&gt;&gt;&gt;&gt;&gt;&gt;&gt;</t>
    </r>
  </si>
  <si>
    <t>Statement of Operations/Pro Forma</t>
  </si>
  <si>
    <t>General Ledger</t>
  </si>
  <si>
    <t>Restating</t>
  </si>
  <si>
    <t>Adjusted</t>
  </si>
  <si>
    <t>Description</t>
  </si>
  <si>
    <t>Adjustments</t>
  </si>
  <si>
    <t>Balances</t>
  </si>
  <si>
    <t>Pilotage Receipts</t>
  </si>
  <si>
    <t>Interest Income &amp; Finance Charges</t>
  </si>
  <si>
    <t>Total Receipts</t>
  </si>
  <si>
    <t>Account: 50500-</t>
  </si>
  <si>
    <t xml:space="preserve">Computer Maintenance </t>
  </si>
  <si>
    <t>Account: 50900-</t>
  </si>
  <si>
    <t>Dues</t>
  </si>
  <si>
    <t>Account: 51000-</t>
  </si>
  <si>
    <t>Employee Health &amp; Welfare</t>
  </si>
  <si>
    <t>Account: 51100-</t>
  </si>
  <si>
    <t>Employee Pension</t>
  </si>
  <si>
    <t>Office Equipment Leases</t>
  </si>
  <si>
    <t>Account: 51310-</t>
  </si>
  <si>
    <t>Depreciation</t>
  </si>
  <si>
    <t>Account: 51500-</t>
  </si>
  <si>
    <t>Food</t>
  </si>
  <si>
    <t>Account: 51600-</t>
  </si>
  <si>
    <t xml:space="preserve">Insurance </t>
  </si>
  <si>
    <t>Insurance - Medical Pilots</t>
  </si>
  <si>
    <t>Account: 52100-</t>
  </si>
  <si>
    <t>Office Supplies &amp; Charts</t>
  </si>
  <si>
    <t>Account: 52220</t>
  </si>
  <si>
    <t>Pilots Pension</t>
  </si>
  <si>
    <t>Account: 52300-</t>
  </si>
  <si>
    <t>Postage &amp; Printing</t>
  </si>
  <si>
    <t>Account: 52560-</t>
  </si>
  <si>
    <t>Pilot Boat Fuel and Maintenance</t>
  </si>
  <si>
    <t>Account: 52900-</t>
  </si>
  <si>
    <t>Rents</t>
  </si>
  <si>
    <t>Account: 52950</t>
  </si>
  <si>
    <t xml:space="preserve">Repairs &amp; Maintenance </t>
  </si>
  <si>
    <t>Account: 53010</t>
  </si>
  <si>
    <t>Salaries</t>
  </si>
  <si>
    <t>Account: 53100</t>
  </si>
  <si>
    <t>Subscriptions</t>
  </si>
  <si>
    <t>Account: 53200</t>
  </si>
  <si>
    <t>Supplies</t>
  </si>
  <si>
    <t>Account: 53320</t>
  </si>
  <si>
    <t>Payroll Taxes</t>
  </si>
  <si>
    <t>Account: 53360</t>
  </si>
  <si>
    <t>Property Taxes</t>
  </si>
  <si>
    <t>Account: 53370</t>
  </si>
  <si>
    <t>Use Taxes</t>
  </si>
  <si>
    <t>Account: 53400</t>
  </si>
  <si>
    <t xml:space="preserve">Telephone &amp; Communications </t>
  </si>
  <si>
    <t>Tide Books &amp; Promotion</t>
  </si>
  <si>
    <t>Account: 53600</t>
  </si>
  <si>
    <t>Transportation Expense</t>
  </si>
  <si>
    <t>Balances 6/30/19</t>
  </si>
  <si>
    <t>Penson-Other</t>
  </si>
  <si>
    <t>Entertainment/Travel</t>
  </si>
  <si>
    <t>Increase in Pilot Equity</t>
  </si>
  <si>
    <t>Pro Forma</t>
  </si>
  <si>
    <t>Accountant Adjustments</t>
  </si>
  <si>
    <t>Revised Total</t>
  </si>
  <si>
    <t>Total Pilotage and Boat Fees Earned</t>
  </si>
  <si>
    <t>Column A</t>
  </si>
  <si>
    <t>Column B</t>
  </si>
  <si>
    <t>Column C</t>
  </si>
  <si>
    <t>Column D</t>
  </si>
  <si>
    <t>Column E</t>
  </si>
  <si>
    <t>Column F</t>
  </si>
  <si>
    <t>Row</t>
  </si>
  <si>
    <t>Number</t>
  </si>
  <si>
    <t>Insurance - Medical-Pilots</t>
  </si>
  <si>
    <t>Distributive Revenue</t>
  </si>
  <si>
    <t>Restating Entries</t>
  </si>
  <si>
    <t>Increase</t>
  </si>
  <si>
    <t>(Decrease)</t>
  </si>
  <si>
    <t>&lt;1&gt;</t>
  </si>
  <si>
    <t>Account</t>
  </si>
  <si>
    <t>&lt;2&gt;</t>
  </si>
  <si>
    <t>#40230-000</t>
  </si>
  <si>
    <t>#50050-009</t>
  </si>
  <si>
    <t>retroactive to January 2018. This adjustment removes January to June 2018 payment.</t>
  </si>
  <si>
    <t>&lt;3&gt;</t>
  </si>
  <si>
    <t>#50200-009</t>
  </si>
  <si>
    <t>&lt;4&gt;</t>
  </si>
  <si>
    <t>&lt;5&gt;</t>
  </si>
  <si>
    <t>#50850-009</t>
  </si>
  <si>
    <t>#50250-009</t>
  </si>
  <si>
    <t>&lt;6&gt;</t>
  </si>
  <si>
    <t>#50900-</t>
  </si>
  <si>
    <t>&lt;7&gt;</t>
  </si>
  <si>
    <t>#51000-06</t>
  </si>
  <si>
    <t>(May &amp; June 2019 paid in July 2019). Restate test period expense to current period expense</t>
  </si>
  <si>
    <t>&lt;8&gt;</t>
  </si>
  <si>
    <t>#51100</t>
  </si>
  <si>
    <t>(May &amp; June 2019 paid in July 2019).</t>
  </si>
  <si>
    <t>&lt;9&gt;</t>
  </si>
  <si>
    <t>#51300-008</t>
  </si>
  <si>
    <t>&lt;10&gt;</t>
  </si>
  <si>
    <t>#51310</t>
  </si>
  <si>
    <t>Adjust book depreciation to regulatory depreciation as of June 30, 2019</t>
  </si>
  <si>
    <t>&lt;11&gt;</t>
  </si>
  <si>
    <t>#51620-006</t>
  </si>
  <si>
    <t>&lt;12&gt;</t>
  </si>
  <si>
    <t>Interest - Dispatch Software</t>
  </si>
  <si>
    <t>#51765-009</t>
  </si>
  <si>
    <t>&lt;13&gt;</t>
  </si>
  <si>
    <t>#51950-009</t>
  </si>
  <si>
    <t>Remove interest cost from rate base expense</t>
  </si>
  <si>
    <t xml:space="preserve">Remove Lobbyist cost from rate base </t>
  </si>
  <si>
    <t>&lt;14&gt;</t>
  </si>
  <si>
    <t>#53010</t>
  </si>
  <si>
    <t>To record salary increase pursuant to Union Contract @ 1/01/19</t>
  </si>
  <si>
    <t>&lt;15&gt;</t>
  </si>
  <si>
    <t>Pilots-Pension</t>
  </si>
  <si>
    <t>#52220</t>
  </si>
  <si>
    <t>Adjust for additional payments on pay as you go Pilots - Pension</t>
  </si>
  <si>
    <t>&lt;16&gt;</t>
  </si>
  <si>
    <t>#53600</t>
  </si>
  <si>
    <t>between February 2018 and April 2018. 6,989 pilots assignments at $198.37 per</t>
  </si>
  <si>
    <t>assignment</t>
  </si>
  <si>
    <t>&lt;17&gt;</t>
  </si>
  <si>
    <t>#53700-006</t>
  </si>
  <si>
    <t>Remove charitable organization events and sponsorships</t>
  </si>
  <si>
    <t>#50100-009</t>
  </si>
  <si>
    <t>#50700-009</t>
  </si>
  <si>
    <t>#50800-009</t>
  </si>
  <si>
    <t>Adjust for premium increase announced October 31, 2019</t>
  </si>
  <si>
    <t>Record payments made to Masters, Mates &amp; Pilots Health Plan for premium increase</t>
  </si>
  <si>
    <t>in October 2018</t>
  </si>
  <si>
    <t>&lt;18&gt;</t>
  </si>
  <si>
    <t>Record increase in premium cost for pilots to be added in rate year</t>
  </si>
  <si>
    <t>Record cost of premium rate increase announced 10/1/19</t>
  </si>
  <si>
    <t>Adjust for additional payments on pay as you go Pilots - Pension for 2020</t>
  </si>
  <si>
    <t>To record salary increase pursuant to Union Contract for calendar year 2020</t>
  </si>
  <si>
    <t>#53500-006</t>
  </si>
  <si>
    <t>#51940-006</t>
  </si>
  <si>
    <t>Record anticipated licensing cost for additional pilots added in 2020</t>
  </si>
  <si>
    <t>Record anticipated training costs at Port Revel Manned Model for additional pilots added in 2020</t>
  </si>
  <si>
    <t>#51610-006</t>
  </si>
  <si>
    <t>Additional license insurance cost for additional pilots added in 2020</t>
  </si>
  <si>
    <t>Record reduced licensing cost for pilots retiring in 2020</t>
  </si>
  <si>
    <t>Pro Forma Entries</t>
  </si>
  <si>
    <t>To record consulting fees for continual organization for rate filing</t>
  </si>
  <si>
    <t>To record CPA fees for continual organization for rate filing</t>
  </si>
  <si>
    <t>Record payments made to Masters, Mates &amp; Pilots Health Plan for Captain Ken Grieser</t>
  </si>
  <si>
    <t>Adjust transportation expense to reflect additional costs after pilot transport study</t>
  </si>
  <si>
    <t>Adjust administrative expenses for out of period item. In September 2018 Board Meeting</t>
  </si>
  <si>
    <t xml:space="preserve">In February 2018 an accounting posting error was made. The mistake was not corrected </t>
  </si>
  <si>
    <t>until December 2018 which included the error inside the test period. This entry is to remove</t>
  </si>
  <si>
    <t xml:space="preserve">the adjustment from the test period. </t>
  </si>
  <si>
    <t>TEC</t>
  </si>
  <si>
    <t>Less: TEC</t>
  </si>
  <si>
    <t>UTC Fees</t>
  </si>
  <si>
    <t>&lt;19&gt;</t>
  </si>
  <si>
    <t>To correct out of period payment of invoice in July 2018 which should have been accrued</t>
  </si>
  <si>
    <t xml:space="preserve">in June 2018 and record June 2019 </t>
  </si>
  <si>
    <t>BPC Training Fee</t>
  </si>
  <si>
    <t>BPC Insurance Fee</t>
  </si>
  <si>
    <t>#52900-006</t>
  </si>
  <si>
    <t xml:space="preserve">Adminstrative office was relocated in November 2019. Adjustment is to recognize </t>
  </si>
  <si>
    <t xml:space="preserve">additional rents for new office </t>
  </si>
  <si>
    <t>To adjust and remove accumulated accounts receivable finance changes that have not been</t>
  </si>
  <si>
    <t xml:space="preserve">paid by customers. The charges are stale dated and outside of the rate year test period. </t>
  </si>
  <si>
    <t xml:space="preserve">Executive Session a Motion was approved to provide Association President $2,000 per </t>
  </si>
  <si>
    <t>month stipend encouraging members to run for Association President. Payment was</t>
  </si>
  <si>
    <t xml:space="preserve">During the "clean-up" of accounts receivable, in RE #1, Puget Sound Pilots negotiated with a </t>
  </si>
  <si>
    <t>customer to collect a portion of the account receivable and absorb the balance</t>
  </si>
  <si>
    <t>Charitable donations are not an allowable expense for rate making purposes</t>
  </si>
  <si>
    <t xml:space="preserve">Adjust for out of period premium payments (May &amp; June 2018 paid in July 2018) and </t>
  </si>
  <si>
    <t xml:space="preserve">Adjust for out of period pension contributions (May &amp; June 2018 paid in July 2018) and </t>
  </si>
  <si>
    <t>Remove amortization expense for the test year which is not an allowable expense for rate making</t>
  </si>
  <si>
    <t>and for Widow Engstrom. Restating adjustment for a premium increase in October 2018.</t>
  </si>
  <si>
    <t>Five percent of APA Dues are removed for lobby cost which is not allowable for rate making</t>
  </si>
  <si>
    <t>Prospective  attorney fees for rate case and hearing</t>
  </si>
  <si>
    <t>Record deferral of attorney fees over a two year period</t>
  </si>
  <si>
    <t>Anticipated UTC regulatory fee for first year. $370,000 to be amortized over three years</t>
  </si>
  <si>
    <t>#40100-000</t>
  </si>
  <si>
    <t>#40120-000</t>
  </si>
  <si>
    <t>Record estimatd reveneus developed by increased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</si>
</sst>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i/>
      <sz val="14"/>
      <color theme="1"/>
      <name val="Calibri"/>
      <family val="2"/>
    </font>
    <font>
      <b/>
      <u/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3" fontId="2" fillId="0" borderId="4" xfId="0" applyNumberFormat="1" applyFont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3" fontId="0" fillId="0" borderId="0" xfId="0" applyNumberFormat="1"/>
    <xf numFmtId="3" fontId="0" fillId="0" borderId="4" xfId="0" applyNumberForma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3" fontId="0" fillId="0" borderId="0" xfId="0" quotePrefix="1" applyNumberFormat="1"/>
    <xf numFmtId="0" fontId="2" fillId="0" borderId="0" xfId="0" applyFont="1" applyFill="1" applyBorder="1" applyAlignment="1">
      <alignment horizontal="center"/>
    </xf>
    <xf numFmtId="38" fontId="0" fillId="0" borderId="0" xfId="0" applyNumberFormat="1"/>
    <xf numFmtId="3" fontId="0" fillId="0" borderId="5" xfId="0" applyNumberFormat="1" applyBorder="1"/>
    <xf numFmtId="3" fontId="2" fillId="0" borderId="5" xfId="0" applyNumberFormat="1" applyFont="1" applyBorder="1"/>
    <xf numFmtId="4" fontId="0" fillId="0" borderId="0" xfId="0" applyNumberForma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37" fontId="2" fillId="0" borderId="0" xfId="0" applyNumberFormat="1" applyFont="1"/>
    <xf numFmtId="37" fontId="2" fillId="0" borderId="4" xfId="0" applyNumberFormat="1" applyFont="1" applyBorder="1"/>
    <xf numFmtId="37" fontId="2" fillId="0" borderId="5" xfId="0" applyNumberFormat="1" applyFont="1" applyBorder="1"/>
    <xf numFmtId="37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37" fontId="0" fillId="0" borderId="0" xfId="0" applyNumberFormat="1" applyAlignment="1">
      <alignment horizontal="centerContinuous"/>
    </xf>
    <xf numFmtId="0" fontId="0" fillId="0" borderId="0" xfId="0" applyAlignment="1">
      <alignment horizontal="left" vertical="center"/>
    </xf>
    <xf numFmtId="0" fontId="11" fillId="0" borderId="0" xfId="0" applyFont="1"/>
    <xf numFmtId="0" fontId="9" fillId="0" borderId="0" xfId="0" applyFont="1" applyAlignment="1">
      <alignment vertical="top" readingOrder="1"/>
    </xf>
    <xf numFmtId="37" fontId="10" fillId="0" borderId="0" xfId="0" applyNumberFormat="1" applyFont="1" applyAlignment="1"/>
    <xf numFmtId="3" fontId="0" fillId="0" borderId="0" xfId="0" applyNumberFormat="1" applyBorder="1"/>
    <xf numFmtId="37" fontId="2" fillId="0" borderId="0" xfId="0" applyNumberFormat="1" applyFont="1" applyBorder="1"/>
    <xf numFmtId="10" fontId="0" fillId="0" borderId="0" xfId="0" applyNumberFormat="1"/>
    <xf numFmtId="164" fontId="0" fillId="0" borderId="0" xfId="0" applyNumberFormat="1"/>
    <xf numFmtId="0" fontId="9" fillId="0" borderId="0" xfId="0" applyFont="1" applyAlignment="1">
      <alignment vertical="top" wrapText="1" readingOrder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Medical%20&amp;%20Pension%20Benefit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olet/AppData/Local/Microsoft/Windows/Temporary%20Internet%20Files/Content.Outlook/34YTR3O7/Rent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Regulatory%20Depreciation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get%20Sound%20Pilots\Original%20Filing%20-%20WUTC\Medical%20&amp;%20Pension%20Benefi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Payroll%20%20by%20Location%201-1-18%20to%206-30-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Sponships%20&amp;%20Promo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get%20Sound%20Pilots\Original%20Filing%20-%20WUTC\Legal%20Costs%20-%20Rev%2011-14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olet/AppData/Local/Microsoft/Windows/Temporary%20Internet%20Files/Content.Outlook/34YTR3O7/Legal%20Cos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olet/AppData/Local/Microsoft/Windows/Temporary%20Internet%20Files/Content.Outlook/34YTR3O7/Consulting%20Expenses%20Subsequen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%20Data/Puget%20Sound%20Pilots/Rate%20Filing%206-30-19/Cost%20of%20Additional%20Pilots%20i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U Medical"/>
      <sheetName val="IBU Pension"/>
      <sheetName val="Pilots Medical"/>
      <sheetName val="Pilots Pension"/>
    </sheetNames>
    <sheetDataSet>
      <sheetData sheetId="0">
        <row r="22">
          <cell r="H22">
            <v>-41188</v>
          </cell>
        </row>
        <row r="23">
          <cell r="H23">
            <v>43680</v>
          </cell>
        </row>
        <row r="24">
          <cell r="H24">
            <v>267626.18</v>
          </cell>
        </row>
        <row r="26">
          <cell r="H26">
            <v>271364.18</v>
          </cell>
        </row>
        <row r="32">
          <cell r="H32">
            <v>14437.965987179496</v>
          </cell>
        </row>
      </sheetData>
      <sheetData sheetId="1">
        <row r="22">
          <cell r="H22">
            <v>-20167.09</v>
          </cell>
        </row>
        <row r="23">
          <cell r="H23">
            <v>20139.07</v>
          </cell>
        </row>
      </sheetData>
      <sheetData sheetId="2">
        <row r="23">
          <cell r="F23">
            <v>18881</v>
          </cell>
        </row>
        <row r="27">
          <cell r="F27">
            <v>119108</v>
          </cell>
        </row>
        <row r="32">
          <cell r="F32">
            <v>25239.059999999998</v>
          </cell>
        </row>
      </sheetData>
      <sheetData sheetId="3">
        <row r="22">
          <cell r="G22">
            <v>167499</v>
          </cell>
        </row>
        <row r="26">
          <cell r="G26">
            <v>314467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2018"/>
    </sheetNames>
    <sheetDataSet>
      <sheetData sheetId="0">
        <row r="87">
          <cell r="H87">
            <v>149309.03</v>
          </cell>
        </row>
        <row r="92">
          <cell r="H92">
            <v>192227.28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8">
          <cell r="O208">
            <v>599080.43140476185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U Medical"/>
      <sheetName val="IBU Pension"/>
      <sheetName val="Pilots Medical"/>
      <sheetName val="Pilots Pension"/>
    </sheetNames>
    <sheetDataSet>
      <sheetData sheetId="0"/>
      <sheetData sheetId="1"/>
      <sheetData sheetId="2">
        <row r="30">
          <cell r="F30">
            <v>3284.99999999997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eattle-Dispatch"/>
      <sheetName val="Seattle-Disptach 1"/>
      <sheetName val="Seattle-Disptach 2"/>
      <sheetName val="Port Angeles"/>
      <sheetName val="Port Angeles 1"/>
      <sheetName val="Port Angeles 2"/>
      <sheetName val="Port Angeles 3"/>
      <sheetName val="Port Angeles 4"/>
      <sheetName val="Port Angeles 5"/>
      <sheetName val="Port Angeles 6"/>
      <sheetName val="Port Angeles 7"/>
      <sheetName val="Port Angeles 8"/>
      <sheetName val="Seattle - Admin"/>
      <sheetName val="Seattle-Admin 1"/>
      <sheetName val="Seattle Admin 2"/>
    </sheetNames>
    <sheetDataSet>
      <sheetData sheetId="0">
        <row r="51">
          <cell r="I51">
            <v>18669.580000000002</v>
          </cell>
        </row>
        <row r="57">
          <cell r="I57">
            <v>39373.656299999995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nsorship &amp; Promotion "/>
    </sheetNames>
    <sheetDataSet>
      <sheetData sheetId="0">
        <row r="38">
          <cell r="M38">
            <v>31995.300000000003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 Period 12-18"/>
      <sheetName val="Fiscal Period 6-19"/>
    </sheetNames>
    <sheetDataSet>
      <sheetData sheetId="0"/>
      <sheetData sheetId="1">
        <row r="21">
          <cell r="J21">
            <v>-4000.26</v>
          </cell>
        </row>
        <row r="22">
          <cell r="J22">
            <v>46998.5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 Period 12-18"/>
      <sheetName val="Fiscal Period 6-19"/>
      <sheetName val="Summary of Legal Fees"/>
    </sheetNames>
    <sheetDataSet>
      <sheetData sheetId="0"/>
      <sheetData sheetId="1"/>
      <sheetData sheetId="2">
        <row r="10">
          <cell r="H10">
            <v>631284.58000000007</v>
          </cell>
        </row>
        <row r="12">
          <cell r="H12">
            <v>392822.30499999999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ing Fees"/>
      <sheetName val="Consulting Summary"/>
      <sheetName val="CPA Fees"/>
    </sheetNames>
    <sheetDataSet>
      <sheetData sheetId="0"/>
      <sheetData sheetId="1">
        <row r="8">
          <cell r="G8">
            <v>69963.199999999997</v>
          </cell>
        </row>
      </sheetData>
      <sheetData sheetId="2">
        <row r="9">
          <cell r="H9">
            <v>6848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Worksheet"/>
      <sheetName val="Sheet2"/>
      <sheetName val="Sheet3"/>
    </sheetNames>
    <sheetDataSet>
      <sheetData sheetId="0">
        <row r="19">
          <cell r="D19">
            <v>53880</v>
          </cell>
        </row>
        <row r="25">
          <cell r="D25">
            <v>39000</v>
          </cell>
        </row>
        <row r="29">
          <cell r="D29">
            <v>6450</v>
          </cell>
        </row>
        <row r="61">
          <cell r="D61">
            <v>58500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5"/>
  <sheetViews>
    <sheetView workbookViewId="0">
      <pane ySplit="5" topLeftCell="A102" activePane="bottomLeft" state="frozen"/>
      <selection pane="bottomLeft" activeCell="L63" sqref="L63"/>
    </sheetView>
  </sheetViews>
  <sheetFormatPr defaultRowHeight="15" x14ac:dyDescent="0.25"/>
  <cols>
    <col min="1" max="1" width="18.28515625" customWidth="1"/>
    <col min="2" max="2" width="38.5703125" bestFit="1" customWidth="1"/>
    <col min="3" max="3" width="2" customWidth="1"/>
    <col min="4" max="16" width="10.85546875" customWidth="1"/>
    <col min="18" max="18" width="12.140625" bestFit="1" customWidth="1"/>
  </cols>
  <sheetData>
    <row r="1" spans="1:21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1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1" ht="15.75" thickBot="1" x14ac:dyDescent="0.3">
      <c r="A4" s="3"/>
      <c r="B4" s="3"/>
      <c r="C4" s="3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/>
    </row>
    <row r="5" spans="1:21" ht="15.75" thickBot="1" x14ac:dyDescent="0.3">
      <c r="A5" s="3" t="s">
        <v>3</v>
      </c>
      <c r="B5" s="3" t="s">
        <v>4</v>
      </c>
      <c r="C5" s="3"/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6" t="s">
        <v>17</v>
      </c>
      <c r="R5" s="18" t="s">
        <v>240</v>
      </c>
    </row>
    <row r="6" spans="1:21" x14ac:dyDescent="0.25">
      <c r="A6" s="7" t="s">
        <v>18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R6" t="s">
        <v>241</v>
      </c>
      <c r="T6" t="s">
        <v>242</v>
      </c>
    </row>
    <row r="7" spans="1:21" x14ac:dyDescent="0.25">
      <c r="A7" s="15" t="s">
        <v>19</v>
      </c>
      <c r="B7" s="8" t="s">
        <v>20</v>
      </c>
      <c r="C7" s="3"/>
      <c r="D7" s="9">
        <v>2327199.73</v>
      </c>
      <c r="E7" s="9">
        <v>2234718.73</v>
      </c>
      <c r="F7" s="9">
        <v>2303641.4500000002</v>
      </c>
      <c r="G7" s="9">
        <v>2122115.16</v>
      </c>
      <c r="H7" s="9">
        <v>2922473.4</v>
      </c>
      <c r="I7" s="9">
        <v>3403296.27</v>
      </c>
      <c r="J7" s="9">
        <v>3316094.66</v>
      </c>
      <c r="K7" s="9">
        <v>3139088.88</v>
      </c>
      <c r="L7" s="9">
        <v>3070851.82</v>
      </c>
      <c r="M7" s="9">
        <v>2496390.2999999998</v>
      </c>
      <c r="N7" s="9">
        <v>2329286.0299999998</v>
      </c>
      <c r="O7" s="9">
        <v>2383539.0299999998</v>
      </c>
      <c r="P7" s="9">
        <f t="shared" ref="P7:P10" si="0">SUM(D7:O7)</f>
        <v>32048695.460000001</v>
      </c>
      <c r="R7" s="13">
        <f>+'Fiscal Period Ended 6-19'!P7</f>
        <v>32163924.25</v>
      </c>
      <c r="T7" s="13">
        <f t="shared" ref="T7:T11" si="1">+R7-P7</f>
        <v>115228.78999999911</v>
      </c>
      <c r="U7" s="13">
        <f>+T7+T8</f>
        <v>113140.78999999911</v>
      </c>
    </row>
    <row r="8" spans="1:21" x14ac:dyDescent="0.25">
      <c r="A8" s="15" t="s">
        <v>21</v>
      </c>
      <c r="B8" s="8" t="s">
        <v>22</v>
      </c>
      <c r="C8" s="3"/>
      <c r="D8" s="9">
        <v>145464</v>
      </c>
      <c r="E8" s="9">
        <v>138156</v>
      </c>
      <c r="F8" s="9">
        <v>148248</v>
      </c>
      <c r="G8" s="9">
        <v>146856</v>
      </c>
      <c r="H8" s="9">
        <v>170520</v>
      </c>
      <c r="I8" s="9">
        <v>187572</v>
      </c>
      <c r="J8" s="9">
        <v>188964</v>
      </c>
      <c r="K8" s="9">
        <v>185136</v>
      </c>
      <c r="L8" s="9">
        <v>178176</v>
      </c>
      <c r="M8" s="9">
        <v>152772</v>
      </c>
      <c r="N8" s="9">
        <v>150684</v>
      </c>
      <c r="O8" s="9">
        <v>155556</v>
      </c>
      <c r="P8" s="9">
        <f t="shared" si="0"/>
        <v>1948104</v>
      </c>
      <c r="R8" s="13">
        <f>+'Fiscal Period Ended 6-19'!P8</f>
        <v>1946016</v>
      </c>
      <c r="T8" s="13">
        <f t="shared" si="1"/>
        <v>-2088</v>
      </c>
    </row>
    <row r="9" spans="1:21" x14ac:dyDescent="0.25">
      <c r="A9" s="15" t="s">
        <v>23</v>
      </c>
      <c r="B9" s="8" t="s">
        <v>24</v>
      </c>
      <c r="C9" s="3"/>
      <c r="D9" s="9">
        <v>278.36</v>
      </c>
      <c r="E9" s="9">
        <v>245.62</v>
      </c>
      <c r="F9" s="9">
        <v>268.08</v>
      </c>
      <c r="G9" s="9">
        <v>267.10000000000002</v>
      </c>
      <c r="H9" s="9">
        <v>315.74</v>
      </c>
      <c r="I9" s="9">
        <v>312</v>
      </c>
      <c r="J9" s="9">
        <v>330.48</v>
      </c>
      <c r="K9" s="9">
        <v>326.7</v>
      </c>
      <c r="L9" s="9">
        <v>308.64</v>
      </c>
      <c r="M9" s="9">
        <v>334.72</v>
      </c>
      <c r="N9" s="9">
        <v>1261.73</v>
      </c>
      <c r="O9" s="9">
        <v>1235.76</v>
      </c>
      <c r="P9" s="9">
        <f t="shared" si="0"/>
        <v>5484.93</v>
      </c>
      <c r="R9" s="13">
        <f>+'Fiscal Period Ended 6-19'!P13</f>
        <v>5843.29</v>
      </c>
      <c r="T9" s="13">
        <f t="shared" si="1"/>
        <v>358.35999999999967</v>
      </c>
    </row>
    <row r="10" spans="1:21" x14ac:dyDescent="0.25">
      <c r="A10" s="15" t="s">
        <v>25</v>
      </c>
      <c r="B10" s="8" t="s">
        <v>26</v>
      </c>
      <c r="C10" s="3"/>
      <c r="D10" s="10">
        <v>5157.3999999999996</v>
      </c>
      <c r="E10" s="10">
        <v>5549.72</v>
      </c>
      <c r="F10" s="10">
        <v>3200.37</v>
      </c>
      <c r="G10" s="10">
        <v>807.11</v>
      </c>
      <c r="H10" s="10">
        <v>1249.57</v>
      </c>
      <c r="I10" s="10">
        <v>894.41</v>
      </c>
      <c r="J10" s="10">
        <v>361.46</v>
      </c>
      <c r="K10" s="10">
        <v>1898.52</v>
      </c>
      <c r="L10" s="10">
        <v>1327.76</v>
      </c>
      <c r="M10" s="10">
        <v>73.09</v>
      </c>
      <c r="N10" s="10">
        <v>-30565</v>
      </c>
      <c r="O10" s="10">
        <v>-1793.98</v>
      </c>
      <c r="P10" s="10">
        <f t="shared" si="0"/>
        <v>-11839.570000000003</v>
      </c>
      <c r="R10" s="13">
        <f>+'Fiscal Period Ended 6-19'!P14</f>
        <v>-39244.369999999995</v>
      </c>
      <c r="T10" s="13">
        <f t="shared" si="1"/>
        <v>-27404.799999999992</v>
      </c>
    </row>
    <row r="11" spans="1:21" x14ac:dyDescent="0.25">
      <c r="A11" s="3"/>
      <c r="B11" s="3"/>
      <c r="C11" s="3"/>
      <c r="D11" s="9">
        <f t="shared" ref="D11:P11" si="2">SUM(D7:D10)</f>
        <v>2478099.4899999998</v>
      </c>
      <c r="E11" s="9">
        <f t="shared" si="2"/>
        <v>2378670.0700000003</v>
      </c>
      <c r="F11" s="9">
        <f t="shared" si="2"/>
        <v>2455357.9000000004</v>
      </c>
      <c r="G11" s="9">
        <f t="shared" si="2"/>
        <v>2270045.37</v>
      </c>
      <c r="H11" s="9">
        <f t="shared" si="2"/>
        <v>3094558.71</v>
      </c>
      <c r="I11" s="9">
        <f t="shared" si="2"/>
        <v>3592074.68</v>
      </c>
      <c r="J11" s="9">
        <f t="shared" si="2"/>
        <v>3505750.6</v>
      </c>
      <c r="K11" s="9">
        <f t="shared" si="2"/>
        <v>3326450.1</v>
      </c>
      <c r="L11" s="9">
        <f t="shared" si="2"/>
        <v>3250664.2199999997</v>
      </c>
      <c r="M11" s="9">
        <f t="shared" si="2"/>
        <v>2649570.11</v>
      </c>
      <c r="N11" s="9">
        <f t="shared" si="2"/>
        <v>2450666.7599999998</v>
      </c>
      <c r="O11" s="9">
        <f t="shared" si="2"/>
        <v>2538536.8099999996</v>
      </c>
      <c r="P11" s="9">
        <f t="shared" si="2"/>
        <v>33990444.82</v>
      </c>
      <c r="R11" s="13">
        <f>+'Fiscal Period Ended 6-19'!P15</f>
        <v>35102527.170000002</v>
      </c>
      <c r="T11" s="13">
        <f t="shared" si="1"/>
        <v>1112082.3500000015</v>
      </c>
    </row>
    <row r="12" spans="1:2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21" x14ac:dyDescent="0.25">
      <c r="A14" s="7" t="s">
        <v>27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21" x14ac:dyDescent="0.25">
      <c r="A15" s="16" t="s">
        <v>28</v>
      </c>
      <c r="B15" s="3" t="s">
        <v>29</v>
      </c>
      <c r="C15" s="3"/>
      <c r="D15" s="9">
        <v>15</v>
      </c>
      <c r="E15" s="9">
        <v>0</v>
      </c>
      <c r="F15" s="9">
        <v>0</v>
      </c>
      <c r="G15" s="9">
        <v>0</v>
      </c>
      <c r="H15" s="9">
        <v>15</v>
      </c>
      <c r="I15" s="9">
        <v>0</v>
      </c>
      <c r="J15" s="9">
        <v>52</v>
      </c>
      <c r="K15" s="9">
        <v>0</v>
      </c>
      <c r="L15" s="9">
        <v>18000</v>
      </c>
      <c r="M15" s="9">
        <v>2000</v>
      </c>
      <c r="N15" s="9">
        <v>2000</v>
      </c>
      <c r="O15" s="9">
        <v>2000</v>
      </c>
      <c r="P15" s="9">
        <f t="shared" ref="P15:P78" si="3">SUM(D15:O15)</f>
        <v>24082</v>
      </c>
      <c r="R15" s="13">
        <f>+'Fiscal Period Ended 6-19'!P19</f>
        <v>36106</v>
      </c>
      <c r="T15" s="13">
        <f>+R15-P15</f>
        <v>12024</v>
      </c>
    </row>
    <row r="16" spans="1:21" x14ac:dyDescent="0.25">
      <c r="A16" s="16" t="s">
        <v>30</v>
      </c>
      <c r="B16" s="3" t="s">
        <v>31</v>
      </c>
      <c r="C16" s="3"/>
      <c r="D16" s="9">
        <v>1765</v>
      </c>
      <c r="E16" s="9">
        <v>13421.45</v>
      </c>
      <c r="F16" s="9">
        <v>32766.190000000002</v>
      </c>
      <c r="G16" s="9">
        <v>6562.5</v>
      </c>
      <c r="H16" s="9">
        <v>35906.839999999997</v>
      </c>
      <c r="I16" s="9">
        <v>14315.12</v>
      </c>
      <c r="J16" s="9">
        <v>4000.26</v>
      </c>
      <c r="K16" s="9">
        <v>21260.97</v>
      </c>
      <c r="L16" s="9">
        <v>23938.260000000002</v>
      </c>
      <c r="M16" s="9">
        <v>45639.33</v>
      </c>
      <c r="N16" s="9">
        <v>35227.26</v>
      </c>
      <c r="O16" s="9">
        <v>11966.8</v>
      </c>
      <c r="P16" s="9">
        <f t="shared" si="3"/>
        <v>246769.97999999998</v>
      </c>
      <c r="R16" s="13">
        <f>+'Fiscal Period Ended 6-19'!P20</f>
        <v>394744.46</v>
      </c>
      <c r="T16" s="13">
        <f t="shared" ref="T16:T79" si="4">+R16-P16</f>
        <v>147974.48000000004</v>
      </c>
    </row>
    <row r="17" spans="1:20" x14ac:dyDescent="0.25">
      <c r="A17" s="16" t="s">
        <v>32</v>
      </c>
      <c r="B17" s="3" t="s">
        <v>33</v>
      </c>
      <c r="C17" s="3"/>
      <c r="D17" s="9">
        <v>1357.72</v>
      </c>
      <c r="E17" s="9">
        <v>1384.26</v>
      </c>
      <c r="F17" s="9">
        <v>1377.87</v>
      </c>
      <c r="G17" s="9">
        <v>1356.52</v>
      </c>
      <c r="H17" s="9">
        <v>1314.1799999999998</v>
      </c>
      <c r="I17" s="9">
        <v>1192.93</v>
      </c>
      <c r="J17" s="9">
        <v>1202.17</v>
      </c>
      <c r="K17" s="9">
        <v>1173.05</v>
      </c>
      <c r="L17" s="9">
        <v>1209.97</v>
      </c>
      <c r="M17" s="9">
        <v>1163.49</v>
      </c>
      <c r="N17" s="9">
        <v>1252.82</v>
      </c>
      <c r="O17" s="9">
        <v>1425</v>
      </c>
      <c r="P17" s="9">
        <f t="shared" si="3"/>
        <v>15409.98</v>
      </c>
      <c r="R17" s="13">
        <f>+'Fiscal Period Ended 6-19'!P21</f>
        <v>15227.080000000002</v>
      </c>
      <c r="T17" s="13">
        <f t="shared" si="4"/>
        <v>-182.89999999999782</v>
      </c>
    </row>
    <row r="18" spans="1:20" x14ac:dyDescent="0.25">
      <c r="A18" s="16" t="s">
        <v>34</v>
      </c>
      <c r="B18" s="3" t="s">
        <v>35</v>
      </c>
      <c r="C18" s="3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1479.82</v>
      </c>
      <c r="P18" s="9">
        <f t="shared" si="3"/>
        <v>1479.82</v>
      </c>
      <c r="R18" s="13">
        <f>+'Fiscal Period Ended 6-19'!P22</f>
        <v>1479.82</v>
      </c>
      <c r="T18" s="13">
        <f t="shared" si="4"/>
        <v>0</v>
      </c>
    </row>
    <row r="19" spans="1:20" x14ac:dyDescent="0.25">
      <c r="A19" s="16" t="s">
        <v>36</v>
      </c>
      <c r="B19" s="3" t="s">
        <v>37</v>
      </c>
      <c r="C19" s="3"/>
      <c r="D19" s="9">
        <v>0</v>
      </c>
      <c r="E19" s="9">
        <v>16567.75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-16567.75</v>
      </c>
      <c r="P19" s="9">
        <f t="shared" si="3"/>
        <v>0</v>
      </c>
      <c r="R19" s="13">
        <f>+'Fiscal Period Ended 6-19'!P23</f>
        <v>-16567.75</v>
      </c>
      <c r="T19" s="13">
        <f t="shared" si="4"/>
        <v>-16567.75</v>
      </c>
    </row>
    <row r="20" spans="1:20" x14ac:dyDescent="0.25">
      <c r="A20" s="16" t="s">
        <v>38</v>
      </c>
      <c r="B20" s="3" t="s">
        <v>39</v>
      </c>
      <c r="C20" s="3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150000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f t="shared" si="3"/>
        <v>150000</v>
      </c>
      <c r="R20" s="13">
        <f>+'Fiscal Period Ended 6-19'!P24</f>
        <v>150000</v>
      </c>
      <c r="T20" s="13">
        <f t="shared" si="4"/>
        <v>0</v>
      </c>
    </row>
    <row r="21" spans="1:20" x14ac:dyDescent="0.25">
      <c r="A21" s="16" t="s">
        <v>40</v>
      </c>
      <c r="B21" s="3" t="s">
        <v>41</v>
      </c>
      <c r="C21" s="3"/>
      <c r="D21" s="9">
        <v>0</v>
      </c>
      <c r="E21" s="9">
        <v>2332.1999999999998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f t="shared" si="3"/>
        <v>2332.1999999999998</v>
      </c>
      <c r="R21" s="13">
        <f>+'Fiscal Period Ended 6-19'!P25</f>
        <v>0</v>
      </c>
      <c r="T21" s="13">
        <f t="shared" si="4"/>
        <v>-2332.1999999999998</v>
      </c>
    </row>
    <row r="22" spans="1:20" x14ac:dyDescent="0.25">
      <c r="A22" s="16" t="s">
        <v>42</v>
      </c>
      <c r="B22" s="3" t="s">
        <v>43</v>
      </c>
      <c r="C22" s="3"/>
      <c r="D22" s="9">
        <v>298</v>
      </c>
      <c r="E22" s="9">
        <v>298</v>
      </c>
      <c r="F22" s="9">
        <v>298</v>
      </c>
      <c r="G22" s="9">
        <v>298</v>
      </c>
      <c r="H22" s="9">
        <v>298</v>
      </c>
      <c r="I22" s="9">
        <v>298</v>
      </c>
      <c r="J22" s="9">
        <v>298</v>
      </c>
      <c r="K22" s="9">
        <v>298</v>
      </c>
      <c r="L22" s="9">
        <v>332.94</v>
      </c>
      <c r="M22" s="9">
        <v>298</v>
      </c>
      <c r="N22" s="9">
        <v>298</v>
      </c>
      <c r="O22" s="9">
        <v>298</v>
      </c>
      <c r="P22" s="9">
        <f t="shared" si="3"/>
        <v>3610.94</v>
      </c>
      <c r="R22" s="13">
        <f>+'Fiscal Period Ended 6-19'!P26</f>
        <v>3610.94</v>
      </c>
      <c r="T22" s="13">
        <f t="shared" si="4"/>
        <v>0</v>
      </c>
    </row>
    <row r="23" spans="1:20" x14ac:dyDescent="0.25">
      <c r="A23" s="16" t="s">
        <v>44</v>
      </c>
      <c r="B23" s="3" t="s">
        <v>45</v>
      </c>
      <c r="C23" s="3"/>
      <c r="D23" s="9">
        <v>7142.9199999999992</v>
      </c>
      <c r="E23" s="9">
        <v>9580.7099999999991</v>
      </c>
      <c r="F23" s="9">
        <v>6774.829999999999</v>
      </c>
      <c r="G23" s="9">
        <v>8099.59</v>
      </c>
      <c r="H23" s="9">
        <v>6891.28</v>
      </c>
      <c r="I23" s="9">
        <v>8245.0300000000007</v>
      </c>
      <c r="J23" s="9">
        <v>16364.87</v>
      </c>
      <c r="K23" s="9">
        <v>8015.0199999999995</v>
      </c>
      <c r="L23" s="9">
        <v>8295.5199999999986</v>
      </c>
      <c r="M23" s="9">
        <v>33279.33</v>
      </c>
      <c r="N23" s="9">
        <v>7551.52</v>
      </c>
      <c r="O23" s="9">
        <v>18799.52</v>
      </c>
      <c r="P23" s="9">
        <f t="shared" si="3"/>
        <v>139040.14000000001</v>
      </c>
      <c r="R23" s="13">
        <f>+'Fiscal Period Ended 6-19'!P27</f>
        <v>203869.3</v>
      </c>
      <c r="T23" s="13">
        <f t="shared" si="4"/>
        <v>64829.159999999974</v>
      </c>
    </row>
    <row r="24" spans="1:20" x14ac:dyDescent="0.25">
      <c r="A24" s="16" t="s">
        <v>46</v>
      </c>
      <c r="B24" s="3" t="s">
        <v>47</v>
      </c>
      <c r="C24" s="3"/>
      <c r="D24" s="9">
        <v>0</v>
      </c>
      <c r="E24" s="9">
        <v>8100</v>
      </c>
      <c r="F24" s="9">
        <v>11470</v>
      </c>
      <c r="G24" s="9">
        <v>8100</v>
      </c>
      <c r="H24" s="9">
        <v>0</v>
      </c>
      <c r="I24" s="9">
        <v>4677.75</v>
      </c>
      <c r="J24" s="9">
        <v>0</v>
      </c>
      <c r="K24" s="9">
        <v>0</v>
      </c>
      <c r="L24" s="9">
        <v>4023.75</v>
      </c>
      <c r="M24" s="9">
        <v>0</v>
      </c>
      <c r="N24" s="9">
        <v>0</v>
      </c>
      <c r="O24" s="9">
        <v>0</v>
      </c>
      <c r="P24" s="9">
        <f t="shared" si="3"/>
        <v>36371.5</v>
      </c>
      <c r="R24" s="13">
        <f>+'Fiscal Period Ended 6-19'!P28</f>
        <v>4023.75</v>
      </c>
      <c r="T24" s="13">
        <f t="shared" si="4"/>
        <v>-32347.75</v>
      </c>
    </row>
    <row r="25" spans="1:20" x14ac:dyDescent="0.25">
      <c r="A25" s="16" t="s">
        <v>48</v>
      </c>
      <c r="B25" s="3" t="s">
        <v>49</v>
      </c>
      <c r="C25" s="3"/>
      <c r="D25" s="9">
        <v>741</v>
      </c>
      <c r="E25" s="9">
        <v>1767</v>
      </c>
      <c r="F25" s="9">
        <v>285</v>
      </c>
      <c r="G25" s="9">
        <v>4459</v>
      </c>
      <c r="H25" s="9">
        <v>2171.8000000000002</v>
      </c>
      <c r="I25" s="9">
        <v>171</v>
      </c>
      <c r="J25" s="9">
        <v>4146</v>
      </c>
      <c r="K25" s="9">
        <v>266</v>
      </c>
      <c r="L25" s="9">
        <v>0</v>
      </c>
      <c r="M25" s="9">
        <v>0</v>
      </c>
      <c r="N25" s="9">
        <v>4943</v>
      </c>
      <c r="O25" s="9">
        <v>17723.800000000003</v>
      </c>
      <c r="P25" s="9">
        <f t="shared" si="3"/>
        <v>36673.600000000006</v>
      </c>
      <c r="R25" s="13">
        <f>+'Fiscal Period Ended 6-19'!P29</f>
        <v>31378.600000000002</v>
      </c>
      <c r="T25" s="13">
        <f t="shared" si="4"/>
        <v>-5295.0000000000036</v>
      </c>
    </row>
    <row r="26" spans="1:20" x14ac:dyDescent="0.25">
      <c r="A26" s="16" t="s">
        <v>50</v>
      </c>
      <c r="B26" s="3" t="s">
        <v>51</v>
      </c>
      <c r="C26" s="3"/>
      <c r="D26" s="9">
        <v>8237.5</v>
      </c>
      <c r="E26" s="9">
        <v>586.25</v>
      </c>
      <c r="F26" s="9">
        <v>0</v>
      </c>
      <c r="G26" s="9">
        <v>1093.75</v>
      </c>
      <c r="H26" s="9">
        <v>0</v>
      </c>
      <c r="I26" s="9">
        <v>9671.3700000000008</v>
      </c>
      <c r="J26" s="9">
        <v>0</v>
      </c>
      <c r="K26" s="9">
        <v>7000</v>
      </c>
      <c r="L26" s="9">
        <v>8079.75</v>
      </c>
      <c r="M26" s="9">
        <v>1268.75</v>
      </c>
      <c r="N26" s="9">
        <v>5206.0599999999995</v>
      </c>
      <c r="O26" s="9">
        <v>481.25</v>
      </c>
      <c r="P26" s="9">
        <f t="shared" si="3"/>
        <v>41624.68</v>
      </c>
      <c r="R26" s="13">
        <f>+'Fiscal Period Ended 6-19'!P30</f>
        <v>142228.71</v>
      </c>
      <c r="T26" s="13">
        <f t="shared" si="4"/>
        <v>100604.03</v>
      </c>
    </row>
    <row r="27" spans="1:20" x14ac:dyDescent="0.25">
      <c r="A27" s="16" t="s">
        <v>52</v>
      </c>
      <c r="B27" s="3" t="s">
        <v>53</v>
      </c>
      <c r="C27" s="3"/>
      <c r="D27" s="9">
        <v>9739</v>
      </c>
      <c r="E27" s="9">
        <v>0</v>
      </c>
      <c r="F27" s="9">
        <v>34180</v>
      </c>
      <c r="G27" s="9">
        <v>0</v>
      </c>
      <c r="H27" s="9">
        <v>19058</v>
      </c>
      <c r="I27" s="9">
        <v>4600</v>
      </c>
      <c r="J27" s="9">
        <v>2500</v>
      </c>
      <c r="K27" s="9">
        <v>1286</v>
      </c>
      <c r="L27" s="9">
        <v>1900</v>
      </c>
      <c r="M27" s="9">
        <v>2585</v>
      </c>
      <c r="N27" s="9">
        <v>2900</v>
      </c>
      <c r="O27" s="9">
        <v>2950</v>
      </c>
      <c r="P27" s="9">
        <f t="shared" si="3"/>
        <v>81698</v>
      </c>
      <c r="R27" s="13">
        <f>+'Fiscal Period Ended 6-19'!P31</f>
        <v>70932</v>
      </c>
      <c r="T27" s="13">
        <f t="shared" si="4"/>
        <v>-10766</v>
      </c>
    </row>
    <row r="28" spans="1:20" x14ac:dyDescent="0.25">
      <c r="A28" s="16" t="s">
        <v>54</v>
      </c>
      <c r="B28" s="3" t="s">
        <v>55</v>
      </c>
      <c r="C28" s="3"/>
      <c r="D28" s="9">
        <v>100</v>
      </c>
      <c r="E28" s="9">
        <v>0</v>
      </c>
      <c r="F28" s="9">
        <v>5100</v>
      </c>
      <c r="G28" s="9">
        <v>0</v>
      </c>
      <c r="H28" s="9">
        <v>0</v>
      </c>
      <c r="I28" s="9">
        <v>514.79999999999995</v>
      </c>
      <c r="J28" s="9">
        <v>185.20000000000005</v>
      </c>
      <c r="K28" s="9">
        <v>0</v>
      </c>
      <c r="L28" s="9">
        <v>0</v>
      </c>
      <c r="M28" s="9">
        <v>0</v>
      </c>
      <c r="N28" s="9">
        <v>2000</v>
      </c>
      <c r="O28" s="9">
        <v>0</v>
      </c>
      <c r="P28" s="9">
        <f t="shared" si="3"/>
        <v>7900</v>
      </c>
      <c r="R28" s="13">
        <f>+'Fiscal Period Ended 6-19'!P32</f>
        <v>14670.2</v>
      </c>
      <c r="T28" s="13">
        <f t="shared" si="4"/>
        <v>6770.2000000000007</v>
      </c>
    </row>
    <row r="29" spans="1:20" x14ac:dyDescent="0.25">
      <c r="A29" s="16" t="s">
        <v>56</v>
      </c>
      <c r="B29" s="3" t="s">
        <v>57</v>
      </c>
      <c r="C29" s="3"/>
      <c r="D29" s="9">
        <v>425</v>
      </c>
      <c r="E29" s="9">
        <v>45</v>
      </c>
      <c r="F29" s="9">
        <v>0</v>
      </c>
      <c r="G29" s="9">
        <v>750</v>
      </c>
      <c r="H29" s="9">
        <v>4147</v>
      </c>
      <c r="I29" s="9">
        <v>0</v>
      </c>
      <c r="J29" s="9">
        <v>0</v>
      </c>
      <c r="K29" s="9">
        <v>515</v>
      </c>
      <c r="L29" s="9">
        <v>0</v>
      </c>
      <c r="M29" s="9">
        <v>600</v>
      </c>
      <c r="N29" s="9">
        <v>390</v>
      </c>
      <c r="O29" s="9">
        <v>0</v>
      </c>
      <c r="P29" s="9">
        <f t="shared" si="3"/>
        <v>6872</v>
      </c>
      <c r="R29" s="13">
        <f>+'Fiscal Period Ended 6-19'!P33</f>
        <v>10264</v>
      </c>
      <c r="T29" s="13">
        <f t="shared" si="4"/>
        <v>3392</v>
      </c>
    </row>
    <row r="30" spans="1:20" x14ac:dyDescent="0.25">
      <c r="A30" s="16" t="s">
        <v>58</v>
      </c>
      <c r="B30" s="3" t="s">
        <v>59</v>
      </c>
      <c r="C30" s="3"/>
      <c r="D30" s="9">
        <v>1733.33</v>
      </c>
      <c r="E30" s="9">
        <v>1683.33</v>
      </c>
      <c r="F30" s="9">
        <v>1683.34</v>
      </c>
      <c r="G30" s="9">
        <v>1700</v>
      </c>
      <c r="H30" s="9">
        <v>1700</v>
      </c>
      <c r="I30" s="9">
        <v>1700</v>
      </c>
      <c r="J30" s="9">
        <v>1666.67</v>
      </c>
      <c r="K30" s="9">
        <v>1666.67</v>
      </c>
      <c r="L30" s="9">
        <v>1666.66</v>
      </c>
      <c r="M30" s="9">
        <v>1666.67</v>
      </c>
      <c r="N30" s="9">
        <v>1666.67</v>
      </c>
      <c r="O30" s="9">
        <v>1666.66</v>
      </c>
      <c r="P30" s="9">
        <f t="shared" si="3"/>
        <v>20199.999999999996</v>
      </c>
      <c r="R30" s="13">
        <f>+'Fiscal Period Ended 6-19'!P34</f>
        <v>19700</v>
      </c>
      <c r="T30" s="13">
        <f t="shared" si="4"/>
        <v>-499.99999999999636</v>
      </c>
    </row>
    <row r="31" spans="1:20" x14ac:dyDescent="0.25">
      <c r="A31" s="16" t="s">
        <v>60</v>
      </c>
      <c r="B31" s="3" t="s">
        <v>61</v>
      </c>
      <c r="C31" s="3"/>
      <c r="D31" s="9">
        <v>11220</v>
      </c>
      <c r="E31" s="9">
        <v>11220</v>
      </c>
      <c r="F31" s="9">
        <v>11220</v>
      </c>
      <c r="G31" s="9">
        <v>11220</v>
      </c>
      <c r="H31" s="9">
        <v>11220</v>
      </c>
      <c r="I31" s="9">
        <v>11000</v>
      </c>
      <c r="J31" s="9">
        <v>11000</v>
      </c>
      <c r="K31" s="9">
        <v>11000</v>
      </c>
      <c r="L31" s="9">
        <v>11000</v>
      </c>
      <c r="M31" s="9">
        <v>11000</v>
      </c>
      <c r="N31" s="9">
        <v>10780</v>
      </c>
      <c r="O31" s="9">
        <v>10780</v>
      </c>
      <c r="P31" s="9">
        <f t="shared" si="3"/>
        <v>132660</v>
      </c>
      <c r="R31" s="13">
        <f>+'Fiscal Period Ended 6-19'!P35</f>
        <v>132720</v>
      </c>
      <c r="T31" s="13">
        <f t="shared" si="4"/>
        <v>60</v>
      </c>
    </row>
    <row r="32" spans="1:20" x14ac:dyDescent="0.25">
      <c r="A32" s="16" t="s">
        <v>62</v>
      </c>
      <c r="B32" s="3" t="s">
        <v>63</v>
      </c>
      <c r="C32" s="3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1000</v>
      </c>
      <c r="P32" s="9">
        <f t="shared" si="3"/>
        <v>1000</v>
      </c>
      <c r="R32" s="13">
        <f>+'Fiscal Period Ended 6-19'!P36</f>
        <v>1000</v>
      </c>
      <c r="T32" s="13">
        <f t="shared" si="4"/>
        <v>0</v>
      </c>
    </row>
    <row r="33" spans="1:20" x14ac:dyDescent="0.25">
      <c r="A33" s="16" t="s">
        <v>64</v>
      </c>
      <c r="B33" s="3" t="s">
        <v>65</v>
      </c>
      <c r="C33" s="3"/>
      <c r="D33" s="9">
        <v>278.69</v>
      </c>
      <c r="E33" s="9">
        <v>26</v>
      </c>
      <c r="F33" s="9">
        <v>177.62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181.67000000000002</v>
      </c>
      <c r="M33" s="9">
        <v>992.82</v>
      </c>
      <c r="N33" s="9">
        <v>0</v>
      </c>
      <c r="O33" s="9">
        <v>375</v>
      </c>
      <c r="P33" s="9">
        <f t="shared" si="3"/>
        <v>2031.8000000000002</v>
      </c>
      <c r="R33" s="13">
        <f>+'Fiscal Period Ended 6-19'!P37</f>
        <v>1970.55</v>
      </c>
      <c r="T33" s="13">
        <f t="shared" si="4"/>
        <v>-61.250000000000227</v>
      </c>
    </row>
    <row r="34" spans="1:20" x14ac:dyDescent="0.25">
      <c r="A34" s="16" t="s">
        <v>66</v>
      </c>
      <c r="B34" s="3" t="s">
        <v>67</v>
      </c>
      <c r="C34" s="3"/>
      <c r="D34" s="9">
        <v>14710</v>
      </c>
      <c r="E34" s="9">
        <v>7327.13</v>
      </c>
      <c r="F34" s="9">
        <v>14710</v>
      </c>
      <c r="G34" s="9">
        <v>0</v>
      </c>
      <c r="H34" s="9">
        <v>16396.03</v>
      </c>
      <c r="I34" s="9">
        <v>0</v>
      </c>
      <c r="J34" s="9">
        <v>14710</v>
      </c>
      <c r="K34" s="9">
        <v>0</v>
      </c>
      <c r="L34" s="9">
        <v>14710</v>
      </c>
      <c r="M34" s="9">
        <v>0</v>
      </c>
      <c r="N34" s="9">
        <v>15155</v>
      </c>
      <c r="O34" s="9">
        <v>0</v>
      </c>
      <c r="P34" s="9">
        <f t="shared" si="3"/>
        <v>97718.16</v>
      </c>
      <c r="R34" s="13">
        <f>+'Fiscal Period Ended 6-19'!P38</f>
        <v>100659.18</v>
      </c>
      <c r="T34" s="13">
        <f t="shared" si="4"/>
        <v>2941.0199999999895</v>
      </c>
    </row>
    <row r="35" spans="1:20" x14ac:dyDescent="0.25">
      <c r="A35" s="16" t="s">
        <v>68</v>
      </c>
      <c r="B35" s="3" t="s">
        <v>69</v>
      </c>
      <c r="C35" s="3"/>
      <c r="D35" s="9">
        <v>26478</v>
      </c>
      <c r="E35" s="9">
        <v>762.9</v>
      </c>
      <c r="F35" s="9">
        <v>26478</v>
      </c>
      <c r="G35" s="9">
        <v>0</v>
      </c>
      <c r="H35" s="9">
        <v>26478</v>
      </c>
      <c r="I35" s="9">
        <v>0</v>
      </c>
      <c r="J35" s="9">
        <v>26478</v>
      </c>
      <c r="K35" s="9">
        <v>0</v>
      </c>
      <c r="L35" s="9">
        <v>26478</v>
      </c>
      <c r="M35" s="9">
        <v>0</v>
      </c>
      <c r="N35" s="9">
        <v>27279</v>
      </c>
      <c r="O35" s="9">
        <v>0</v>
      </c>
      <c r="P35" s="9">
        <f t="shared" si="3"/>
        <v>160431.9</v>
      </c>
      <c r="R35" s="13">
        <f>+'Fiscal Period Ended 6-19'!P39</f>
        <v>164475</v>
      </c>
      <c r="T35" s="13">
        <f t="shared" si="4"/>
        <v>4043.1000000000058</v>
      </c>
    </row>
    <row r="36" spans="1:20" x14ac:dyDescent="0.25">
      <c r="A36" s="16" t="s">
        <v>70</v>
      </c>
      <c r="B36" s="3" t="s">
        <v>71</v>
      </c>
      <c r="C36" s="3"/>
      <c r="D36" s="9">
        <v>7462.28</v>
      </c>
      <c r="E36" s="9">
        <v>0</v>
      </c>
      <c r="F36" s="9">
        <v>7663.1</v>
      </c>
      <c r="G36" s="9">
        <v>0</v>
      </c>
      <c r="H36" s="9">
        <v>7727.54</v>
      </c>
      <c r="I36" s="9">
        <v>0</v>
      </c>
      <c r="J36" s="9">
        <v>7914.34</v>
      </c>
      <c r="K36" s="9">
        <v>0</v>
      </c>
      <c r="L36" s="9">
        <v>8394.51</v>
      </c>
      <c r="M36" s="9">
        <v>0</v>
      </c>
      <c r="N36" s="9">
        <v>8394.51</v>
      </c>
      <c r="O36" s="9">
        <v>0</v>
      </c>
      <c r="P36" s="9">
        <f t="shared" si="3"/>
        <v>47556.280000000006</v>
      </c>
      <c r="R36" s="13">
        <f>+'Fiscal Period Ended 6-19'!P40</f>
        <v>49392.72</v>
      </c>
      <c r="T36" s="13">
        <f t="shared" si="4"/>
        <v>1836.4399999999951</v>
      </c>
    </row>
    <row r="37" spans="1:20" x14ac:dyDescent="0.25">
      <c r="A37" s="16" t="s">
        <v>72</v>
      </c>
      <c r="B37" s="3" t="s">
        <v>73</v>
      </c>
      <c r="C37" s="3"/>
      <c r="D37" s="9">
        <v>11824.3</v>
      </c>
      <c r="E37" s="9">
        <v>0</v>
      </c>
      <c r="F37" s="9">
        <v>11963.54</v>
      </c>
      <c r="G37" s="9">
        <v>0</v>
      </c>
      <c r="H37" s="9">
        <v>11963.54</v>
      </c>
      <c r="I37" s="9">
        <v>0</v>
      </c>
      <c r="J37" s="9">
        <v>12252.75</v>
      </c>
      <c r="K37" s="9">
        <v>0</v>
      </c>
      <c r="L37" s="9">
        <v>12732.92</v>
      </c>
      <c r="M37" s="9">
        <v>0</v>
      </c>
      <c r="N37" s="9">
        <v>12732.92</v>
      </c>
      <c r="O37" s="9">
        <v>0</v>
      </c>
      <c r="P37" s="9">
        <f t="shared" si="3"/>
        <v>73469.97</v>
      </c>
      <c r="R37" s="13">
        <f>+'Fiscal Period Ended 6-19'!P41</f>
        <v>75423.149999999994</v>
      </c>
      <c r="T37" s="13">
        <f t="shared" si="4"/>
        <v>1953.179999999993</v>
      </c>
    </row>
    <row r="38" spans="1:20" x14ac:dyDescent="0.25">
      <c r="A38" s="16" t="s">
        <v>74</v>
      </c>
      <c r="B38" s="3" t="s">
        <v>75</v>
      </c>
      <c r="C38" s="3"/>
      <c r="D38" s="9">
        <v>2625.19</v>
      </c>
      <c r="E38" s="9">
        <v>2625.19</v>
      </c>
      <c r="F38" s="9">
        <v>2625.19</v>
      </c>
      <c r="G38" s="9">
        <v>2406.58</v>
      </c>
      <c r="H38" s="9">
        <v>2406.58</v>
      </c>
      <c r="I38" s="9">
        <v>2406.58</v>
      </c>
      <c r="J38" s="9">
        <v>2406.58</v>
      </c>
      <c r="K38" s="9">
        <v>2406.58</v>
      </c>
      <c r="L38" s="9">
        <v>2406.58</v>
      </c>
      <c r="M38" s="9">
        <v>2406.58</v>
      </c>
      <c r="N38" s="9">
        <v>2406.58</v>
      </c>
      <c r="O38" s="9">
        <v>2406.58</v>
      </c>
      <c r="P38" s="9">
        <f t="shared" si="3"/>
        <v>29534.790000000008</v>
      </c>
      <c r="R38" s="13">
        <f>+'Fiscal Period Ended 6-19'!P42</f>
        <v>29703.599999999999</v>
      </c>
      <c r="T38" s="13">
        <f t="shared" si="4"/>
        <v>168.8099999999904</v>
      </c>
    </row>
    <row r="39" spans="1:20" x14ac:dyDescent="0.25">
      <c r="A39" s="16" t="s">
        <v>76</v>
      </c>
      <c r="B39" s="3" t="s">
        <v>77</v>
      </c>
      <c r="C39" s="3"/>
      <c r="D39" s="9">
        <v>247.29</v>
      </c>
      <c r="E39" s="9">
        <v>518.20000000000005</v>
      </c>
      <c r="F39" s="9">
        <v>247.29</v>
      </c>
      <c r="G39" s="9">
        <v>0</v>
      </c>
      <c r="H39" s="9">
        <v>0</v>
      </c>
      <c r="I39" s="9">
        <v>28259</v>
      </c>
      <c r="J39" s="9">
        <v>28259</v>
      </c>
      <c r="K39" s="9">
        <v>28259</v>
      </c>
      <c r="L39" s="9">
        <v>28259</v>
      </c>
      <c r="M39" s="9">
        <v>28259</v>
      </c>
      <c r="N39" s="9">
        <v>28259</v>
      </c>
      <c r="O39" s="9">
        <v>28259</v>
      </c>
      <c r="P39" s="9">
        <f t="shared" si="3"/>
        <v>198825.78</v>
      </c>
      <c r="R39" s="13">
        <f>+'Fiscal Period Ended 6-19'!P43</f>
        <v>339108</v>
      </c>
      <c r="T39" s="13">
        <f t="shared" si="4"/>
        <v>140282.22</v>
      </c>
    </row>
    <row r="40" spans="1:20" x14ac:dyDescent="0.25">
      <c r="A40" s="16" t="s">
        <v>78</v>
      </c>
      <c r="B40" s="3" t="s">
        <v>79</v>
      </c>
      <c r="C40" s="3"/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230</v>
      </c>
      <c r="P40" s="9">
        <f t="shared" si="3"/>
        <v>230</v>
      </c>
      <c r="R40" s="13">
        <f>+'Fiscal Period Ended 6-19'!P44</f>
        <v>230</v>
      </c>
      <c r="T40" s="13">
        <f t="shared" si="4"/>
        <v>0</v>
      </c>
    </row>
    <row r="41" spans="1:20" x14ac:dyDescent="0.25">
      <c r="A41" s="16" t="s">
        <v>80</v>
      </c>
      <c r="B41" s="3" t="s">
        <v>81</v>
      </c>
      <c r="C41" s="3"/>
      <c r="D41" s="9">
        <v>38.56</v>
      </c>
      <c r="E41" s="9">
        <v>38.56</v>
      </c>
      <c r="F41" s="9">
        <v>38.56</v>
      </c>
      <c r="G41" s="9">
        <v>38.56</v>
      </c>
      <c r="H41" s="9">
        <v>38.56</v>
      </c>
      <c r="I41" s="9">
        <v>38.56</v>
      </c>
      <c r="J41" s="9">
        <v>38.56</v>
      </c>
      <c r="K41" s="9">
        <v>38.56</v>
      </c>
      <c r="L41" s="9">
        <v>38.549999999999997</v>
      </c>
      <c r="M41" s="9">
        <v>38.549999999999997</v>
      </c>
      <c r="N41" s="9">
        <v>38.549999999999997</v>
      </c>
      <c r="O41" s="9">
        <v>38.549999999999997</v>
      </c>
      <c r="P41" s="9">
        <f t="shared" si="3"/>
        <v>462.68000000000006</v>
      </c>
      <c r="R41" s="13">
        <f>+'Fiscal Period Ended 6-19'!P45</f>
        <v>462.68</v>
      </c>
      <c r="T41" s="13">
        <f t="shared" si="4"/>
        <v>0</v>
      </c>
    </row>
    <row r="42" spans="1:20" x14ac:dyDescent="0.25">
      <c r="A42" s="16" t="s">
        <v>82</v>
      </c>
      <c r="B42" s="3" t="s">
        <v>83</v>
      </c>
      <c r="C42" s="3"/>
      <c r="D42" s="9">
        <v>9270.5499999999993</v>
      </c>
      <c r="E42" s="9">
        <v>9270.5499999999993</v>
      </c>
      <c r="F42" s="9">
        <v>9270.5499999999993</v>
      </c>
      <c r="G42" s="9">
        <v>9270.5499999999993</v>
      </c>
      <c r="H42" s="9">
        <v>9270.5499999999993</v>
      </c>
      <c r="I42" s="9">
        <v>9270.5499999999993</v>
      </c>
      <c r="J42" s="9">
        <v>9270.5499999999993</v>
      </c>
      <c r="K42" s="9">
        <v>9270.5499999999993</v>
      </c>
      <c r="L42" s="9">
        <v>9270.5400000000009</v>
      </c>
      <c r="M42" s="9">
        <v>9270.5400000000009</v>
      </c>
      <c r="N42" s="9">
        <v>9270.5400000000009</v>
      </c>
      <c r="O42" s="9">
        <v>7915.27</v>
      </c>
      <c r="P42" s="9">
        <f t="shared" si="3"/>
        <v>109891.29000000002</v>
      </c>
      <c r="R42" s="13">
        <f>+'Fiscal Period Ended 6-19'!P46</f>
        <v>109322.89</v>
      </c>
      <c r="T42" s="13">
        <f t="shared" si="4"/>
        <v>-568.40000000002328</v>
      </c>
    </row>
    <row r="43" spans="1:20" x14ac:dyDescent="0.25">
      <c r="A43" s="16" t="s">
        <v>84</v>
      </c>
      <c r="B43" s="3" t="s">
        <v>85</v>
      </c>
      <c r="C43" s="3"/>
      <c r="D43" s="9">
        <v>702.17</v>
      </c>
      <c r="E43" s="9">
        <v>702.17</v>
      </c>
      <c r="F43" s="9">
        <v>702.17</v>
      </c>
      <c r="G43" s="9">
        <v>702.17</v>
      </c>
      <c r="H43" s="9">
        <v>702.17</v>
      </c>
      <c r="I43" s="9">
        <v>702.17</v>
      </c>
      <c r="J43" s="9">
        <v>702.17</v>
      </c>
      <c r="K43" s="9">
        <v>702.17</v>
      </c>
      <c r="L43" s="9">
        <v>702.17</v>
      </c>
      <c r="M43" s="9">
        <v>702.17</v>
      </c>
      <c r="N43" s="9">
        <v>702.18</v>
      </c>
      <c r="O43" s="9">
        <v>-2779.72</v>
      </c>
      <c r="P43" s="9">
        <f t="shared" si="3"/>
        <v>4944.16</v>
      </c>
      <c r="R43" s="13">
        <f>+'Fiscal Period Ended 6-19'!P47</f>
        <v>799.7800000000002</v>
      </c>
      <c r="T43" s="13">
        <f t="shared" si="4"/>
        <v>-4144.3799999999992</v>
      </c>
    </row>
    <row r="44" spans="1:20" x14ac:dyDescent="0.25">
      <c r="A44" s="16" t="s">
        <v>86</v>
      </c>
      <c r="B44" s="3" t="s">
        <v>87</v>
      </c>
      <c r="C44" s="3"/>
      <c r="D44" s="9">
        <v>203.2</v>
      </c>
      <c r="E44" s="9">
        <v>203.2</v>
      </c>
      <c r="F44" s="9">
        <v>203.2</v>
      </c>
      <c r="G44" s="9">
        <v>203.2</v>
      </c>
      <c r="H44" s="9">
        <v>203.2</v>
      </c>
      <c r="I44" s="9">
        <v>203.2</v>
      </c>
      <c r="J44" s="9">
        <v>203.2</v>
      </c>
      <c r="K44" s="9">
        <v>203.2</v>
      </c>
      <c r="L44" s="9">
        <v>203.21</v>
      </c>
      <c r="M44" s="9">
        <v>203.21</v>
      </c>
      <c r="N44" s="9">
        <v>203.21</v>
      </c>
      <c r="O44" s="9">
        <v>-172.26</v>
      </c>
      <c r="P44" s="9">
        <f t="shared" si="3"/>
        <v>2062.9700000000003</v>
      </c>
      <c r="R44" s="13">
        <f>+'Fiscal Period Ended 6-19'!P48</f>
        <v>1641.21</v>
      </c>
      <c r="T44" s="13">
        <f t="shared" si="4"/>
        <v>-421.76000000000022</v>
      </c>
    </row>
    <row r="45" spans="1:20" x14ac:dyDescent="0.25">
      <c r="A45" s="16" t="s">
        <v>88</v>
      </c>
      <c r="B45" s="3" t="s">
        <v>89</v>
      </c>
      <c r="C45" s="3"/>
      <c r="D45" s="9">
        <v>136.59</v>
      </c>
      <c r="E45" s="9">
        <v>136.59</v>
      </c>
      <c r="F45" s="9">
        <v>136.59</v>
      </c>
      <c r="G45" s="9">
        <v>136.59</v>
      </c>
      <c r="H45" s="9">
        <v>136.59</v>
      </c>
      <c r="I45" s="9">
        <v>136.59</v>
      </c>
      <c r="J45" s="9">
        <v>136.59</v>
      </c>
      <c r="K45" s="9">
        <v>136.59</v>
      </c>
      <c r="L45" s="9">
        <v>136.6</v>
      </c>
      <c r="M45" s="9">
        <v>136.6</v>
      </c>
      <c r="N45" s="9">
        <v>136.6</v>
      </c>
      <c r="O45" s="9">
        <v>-819.17</v>
      </c>
      <c r="P45" s="9">
        <f t="shared" si="3"/>
        <v>683.3499999999998</v>
      </c>
      <c r="R45" s="13">
        <f>+'Fiscal Period Ended 6-19'!P49</f>
        <v>301.07000000000005</v>
      </c>
      <c r="T45" s="13">
        <f t="shared" si="4"/>
        <v>-382.27999999999975</v>
      </c>
    </row>
    <row r="46" spans="1:20" x14ac:dyDescent="0.25">
      <c r="A46" s="16" t="s">
        <v>90</v>
      </c>
      <c r="B46" s="3" t="s">
        <v>91</v>
      </c>
      <c r="C46" s="3"/>
      <c r="D46" s="9">
        <v>3681.4</v>
      </c>
      <c r="E46" s="9">
        <v>3681.4</v>
      </c>
      <c r="F46" s="9">
        <v>3681.4</v>
      </c>
      <c r="G46" s="9">
        <v>3681.4</v>
      </c>
      <c r="H46" s="9">
        <v>3681.4</v>
      </c>
      <c r="I46" s="9">
        <v>3681.4</v>
      </c>
      <c r="J46" s="9">
        <v>3681.4</v>
      </c>
      <c r="K46" s="9">
        <v>3681.4</v>
      </c>
      <c r="L46" s="9">
        <v>3681.41</v>
      </c>
      <c r="M46" s="9">
        <v>3681.41</v>
      </c>
      <c r="N46" s="9">
        <v>3681.41</v>
      </c>
      <c r="O46" s="9">
        <v>3631.79</v>
      </c>
      <c r="P46" s="9">
        <f t="shared" si="3"/>
        <v>44127.220000000008</v>
      </c>
      <c r="R46" s="13">
        <f>+'Fiscal Period Ended 6-19'!P50</f>
        <v>43958.979999999996</v>
      </c>
      <c r="T46" s="13">
        <f t="shared" si="4"/>
        <v>-168.24000000001251</v>
      </c>
    </row>
    <row r="47" spans="1:20" x14ac:dyDescent="0.25">
      <c r="A47" s="16" t="s">
        <v>92</v>
      </c>
      <c r="B47" s="3" t="s">
        <v>93</v>
      </c>
      <c r="C47" s="3"/>
      <c r="D47" s="9">
        <v>2.37</v>
      </c>
      <c r="E47" s="9">
        <v>2.37</v>
      </c>
      <c r="F47" s="9">
        <v>2.37</v>
      </c>
      <c r="G47" s="9">
        <v>2.37</v>
      </c>
      <c r="H47" s="9">
        <v>2.37</v>
      </c>
      <c r="I47" s="9">
        <v>2.37</v>
      </c>
      <c r="J47" s="9">
        <v>2.37</v>
      </c>
      <c r="K47" s="9">
        <v>2.37</v>
      </c>
      <c r="L47" s="9">
        <v>2.36</v>
      </c>
      <c r="M47" s="9">
        <v>2.36</v>
      </c>
      <c r="N47" s="9">
        <v>2.36</v>
      </c>
      <c r="O47" s="9">
        <v>2.36</v>
      </c>
      <c r="P47" s="9">
        <f t="shared" si="3"/>
        <v>28.400000000000002</v>
      </c>
      <c r="R47" s="13">
        <f>+'Fiscal Period Ended 6-19'!P51</f>
        <v>28.400000000000002</v>
      </c>
      <c r="T47" s="13">
        <f t="shared" si="4"/>
        <v>0</v>
      </c>
    </row>
    <row r="48" spans="1:20" x14ac:dyDescent="0.25">
      <c r="A48" s="16" t="s">
        <v>94</v>
      </c>
      <c r="B48" s="3" t="s">
        <v>95</v>
      </c>
      <c r="C48" s="3"/>
      <c r="D48" s="9">
        <v>117.5</v>
      </c>
      <c r="E48" s="9">
        <v>199</v>
      </c>
      <c r="F48" s="9">
        <v>626</v>
      </c>
      <c r="G48" s="9">
        <v>0</v>
      </c>
      <c r="H48" s="9">
        <v>0</v>
      </c>
      <c r="I48" s="9">
        <v>0</v>
      </c>
      <c r="J48" s="9">
        <v>312.5</v>
      </c>
      <c r="K48" s="9">
        <v>117.5</v>
      </c>
      <c r="L48" s="9">
        <v>0</v>
      </c>
      <c r="M48" s="9">
        <v>365.5</v>
      </c>
      <c r="N48" s="9">
        <v>0</v>
      </c>
      <c r="O48" s="9">
        <v>346.5</v>
      </c>
      <c r="P48" s="9">
        <f t="shared" si="3"/>
        <v>2084.5</v>
      </c>
      <c r="R48" s="13">
        <f>+'Fiscal Period Ended 6-19'!P52</f>
        <v>2302.5</v>
      </c>
      <c r="T48" s="13">
        <f t="shared" si="4"/>
        <v>218</v>
      </c>
    </row>
    <row r="49" spans="1:20" x14ac:dyDescent="0.25">
      <c r="A49" s="16" t="s">
        <v>96</v>
      </c>
      <c r="B49" s="3" t="s">
        <v>97</v>
      </c>
      <c r="C49" s="3"/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1525.09</v>
      </c>
      <c r="O49" s="9">
        <v>0</v>
      </c>
      <c r="P49" s="9">
        <f t="shared" si="3"/>
        <v>1525.09</v>
      </c>
      <c r="R49" s="13">
        <f>+'Fiscal Period Ended 6-19'!P53</f>
        <v>1525.09</v>
      </c>
      <c r="T49" s="13">
        <f t="shared" si="4"/>
        <v>0</v>
      </c>
    </row>
    <row r="50" spans="1:20" x14ac:dyDescent="0.25">
      <c r="A50" s="16" t="s">
        <v>98</v>
      </c>
      <c r="B50" s="3" t="s">
        <v>99</v>
      </c>
      <c r="C50" s="3"/>
      <c r="D50" s="9">
        <v>0</v>
      </c>
      <c r="E50" s="9">
        <v>0</v>
      </c>
      <c r="F50" s="9">
        <v>214.12</v>
      </c>
      <c r="G50" s="9">
        <v>0</v>
      </c>
      <c r="H50" s="9">
        <v>80.86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f t="shared" si="3"/>
        <v>294.98</v>
      </c>
      <c r="R50" s="13">
        <f>+'Fiscal Period Ended 6-19'!P54</f>
        <v>0</v>
      </c>
      <c r="T50" s="13">
        <f t="shared" si="4"/>
        <v>-294.98</v>
      </c>
    </row>
    <row r="51" spans="1:20" x14ac:dyDescent="0.25">
      <c r="A51" s="16" t="s">
        <v>100</v>
      </c>
      <c r="B51" s="3" t="s">
        <v>101</v>
      </c>
      <c r="C51" s="3"/>
      <c r="D51" s="9">
        <v>6750.38</v>
      </c>
      <c r="E51" s="9">
        <v>5211.6500000000005</v>
      </c>
      <c r="F51" s="9">
        <v>6722.0499999999993</v>
      </c>
      <c r="G51" s="9">
        <v>5877.59</v>
      </c>
      <c r="H51" s="9">
        <v>5670.74</v>
      </c>
      <c r="I51" s="9">
        <v>5199.75</v>
      </c>
      <c r="J51" s="9">
        <v>6187.88</v>
      </c>
      <c r="K51" s="9">
        <v>6818.66</v>
      </c>
      <c r="L51" s="9">
        <v>5913.38</v>
      </c>
      <c r="M51" s="9">
        <v>7238.95</v>
      </c>
      <c r="N51" s="9">
        <v>5860.05</v>
      </c>
      <c r="O51" s="9">
        <v>12023.67</v>
      </c>
      <c r="P51" s="9">
        <f t="shared" si="3"/>
        <v>79474.749999999985</v>
      </c>
      <c r="R51" s="13">
        <f>+'Fiscal Period Ended 6-19'!P55</f>
        <v>83224.23</v>
      </c>
      <c r="T51" s="13">
        <f t="shared" si="4"/>
        <v>3749.4800000000105</v>
      </c>
    </row>
    <row r="52" spans="1:20" x14ac:dyDescent="0.25">
      <c r="A52" s="16" t="s">
        <v>102</v>
      </c>
      <c r="B52" s="3" t="s">
        <v>103</v>
      </c>
      <c r="C52" s="3"/>
      <c r="D52" s="9">
        <v>2209.69</v>
      </c>
      <c r="E52" s="9">
        <v>2110.38</v>
      </c>
      <c r="F52" s="9">
        <v>728.29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f t="shared" si="3"/>
        <v>5048.3599999999997</v>
      </c>
      <c r="R52" s="13">
        <f>+'Fiscal Period Ended 6-19'!P56</f>
        <v>0</v>
      </c>
      <c r="T52" s="13">
        <f t="shared" si="4"/>
        <v>-5048.3599999999997</v>
      </c>
    </row>
    <row r="53" spans="1:20" x14ac:dyDescent="0.25">
      <c r="A53" s="16" t="s">
        <v>104</v>
      </c>
      <c r="B53" s="3" t="s">
        <v>105</v>
      </c>
      <c r="C53" s="3"/>
      <c r="D53" s="9">
        <v>5504.72</v>
      </c>
      <c r="E53" s="9">
        <v>67.48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f t="shared" si="3"/>
        <v>5572.2</v>
      </c>
      <c r="R53" s="13">
        <f>+'Fiscal Period Ended 6-19'!P57</f>
        <v>0</v>
      </c>
      <c r="T53" s="13">
        <f t="shared" si="4"/>
        <v>-5572.2</v>
      </c>
    </row>
    <row r="54" spans="1:20" x14ac:dyDescent="0.25">
      <c r="A54" s="16" t="s">
        <v>106</v>
      </c>
      <c r="B54" s="3" t="s">
        <v>107</v>
      </c>
      <c r="C54" s="3"/>
      <c r="D54" s="9">
        <v>377.23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f t="shared" si="3"/>
        <v>377.23</v>
      </c>
      <c r="R54" s="13">
        <f>+'Fiscal Period Ended 6-19'!P58</f>
        <v>0</v>
      </c>
      <c r="T54" s="13">
        <f t="shared" si="4"/>
        <v>-377.23</v>
      </c>
    </row>
    <row r="55" spans="1:20" x14ac:dyDescent="0.25">
      <c r="A55" s="16" t="s">
        <v>108</v>
      </c>
      <c r="B55" s="3" t="s">
        <v>109</v>
      </c>
      <c r="C55" s="3"/>
      <c r="D55" s="9">
        <v>0</v>
      </c>
      <c r="E55" s="9">
        <v>0</v>
      </c>
      <c r="F55" s="9">
        <v>1294.28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f t="shared" si="3"/>
        <v>1294.28</v>
      </c>
      <c r="R55" s="13">
        <f>+'Fiscal Period Ended 6-19'!P59</f>
        <v>0</v>
      </c>
      <c r="T55" s="13">
        <f t="shared" si="4"/>
        <v>-1294.28</v>
      </c>
    </row>
    <row r="56" spans="1:20" x14ac:dyDescent="0.25">
      <c r="A56" s="16" t="s">
        <v>110</v>
      </c>
      <c r="B56" s="3" t="s">
        <v>111</v>
      </c>
      <c r="C56" s="3"/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12851</v>
      </c>
      <c r="J56" s="9">
        <v>0</v>
      </c>
      <c r="K56" s="9">
        <v>0</v>
      </c>
      <c r="L56" s="9">
        <v>0</v>
      </c>
      <c r="M56" s="9">
        <v>2700</v>
      </c>
      <c r="N56" s="9">
        <v>0</v>
      </c>
      <c r="O56" s="9">
        <v>0</v>
      </c>
      <c r="P56" s="9">
        <f t="shared" si="3"/>
        <v>15551</v>
      </c>
      <c r="R56" s="13">
        <f>+'Fiscal Period Ended 6-19'!P60</f>
        <v>2750</v>
      </c>
      <c r="T56" s="13">
        <f t="shared" si="4"/>
        <v>-12801</v>
      </c>
    </row>
    <row r="57" spans="1:20" x14ac:dyDescent="0.25">
      <c r="A57" s="16" t="s">
        <v>112</v>
      </c>
      <c r="B57" s="3" t="s">
        <v>113</v>
      </c>
      <c r="C57" s="3"/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34583</v>
      </c>
      <c r="N57" s="9">
        <v>0</v>
      </c>
      <c r="O57" s="9">
        <v>0</v>
      </c>
      <c r="P57" s="9">
        <f t="shared" si="3"/>
        <v>34583</v>
      </c>
      <c r="R57" s="13">
        <f>+'Fiscal Period Ended 6-19'!P61</f>
        <v>36722.32</v>
      </c>
      <c r="T57" s="13">
        <f t="shared" si="4"/>
        <v>2139.3199999999997</v>
      </c>
    </row>
    <row r="58" spans="1:20" x14ac:dyDescent="0.25">
      <c r="A58" s="16" t="s">
        <v>114</v>
      </c>
      <c r="B58" s="3" t="s">
        <v>115</v>
      </c>
      <c r="C58" s="3"/>
      <c r="D58" s="9">
        <v>23097.5</v>
      </c>
      <c r="E58" s="9">
        <v>23097.5</v>
      </c>
      <c r="F58" s="9">
        <v>23097.5</v>
      </c>
      <c r="G58" s="9">
        <v>0</v>
      </c>
      <c r="H58" s="9">
        <v>-5649.5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33296.67</v>
      </c>
      <c r="P58" s="9">
        <f t="shared" si="3"/>
        <v>96939.67</v>
      </c>
      <c r="R58" s="13">
        <f>+'Fiscal Period Ended 6-19'!P62</f>
        <v>95190</v>
      </c>
      <c r="T58" s="13">
        <f t="shared" si="4"/>
        <v>-1749.6699999999983</v>
      </c>
    </row>
    <row r="59" spans="1:20" x14ac:dyDescent="0.25">
      <c r="A59" s="16" t="s">
        <v>116</v>
      </c>
      <c r="B59" s="3" t="s">
        <v>117</v>
      </c>
      <c r="C59" s="3"/>
      <c r="D59" s="9">
        <v>10046.66</v>
      </c>
      <c r="E59" s="9">
        <v>18475.900000000001</v>
      </c>
      <c r="F59" s="9">
        <v>9237.9500000000007</v>
      </c>
      <c r="G59" s="9">
        <v>9237.9500000000007</v>
      </c>
      <c r="H59" s="9">
        <v>12173.22</v>
      </c>
      <c r="I59" s="9">
        <v>13430.72</v>
      </c>
      <c r="J59" s="9">
        <v>13430.71</v>
      </c>
      <c r="K59" s="9">
        <v>12178.22</v>
      </c>
      <c r="L59" s="9">
        <v>12178.22</v>
      </c>
      <c r="M59" s="9">
        <v>12178.31</v>
      </c>
      <c r="N59" s="9">
        <v>12047.27</v>
      </c>
      <c r="O59" s="9">
        <v>12047.28</v>
      </c>
      <c r="P59" s="9">
        <f t="shared" si="3"/>
        <v>146662.41</v>
      </c>
      <c r="R59" s="13">
        <f>+'Fiscal Period Ended 6-19'!P63</f>
        <v>157855.09999999998</v>
      </c>
      <c r="T59" s="13">
        <f t="shared" si="4"/>
        <v>11192.689999999973</v>
      </c>
    </row>
    <row r="60" spans="1:20" x14ac:dyDescent="0.25">
      <c r="A60" s="16" t="s">
        <v>118</v>
      </c>
      <c r="B60" s="3" t="s">
        <v>119</v>
      </c>
      <c r="C60" s="3"/>
      <c r="D60" s="9">
        <v>124944.52</v>
      </c>
      <c r="E60" s="9">
        <v>135443</v>
      </c>
      <c r="F60" s="9">
        <v>131102</v>
      </c>
      <c r="G60" s="9">
        <v>132020</v>
      </c>
      <c r="H60" s="9">
        <v>129403</v>
      </c>
      <c r="I60" s="9">
        <v>128156.23</v>
      </c>
      <c r="J60" s="9">
        <v>129403</v>
      </c>
      <c r="K60" s="9">
        <v>129403</v>
      </c>
      <c r="L60" s="9">
        <v>129403</v>
      </c>
      <c r="M60" s="9">
        <v>130498</v>
      </c>
      <c r="N60" s="9">
        <v>130498</v>
      </c>
      <c r="O60" s="9">
        <v>130498</v>
      </c>
      <c r="P60" s="9">
        <f t="shared" si="3"/>
        <v>1560771.75</v>
      </c>
      <c r="R60" s="13">
        <f>+'Fiscal Period Ended 6-19'!P64</f>
        <v>1544615</v>
      </c>
      <c r="T60" s="13">
        <f t="shared" si="4"/>
        <v>-16156.75</v>
      </c>
    </row>
    <row r="61" spans="1:20" x14ac:dyDescent="0.25">
      <c r="A61" s="16" t="s">
        <v>120</v>
      </c>
      <c r="B61" s="3" t="s">
        <v>121</v>
      </c>
      <c r="C61" s="3"/>
      <c r="D61" s="9">
        <v>813.61</v>
      </c>
      <c r="E61" s="9">
        <v>716.02</v>
      </c>
      <c r="F61" s="9">
        <v>767.84</v>
      </c>
      <c r="G61" s="9">
        <v>726.79</v>
      </c>
      <c r="H61" s="9">
        <v>729.49</v>
      </c>
      <c r="I61" s="9">
        <v>685.07</v>
      </c>
      <c r="J61" s="9">
        <v>685.74</v>
      </c>
      <c r="K61" s="9">
        <v>663.53</v>
      </c>
      <c r="L61" s="9">
        <v>623.16</v>
      </c>
      <c r="M61" s="9">
        <v>623.15</v>
      </c>
      <c r="N61" s="9">
        <v>584.79999999999995</v>
      </c>
      <c r="O61" s="9">
        <v>583.45000000000005</v>
      </c>
      <c r="P61" s="9">
        <f t="shared" si="3"/>
        <v>8202.65</v>
      </c>
      <c r="R61" s="13">
        <f>+'Fiscal Period Ended 6-19'!P65</f>
        <v>6752.41</v>
      </c>
      <c r="T61" s="13">
        <f t="shared" si="4"/>
        <v>-1450.2399999999998</v>
      </c>
    </row>
    <row r="62" spans="1:20" x14ac:dyDescent="0.25">
      <c r="A62" s="16" t="s">
        <v>122</v>
      </c>
      <c r="B62" s="3" t="s">
        <v>123</v>
      </c>
      <c r="C62" s="3"/>
      <c r="D62" s="9">
        <v>1610.48</v>
      </c>
      <c r="E62" s="9">
        <v>1562.42</v>
      </c>
      <c r="F62" s="9">
        <v>1369.31</v>
      </c>
      <c r="G62" s="9">
        <v>1734.93</v>
      </c>
      <c r="H62" s="9">
        <v>1325.92</v>
      </c>
      <c r="I62" s="9">
        <v>1701.09</v>
      </c>
      <c r="J62" s="9">
        <v>2117.04</v>
      </c>
      <c r="K62" s="9">
        <v>1474.74</v>
      </c>
      <c r="L62" s="9">
        <v>1714.94</v>
      </c>
      <c r="M62" s="9">
        <v>1784.67</v>
      </c>
      <c r="N62" s="9">
        <v>1578.47</v>
      </c>
      <c r="O62" s="9">
        <v>1239.5899999999999</v>
      </c>
      <c r="P62" s="9">
        <f t="shared" si="3"/>
        <v>19213.600000000002</v>
      </c>
      <c r="R62" s="13">
        <f>+'Fiscal Period Ended 6-19'!P66</f>
        <v>17218.8</v>
      </c>
      <c r="T62" s="13">
        <f t="shared" si="4"/>
        <v>-1994.8000000000029</v>
      </c>
    </row>
    <row r="63" spans="1:20" x14ac:dyDescent="0.25">
      <c r="A63" s="16" t="s">
        <v>124</v>
      </c>
      <c r="B63" s="3" t="s">
        <v>125</v>
      </c>
      <c r="C63" s="3"/>
      <c r="D63" s="9">
        <v>26000</v>
      </c>
      <c r="E63" s="9">
        <v>26000</v>
      </c>
      <c r="F63" s="9">
        <v>19500</v>
      </c>
      <c r="G63" s="9">
        <v>13000</v>
      </c>
      <c r="H63" s="9">
        <v>26000</v>
      </c>
      <c r="I63" s="9">
        <v>0</v>
      </c>
      <c r="J63" s="9">
        <v>71500</v>
      </c>
      <c r="K63" s="9">
        <v>26000</v>
      </c>
      <c r="L63" s="9">
        <v>20500</v>
      </c>
      <c r="M63" s="9">
        <v>19500</v>
      </c>
      <c r="N63" s="9">
        <v>26000</v>
      </c>
      <c r="O63" s="9">
        <v>52000</v>
      </c>
      <c r="P63" s="9">
        <f t="shared" si="3"/>
        <v>326000</v>
      </c>
      <c r="R63" s="13">
        <f>+'Fiscal Period Ended 6-19'!P67</f>
        <v>332500</v>
      </c>
      <c r="T63" s="13">
        <f t="shared" si="4"/>
        <v>6500</v>
      </c>
    </row>
    <row r="64" spans="1:20" x14ac:dyDescent="0.25">
      <c r="A64" s="16" t="s">
        <v>126</v>
      </c>
      <c r="B64" s="3" t="s">
        <v>127</v>
      </c>
      <c r="C64" s="3"/>
      <c r="D64" s="9">
        <v>6424.31</v>
      </c>
      <c r="E64" s="9">
        <v>6250</v>
      </c>
      <c r="F64" s="9">
        <v>6250</v>
      </c>
      <c r="G64" s="9">
        <v>6357.33</v>
      </c>
      <c r="H64" s="9">
        <v>6294.7</v>
      </c>
      <c r="I64" s="9">
        <v>6477.04</v>
      </c>
      <c r="J64" s="9">
        <v>6253.27</v>
      </c>
      <c r="K64" s="9">
        <v>6809.91</v>
      </c>
      <c r="L64" s="9">
        <v>6322.47</v>
      </c>
      <c r="M64" s="9">
        <v>6298.19</v>
      </c>
      <c r="N64" s="9">
        <v>6285.86</v>
      </c>
      <c r="O64" s="9">
        <v>6310.5</v>
      </c>
      <c r="P64" s="9">
        <f t="shared" si="3"/>
        <v>76333.58</v>
      </c>
      <c r="R64" s="13">
        <f>+'Fiscal Period Ended 6-19'!P68</f>
        <v>75914.23</v>
      </c>
      <c r="T64" s="13">
        <f t="shared" si="4"/>
        <v>-419.35000000000582</v>
      </c>
    </row>
    <row r="65" spans="1:20" x14ac:dyDescent="0.25">
      <c r="A65" s="16" t="s">
        <v>128</v>
      </c>
      <c r="B65" s="3" t="s">
        <v>129</v>
      </c>
      <c r="C65" s="3"/>
      <c r="D65" s="9">
        <v>0</v>
      </c>
      <c r="E65" s="9">
        <v>0</v>
      </c>
      <c r="F65" s="9">
        <v>55.79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f t="shared" si="3"/>
        <v>55.79</v>
      </c>
      <c r="R65" s="13">
        <f>+'Fiscal Period Ended 6-19'!P69</f>
        <v>0</v>
      </c>
      <c r="T65" s="13">
        <f t="shared" si="4"/>
        <v>-55.79</v>
      </c>
    </row>
    <row r="66" spans="1:20" x14ac:dyDescent="0.25">
      <c r="A66" s="16" t="s">
        <v>130</v>
      </c>
      <c r="B66" s="3" t="s">
        <v>131</v>
      </c>
      <c r="C66" s="3"/>
      <c r="D66" s="9">
        <v>333.03</v>
      </c>
      <c r="E66" s="9">
        <v>616.59</v>
      </c>
      <c r="F66" s="9">
        <v>380.93</v>
      </c>
      <c r="G66" s="9">
        <v>560.04000000000008</v>
      </c>
      <c r="H66" s="9">
        <v>183.98</v>
      </c>
      <c r="I66" s="9">
        <v>283.07</v>
      </c>
      <c r="J66" s="9">
        <v>238.43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f t="shared" si="3"/>
        <v>2596.0700000000002</v>
      </c>
      <c r="R66" s="13">
        <f>+'Fiscal Period Ended 6-19'!P70</f>
        <v>238.43</v>
      </c>
      <c r="T66" s="13">
        <f t="shared" si="4"/>
        <v>-2357.6400000000003</v>
      </c>
    </row>
    <row r="67" spans="1:20" x14ac:dyDescent="0.25">
      <c r="A67" s="16" t="s">
        <v>132</v>
      </c>
      <c r="B67" s="3" t="s">
        <v>133</v>
      </c>
      <c r="C67" s="3"/>
      <c r="D67" s="9">
        <v>140.88999999999999</v>
      </c>
      <c r="E67" s="9">
        <v>302.44</v>
      </c>
      <c r="F67" s="9">
        <v>449.13</v>
      </c>
      <c r="G67" s="9">
        <v>153</v>
      </c>
      <c r="H67" s="9">
        <v>76.069999999999993</v>
      </c>
      <c r="I67" s="9">
        <v>241.19</v>
      </c>
      <c r="J67" s="9">
        <v>53.76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f t="shared" si="3"/>
        <v>1416.48</v>
      </c>
      <c r="R67" s="13">
        <f>+'Fiscal Period Ended 6-19'!P71</f>
        <v>53.76</v>
      </c>
      <c r="T67" s="13">
        <f t="shared" si="4"/>
        <v>-1362.72</v>
      </c>
    </row>
    <row r="68" spans="1:20" x14ac:dyDescent="0.25">
      <c r="A68" s="16" t="s">
        <v>134</v>
      </c>
      <c r="B68" s="3" t="s">
        <v>135</v>
      </c>
      <c r="C68" s="3"/>
      <c r="D68" s="9">
        <v>600</v>
      </c>
      <c r="E68" s="9">
        <v>600</v>
      </c>
      <c r="F68" s="9">
        <v>600</v>
      </c>
      <c r="G68" s="9">
        <v>600</v>
      </c>
      <c r="H68" s="9">
        <v>600</v>
      </c>
      <c r="I68" s="9">
        <v>600</v>
      </c>
      <c r="J68" s="9">
        <v>600</v>
      </c>
      <c r="K68" s="9">
        <v>600</v>
      </c>
      <c r="L68" s="9">
        <v>600</v>
      </c>
      <c r="M68" s="9">
        <v>600</v>
      </c>
      <c r="N68" s="9">
        <v>600</v>
      </c>
      <c r="O68" s="9">
        <v>600</v>
      </c>
      <c r="P68" s="9">
        <f t="shared" si="3"/>
        <v>7200</v>
      </c>
      <c r="R68" s="13">
        <f>+'Fiscal Period Ended 6-19'!P72</f>
        <v>7200</v>
      </c>
      <c r="T68" s="13">
        <f t="shared" si="4"/>
        <v>0</v>
      </c>
    </row>
    <row r="69" spans="1:20" x14ac:dyDescent="0.25">
      <c r="A69" s="16" t="s">
        <v>136</v>
      </c>
      <c r="B69" s="3" t="s">
        <v>137</v>
      </c>
      <c r="C69" s="3"/>
      <c r="D69" s="9">
        <v>376904.71</v>
      </c>
      <c r="E69" s="9">
        <v>376904.71</v>
      </c>
      <c r="F69" s="9">
        <v>376904.71</v>
      </c>
      <c r="G69" s="9">
        <v>370633.24</v>
      </c>
      <c r="H69" s="9">
        <v>387885.3</v>
      </c>
      <c r="I69" s="9">
        <v>387885.3</v>
      </c>
      <c r="J69" s="9">
        <v>387885.3</v>
      </c>
      <c r="K69" s="9">
        <v>387885.3</v>
      </c>
      <c r="L69" s="9">
        <v>387885.3</v>
      </c>
      <c r="M69" s="9">
        <v>392999.17</v>
      </c>
      <c r="N69" s="9">
        <v>392999.17</v>
      </c>
      <c r="O69" s="9">
        <v>392999.17</v>
      </c>
      <c r="P69" s="9">
        <f t="shared" si="3"/>
        <v>4619771.38</v>
      </c>
      <c r="R69" s="13">
        <f>+'Fiscal Period Ended 6-19'!P73</f>
        <v>4793276.8</v>
      </c>
      <c r="T69" s="13">
        <f t="shared" si="4"/>
        <v>173505.41999999993</v>
      </c>
    </row>
    <row r="70" spans="1:20" x14ac:dyDescent="0.25">
      <c r="A70" s="16" t="s">
        <v>138</v>
      </c>
      <c r="B70" s="3" t="s">
        <v>139</v>
      </c>
      <c r="C70" s="3"/>
      <c r="D70" s="9">
        <v>8035.12</v>
      </c>
      <c r="E70" s="9">
        <v>8035.12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f t="shared" si="3"/>
        <v>16070.24</v>
      </c>
      <c r="R70" s="13">
        <f>+'Fiscal Period Ended 6-19'!P74</f>
        <v>0</v>
      </c>
      <c r="T70" s="13">
        <f t="shared" si="4"/>
        <v>-16070.24</v>
      </c>
    </row>
    <row r="71" spans="1:20" x14ac:dyDescent="0.25">
      <c r="A71" s="16" t="s">
        <v>140</v>
      </c>
      <c r="B71" s="3" t="s">
        <v>141</v>
      </c>
      <c r="C71" s="3"/>
      <c r="D71" s="9">
        <v>5791.86</v>
      </c>
      <c r="E71" s="9">
        <v>5791.86</v>
      </c>
      <c r="F71" s="9">
        <v>5791.86</v>
      </c>
      <c r="G71" s="9">
        <v>5791.86</v>
      </c>
      <c r="H71" s="9">
        <v>5791.86</v>
      </c>
      <c r="I71" s="9">
        <v>5791.86</v>
      </c>
      <c r="J71" s="9">
        <v>5791.86</v>
      </c>
      <c r="K71" s="9">
        <v>5791.86</v>
      </c>
      <c r="L71" s="9">
        <v>5791.86</v>
      </c>
      <c r="M71" s="9">
        <v>5791.86</v>
      </c>
      <c r="N71" s="9">
        <v>5791.86</v>
      </c>
      <c r="O71" s="9">
        <v>5791.86</v>
      </c>
      <c r="P71" s="9">
        <f t="shared" si="3"/>
        <v>69502.319999999992</v>
      </c>
      <c r="R71" s="13">
        <f>+'Fiscal Period Ended 6-19'!P75</f>
        <v>69502.319999999992</v>
      </c>
      <c r="T71" s="13">
        <f t="shared" si="4"/>
        <v>0</v>
      </c>
    </row>
    <row r="72" spans="1:20" x14ac:dyDescent="0.25">
      <c r="A72" s="16" t="s">
        <v>142</v>
      </c>
      <c r="B72" s="3" t="s">
        <v>143</v>
      </c>
      <c r="C72" s="3"/>
      <c r="D72" s="9">
        <v>0</v>
      </c>
      <c r="E72" s="9">
        <v>28.06</v>
      </c>
      <c r="F72" s="9">
        <v>0</v>
      </c>
      <c r="G72" s="9">
        <v>0</v>
      </c>
      <c r="H72" s="9">
        <v>227.54</v>
      </c>
      <c r="I72" s="9">
        <v>0</v>
      </c>
      <c r="J72" s="9">
        <v>14.25</v>
      </c>
      <c r="K72" s="9">
        <v>0</v>
      </c>
      <c r="L72" s="9">
        <v>0</v>
      </c>
      <c r="M72" s="9">
        <v>46.42</v>
      </c>
      <c r="N72" s="9">
        <v>37.22</v>
      </c>
      <c r="O72" s="9">
        <v>0</v>
      </c>
      <c r="P72" s="9">
        <f t="shared" si="3"/>
        <v>353.49</v>
      </c>
      <c r="R72" s="13">
        <f>+'Fiscal Period Ended 6-19'!P76</f>
        <v>125.14</v>
      </c>
      <c r="T72" s="13">
        <f t="shared" si="4"/>
        <v>-228.35000000000002</v>
      </c>
    </row>
    <row r="73" spans="1:20" x14ac:dyDescent="0.25">
      <c r="A73" s="16" t="s">
        <v>144</v>
      </c>
      <c r="B73" s="3" t="s">
        <v>145</v>
      </c>
      <c r="C73" s="3"/>
      <c r="D73" s="9">
        <v>0</v>
      </c>
      <c r="E73" s="9">
        <v>0</v>
      </c>
      <c r="F73" s="9">
        <v>0</v>
      </c>
      <c r="G73" s="9">
        <v>73.42</v>
      </c>
      <c r="H73" s="9">
        <v>0</v>
      </c>
      <c r="I73" s="9">
        <v>400</v>
      </c>
      <c r="J73" s="9">
        <v>0</v>
      </c>
      <c r="K73" s="9">
        <v>23.62</v>
      </c>
      <c r="L73" s="9">
        <v>214</v>
      </c>
      <c r="M73" s="9">
        <v>-214</v>
      </c>
      <c r="N73" s="9">
        <v>221.45</v>
      </c>
      <c r="O73" s="9">
        <v>156.21</v>
      </c>
      <c r="P73" s="9">
        <f t="shared" si="3"/>
        <v>874.7</v>
      </c>
      <c r="R73" s="13">
        <f>+'Fiscal Period Ended 6-19'!P77</f>
        <v>972.2</v>
      </c>
      <c r="T73" s="13">
        <f t="shared" si="4"/>
        <v>97.5</v>
      </c>
    </row>
    <row r="74" spans="1:20" x14ac:dyDescent="0.25">
      <c r="A74" s="16" t="s">
        <v>146</v>
      </c>
      <c r="B74" s="3" t="s">
        <v>147</v>
      </c>
      <c r="C74" s="3"/>
      <c r="D74" s="9">
        <v>118.6</v>
      </c>
      <c r="E74" s="9">
        <v>173.37</v>
      </c>
      <c r="F74" s="9">
        <v>214.08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f t="shared" si="3"/>
        <v>506.05000000000007</v>
      </c>
      <c r="R74" s="13">
        <f>+'Fiscal Period Ended 6-19'!P78</f>
        <v>0</v>
      </c>
      <c r="T74" s="13">
        <f t="shared" si="4"/>
        <v>-506.05000000000007</v>
      </c>
    </row>
    <row r="75" spans="1:20" x14ac:dyDescent="0.25">
      <c r="A75" s="16" t="s">
        <v>148</v>
      </c>
      <c r="B75" s="3" t="s">
        <v>149</v>
      </c>
      <c r="C75" s="3"/>
      <c r="D75" s="9">
        <v>0</v>
      </c>
      <c r="E75" s="9">
        <v>728.04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f t="shared" si="3"/>
        <v>728.04</v>
      </c>
      <c r="R75" s="13">
        <f>+'Fiscal Period Ended 6-19'!P79</f>
        <v>2417.6899999999996</v>
      </c>
      <c r="T75" s="13">
        <f t="shared" si="4"/>
        <v>1689.6499999999996</v>
      </c>
    </row>
    <row r="76" spans="1:20" x14ac:dyDescent="0.25">
      <c r="A76" s="16" t="s">
        <v>150</v>
      </c>
      <c r="B76" s="3" t="s">
        <v>151</v>
      </c>
      <c r="C76" s="3"/>
      <c r="D76" s="9">
        <v>8057.61</v>
      </c>
      <c r="E76" s="9">
        <v>12284.78</v>
      </c>
      <c r="F76" s="9">
        <v>9068.6299999999992</v>
      </c>
      <c r="G76" s="9">
        <v>15957.41</v>
      </c>
      <c r="H76" s="9">
        <v>10924.02</v>
      </c>
      <c r="I76" s="9">
        <v>19255.21</v>
      </c>
      <c r="J76" s="9">
        <v>12552.75</v>
      </c>
      <c r="K76" s="9">
        <v>17337.32</v>
      </c>
      <c r="L76" s="9">
        <v>20157.25</v>
      </c>
      <c r="M76" s="9">
        <v>17954.8</v>
      </c>
      <c r="N76" s="9">
        <v>21059.61</v>
      </c>
      <c r="O76" s="9">
        <v>13085</v>
      </c>
      <c r="P76" s="9">
        <f t="shared" si="3"/>
        <v>177694.39</v>
      </c>
      <c r="R76" s="13">
        <f>+'Fiscal Period Ended 6-19'!P80</f>
        <v>188731.3</v>
      </c>
      <c r="T76" s="13">
        <f t="shared" si="4"/>
        <v>11036.909999999974</v>
      </c>
    </row>
    <row r="77" spans="1:20" x14ac:dyDescent="0.25">
      <c r="A77" s="16" t="s">
        <v>152</v>
      </c>
      <c r="B77" s="3" t="s">
        <v>153</v>
      </c>
      <c r="C77" s="3"/>
      <c r="D77" s="9">
        <v>1097.6799999999998</v>
      </c>
      <c r="E77" s="9">
        <v>4742.1299999999992</v>
      </c>
      <c r="F77" s="9">
        <v>1434.7999999999997</v>
      </c>
      <c r="G77" s="9">
        <v>6138.82</v>
      </c>
      <c r="H77" s="9">
        <v>2786.4899999999993</v>
      </c>
      <c r="I77" s="9">
        <v>979.25</v>
      </c>
      <c r="J77" s="9">
        <v>586.68000000000006</v>
      </c>
      <c r="K77" s="9">
        <v>1804.9799999999996</v>
      </c>
      <c r="L77" s="9">
        <v>4232.78</v>
      </c>
      <c r="M77" s="9">
        <v>3874.6099999999997</v>
      </c>
      <c r="N77" s="9">
        <v>28162.21</v>
      </c>
      <c r="O77" s="9">
        <v>821.83999999999992</v>
      </c>
      <c r="P77" s="9">
        <f t="shared" si="3"/>
        <v>56662.26999999999</v>
      </c>
      <c r="R77" s="13">
        <f>+'Fiscal Period Ended 6-19'!P81</f>
        <v>55288.059999999983</v>
      </c>
      <c r="T77" s="13">
        <f t="shared" si="4"/>
        <v>-1374.2100000000064</v>
      </c>
    </row>
    <row r="78" spans="1:20" x14ac:dyDescent="0.25">
      <c r="A78" s="16" t="s">
        <v>154</v>
      </c>
      <c r="B78" s="3" t="s">
        <v>155</v>
      </c>
      <c r="C78" s="3"/>
      <c r="D78" s="9">
        <v>18221.77</v>
      </c>
      <c r="E78" s="9">
        <v>11882.56</v>
      </c>
      <c r="F78" s="9">
        <v>13939.07</v>
      </c>
      <c r="G78" s="9">
        <v>11664.29</v>
      </c>
      <c r="H78" s="9">
        <v>12658</v>
      </c>
      <c r="I78" s="9">
        <v>16076.54</v>
      </c>
      <c r="J78" s="9">
        <v>27073.27</v>
      </c>
      <c r="K78" s="9">
        <v>19407.57</v>
      </c>
      <c r="L78" s="9">
        <v>14330.21</v>
      </c>
      <c r="M78" s="9">
        <v>14632.49</v>
      </c>
      <c r="N78" s="9">
        <v>13584.67</v>
      </c>
      <c r="O78" s="9">
        <v>13418.39</v>
      </c>
      <c r="P78" s="9">
        <f t="shared" si="3"/>
        <v>186888.83000000002</v>
      </c>
      <c r="R78" s="13">
        <f>+'Fiscal Period Ended 6-19'!P82</f>
        <v>171796.00999999998</v>
      </c>
      <c r="T78" s="13">
        <f t="shared" si="4"/>
        <v>-15092.820000000036</v>
      </c>
    </row>
    <row r="79" spans="1:20" x14ac:dyDescent="0.25">
      <c r="A79" s="16" t="s">
        <v>156</v>
      </c>
      <c r="B79" s="3" t="s">
        <v>157</v>
      </c>
      <c r="C79" s="3"/>
      <c r="D79" s="9">
        <v>949.06999999999994</v>
      </c>
      <c r="E79" s="9">
        <v>2475.5</v>
      </c>
      <c r="F79" s="9">
        <v>1460.7499999999998</v>
      </c>
      <c r="G79" s="9">
        <v>9521.6</v>
      </c>
      <c r="H79" s="9">
        <v>2786.47</v>
      </c>
      <c r="I79" s="9">
        <v>1637.9799999999998</v>
      </c>
      <c r="J79" s="9">
        <v>133.76</v>
      </c>
      <c r="K79" s="9">
        <v>983.33999999999992</v>
      </c>
      <c r="L79" s="9">
        <v>3498.9900000000002</v>
      </c>
      <c r="M79" s="9">
        <v>4066.84</v>
      </c>
      <c r="N79" s="9">
        <v>31912.39</v>
      </c>
      <c r="O79" s="9">
        <v>1164.6599999999999</v>
      </c>
      <c r="P79" s="9">
        <f t="shared" ref="P79:P118" si="5">SUM(D79:O79)</f>
        <v>60591.350000000006</v>
      </c>
      <c r="R79" s="13">
        <f>+'Fiscal Period Ended 6-19'!P83</f>
        <v>62716.719999999994</v>
      </c>
      <c r="T79" s="13">
        <f t="shared" si="4"/>
        <v>2125.3699999999881</v>
      </c>
    </row>
    <row r="80" spans="1:20" x14ac:dyDescent="0.25">
      <c r="A80" s="16" t="s">
        <v>158</v>
      </c>
      <c r="B80" s="3" t="s">
        <v>159</v>
      </c>
      <c r="C80" s="3"/>
      <c r="D80" s="9">
        <v>0</v>
      </c>
      <c r="E80" s="9">
        <v>1322.85</v>
      </c>
      <c r="F80" s="9">
        <v>0</v>
      </c>
      <c r="G80" s="9">
        <v>137.63</v>
      </c>
      <c r="H80" s="9">
        <v>0</v>
      </c>
      <c r="I80" s="9">
        <v>7696.68</v>
      </c>
      <c r="J80" s="9">
        <v>1272.3599999999999</v>
      </c>
      <c r="K80" s="9">
        <v>1272.8599999999999</v>
      </c>
      <c r="L80" s="9">
        <v>0</v>
      </c>
      <c r="M80" s="9">
        <v>0</v>
      </c>
      <c r="N80" s="9">
        <v>7313.97</v>
      </c>
      <c r="O80" s="9">
        <v>0</v>
      </c>
      <c r="P80" s="9">
        <f t="shared" si="5"/>
        <v>19016.350000000002</v>
      </c>
      <c r="R80" s="13">
        <f>+'Fiscal Period Ended 6-19'!P84</f>
        <v>17837.919999999998</v>
      </c>
      <c r="T80" s="13">
        <f t="shared" ref="T80:T120" si="6">+R80-P80</f>
        <v>-1178.4300000000039</v>
      </c>
    </row>
    <row r="81" spans="1:20" x14ac:dyDescent="0.25">
      <c r="A81" s="16" t="s">
        <v>160</v>
      </c>
      <c r="B81" s="3" t="s">
        <v>161</v>
      </c>
      <c r="C81" s="3"/>
      <c r="D81" s="9">
        <v>11408.56</v>
      </c>
      <c r="E81" s="9">
        <v>9161.56</v>
      </c>
      <c r="F81" s="9">
        <v>12616.85</v>
      </c>
      <c r="G81" s="9">
        <v>9105.85</v>
      </c>
      <c r="H81" s="9">
        <v>10329.56</v>
      </c>
      <c r="I81" s="9">
        <v>10096.56</v>
      </c>
      <c r="J81" s="9">
        <v>10965.39</v>
      </c>
      <c r="K81" s="9">
        <v>10599.25</v>
      </c>
      <c r="L81" s="9">
        <v>11757.31</v>
      </c>
      <c r="M81" s="9">
        <v>10696.97</v>
      </c>
      <c r="N81" s="9">
        <v>10592.31</v>
      </c>
      <c r="O81" s="9">
        <v>10568.31</v>
      </c>
      <c r="P81" s="9">
        <f t="shared" si="5"/>
        <v>127898.47999999998</v>
      </c>
      <c r="R81" s="13">
        <f>+'Fiscal Period Ended 6-19'!P85</f>
        <v>149309.03</v>
      </c>
      <c r="T81" s="13">
        <f t="shared" si="6"/>
        <v>21410.550000000017</v>
      </c>
    </row>
    <row r="82" spans="1:20" x14ac:dyDescent="0.25">
      <c r="A82" s="16" t="s">
        <v>162</v>
      </c>
      <c r="B82" s="3" t="s">
        <v>163</v>
      </c>
      <c r="C82" s="3"/>
      <c r="D82" s="9">
        <v>542.32000000000005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3819.76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f t="shared" si="5"/>
        <v>4362.08</v>
      </c>
      <c r="R82" s="13">
        <f>+'Fiscal Period Ended 6-19'!P86</f>
        <v>4379.9800000000005</v>
      </c>
      <c r="T82" s="13">
        <f t="shared" si="6"/>
        <v>17.900000000000546</v>
      </c>
    </row>
    <row r="83" spans="1:20" x14ac:dyDescent="0.25">
      <c r="A83" s="16" t="s">
        <v>164</v>
      </c>
      <c r="B83" s="3" t="s">
        <v>165</v>
      </c>
      <c r="C83" s="3"/>
      <c r="D83" s="9">
        <v>63.5</v>
      </c>
      <c r="E83" s="9">
        <v>410.04999999999995</v>
      </c>
      <c r="F83" s="9">
        <v>507.64</v>
      </c>
      <c r="G83" s="9">
        <v>233.64000000000001</v>
      </c>
      <c r="H83" s="9">
        <v>1201.67</v>
      </c>
      <c r="I83" s="9">
        <v>628.75</v>
      </c>
      <c r="J83" s="9">
        <v>190.95</v>
      </c>
      <c r="K83" s="9">
        <v>121.11</v>
      </c>
      <c r="L83" s="9">
        <v>620.82000000000005</v>
      </c>
      <c r="M83" s="9">
        <v>190.91</v>
      </c>
      <c r="N83" s="9">
        <v>190.95</v>
      </c>
      <c r="O83" s="9">
        <v>963.87</v>
      </c>
      <c r="P83" s="9">
        <f t="shared" si="5"/>
        <v>5323.86</v>
      </c>
      <c r="R83" s="13">
        <f>+'Fiscal Period Ended 6-19'!P87</f>
        <v>4865.3700000000008</v>
      </c>
      <c r="T83" s="13">
        <f t="shared" si="6"/>
        <v>-458.48999999999887</v>
      </c>
    </row>
    <row r="84" spans="1:20" x14ac:dyDescent="0.25">
      <c r="A84" s="16" t="s">
        <v>166</v>
      </c>
      <c r="B84" s="3" t="s">
        <v>167</v>
      </c>
      <c r="C84" s="3"/>
      <c r="D84" s="9">
        <v>52.28</v>
      </c>
      <c r="E84" s="9">
        <v>133.82</v>
      </c>
      <c r="F84" s="9">
        <v>1366</v>
      </c>
      <c r="G84" s="9">
        <v>587.76</v>
      </c>
      <c r="H84" s="9">
        <v>338.6</v>
      </c>
      <c r="I84" s="9">
        <v>504.25000000000006</v>
      </c>
      <c r="J84" s="9">
        <v>116.67</v>
      </c>
      <c r="K84" s="9">
        <v>832.8</v>
      </c>
      <c r="L84" s="9">
        <v>1333.9299999999998</v>
      </c>
      <c r="M84" s="9">
        <v>346.92</v>
      </c>
      <c r="N84" s="9">
        <v>64.31</v>
      </c>
      <c r="O84" s="9">
        <v>230.33999999999997</v>
      </c>
      <c r="P84" s="9">
        <f t="shared" si="5"/>
        <v>5907.6799999999994</v>
      </c>
      <c r="R84" s="13">
        <f>+'Fiscal Period Ended 6-19'!P88</f>
        <v>10888.07</v>
      </c>
      <c r="T84" s="13">
        <f t="shared" si="6"/>
        <v>4980.3900000000003</v>
      </c>
    </row>
    <row r="85" spans="1:20" x14ac:dyDescent="0.25">
      <c r="A85" s="16" t="s">
        <v>168</v>
      </c>
      <c r="B85" s="3" t="s">
        <v>169</v>
      </c>
      <c r="C85" s="3"/>
      <c r="D85" s="9">
        <v>50007.11</v>
      </c>
      <c r="E85" s="9">
        <v>59974.770000000004</v>
      </c>
      <c r="F85" s="9">
        <v>49415.35</v>
      </c>
      <c r="G85" s="9">
        <v>47248.08</v>
      </c>
      <c r="H85" s="9">
        <v>50389.45</v>
      </c>
      <c r="I85" s="9">
        <v>50013.520000000004</v>
      </c>
      <c r="J85" s="9">
        <v>48954.3</v>
      </c>
      <c r="K85" s="9">
        <v>50281.66</v>
      </c>
      <c r="L85" s="9">
        <v>47395.19</v>
      </c>
      <c r="M85" s="9">
        <v>47820.98</v>
      </c>
      <c r="N85" s="9">
        <v>52764.06</v>
      </c>
      <c r="O85" s="9">
        <v>53265.88</v>
      </c>
      <c r="P85" s="9">
        <f t="shared" si="5"/>
        <v>607530.35</v>
      </c>
      <c r="R85" s="13">
        <f>+'Fiscal Period Ended 6-19'!P89</f>
        <v>603220.17000000004</v>
      </c>
      <c r="T85" s="13">
        <f t="shared" si="6"/>
        <v>-4310.1799999999348</v>
      </c>
    </row>
    <row r="86" spans="1:20" x14ac:dyDescent="0.25">
      <c r="A86" s="16" t="s">
        <v>170</v>
      </c>
      <c r="B86" s="3" t="s">
        <v>171</v>
      </c>
      <c r="C86" s="3"/>
      <c r="D86" s="9">
        <v>54912.600000000006</v>
      </c>
      <c r="E86" s="9">
        <v>79015.179999999993</v>
      </c>
      <c r="F86" s="9">
        <v>56703.9</v>
      </c>
      <c r="G86" s="9">
        <v>57859.240000000005</v>
      </c>
      <c r="H86" s="9">
        <v>64955.519999999997</v>
      </c>
      <c r="I86" s="9">
        <v>66539.88</v>
      </c>
      <c r="J86" s="9">
        <v>52280.520000000004</v>
      </c>
      <c r="K86" s="9">
        <v>64084.14</v>
      </c>
      <c r="L86" s="9">
        <v>59251.44</v>
      </c>
      <c r="M86" s="9">
        <v>57951.6</v>
      </c>
      <c r="N86" s="9">
        <v>68701.679999999993</v>
      </c>
      <c r="O86" s="9">
        <v>69586.329999999987</v>
      </c>
      <c r="P86" s="9">
        <f t="shared" si="5"/>
        <v>751842.02999999991</v>
      </c>
      <c r="R86" s="13">
        <f>+'Fiscal Period Ended 6-19'!P90</f>
        <v>739625.38</v>
      </c>
      <c r="T86" s="13">
        <f t="shared" si="6"/>
        <v>-12216.649999999907</v>
      </c>
    </row>
    <row r="87" spans="1:20" x14ac:dyDescent="0.25">
      <c r="A87" s="16" t="s">
        <v>172</v>
      </c>
      <c r="B87" s="3" t="s">
        <v>173</v>
      </c>
      <c r="C87" s="3"/>
      <c r="D87" s="9">
        <v>21107.21</v>
      </c>
      <c r="E87" s="9">
        <v>18499.12</v>
      </c>
      <c r="F87" s="9">
        <v>20748.37</v>
      </c>
      <c r="G87" s="9">
        <v>19101.060000000001</v>
      </c>
      <c r="H87" s="9">
        <v>20127.55</v>
      </c>
      <c r="I87" s="9">
        <v>18439.05</v>
      </c>
      <c r="J87" s="9">
        <v>19488.509999999998</v>
      </c>
      <c r="K87" s="9">
        <v>21067.89</v>
      </c>
      <c r="L87" s="9">
        <v>20416.43</v>
      </c>
      <c r="M87" s="9">
        <v>22542.23</v>
      </c>
      <c r="N87" s="9">
        <v>20810.330000000002</v>
      </c>
      <c r="O87" s="9">
        <v>19793.89</v>
      </c>
      <c r="P87" s="9">
        <f t="shared" si="5"/>
        <v>242141.64</v>
      </c>
      <c r="R87" s="13">
        <f>+'Fiscal Period Ended 6-19'!P91</f>
        <v>248076.71</v>
      </c>
      <c r="T87" s="13">
        <f t="shared" si="6"/>
        <v>5935.0699999999779</v>
      </c>
    </row>
    <row r="88" spans="1:20" x14ac:dyDescent="0.25">
      <c r="A88" s="16" t="s">
        <v>174</v>
      </c>
      <c r="B88" s="3" t="s">
        <v>175</v>
      </c>
      <c r="C88" s="3"/>
      <c r="D88" s="9">
        <v>6773.5300000000007</v>
      </c>
      <c r="E88" s="9">
        <v>578.3900000000001</v>
      </c>
      <c r="F88" s="9">
        <v>1516.74</v>
      </c>
      <c r="G88" s="9">
        <v>639.66</v>
      </c>
      <c r="H88" s="9">
        <v>760.6</v>
      </c>
      <c r="I88" s="9">
        <v>3706.24</v>
      </c>
      <c r="J88" s="9">
        <v>1123.5999999999999</v>
      </c>
      <c r="K88" s="9">
        <v>2879.2799999999997</v>
      </c>
      <c r="L88" s="9">
        <v>2061.4699999999998</v>
      </c>
      <c r="M88" s="9">
        <v>4274.28</v>
      </c>
      <c r="N88" s="9">
        <v>13487.900000000001</v>
      </c>
      <c r="O88" s="9">
        <v>12040.189999999999</v>
      </c>
      <c r="P88" s="9">
        <f t="shared" si="5"/>
        <v>49841.880000000005</v>
      </c>
      <c r="R88" s="13">
        <f>+'Fiscal Period Ended 6-19'!P92</f>
        <v>41753.450000000012</v>
      </c>
      <c r="T88" s="13">
        <f t="shared" si="6"/>
        <v>-8088.429999999993</v>
      </c>
    </row>
    <row r="89" spans="1:20" x14ac:dyDescent="0.25">
      <c r="A89" s="16" t="s">
        <v>176</v>
      </c>
      <c r="B89" s="3" t="s">
        <v>177</v>
      </c>
      <c r="C89" s="3"/>
      <c r="D89" s="9">
        <v>171.6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187.2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f t="shared" si="5"/>
        <v>358.79999999999995</v>
      </c>
      <c r="R89" s="13">
        <f>+'Fiscal Period Ended 6-19'!P93</f>
        <v>374.4</v>
      </c>
      <c r="T89" s="13">
        <f t="shared" si="6"/>
        <v>15.600000000000023</v>
      </c>
    </row>
    <row r="90" spans="1:20" x14ac:dyDescent="0.25">
      <c r="A90" s="16" t="s">
        <v>178</v>
      </c>
      <c r="B90" s="3" t="s">
        <v>179</v>
      </c>
      <c r="C90" s="3"/>
      <c r="D90" s="9">
        <v>398.78999999999996</v>
      </c>
      <c r="E90" s="9">
        <v>2230.1999999999998</v>
      </c>
      <c r="F90" s="9">
        <v>312.96000000000004</v>
      </c>
      <c r="G90" s="9">
        <v>335.96000000000004</v>
      </c>
      <c r="H90" s="9">
        <v>312.98</v>
      </c>
      <c r="I90" s="9">
        <v>312.98</v>
      </c>
      <c r="J90" s="9">
        <v>332.46000000000004</v>
      </c>
      <c r="K90" s="9">
        <v>2351.4499999999998</v>
      </c>
      <c r="L90" s="9">
        <v>374.06</v>
      </c>
      <c r="M90" s="9">
        <v>386.45000000000005</v>
      </c>
      <c r="N90" s="9">
        <v>391.05</v>
      </c>
      <c r="O90" s="9">
        <v>409.45000000000005</v>
      </c>
      <c r="P90" s="9">
        <f t="shared" si="5"/>
        <v>8148.79</v>
      </c>
      <c r="R90" s="13">
        <f>+'Fiscal Period Ended 6-19'!P94</f>
        <v>8411.5499999999993</v>
      </c>
      <c r="T90" s="13">
        <f t="shared" si="6"/>
        <v>262.75999999999931</v>
      </c>
    </row>
    <row r="91" spans="1:20" x14ac:dyDescent="0.25">
      <c r="A91" s="16" t="s">
        <v>180</v>
      </c>
      <c r="B91" s="3" t="s">
        <v>181</v>
      </c>
      <c r="C91" s="3"/>
      <c r="D91" s="9">
        <v>378.65</v>
      </c>
      <c r="E91" s="9">
        <v>597.97</v>
      </c>
      <c r="F91" s="9">
        <v>436.38</v>
      </c>
      <c r="G91" s="9">
        <v>319.11</v>
      </c>
      <c r="H91" s="9">
        <v>1496.52</v>
      </c>
      <c r="I91" s="9">
        <v>921.86999999999989</v>
      </c>
      <c r="J91" s="9">
        <v>1750.38</v>
      </c>
      <c r="K91" s="9">
        <v>1023.29</v>
      </c>
      <c r="L91" s="9">
        <v>524.42999999999995</v>
      </c>
      <c r="M91" s="9">
        <v>2631.0699999999997</v>
      </c>
      <c r="N91" s="9">
        <v>896.70999999999992</v>
      </c>
      <c r="O91" s="9">
        <v>2767.3599999999997</v>
      </c>
      <c r="P91" s="9">
        <f t="shared" si="5"/>
        <v>13743.739999999998</v>
      </c>
      <c r="R91" s="13">
        <f>+'Fiscal Period Ended 6-19'!P95</f>
        <v>20053.09</v>
      </c>
      <c r="T91" s="13">
        <f t="shared" si="6"/>
        <v>6309.3500000000022</v>
      </c>
    </row>
    <row r="92" spans="1:20" x14ac:dyDescent="0.25">
      <c r="A92" s="16" t="s">
        <v>182</v>
      </c>
      <c r="B92" s="3" t="s">
        <v>183</v>
      </c>
      <c r="C92" s="3"/>
      <c r="D92" s="9">
        <v>232.67000000000002</v>
      </c>
      <c r="E92" s="9">
        <v>349.64</v>
      </c>
      <c r="F92" s="9">
        <v>3310.04</v>
      </c>
      <c r="G92" s="9">
        <v>144.16</v>
      </c>
      <c r="H92" s="9">
        <v>755.29</v>
      </c>
      <c r="I92" s="9">
        <v>391.03</v>
      </c>
      <c r="J92" s="9">
        <v>681.1</v>
      </c>
      <c r="K92" s="9">
        <v>733.72</v>
      </c>
      <c r="L92" s="9">
        <v>1827.45</v>
      </c>
      <c r="M92" s="9">
        <v>752.52</v>
      </c>
      <c r="N92" s="9">
        <v>942.8</v>
      </c>
      <c r="O92" s="9">
        <v>3259.3199999999997</v>
      </c>
      <c r="P92" s="9">
        <f t="shared" si="5"/>
        <v>13379.74</v>
      </c>
      <c r="R92" s="13">
        <f>+'Fiscal Period Ended 6-19'!P96</f>
        <v>14591.77</v>
      </c>
      <c r="T92" s="13">
        <f t="shared" si="6"/>
        <v>1212.0300000000007</v>
      </c>
    </row>
    <row r="93" spans="1:20" x14ac:dyDescent="0.25">
      <c r="A93" s="16" t="s">
        <v>184</v>
      </c>
      <c r="B93" s="3" t="s">
        <v>185</v>
      </c>
      <c r="C93" s="3"/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528.39</v>
      </c>
      <c r="L93" s="9">
        <v>0</v>
      </c>
      <c r="M93" s="9">
        <v>-528.39</v>
      </c>
      <c r="N93" s="9">
        <v>0</v>
      </c>
      <c r="O93" s="9">
        <v>0</v>
      </c>
      <c r="P93" s="9">
        <f t="shared" si="5"/>
        <v>0</v>
      </c>
      <c r="R93" s="13">
        <f>+'Fiscal Period Ended 6-19'!P97</f>
        <v>0</v>
      </c>
      <c r="T93" s="13">
        <f t="shared" si="6"/>
        <v>0</v>
      </c>
    </row>
    <row r="94" spans="1:20" x14ac:dyDescent="0.25">
      <c r="A94" s="16" t="s">
        <v>186</v>
      </c>
      <c r="B94" s="3" t="s">
        <v>187</v>
      </c>
      <c r="C94" s="3"/>
      <c r="D94" s="9">
        <v>5440.25</v>
      </c>
      <c r="E94" s="9">
        <v>6003.26</v>
      </c>
      <c r="F94" s="9">
        <v>5367.53</v>
      </c>
      <c r="G94" s="9">
        <v>5075.7099999999991</v>
      </c>
      <c r="H94" s="9">
        <v>4530.92</v>
      </c>
      <c r="I94" s="9">
        <v>3514.4100000000003</v>
      </c>
      <c r="J94" s="9">
        <v>3492.33</v>
      </c>
      <c r="K94" s="9">
        <v>3736.0499999999997</v>
      </c>
      <c r="L94" s="9">
        <v>3444.0299999999997</v>
      </c>
      <c r="M94" s="9">
        <v>3729.5600000000004</v>
      </c>
      <c r="N94" s="9">
        <v>3777.67</v>
      </c>
      <c r="O94" s="9">
        <v>3059.4399999999996</v>
      </c>
      <c r="P94" s="9">
        <f t="shared" si="5"/>
        <v>51171.159999999996</v>
      </c>
      <c r="R94" s="13">
        <f>+'Fiscal Period Ended 6-19'!P98</f>
        <v>51374.21</v>
      </c>
      <c r="T94" s="13">
        <f t="shared" si="6"/>
        <v>203.05000000000291</v>
      </c>
    </row>
    <row r="95" spans="1:20" x14ac:dyDescent="0.25">
      <c r="A95" s="16" t="s">
        <v>188</v>
      </c>
      <c r="B95" s="3" t="s">
        <v>189</v>
      </c>
      <c r="C95" s="3"/>
      <c r="D95" s="9">
        <v>4718.97</v>
      </c>
      <c r="E95" s="9">
        <v>6088.88</v>
      </c>
      <c r="F95" s="9">
        <v>4453.88</v>
      </c>
      <c r="G95" s="9">
        <v>4475.17</v>
      </c>
      <c r="H95" s="9">
        <v>5027.28</v>
      </c>
      <c r="I95" s="9">
        <v>5373.8300000000008</v>
      </c>
      <c r="J95" s="9">
        <v>4175.76</v>
      </c>
      <c r="K95" s="9">
        <v>5122.6899999999996</v>
      </c>
      <c r="L95" s="9">
        <v>4780.76</v>
      </c>
      <c r="M95" s="9">
        <v>4760.2700000000004</v>
      </c>
      <c r="N95" s="9">
        <v>6287.4800000000005</v>
      </c>
      <c r="O95" s="9">
        <v>6244.4000000000005</v>
      </c>
      <c r="P95" s="9">
        <f t="shared" si="5"/>
        <v>61509.37000000001</v>
      </c>
      <c r="R95" s="13">
        <f>+'Fiscal Period Ended 6-19'!P99</f>
        <v>59956.05</v>
      </c>
      <c r="T95" s="13">
        <f t="shared" si="6"/>
        <v>-1553.320000000007</v>
      </c>
    </row>
    <row r="96" spans="1:20" x14ac:dyDescent="0.25">
      <c r="A96" s="16" t="s">
        <v>190</v>
      </c>
      <c r="B96" s="3" t="s">
        <v>191</v>
      </c>
      <c r="C96" s="3"/>
      <c r="D96" s="9">
        <v>92.45</v>
      </c>
      <c r="E96" s="9">
        <v>86.929999999999993</v>
      </c>
      <c r="F96" s="9">
        <v>53.71</v>
      </c>
      <c r="G96" s="9">
        <v>50.82</v>
      </c>
      <c r="H96" s="9">
        <v>39.97</v>
      </c>
      <c r="I96" s="9">
        <v>13.420000000000002</v>
      </c>
      <c r="J96" s="9">
        <v>4.7300000000000004</v>
      </c>
      <c r="K96" s="9">
        <v>5.15</v>
      </c>
      <c r="L96" s="9">
        <v>4.08</v>
      </c>
      <c r="M96" s="9">
        <v>4.9400000000000004</v>
      </c>
      <c r="N96" s="9">
        <v>5.15</v>
      </c>
      <c r="O96" s="9">
        <v>4.9399999999999995</v>
      </c>
      <c r="P96" s="9">
        <f t="shared" si="5"/>
        <v>366.28999999999996</v>
      </c>
      <c r="R96" s="13">
        <f>+'Fiscal Period Ended 6-19'!P100</f>
        <v>382.05999999999995</v>
      </c>
      <c r="T96" s="13">
        <f t="shared" si="6"/>
        <v>15.769999999999982</v>
      </c>
    </row>
    <row r="97" spans="1:20" x14ac:dyDescent="0.25">
      <c r="A97" s="16" t="s">
        <v>192</v>
      </c>
      <c r="B97" s="3" t="s">
        <v>193</v>
      </c>
      <c r="C97" s="3"/>
      <c r="D97" s="9">
        <v>80.2</v>
      </c>
      <c r="E97" s="9">
        <v>103.49</v>
      </c>
      <c r="F97" s="9">
        <v>75.7</v>
      </c>
      <c r="G97" s="9">
        <v>76.06</v>
      </c>
      <c r="H97" s="9">
        <v>85.44</v>
      </c>
      <c r="I97" s="9">
        <v>78.52</v>
      </c>
      <c r="J97" s="9">
        <v>31.939999999999998</v>
      </c>
      <c r="K97" s="9">
        <v>20.65</v>
      </c>
      <c r="L97" s="9">
        <v>1.47</v>
      </c>
      <c r="M97" s="9">
        <v>0</v>
      </c>
      <c r="N97" s="9">
        <v>0</v>
      </c>
      <c r="O97" s="9">
        <v>0</v>
      </c>
      <c r="P97" s="9">
        <f t="shared" si="5"/>
        <v>553.46999999999991</v>
      </c>
      <c r="R97" s="13">
        <f>+'Fiscal Period Ended 6-19'!P101</f>
        <v>539.62</v>
      </c>
      <c r="T97" s="13">
        <f t="shared" si="6"/>
        <v>-13.849999999999909</v>
      </c>
    </row>
    <row r="98" spans="1:20" x14ac:dyDescent="0.25">
      <c r="A98" s="16" t="s">
        <v>194</v>
      </c>
      <c r="B98" s="3" t="s">
        <v>195</v>
      </c>
      <c r="C98" s="3"/>
      <c r="D98" s="9">
        <v>232.81</v>
      </c>
      <c r="E98" s="9">
        <v>19.18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-0.01</v>
      </c>
      <c r="P98" s="9">
        <f t="shared" si="5"/>
        <v>251.98000000000002</v>
      </c>
      <c r="R98" s="13">
        <f>+'Fiscal Period Ended 6-19'!P102</f>
        <v>251.99</v>
      </c>
      <c r="T98" s="13">
        <f t="shared" si="6"/>
        <v>9.9999999999909051E-3</v>
      </c>
    </row>
    <row r="99" spans="1:20" x14ac:dyDescent="0.25">
      <c r="A99" s="16" t="s">
        <v>196</v>
      </c>
      <c r="B99" s="3" t="s">
        <v>197</v>
      </c>
      <c r="C99" s="3"/>
      <c r="D99" s="9">
        <v>346.22</v>
      </c>
      <c r="E99" s="9">
        <v>31.779999999999994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f t="shared" si="5"/>
        <v>378</v>
      </c>
      <c r="R99" s="13">
        <f>+'Fiscal Period Ended 6-19'!P103</f>
        <v>378.01</v>
      </c>
      <c r="T99" s="13">
        <f t="shared" si="6"/>
        <v>9.9999999999909051E-3</v>
      </c>
    </row>
    <row r="100" spans="1:20" x14ac:dyDescent="0.25">
      <c r="A100" s="16" t="s">
        <v>198</v>
      </c>
      <c r="B100" s="3" t="s">
        <v>199</v>
      </c>
      <c r="C100" s="3"/>
      <c r="D100" s="9">
        <v>631.16999999999996</v>
      </c>
      <c r="E100" s="9">
        <v>0</v>
      </c>
      <c r="F100" s="9">
        <v>0</v>
      </c>
      <c r="G100" s="9">
        <v>583.45000000000005</v>
      </c>
      <c r="H100" s="9">
        <v>0</v>
      </c>
      <c r="I100" s="9">
        <v>0</v>
      </c>
      <c r="J100" s="9">
        <v>594.65</v>
      </c>
      <c r="K100" s="9">
        <v>0</v>
      </c>
      <c r="L100" s="9">
        <v>0</v>
      </c>
      <c r="M100" s="9">
        <v>594.79</v>
      </c>
      <c r="N100" s="9">
        <v>0</v>
      </c>
      <c r="O100" s="9">
        <v>0</v>
      </c>
      <c r="P100" s="9">
        <f t="shared" si="5"/>
        <v>2404.06</v>
      </c>
      <c r="R100" s="13">
        <f>+'Fiscal Period Ended 6-19'!P104</f>
        <v>2420.6400000000003</v>
      </c>
      <c r="T100" s="13">
        <f t="shared" si="6"/>
        <v>16.580000000000382</v>
      </c>
    </row>
    <row r="101" spans="1:20" x14ac:dyDescent="0.25">
      <c r="A101" s="16" t="s">
        <v>200</v>
      </c>
      <c r="B101" s="3" t="s">
        <v>201</v>
      </c>
      <c r="C101" s="3"/>
      <c r="D101" s="9">
        <v>0</v>
      </c>
      <c r="E101" s="9">
        <v>0</v>
      </c>
      <c r="F101" s="9">
        <v>0</v>
      </c>
      <c r="G101" s="9">
        <v>337.53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337.53</v>
      </c>
      <c r="N101" s="9">
        <v>0</v>
      </c>
      <c r="O101" s="9">
        <v>0</v>
      </c>
      <c r="P101" s="9">
        <f t="shared" si="5"/>
        <v>675.06</v>
      </c>
      <c r="R101" s="13">
        <f>+'Fiscal Period Ended 6-19'!P105</f>
        <v>857.8599999999999</v>
      </c>
      <c r="T101" s="13">
        <f t="shared" si="6"/>
        <v>182.79999999999995</v>
      </c>
    </row>
    <row r="102" spans="1:20" x14ac:dyDescent="0.25">
      <c r="A102" s="16" t="s">
        <v>202</v>
      </c>
      <c r="B102" s="3" t="s">
        <v>203</v>
      </c>
      <c r="C102" s="3"/>
      <c r="D102" s="9">
        <v>0</v>
      </c>
      <c r="E102" s="9">
        <v>0</v>
      </c>
      <c r="F102" s="9">
        <v>0</v>
      </c>
      <c r="G102" s="9">
        <v>6458.17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6458.07</v>
      </c>
      <c r="N102" s="9">
        <v>0</v>
      </c>
      <c r="O102" s="9">
        <v>0</v>
      </c>
      <c r="P102" s="9">
        <f t="shared" si="5"/>
        <v>12916.24</v>
      </c>
      <c r="R102" s="13">
        <f>+'Fiscal Period Ended 6-19'!P106</f>
        <v>11949.14</v>
      </c>
      <c r="T102" s="13">
        <f t="shared" si="6"/>
        <v>-967.10000000000036</v>
      </c>
    </row>
    <row r="103" spans="1:20" x14ac:dyDescent="0.25">
      <c r="A103" s="16" t="s">
        <v>237</v>
      </c>
      <c r="B103" s="3" t="s">
        <v>238</v>
      </c>
      <c r="C103" s="3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R103" s="13">
        <f>+'Fiscal Period Ended 6-19'!P107</f>
        <v>5017.43</v>
      </c>
      <c r="T103" s="13">
        <f t="shared" si="6"/>
        <v>5017.43</v>
      </c>
    </row>
    <row r="104" spans="1:20" x14ac:dyDescent="0.25">
      <c r="A104" s="16" t="s">
        <v>204</v>
      </c>
      <c r="B104" s="3" t="s">
        <v>205</v>
      </c>
      <c r="C104" s="3"/>
      <c r="D104" s="9">
        <v>17.309999999999999</v>
      </c>
      <c r="E104" s="9">
        <v>1502.38</v>
      </c>
      <c r="F104" s="9">
        <v>0</v>
      </c>
      <c r="G104" s="9">
        <v>43.32</v>
      </c>
      <c r="H104" s="9">
        <v>0</v>
      </c>
      <c r="I104" s="9">
        <v>0</v>
      </c>
      <c r="J104" s="9">
        <v>18.899999999999999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f t="shared" si="5"/>
        <v>1581.91</v>
      </c>
      <c r="R104" s="13">
        <f>+'Fiscal Period Ended 6-19'!P108</f>
        <v>68.81</v>
      </c>
      <c r="T104" s="13">
        <f t="shared" si="6"/>
        <v>-1513.1000000000001</v>
      </c>
    </row>
    <row r="105" spans="1:20" x14ac:dyDescent="0.25">
      <c r="A105" s="16" t="s">
        <v>206</v>
      </c>
      <c r="B105" s="3" t="s">
        <v>207</v>
      </c>
      <c r="C105" s="3"/>
      <c r="D105" s="9">
        <v>820.64</v>
      </c>
      <c r="E105" s="9">
        <v>7.52</v>
      </c>
      <c r="F105" s="9">
        <v>33.54</v>
      </c>
      <c r="G105" s="9">
        <v>35.94</v>
      </c>
      <c r="H105" s="9">
        <v>33.93</v>
      </c>
      <c r="I105" s="9">
        <v>33.93</v>
      </c>
      <c r="J105" s="9">
        <v>35.53</v>
      </c>
      <c r="K105" s="9">
        <v>33.53</v>
      </c>
      <c r="L105" s="9">
        <v>35.94</v>
      </c>
      <c r="M105" s="9">
        <v>33.53</v>
      </c>
      <c r="N105" s="9">
        <v>33.93</v>
      </c>
      <c r="O105" s="9">
        <v>35.53</v>
      </c>
      <c r="P105" s="9">
        <f t="shared" si="5"/>
        <v>1173.4899999999998</v>
      </c>
      <c r="R105" s="13">
        <f>+'Fiscal Period Ended 6-19'!P109</f>
        <v>425.92</v>
      </c>
      <c r="T105" s="13">
        <f t="shared" si="6"/>
        <v>-747.56999999999971</v>
      </c>
    </row>
    <row r="106" spans="1:20" x14ac:dyDescent="0.25">
      <c r="A106" s="16" t="s">
        <v>208</v>
      </c>
      <c r="B106" s="3" t="s">
        <v>209</v>
      </c>
      <c r="C106" s="3"/>
      <c r="D106" s="9">
        <v>45965.61</v>
      </c>
      <c r="E106" s="9">
        <v>35660.26</v>
      </c>
      <c r="F106" s="9">
        <v>36826.339999999997</v>
      </c>
      <c r="G106" s="9">
        <v>6661.8499999999985</v>
      </c>
      <c r="H106" s="9">
        <v>46413.64</v>
      </c>
      <c r="I106" s="9">
        <v>53876.44</v>
      </c>
      <c r="J106" s="9">
        <v>63463.600000000006</v>
      </c>
      <c r="K106" s="9">
        <v>49891.85</v>
      </c>
      <c r="L106" s="9">
        <v>48755.33</v>
      </c>
      <c r="M106" s="9">
        <v>52252.22</v>
      </c>
      <c r="N106" s="9">
        <v>39620.300000000003</v>
      </c>
      <c r="O106" s="9">
        <v>37541.9</v>
      </c>
      <c r="P106" s="9">
        <f t="shared" si="5"/>
        <v>516929.34</v>
      </c>
      <c r="R106" s="13">
        <f>+'Fiscal Period Ended 6-19'!P110</f>
        <v>555305.85000000009</v>
      </c>
      <c r="T106" s="13">
        <f t="shared" si="6"/>
        <v>38376.510000000068</v>
      </c>
    </row>
    <row r="107" spans="1:20" x14ac:dyDescent="0.25">
      <c r="A107" s="16" t="s">
        <v>210</v>
      </c>
      <c r="B107" s="3" t="s">
        <v>211</v>
      </c>
      <c r="C107" s="3"/>
      <c r="D107" s="9">
        <v>2020.3600000000001</v>
      </c>
      <c r="E107" s="9">
        <v>1905.9499999999998</v>
      </c>
      <c r="F107" s="9">
        <v>3681.3099999999995</v>
      </c>
      <c r="G107" s="9">
        <v>2173.5</v>
      </c>
      <c r="H107" s="9">
        <v>2111.06</v>
      </c>
      <c r="I107" s="9">
        <v>1941.7399999999998</v>
      </c>
      <c r="J107" s="9">
        <v>1953.8200000000002</v>
      </c>
      <c r="K107" s="9">
        <v>1920.06</v>
      </c>
      <c r="L107" s="9">
        <v>1924.52</v>
      </c>
      <c r="M107" s="9">
        <v>1928.87</v>
      </c>
      <c r="N107" s="9">
        <v>1832.97</v>
      </c>
      <c r="O107" s="9">
        <v>2180.04</v>
      </c>
      <c r="P107" s="9">
        <f t="shared" si="5"/>
        <v>25574.2</v>
      </c>
      <c r="R107" s="13">
        <f>+'Fiscal Period Ended 6-19'!P111</f>
        <v>22856.799999999996</v>
      </c>
      <c r="T107" s="13">
        <f t="shared" si="6"/>
        <v>-2717.4000000000051</v>
      </c>
    </row>
    <row r="108" spans="1:20" x14ac:dyDescent="0.25">
      <c r="A108" s="16" t="s">
        <v>212</v>
      </c>
      <c r="B108" s="3" t="s">
        <v>213</v>
      </c>
      <c r="C108" s="3"/>
      <c r="D108" s="9">
        <v>2211.8499999999995</v>
      </c>
      <c r="E108" s="9">
        <v>2237.0500000000002</v>
      </c>
      <c r="F108" s="9">
        <v>2191.77</v>
      </c>
      <c r="G108" s="9">
        <v>2237.08</v>
      </c>
      <c r="H108" s="9">
        <v>1928.6</v>
      </c>
      <c r="I108" s="9">
        <v>2149.71</v>
      </c>
      <c r="J108" s="9">
        <v>2130.35</v>
      </c>
      <c r="K108" s="9">
        <v>2103.8000000000002</v>
      </c>
      <c r="L108" s="9">
        <v>2100.85</v>
      </c>
      <c r="M108" s="9">
        <v>2417.16</v>
      </c>
      <c r="N108" s="9">
        <v>2138.4899999999998</v>
      </c>
      <c r="O108" s="9">
        <v>2139.02</v>
      </c>
      <c r="P108" s="9">
        <f t="shared" si="5"/>
        <v>25985.73</v>
      </c>
      <c r="R108" s="13">
        <f>+'Fiscal Period Ended 6-19'!P112</f>
        <v>26301.149999999998</v>
      </c>
      <c r="T108" s="13">
        <f t="shared" si="6"/>
        <v>315.41999999999825</v>
      </c>
    </row>
    <row r="109" spans="1:20" x14ac:dyDescent="0.25">
      <c r="A109" s="16" t="s">
        <v>214</v>
      </c>
      <c r="B109" s="3" t="s">
        <v>215</v>
      </c>
      <c r="C109" s="3"/>
      <c r="D109" s="9">
        <v>8376.4699999999993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16820.240000000002</v>
      </c>
      <c r="P109" s="9">
        <f t="shared" si="5"/>
        <v>25196.71</v>
      </c>
      <c r="R109" s="13">
        <f>+'Fiscal Period Ended 6-19'!P113</f>
        <v>16820.240000000002</v>
      </c>
      <c r="T109" s="13">
        <f t="shared" si="6"/>
        <v>-8376.4699999999975</v>
      </c>
    </row>
    <row r="110" spans="1:20" x14ac:dyDescent="0.25">
      <c r="A110" s="16" t="s">
        <v>216</v>
      </c>
      <c r="B110" s="3" t="s">
        <v>217</v>
      </c>
      <c r="C110" s="3"/>
      <c r="D110" s="9">
        <v>0</v>
      </c>
      <c r="E110" s="9">
        <v>14270.25</v>
      </c>
      <c r="F110" s="9">
        <v>16500</v>
      </c>
      <c r="G110" s="9">
        <v>3198</v>
      </c>
      <c r="H110" s="9">
        <v>18477.12</v>
      </c>
      <c r="I110" s="9">
        <v>22558.510000000002</v>
      </c>
      <c r="J110" s="9">
        <v>0</v>
      </c>
      <c r="K110" s="9">
        <v>0</v>
      </c>
      <c r="L110" s="9">
        <v>1235</v>
      </c>
      <c r="M110" s="9">
        <v>5358</v>
      </c>
      <c r="N110" s="9">
        <v>80619.42</v>
      </c>
      <c r="O110" s="9">
        <v>35762.399999999994</v>
      </c>
      <c r="P110" s="9">
        <f t="shared" si="5"/>
        <v>197978.69999999998</v>
      </c>
      <c r="R110" s="13">
        <f>+'Fiscal Period Ended 6-19'!P114</f>
        <v>184715.71999999997</v>
      </c>
      <c r="T110" s="13">
        <f t="shared" si="6"/>
        <v>-13262.98000000001</v>
      </c>
    </row>
    <row r="111" spans="1:20" x14ac:dyDescent="0.25">
      <c r="A111" s="16" t="s">
        <v>218</v>
      </c>
      <c r="B111" s="3" t="s">
        <v>219</v>
      </c>
      <c r="C111" s="3"/>
      <c r="D111" s="9">
        <v>97.5</v>
      </c>
      <c r="E111" s="9">
        <v>4361.130000000001</v>
      </c>
      <c r="F111" s="9">
        <v>2026.8600000000001</v>
      </c>
      <c r="G111" s="9">
        <v>1947.44</v>
      </c>
      <c r="H111" s="9">
        <v>1306.25</v>
      </c>
      <c r="I111" s="9">
        <v>1432.98</v>
      </c>
      <c r="J111" s="9">
        <v>3224.8599999999997</v>
      </c>
      <c r="K111" s="9">
        <v>0</v>
      </c>
      <c r="L111" s="9">
        <v>1300</v>
      </c>
      <c r="M111" s="9">
        <v>1690</v>
      </c>
      <c r="N111" s="9">
        <v>0</v>
      </c>
      <c r="O111" s="9">
        <v>2614.9700000000003</v>
      </c>
      <c r="P111" s="9">
        <f t="shared" si="5"/>
        <v>20001.990000000002</v>
      </c>
      <c r="R111" s="13">
        <f>+'Fiscal Period Ended 6-19'!P115</f>
        <v>327542.56</v>
      </c>
      <c r="T111" s="13">
        <f t="shared" si="6"/>
        <v>307540.57</v>
      </c>
    </row>
    <row r="112" spans="1:20" x14ac:dyDescent="0.25">
      <c r="A112" s="16" t="s">
        <v>220</v>
      </c>
      <c r="B112" s="3" t="s">
        <v>221</v>
      </c>
      <c r="C112" s="3"/>
      <c r="D112" s="9">
        <v>18093</v>
      </c>
      <c r="E112" s="9">
        <v>18256</v>
      </c>
      <c r="F112" s="9">
        <v>21027</v>
      </c>
      <c r="G112" s="9">
        <v>19397</v>
      </c>
      <c r="H112" s="9">
        <v>23798</v>
      </c>
      <c r="I112" s="9">
        <v>21679</v>
      </c>
      <c r="J112" s="9">
        <v>25917</v>
      </c>
      <c r="K112" s="9">
        <v>25265</v>
      </c>
      <c r="L112" s="9">
        <v>22331</v>
      </c>
      <c r="M112" s="9">
        <v>18582</v>
      </c>
      <c r="N112" s="9">
        <v>19397</v>
      </c>
      <c r="O112" s="9">
        <v>18419</v>
      </c>
      <c r="P112" s="9">
        <f t="shared" si="5"/>
        <v>252161</v>
      </c>
      <c r="R112" s="13">
        <f>+'Fiscal Period Ended 6-19'!P116</f>
        <v>182560</v>
      </c>
      <c r="T112" s="13">
        <f t="shared" si="6"/>
        <v>-69601</v>
      </c>
    </row>
    <row r="113" spans="1:20" x14ac:dyDescent="0.25">
      <c r="A113" s="16" t="s">
        <v>222</v>
      </c>
      <c r="B113" s="3" t="s">
        <v>223</v>
      </c>
      <c r="C113" s="3"/>
      <c r="D113" s="9">
        <v>0</v>
      </c>
      <c r="E113" s="9">
        <v>0</v>
      </c>
      <c r="F113" s="9">
        <v>9107.74</v>
      </c>
      <c r="G113" s="9">
        <v>-250.6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f t="shared" si="5"/>
        <v>8857.14</v>
      </c>
      <c r="R113" s="13">
        <f>+'Fiscal Period Ended 6-19'!P118</f>
        <v>0</v>
      </c>
      <c r="T113" s="13">
        <f t="shared" si="6"/>
        <v>-8857.14</v>
      </c>
    </row>
    <row r="114" spans="1:20" x14ac:dyDescent="0.25">
      <c r="A114" s="16" t="s">
        <v>224</v>
      </c>
      <c r="B114" s="3" t="s">
        <v>225</v>
      </c>
      <c r="C114" s="3"/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f t="shared" si="5"/>
        <v>0</v>
      </c>
      <c r="R114" s="13">
        <f>+'Fiscal Period Ended 6-19'!P119</f>
        <v>1500</v>
      </c>
      <c r="T114" s="13">
        <f t="shared" si="6"/>
        <v>1500</v>
      </c>
    </row>
    <row r="115" spans="1:20" x14ac:dyDescent="0.25">
      <c r="A115" s="16" t="s">
        <v>226</v>
      </c>
      <c r="B115" s="3" t="s">
        <v>227</v>
      </c>
      <c r="C115" s="3"/>
      <c r="D115" s="9">
        <v>179.85</v>
      </c>
      <c r="E115" s="9">
        <v>281.57</v>
      </c>
      <c r="F115" s="9">
        <v>188.03</v>
      </c>
      <c r="G115" s="9">
        <v>287.76</v>
      </c>
      <c r="H115" s="9">
        <v>172.22</v>
      </c>
      <c r="I115" s="9">
        <v>497.9</v>
      </c>
      <c r="J115" s="9">
        <v>206.01</v>
      </c>
      <c r="K115" s="9">
        <v>206.56</v>
      </c>
      <c r="L115" s="9">
        <v>222.91</v>
      </c>
      <c r="M115" s="9">
        <v>200.01999999999998</v>
      </c>
      <c r="N115" s="9">
        <v>245.79999999999998</v>
      </c>
      <c r="O115" s="9">
        <v>168.41</v>
      </c>
      <c r="P115" s="9">
        <f t="shared" si="5"/>
        <v>2857.04</v>
      </c>
      <c r="R115" s="13">
        <f>+'Fiscal Period Ended 6-19'!P120</f>
        <v>2638.87</v>
      </c>
      <c r="T115" s="13">
        <f t="shared" si="6"/>
        <v>-218.17000000000007</v>
      </c>
    </row>
    <row r="116" spans="1:20" x14ac:dyDescent="0.25">
      <c r="A116" s="16" t="s">
        <v>228</v>
      </c>
      <c r="B116" s="3" t="s">
        <v>229</v>
      </c>
      <c r="C116" s="3"/>
      <c r="D116" s="9">
        <v>0</v>
      </c>
      <c r="E116" s="9">
        <v>0</v>
      </c>
      <c r="F116" s="9">
        <v>0</v>
      </c>
      <c r="G116" s="9">
        <v>-32678.51</v>
      </c>
      <c r="H116" s="9">
        <v>36825.72</v>
      </c>
      <c r="I116" s="9">
        <v>24831.03</v>
      </c>
      <c r="J116" s="9">
        <v>4172.2300000000005</v>
      </c>
      <c r="K116" s="9">
        <v>3987.4399999999996</v>
      </c>
      <c r="L116" s="9">
        <v>5492.3399999999992</v>
      </c>
      <c r="M116" s="9">
        <v>20589.41</v>
      </c>
      <c r="N116" s="9">
        <v>6415.4999999999991</v>
      </c>
      <c r="O116" s="9">
        <v>7407.6299999999992</v>
      </c>
      <c r="P116" s="9">
        <f t="shared" si="5"/>
        <v>77042.790000000008</v>
      </c>
      <c r="R116" s="13">
        <f>+'Fiscal Period Ended 6-19'!P121</f>
        <v>83677.17</v>
      </c>
      <c r="T116" s="13">
        <f t="shared" si="6"/>
        <v>6634.3799999999901</v>
      </c>
    </row>
    <row r="117" spans="1:20" x14ac:dyDescent="0.25">
      <c r="A117" s="16" t="s">
        <v>230</v>
      </c>
      <c r="B117" s="3" t="s">
        <v>231</v>
      </c>
      <c r="C117" s="3"/>
      <c r="D117" s="9">
        <v>3335.48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f t="shared" si="5"/>
        <v>3335.48</v>
      </c>
      <c r="R117" s="13">
        <f>+'Fiscal Period Ended 6-19'!P122</f>
        <v>10298.76</v>
      </c>
      <c r="T117" s="13">
        <f t="shared" si="6"/>
        <v>6963.2800000000007</v>
      </c>
    </row>
    <row r="118" spans="1:20" x14ac:dyDescent="0.25">
      <c r="A118" s="16" t="s">
        <v>232</v>
      </c>
      <c r="B118" s="3" t="s">
        <v>233</v>
      </c>
      <c r="C118" s="3"/>
      <c r="D118" s="9">
        <v>3790</v>
      </c>
      <c r="E118" s="9">
        <v>0</v>
      </c>
      <c r="F118" s="9">
        <v>500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1251.48</v>
      </c>
      <c r="P118" s="9">
        <f t="shared" si="5"/>
        <v>5541.48</v>
      </c>
      <c r="R118" s="13">
        <f>+'Fiscal Period Ended 6-19'!P123</f>
        <v>4357.96</v>
      </c>
      <c r="T118" s="13">
        <f t="shared" si="6"/>
        <v>-1183.5199999999995</v>
      </c>
    </row>
    <row r="119" spans="1:20" x14ac:dyDescent="0.25">
      <c r="A119" s="16" t="s">
        <v>234</v>
      </c>
      <c r="B119" s="3" t="s">
        <v>235</v>
      </c>
      <c r="C119" s="3"/>
      <c r="D119" s="10">
        <v>2722.73</v>
      </c>
      <c r="E119" s="10">
        <v>3072.58</v>
      </c>
      <c r="F119" s="10">
        <v>1964.16</v>
      </c>
      <c r="G119" s="10">
        <v>2332.0299999999997</v>
      </c>
      <c r="H119" s="10">
        <v>2089.6799999999998</v>
      </c>
      <c r="I119" s="10">
        <v>1878.76</v>
      </c>
      <c r="J119" s="10">
        <v>1869.6000000000001</v>
      </c>
      <c r="K119" s="10">
        <v>1613.3300000000002</v>
      </c>
      <c r="L119" s="10">
        <v>1645.12</v>
      </c>
      <c r="M119" s="10">
        <v>1944.76</v>
      </c>
      <c r="N119" s="10">
        <v>1841.11</v>
      </c>
      <c r="O119" s="10">
        <v>2025.27</v>
      </c>
      <c r="P119" s="10">
        <f>SUM(D119:O119)</f>
        <v>24999.13</v>
      </c>
      <c r="R119" s="13">
        <f>+'Fiscal Period Ended 6-19'!P124</f>
        <v>25365.63</v>
      </c>
      <c r="T119" s="13">
        <f t="shared" si="6"/>
        <v>366.5</v>
      </c>
    </row>
    <row r="120" spans="1:20" x14ac:dyDescent="0.25">
      <c r="A120" s="3" t="s">
        <v>243</v>
      </c>
      <c r="B120" s="3"/>
      <c r="C120" s="3"/>
      <c r="D120" s="21">
        <f t="shared" ref="D120:P120" si="7">SUM(D15:D119)</f>
        <v>993803.69</v>
      </c>
      <c r="E120" s="21">
        <f t="shared" si="7"/>
        <v>1002140.4800000002</v>
      </c>
      <c r="F120" s="21">
        <f t="shared" si="7"/>
        <v>1045195.7</v>
      </c>
      <c r="G120" s="21">
        <f t="shared" si="7"/>
        <v>808282.91999999993</v>
      </c>
      <c r="H120" s="21">
        <f t="shared" si="7"/>
        <v>1055184.3600000001</v>
      </c>
      <c r="I120" s="21">
        <f t="shared" si="7"/>
        <v>1001848.7100000003</v>
      </c>
      <c r="J120" s="21">
        <f t="shared" si="7"/>
        <v>1214745.3900000004</v>
      </c>
      <c r="K120" s="21">
        <f t="shared" si="7"/>
        <v>964162.63</v>
      </c>
      <c r="L120" s="21">
        <f t="shared" si="7"/>
        <v>1037845.8099999998</v>
      </c>
      <c r="M120" s="21">
        <f t="shared" si="7"/>
        <v>1068662.44</v>
      </c>
      <c r="N120" s="21">
        <f t="shared" si="7"/>
        <v>1199596.2</v>
      </c>
      <c r="O120" s="21">
        <f t="shared" si="7"/>
        <v>1078032.8899999997</v>
      </c>
      <c r="P120" s="21">
        <f t="shared" si="7"/>
        <v>12469501.220000001</v>
      </c>
      <c r="R120" s="13">
        <f>SUM(R15:R119)</f>
        <v>13282701.770000005</v>
      </c>
      <c r="T120" s="13">
        <f t="shared" si="6"/>
        <v>813200.55000000447</v>
      </c>
    </row>
    <row r="121" spans="1:2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20" x14ac:dyDescent="0.25">
      <c r="A122" s="3"/>
      <c r="B122" s="3"/>
      <c r="C122" s="3"/>
    </row>
    <row r="123" spans="1:20" x14ac:dyDescent="0.25">
      <c r="A123" s="3" t="s">
        <v>239</v>
      </c>
      <c r="B123" s="3"/>
      <c r="C123" s="3"/>
      <c r="D123" s="9">
        <f>+D11-D120</f>
        <v>1484295.7999999998</v>
      </c>
      <c r="E123" s="9">
        <f t="shared" ref="E123:P123" si="8">+E11-E120</f>
        <v>1376529.59</v>
      </c>
      <c r="F123" s="9">
        <f t="shared" si="8"/>
        <v>1410162.2000000004</v>
      </c>
      <c r="G123" s="9">
        <f t="shared" si="8"/>
        <v>1461762.4500000002</v>
      </c>
      <c r="H123" s="9">
        <f t="shared" si="8"/>
        <v>2039374.3499999999</v>
      </c>
      <c r="I123" s="9">
        <f t="shared" si="8"/>
        <v>2590225.9699999997</v>
      </c>
      <c r="J123" s="9">
        <f t="shared" si="8"/>
        <v>2291005.21</v>
      </c>
      <c r="K123" s="9">
        <f t="shared" si="8"/>
        <v>2362287.4700000002</v>
      </c>
      <c r="L123" s="9">
        <f t="shared" si="8"/>
        <v>2212818.41</v>
      </c>
      <c r="M123" s="9">
        <f t="shared" si="8"/>
        <v>1580907.67</v>
      </c>
      <c r="N123" s="9">
        <f t="shared" si="8"/>
        <v>1251070.5599999998</v>
      </c>
      <c r="O123" s="9">
        <f t="shared" si="8"/>
        <v>1460503.92</v>
      </c>
      <c r="P123" s="9">
        <f t="shared" si="8"/>
        <v>21520943.600000001</v>
      </c>
    </row>
    <row r="125" spans="1:20" x14ac:dyDescent="0.25">
      <c r="A125" s="3" t="s">
        <v>246</v>
      </c>
      <c r="D125" s="14">
        <v>1388189</v>
      </c>
      <c r="E125" s="14">
        <v>1285081</v>
      </c>
      <c r="F125" s="14">
        <v>1323834</v>
      </c>
      <c r="G125" s="14">
        <v>1376198</v>
      </c>
      <c r="H125" s="14">
        <v>1962933</v>
      </c>
      <c r="I125" s="14">
        <v>2510307</v>
      </c>
      <c r="J125" s="14">
        <v>2216952</v>
      </c>
      <c r="K125" s="14">
        <v>2291930</v>
      </c>
      <c r="L125" s="14">
        <v>2140229</v>
      </c>
      <c r="M125" s="14">
        <v>1499999</v>
      </c>
      <c r="N125" s="14">
        <v>1200439</v>
      </c>
      <c r="O125" s="14">
        <v>1380642</v>
      </c>
      <c r="P125" s="14">
        <f>SUM(D125:O125)</f>
        <v>20576733</v>
      </c>
    </row>
    <row r="126" spans="1:20" x14ac:dyDescent="0.25"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20" x14ac:dyDescent="0.25">
      <c r="A127" s="3" t="s">
        <v>245</v>
      </c>
      <c r="B127" s="13"/>
      <c r="D127" s="13">
        <f>+D123-D125</f>
        <v>96106.799999999814</v>
      </c>
      <c r="E127" s="13">
        <f t="shared" ref="E127:P127" si="9">+E123-E125</f>
        <v>91448.590000000084</v>
      </c>
      <c r="F127" s="13">
        <f t="shared" si="9"/>
        <v>86328.200000000419</v>
      </c>
      <c r="G127" s="13">
        <f t="shared" si="9"/>
        <v>85564.450000000186</v>
      </c>
      <c r="H127" s="13">
        <f t="shared" si="9"/>
        <v>76441.34999999986</v>
      </c>
      <c r="I127" s="13">
        <f t="shared" si="9"/>
        <v>79918.969999999739</v>
      </c>
      <c r="J127" s="13">
        <f t="shared" si="9"/>
        <v>74053.209999999963</v>
      </c>
      <c r="K127" s="13">
        <f t="shared" si="9"/>
        <v>70357.470000000205</v>
      </c>
      <c r="L127" s="13">
        <f t="shared" si="9"/>
        <v>72589.410000000149</v>
      </c>
      <c r="M127" s="13">
        <f t="shared" si="9"/>
        <v>80908.669999999925</v>
      </c>
      <c r="N127" s="13">
        <f t="shared" si="9"/>
        <v>50631.559999999823</v>
      </c>
      <c r="O127" s="13">
        <f t="shared" si="9"/>
        <v>79861.919999999925</v>
      </c>
      <c r="P127" s="13">
        <f t="shared" si="9"/>
        <v>944210.60000000149</v>
      </c>
    </row>
    <row r="128" spans="1:20" x14ac:dyDescent="0.25">
      <c r="B128" s="13"/>
    </row>
    <row r="129" spans="1:16" x14ac:dyDescent="0.25">
      <c r="A129" t="s">
        <v>244</v>
      </c>
      <c r="B129" s="13"/>
      <c r="D129" s="19">
        <v>1581</v>
      </c>
      <c r="E129">
        <v>1428</v>
      </c>
      <c r="F129">
        <v>1581</v>
      </c>
      <c r="G129">
        <v>1530</v>
      </c>
      <c r="H129">
        <v>1550</v>
      </c>
      <c r="I129">
        <v>1500</v>
      </c>
      <c r="J129">
        <v>1550</v>
      </c>
      <c r="K129">
        <v>1550</v>
      </c>
      <c r="L129">
        <v>1508</v>
      </c>
      <c r="M129" s="13">
        <v>1550</v>
      </c>
      <c r="N129">
        <v>1500</v>
      </c>
      <c r="O129">
        <v>1544</v>
      </c>
      <c r="P129" s="19">
        <f>SUM(D129:O129)</f>
        <v>18372</v>
      </c>
    </row>
    <row r="130" spans="1:16" x14ac:dyDescent="0.25">
      <c r="B130" s="13"/>
    </row>
    <row r="131" spans="1:16" x14ac:dyDescent="0.25">
      <c r="A131" t="s">
        <v>247</v>
      </c>
      <c r="B131" s="13"/>
      <c r="D131">
        <v>51</v>
      </c>
      <c r="E131">
        <v>51</v>
      </c>
      <c r="F131">
        <v>51</v>
      </c>
      <c r="G131">
        <v>51</v>
      </c>
      <c r="H131">
        <v>50</v>
      </c>
      <c r="I131">
        <v>50</v>
      </c>
      <c r="J131">
        <v>50</v>
      </c>
      <c r="K131">
        <v>50</v>
      </c>
      <c r="L131">
        <v>51</v>
      </c>
      <c r="M131">
        <v>50</v>
      </c>
      <c r="N131">
        <v>50</v>
      </c>
      <c r="O131">
        <v>50</v>
      </c>
    </row>
    <row r="132" spans="1:16" x14ac:dyDescent="0.25">
      <c r="B132" s="13"/>
    </row>
    <row r="133" spans="1:16" x14ac:dyDescent="0.25">
      <c r="B133" s="13"/>
    </row>
    <row r="134" spans="1:16" x14ac:dyDescent="0.25">
      <c r="B134" s="13"/>
    </row>
    <row r="135" spans="1:16" x14ac:dyDescent="0.25">
      <c r="B135" s="13"/>
    </row>
  </sheetData>
  <printOptions headings="1" gridLines="1"/>
  <pageMargins left="0.2" right="0.2" top="0.75" bottom="0.75" header="0.3" footer="0.3"/>
  <pageSetup scale="6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2"/>
  <sheetViews>
    <sheetView workbookViewId="0">
      <selection activeCell="D10" sqref="D10"/>
    </sheetView>
  </sheetViews>
  <sheetFormatPr defaultRowHeight="15" x14ac:dyDescent="0.25"/>
  <cols>
    <col min="1" max="1" width="25.28515625" bestFit="1" customWidth="1"/>
    <col min="2" max="2" width="42.7109375" bestFit="1" customWidth="1"/>
    <col min="3" max="3" width="4.7109375" customWidth="1"/>
    <col min="4" max="9" width="10.85546875" customWidth="1"/>
    <col min="10" max="15" width="10.85546875" hidden="1" customWidth="1"/>
    <col min="16" max="16" width="10.85546875" customWidth="1"/>
  </cols>
  <sheetData>
    <row r="1" spans="1:16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 x14ac:dyDescent="0.3">
      <c r="A3" s="1" t="s">
        <v>236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thickBot="1" x14ac:dyDescent="0.3">
      <c r="A4" s="3"/>
      <c r="B4" s="3"/>
      <c r="C4" s="3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/>
    </row>
    <row r="5" spans="1:16" ht="15.75" thickBot="1" x14ac:dyDescent="0.3">
      <c r="A5" s="3" t="s">
        <v>3</v>
      </c>
      <c r="B5" s="3" t="s">
        <v>4</v>
      </c>
      <c r="C5" s="3"/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6" t="s">
        <v>17</v>
      </c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7" t="s">
        <v>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3" t="s">
        <v>19</v>
      </c>
      <c r="B9" s="3" t="s">
        <v>20</v>
      </c>
      <c r="C9" s="3"/>
      <c r="D9" s="9">
        <v>2505285</v>
      </c>
      <c r="E9" s="9">
        <v>2264452.0499999998</v>
      </c>
      <c r="F9" s="9">
        <v>2252802.9300000002</v>
      </c>
      <c r="G9" s="9">
        <v>2275663.02</v>
      </c>
      <c r="H9" s="9">
        <v>2991924.59</v>
      </c>
      <c r="I9" s="9">
        <v>3138545.94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f t="shared" ref="P9:P12" si="0">SUM(D9:O9)</f>
        <v>15428673.529999999</v>
      </c>
    </row>
    <row r="10" spans="1:16" x14ac:dyDescent="0.25">
      <c r="A10" s="3" t="s">
        <v>21</v>
      </c>
      <c r="B10" s="3" t="s">
        <v>22</v>
      </c>
      <c r="C10" s="3"/>
      <c r="D10" s="9">
        <v>161124</v>
      </c>
      <c r="E10" s="9">
        <v>151380</v>
      </c>
      <c r="F10" s="9">
        <v>146160</v>
      </c>
      <c r="G10" s="9">
        <v>140244</v>
      </c>
      <c r="H10" s="9">
        <v>167040</v>
      </c>
      <c r="I10" s="9">
        <v>168780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 t="shared" si="0"/>
        <v>934728</v>
      </c>
    </row>
    <row r="11" spans="1:16" x14ac:dyDescent="0.25">
      <c r="A11" s="3" t="s">
        <v>23</v>
      </c>
      <c r="B11" s="3" t="s">
        <v>24</v>
      </c>
      <c r="C11" s="3"/>
      <c r="D11" s="9">
        <v>340.16</v>
      </c>
      <c r="E11" s="9">
        <v>335.63</v>
      </c>
      <c r="F11" s="9">
        <v>341.95</v>
      </c>
      <c r="G11" s="9">
        <v>346.26</v>
      </c>
      <c r="H11" s="9">
        <v>350.04</v>
      </c>
      <c r="I11" s="9">
        <v>331.22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f t="shared" si="0"/>
        <v>2045.26</v>
      </c>
    </row>
    <row r="12" spans="1:16" x14ac:dyDescent="0.25">
      <c r="A12" s="3" t="s">
        <v>25</v>
      </c>
      <c r="B12" s="3" t="s">
        <v>26</v>
      </c>
      <c r="C12" s="3"/>
      <c r="D12" s="10">
        <v>-6815.15</v>
      </c>
      <c r="E12" s="10">
        <v>1313.13</v>
      </c>
      <c r="F12" s="10">
        <v>855.08</v>
      </c>
      <c r="G12" s="10">
        <v>-860.58</v>
      </c>
      <c r="H12" s="10">
        <v>-1168.7</v>
      </c>
      <c r="I12" s="10">
        <v>-3870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0"/>
        <v>-10546.22</v>
      </c>
    </row>
    <row r="13" spans="1:16" x14ac:dyDescent="0.25">
      <c r="A13" s="3"/>
      <c r="B13" s="3"/>
      <c r="C13" s="3"/>
      <c r="D13" s="9">
        <f t="shared" ref="D13:P13" si="1">SUM(D9:D12)</f>
        <v>2659934.0100000002</v>
      </c>
      <c r="E13" s="9">
        <f t="shared" si="1"/>
        <v>2417480.8099999996</v>
      </c>
      <c r="F13" s="9">
        <f t="shared" si="1"/>
        <v>2400159.9600000004</v>
      </c>
      <c r="G13" s="9">
        <f t="shared" si="1"/>
        <v>2415392.6999999997</v>
      </c>
      <c r="H13" s="9">
        <f t="shared" si="1"/>
        <v>3158145.9299999997</v>
      </c>
      <c r="I13" s="9">
        <f t="shared" si="1"/>
        <v>3303787.16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9">
        <f t="shared" si="1"/>
        <v>0</v>
      </c>
      <c r="P13" s="9">
        <f t="shared" si="1"/>
        <v>16354900.569999998</v>
      </c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7" t="s">
        <v>27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3" t="s">
        <v>28</v>
      </c>
      <c r="B17" s="3" t="s">
        <v>29</v>
      </c>
      <c r="C17" s="3"/>
      <c r="D17" s="9">
        <v>2000</v>
      </c>
      <c r="E17" s="9">
        <v>2000</v>
      </c>
      <c r="F17" s="9">
        <v>2000</v>
      </c>
      <c r="G17" s="9">
        <v>2000</v>
      </c>
      <c r="H17" s="9">
        <v>2054</v>
      </c>
      <c r="I17" s="9">
        <v>2000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f t="shared" ref="P17:P80" si="2">SUM(D17:O17)</f>
        <v>12054</v>
      </c>
    </row>
    <row r="18" spans="1:16" x14ac:dyDescent="0.25">
      <c r="A18" s="3" t="s">
        <v>30</v>
      </c>
      <c r="B18" s="3" t="s">
        <v>31</v>
      </c>
      <c r="C18" s="3"/>
      <c r="D18" s="9">
        <v>27090.29</v>
      </c>
      <c r="E18" s="9">
        <v>22622.7</v>
      </c>
      <c r="F18" s="9">
        <v>45615.199999999997</v>
      </c>
      <c r="G18" s="9">
        <v>43349.25</v>
      </c>
      <c r="H18" s="9">
        <v>49393</v>
      </c>
      <c r="I18" s="9">
        <v>64641.14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f t="shared" si="2"/>
        <v>252711.58000000002</v>
      </c>
    </row>
    <row r="19" spans="1:16" x14ac:dyDescent="0.25">
      <c r="A19" s="3" t="s">
        <v>32</v>
      </c>
      <c r="B19" s="3" t="s">
        <v>33</v>
      </c>
      <c r="C19" s="3"/>
      <c r="D19" s="9">
        <v>1417.69</v>
      </c>
      <c r="E19" s="9">
        <v>1320.3</v>
      </c>
      <c r="F19" s="9">
        <v>1224.46</v>
      </c>
      <c r="G19" s="9">
        <v>1243.17</v>
      </c>
      <c r="H19" s="9">
        <v>1234.7</v>
      </c>
      <c r="I19" s="9">
        <v>1360.26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f t="shared" si="2"/>
        <v>7800.58</v>
      </c>
    </row>
    <row r="20" spans="1:16" x14ac:dyDescent="0.25">
      <c r="A20" s="3" t="s">
        <v>42</v>
      </c>
      <c r="B20" s="3" t="s">
        <v>43</v>
      </c>
      <c r="C20" s="3"/>
      <c r="D20" s="9">
        <v>298</v>
      </c>
      <c r="E20" s="9">
        <v>298</v>
      </c>
      <c r="F20" s="9">
        <v>298</v>
      </c>
      <c r="G20" s="9">
        <v>298</v>
      </c>
      <c r="H20" s="9">
        <v>298</v>
      </c>
      <c r="I20" s="9">
        <v>298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f t="shared" si="2"/>
        <v>1788</v>
      </c>
    </row>
    <row r="21" spans="1:16" x14ac:dyDescent="0.25">
      <c r="A21" s="3" t="s">
        <v>44</v>
      </c>
      <c r="B21" s="3" t="s">
        <v>45</v>
      </c>
      <c r="C21" s="3"/>
      <c r="D21" s="9">
        <v>5739.89</v>
      </c>
      <c r="E21" s="9">
        <v>34003.97</v>
      </c>
      <c r="F21" s="9">
        <v>27353.9</v>
      </c>
      <c r="G21" s="9">
        <v>24439.89</v>
      </c>
      <c r="H21" s="9">
        <v>11627.05</v>
      </c>
      <c r="I21" s="9">
        <v>8398.82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f t="shared" si="2"/>
        <v>111563.52000000002</v>
      </c>
    </row>
    <row r="22" spans="1:16" x14ac:dyDescent="0.25">
      <c r="A22" s="3" t="s">
        <v>48</v>
      </c>
      <c r="B22" s="3" t="s">
        <v>49</v>
      </c>
      <c r="C22" s="3"/>
      <c r="D22" s="9">
        <v>665</v>
      </c>
      <c r="E22" s="9">
        <v>665</v>
      </c>
      <c r="F22" s="9">
        <v>76</v>
      </c>
      <c r="G22" s="9">
        <v>2760.8</v>
      </c>
      <c r="H22" s="9">
        <v>57</v>
      </c>
      <c r="I22" s="9">
        <v>76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f t="shared" si="2"/>
        <v>4299.8</v>
      </c>
    </row>
    <row r="23" spans="1:16" x14ac:dyDescent="0.25">
      <c r="A23" s="3" t="s">
        <v>50</v>
      </c>
      <c r="B23" s="3" t="s">
        <v>51</v>
      </c>
      <c r="C23" s="3"/>
      <c r="D23" s="9">
        <v>8284.16</v>
      </c>
      <c r="E23" s="9">
        <v>30970.190000000002</v>
      </c>
      <c r="F23" s="9">
        <v>18657.27</v>
      </c>
      <c r="G23" s="9">
        <v>17015.05</v>
      </c>
      <c r="H23" s="9">
        <v>15535.679999999998</v>
      </c>
      <c r="I23" s="9">
        <v>29730.55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 t="shared" si="2"/>
        <v>120192.90000000001</v>
      </c>
    </row>
    <row r="24" spans="1:16" x14ac:dyDescent="0.25">
      <c r="A24" s="3" t="s">
        <v>52</v>
      </c>
      <c r="B24" s="3" t="s">
        <v>53</v>
      </c>
      <c r="C24" s="3"/>
      <c r="D24" s="9">
        <v>8100</v>
      </c>
      <c r="E24" s="9">
        <v>25203</v>
      </c>
      <c r="F24" s="9">
        <v>6547</v>
      </c>
      <c r="G24" s="9">
        <v>10910</v>
      </c>
      <c r="H24" s="9">
        <v>0</v>
      </c>
      <c r="I24" s="9">
        <v>6051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f t="shared" si="2"/>
        <v>56811</v>
      </c>
    </row>
    <row r="25" spans="1:16" x14ac:dyDescent="0.25">
      <c r="A25" s="3" t="s">
        <v>54</v>
      </c>
      <c r="B25" s="3" t="s">
        <v>55</v>
      </c>
      <c r="C25" s="3"/>
      <c r="D25" s="9">
        <v>1000</v>
      </c>
      <c r="E25" s="9">
        <v>0</v>
      </c>
      <c r="F25" s="9">
        <v>0</v>
      </c>
      <c r="G25" s="9">
        <v>6485</v>
      </c>
      <c r="H25" s="9">
        <v>5000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f t="shared" si="2"/>
        <v>12485</v>
      </c>
    </row>
    <row r="26" spans="1:16" x14ac:dyDescent="0.25">
      <c r="A26" s="3" t="s">
        <v>56</v>
      </c>
      <c r="B26" s="3" t="s">
        <v>57</v>
      </c>
      <c r="C26" s="3"/>
      <c r="D26" s="9">
        <v>3835</v>
      </c>
      <c r="E26" s="9">
        <v>0</v>
      </c>
      <c r="F26" s="9">
        <v>4674</v>
      </c>
      <c r="G26" s="9">
        <v>0</v>
      </c>
      <c r="H26" s="9">
        <v>250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f t="shared" si="2"/>
        <v>8759</v>
      </c>
    </row>
    <row r="27" spans="1:16" x14ac:dyDescent="0.25">
      <c r="A27" s="3" t="s">
        <v>58</v>
      </c>
      <c r="B27" s="3" t="s">
        <v>59</v>
      </c>
      <c r="C27" s="3"/>
      <c r="D27" s="9">
        <v>1633.33</v>
      </c>
      <c r="E27" s="9">
        <v>1633.33</v>
      </c>
      <c r="F27" s="9">
        <v>1633.34</v>
      </c>
      <c r="G27" s="9">
        <v>1600</v>
      </c>
      <c r="H27" s="9">
        <v>1600</v>
      </c>
      <c r="I27" s="9">
        <v>1600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f t="shared" si="2"/>
        <v>9700</v>
      </c>
    </row>
    <row r="28" spans="1:16" x14ac:dyDescent="0.25">
      <c r="A28" s="3" t="s">
        <v>60</v>
      </c>
      <c r="B28" s="3" t="s">
        <v>61</v>
      </c>
      <c r="C28" s="3"/>
      <c r="D28" s="9">
        <v>11270</v>
      </c>
      <c r="E28" s="9">
        <v>11270</v>
      </c>
      <c r="F28" s="9">
        <v>11040</v>
      </c>
      <c r="G28" s="9">
        <v>11040</v>
      </c>
      <c r="H28" s="9">
        <v>11270</v>
      </c>
      <c r="I28" s="9">
        <v>11270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f t="shared" si="2"/>
        <v>67160</v>
      </c>
    </row>
    <row r="29" spans="1:16" x14ac:dyDescent="0.25">
      <c r="A29" s="3" t="s">
        <v>64</v>
      </c>
      <c r="B29" s="3" t="s">
        <v>65</v>
      </c>
      <c r="C29" s="3"/>
      <c r="D29" s="9">
        <v>0</v>
      </c>
      <c r="E29" s="9">
        <v>421.06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f t="shared" si="2"/>
        <v>421.06</v>
      </c>
    </row>
    <row r="30" spans="1:16" x14ac:dyDescent="0.25">
      <c r="A30" s="3" t="s">
        <v>66</v>
      </c>
      <c r="B30" s="3" t="s">
        <v>67</v>
      </c>
      <c r="C30" s="3"/>
      <c r="D30" s="9">
        <v>15600</v>
      </c>
      <c r="E30" s="9">
        <v>7598.15</v>
      </c>
      <c r="F30" s="9">
        <v>15600</v>
      </c>
      <c r="G30" s="9">
        <v>0</v>
      </c>
      <c r="H30" s="9">
        <v>17286.03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f t="shared" si="2"/>
        <v>56084.18</v>
      </c>
    </row>
    <row r="31" spans="1:16" x14ac:dyDescent="0.25">
      <c r="A31" s="3" t="s">
        <v>68</v>
      </c>
      <c r="B31" s="3" t="s">
        <v>69</v>
      </c>
      <c r="C31" s="3"/>
      <c r="D31" s="9">
        <v>28080</v>
      </c>
      <c r="E31" s="9">
        <v>0</v>
      </c>
      <c r="F31" s="9">
        <v>28080</v>
      </c>
      <c r="G31" s="9">
        <v>0</v>
      </c>
      <c r="H31" s="9">
        <v>28080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f t="shared" si="2"/>
        <v>84240</v>
      </c>
    </row>
    <row r="32" spans="1:16" x14ac:dyDescent="0.25">
      <c r="A32" s="3" t="s">
        <v>70</v>
      </c>
      <c r="B32" s="3" t="s">
        <v>71</v>
      </c>
      <c r="C32" s="3"/>
      <c r="D32" s="9">
        <v>8394.51</v>
      </c>
      <c r="E32" s="9">
        <v>0</v>
      </c>
      <c r="F32" s="9">
        <v>8394.51</v>
      </c>
      <c r="G32" s="9">
        <v>0</v>
      </c>
      <c r="H32" s="9">
        <v>7900.34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f t="shared" si="2"/>
        <v>24689.360000000001</v>
      </c>
    </row>
    <row r="33" spans="1:16" x14ac:dyDescent="0.25">
      <c r="A33" s="3" t="s">
        <v>72</v>
      </c>
      <c r="B33" s="3" t="s">
        <v>73</v>
      </c>
      <c r="C33" s="3"/>
      <c r="D33" s="9">
        <v>12732.92</v>
      </c>
      <c r="E33" s="9">
        <v>0</v>
      </c>
      <c r="F33" s="9">
        <v>12732.91</v>
      </c>
      <c r="G33" s="9">
        <v>0</v>
      </c>
      <c r="H33" s="9">
        <v>12238.73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f t="shared" si="2"/>
        <v>37704.559999999998</v>
      </c>
    </row>
    <row r="34" spans="1:16" x14ac:dyDescent="0.25">
      <c r="A34" s="3" t="s">
        <v>74</v>
      </c>
      <c r="B34" s="3" t="s">
        <v>75</v>
      </c>
      <c r="C34" s="3"/>
      <c r="D34" s="9">
        <v>2406.58</v>
      </c>
      <c r="E34" s="9">
        <v>2406.58</v>
      </c>
      <c r="F34" s="9">
        <v>2406.58</v>
      </c>
      <c r="G34" s="9">
        <v>2681.46</v>
      </c>
      <c r="H34" s="9">
        <v>2681.46</v>
      </c>
      <c r="I34" s="9">
        <v>2681.46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f t="shared" si="2"/>
        <v>15264.119999999999</v>
      </c>
    </row>
    <row r="35" spans="1:16" x14ac:dyDescent="0.25">
      <c r="A35" s="3" t="s">
        <v>76</v>
      </c>
      <c r="B35" s="3" t="s">
        <v>77</v>
      </c>
      <c r="C35" s="3"/>
      <c r="D35" s="9">
        <v>15305.73</v>
      </c>
      <c r="E35" s="9">
        <v>40211.1</v>
      </c>
      <c r="F35" s="9">
        <v>28259</v>
      </c>
      <c r="G35" s="9">
        <v>29260.17</v>
      </c>
      <c r="H35" s="9">
        <v>28259</v>
      </c>
      <c r="I35" s="9">
        <v>28259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f t="shared" si="2"/>
        <v>169554</v>
      </c>
    </row>
    <row r="36" spans="1:16" x14ac:dyDescent="0.25">
      <c r="A36" s="3" t="s">
        <v>80</v>
      </c>
      <c r="B36" s="3" t="s">
        <v>81</v>
      </c>
      <c r="C36" s="3"/>
      <c r="D36" s="9">
        <v>38.56</v>
      </c>
      <c r="E36" s="9">
        <v>38.56</v>
      </c>
      <c r="F36" s="9">
        <v>38.56</v>
      </c>
      <c r="G36" s="9">
        <v>38.56</v>
      </c>
      <c r="H36" s="9">
        <v>38.56</v>
      </c>
      <c r="I36" s="9">
        <v>38.56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f t="shared" si="2"/>
        <v>231.36</v>
      </c>
    </row>
    <row r="37" spans="1:16" x14ac:dyDescent="0.25">
      <c r="A37" s="3" t="s">
        <v>82</v>
      </c>
      <c r="B37" s="3" t="s">
        <v>83</v>
      </c>
      <c r="C37" s="3"/>
      <c r="D37" s="9">
        <v>9270.5499999999993</v>
      </c>
      <c r="E37" s="9">
        <v>9270.5499999999993</v>
      </c>
      <c r="F37" s="9">
        <v>9128.4500000000007</v>
      </c>
      <c r="G37" s="9">
        <v>9128.4500000000007</v>
      </c>
      <c r="H37" s="9">
        <v>9128.4500000000007</v>
      </c>
      <c r="I37" s="9">
        <v>9128.4500000000007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f t="shared" si="2"/>
        <v>55054.899999999994</v>
      </c>
    </row>
    <row r="38" spans="1:16" x14ac:dyDescent="0.25">
      <c r="A38" s="3" t="s">
        <v>84</v>
      </c>
      <c r="B38" s="3" t="s">
        <v>85</v>
      </c>
      <c r="C38" s="3"/>
      <c r="D38" s="9">
        <v>702.17</v>
      </c>
      <c r="E38" s="9">
        <v>702.17</v>
      </c>
      <c r="F38" s="9">
        <v>-1370.02</v>
      </c>
      <c r="G38" s="9">
        <v>11.44</v>
      </c>
      <c r="H38" s="9">
        <v>11.44</v>
      </c>
      <c r="I38" s="9">
        <v>11.44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f t="shared" si="2"/>
        <v>68.63999999999993</v>
      </c>
    </row>
    <row r="39" spans="1:16" x14ac:dyDescent="0.25">
      <c r="A39" s="3" t="s">
        <v>86</v>
      </c>
      <c r="B39" s="3" t="s">
        <v>87</v>
      </c>
      <c r="C39" s="3"/>
      <c r="D39" s="9">
        <v>203.2</v>
      </c>
      <c r="E39" s="9">
        <v>203.2</v>
      </c>
      <c r="F39" s="9">
        <v>97.76</v>
      </c>
      <c r="G39" s="9">
        <v>97.76</v>
      </c>
      <c r="H39" s="9">
        <v>97.76</v>
      </c>
      <c r="I39" s="9">
        <v>97.76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f t="shared" si="2"/>
        <v>797.43999999999994</v>
      </c>
    </row>
    <row r="40" spans="1:16" x14ac:dyDescent="0.25">
      <c r="A40" s="3" t="s">
        <v>88</v>
      </c>
      <c r="B40" s="3" t="s">
        <v>89</v>
      </c>
      <c r="C40" s="3"/>
      <c r="D40" s="9">
        <v>136.59</v>
      </c>
      <c r="E40" s="9">
        <v>136.59</v>
      </c>
      <c r="F40" s="9">
        <v>41.02</v>
      </c>
      <c r="G40" s="9">
        <v>41.02</v>
      </c>
      <c r="H40" s="9">
        <v>41.02</v>
      </c>
      <c r="I40" s="9">
        <v>41.02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f t="shared" si="2"/>
        <v>437.25999999999993</v>
      </c>
    </row>
    <row r="41" spans="1:16" x14ac:dyDescent="0.25">
      <c r="A41" s="3" t="s">
        <v>90</v>
      </c>
      <c r="B41" s="3" t="s">
        <v>91</v>
      </c>
      <c r="C41" s="3"/>
      <c r="D41" s="9">
        <v>3681.4</v>
      </c>
      <c r="E41" s="9">
        <v>3681.4</v>
      </c>
      <c r="F41" s="9">
        <v>3639.34</v>
      </c>
      <c r="G41" s="9">
        <v>3639.34</v>
      </c>
      <c r="H41" s="9">
        <v>3639.34</v>
      </c>
      <c r="I41" s="9">
        <v>3639.34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f t="shared" si="2"/>
        <v>21920.16</v>
      </c>
    </row>
    <row r="42" spans="1:16" x14ac:dyDescent="0.25">
      <c r="A42" s="3" t="s">
        <v>92</v>
      </c>
      <c r="B42" s="3" t="s">
        <v>93</v>
      </c>
      <c r="C42" s="3"/>
      <c r="D42" s="9">
        <v>2.37</v>
      </c>
      <c r="E42" s="9">
        <v>2.37</v>
      </c>
      <c r="F42" s="9">
        <v>2.37</v>
      </c>
      <c r="G42" s="9">
        <v>2.37</v>
      </c>
      <c r="H42" s="9">
        <v>2.37</v>
      </c>
      <c r="I42" s="9">
        <v>2.37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f t="shared" si="2"/>
        <v>14.220000000000002</v>
      </c>
    </row>
    <row r="43" spans="1:16" x14ac:dyDescent="0.25">
      <c r="A43" s="3" t="s">
        <v>94</v>
      </c>
      <c r="B43" s="3" t="s">
        <v>95</v>
      </c>
      <c r="C43" s="3"/>
      <c r="D43" s="9">
        <v>347.5</v>
      </c>
      <c r="E43" s="9">
        <v>0</v>
      </c>
      <c r="F43" s="9">
        <v>0</v>
      </c>
      <c r="G43" s="9">
        <v>548</v>
      </c>
      <c r="H43" s="9">
        <v>265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f t="shared" si="2"/>
        <v>1160.5</v>
      </c>
    </row>
    <row r="44" spans="1:16" x14ac:dyDescent="0.25">
      <c r="A44" s="3" t="s">
        <v>100</v>
      </c>
      <c r="B44" s="3" t="s">
        <v>101</v>
      </c>
      <c r="C44" s="3"/>
      <c r="D44" s="9">
        <v>8516.25</v>
      </c>
      <c r="E44" s="9">
        <v>4868.3500000000004</v>
      </c>
      <c r="F44" s="9">
        <v>6228.6</v>
      </c>
      <c r="G44" s="9">
        <v>7831.29</v>
      </c>
      <c r="H44" s="9">
        <v>5232.82</v>
      </c>
      <c r="I44" s="9">
        <v>6504.33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f t="shared" si="2"/>
        <v>39181.64</v>
      </c>
    </row>
    <row r="45" spans="1:16" x14ac:dyDescent="0.25">
      <c r="A45" s="3" t="s">
        <v>110</v>
      </c>
      <c r="B45" s="3" t="s">
        <v>111</v>
      </c>
      <c r="C45" s="3"/>
      <c r="D45" s="9">
        <v>0</v>
      </c>
      <c r="E45" s="9">
        <v>50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f t="shared" si="2"/>
        <v>50</v>
      </c>
    </row>
    <row r="46" spans="1:16" x14ac:dyDescent="0.25">
      <c r="A46" s="3" t="s">
        <v>112</v>
      </c>
      <c r="B46" s="3" t="s">
        <v>113</v>
      </c>
      <c r="C46" s="3"/>
      <c r="D46" s="9">
        <v>0</v>
      </c>
      <c r="E46" s="9">
        <v>0</v>
      </c>
      <c r="F46" s="9">
        <v>0</v>
      </c>
      <c r="G46" s="9">
        <v>139.32</v>
      </c>
      <c r="H46" s="9">
        <v>2000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f t="shared" si="2"/>
        <v>2139.3200000000002</v>
      </c>
    </row>
    <row r="47" spans="1:16" x14ac:dyDescent="0.25">
      <c r="A47" s="3" t="s">
        <v>114</v>
      </c>
      <c r="B47" s="3" t="s">
        <v>115</v>
      </c>
      <c r="C47" s="3"/>
      <c r="D47" s="9">
        <v>20831.11</v>
      </c>
      <c r="E47" s="9">
        <v>20531.11</v>
      </c>
      <c r="F47" s="9">
        <v>20531.11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f t="shared" si="2"/>
        <v>61893.33</v>
      </c>
    </row>
    <row r="48" spans="1:16" x14ac:dyDescent="0.25">
      <c r="A48" s="3" t="s">
        <v>116</v>
      </c>
      <c r="B48" s="3" t="s">
        <v>117</v>
      </c>
      <c r="C48" s="3"/>
      <c r="D48" s="9">
        <v>12047.27</v>
      </c>
      <c r="E48" s="9">
        <v>17852.16</v>
      </c>
      <c r="F48" s="9">
        <v>15265.17</v>
      </c>
      <c r="G48" s="9">
        <v>15596.83</v>
      </c>
      <c r="H48" s="9">
        <v>11516.83</v>
      </c>
      <c r="I48" s="9">
        <v>11516.83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f t="shared" si="2"/>
        <v>83795.09</v>
      </c>
    </row>
    <row r="49" spans="1:23" x14ac:dyDescent="0.25">
      <c r="A49" s="3" t="s">
        <v>118</v>
      </c>
      <c r="B49" s="3" t="s">
        <v>119</v>
      </c>
      <c r="C49" s="3"/>
      <c r="D49" s="9">
        <v>130498</v>
      </c>
      <c r="E49" s="9">
        <v>127829</v>
      </c>
      <c r="F49" s="9">
        <v>125160</v>
      </c>
      <c r="G49" s="9">
        <v>123664</v>
      </c>
      <c r="H49" s="9">
        <v>131408</v>
      </c>
      <c r="I49" s="9">
        <v>126353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f t="shared" si="2"/>
        <v>764912</v>
      </c>
    </row>
    <row r="50" spans="1:23" x14ac:dyDescent="0.25">
      <c r="A50" s="3" t="s">
        <v>120</v>
      </c>
      <c r="B50" s="3" t="s">
        <v>121</v>
      </c>
      <c r="C50" s="3"/>
      <c r="D50" s="9">
        <v>563.12</v>
      </c>
      <c r="E50" s="9">
        <v>510.24</v>
      </c>
      <c r="F50" s="9">
        <v>512.11</v>
      </c>
      <c r="G50" s="9">
        <v>481.16</v>
      </c>
      <c r="H50" s="9">
        <v>478.47</v>
      </c>
      <c r="I50" s="9">
        <v>443.48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f t="shared" si="2"/>
        <v>2988.5800000000004</v>
      </c>
    </row>
    <row r="51" spans="1:23" x14ac:dyDescent="0.25">
      <c r="A51" s="3" t="s">
        <v>122</v>
      </c>
      <c r="B51" s="3" t="s">
        <v>123</v>
      </c>
      <c r="C51" s="3"/>
      <c r="D51" s="9">
        <v>1502.42</v>
      </c>
      <c r="E51" s="9">
        <v>2415.61</v>
      </c>
      <c r="F51" s="9">
        <v>758.58</v>
      </c>
      <c r="G51" s="9">
        <v>1042.67</v>
      </c>
      <c r="H51" s="9">
        <v>808.35</v>
      </c>
      <c r="I51" s="9">
        <v>781.72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f t="shared" si="2"/>
        <v>7309.3500000000013</v>
      </c>
    </row>
    <row r="52" spans="1:23" x14ac:dyDescent="0.25">
      <c r="A52" s="3" t="s">
        <v>124</v>
      </c>
      <c r="B52" s="3" t="s">
        <v>125</v>
      </c>
      <c r="C52" s="3"/>
      <c r="D52" s="9">
        <v>26000</v>
      </c>
      <c r="E52" s="9">
        <v>26000</v>
      </c>
      <c r="F52" s="9">
        <v>13000</v>
      </c>
      <c r="G52" s="9">
        <v>19500</v>
      </c>
      <c r="H52" s="9">
        <v>26000</v>
      </c>
      <c r="I52" s="9">
        <v>6500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f t="shared" si="2"/>
        <v>117000</v>
      </c>
      <c r="R52">
        <f>+D52/6500</f>
        <v>4</v>
      </c>
      <c r="S52">
        <f t="shared" ref="S52:W52" si="3">+E52/6500</f>
        <v>4</v>
      </c>
      <c r="T52">
        <f t="shared" si="3"/>
        <v>2</v>
      </c>
      <c r="U52">
        <f t="shared" si="3"/>
        <v>3</v>
      </c>
      <c r="V52">
        <f t="shared" si="3"/>
        <v>4</v>
      </c>
      <c r="W52">
        <f t="shared" si="3"/>
        <v>1</v>
      </c>
    </row>
    <row r="53" spans="1:23" x14ac:dyDescent="0.25">
      <c r="A53" s="3" t="s">
        <v>126</v>
      </c>
      <c r="B53" s="3" t="s">
        <v>127</v>
      </c>
      <c r="C53" s="3"/>
      <c r="D53" s="9">
        <v>6316.98</v>
      </c>
      <c r="E53" s="9">
        <v>6250</v>
      </c>
      <c r="F53" s="9">
        <v>6250</v>
      </c>
      <c r="G53" s="9">
        <v>6250</v>
      </c>
      <c r="H53" s="9">
        <v>6250</v>
      </c>
      <c r="I53" s="9">
        <v>6317.05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f t="shared" si="2"/>
        <v>37634.03</v>
      </c>
    </row>
    <row r="54" spans="1:23" x14ac:dyDescent="0.25">
      <c r="A54" s="3" t="s">
        <v>130</v>
      </c>
      <c r="B54" s="3" t="s">
        <v>131</v>
      </c>
      <c r="C54" s="3"/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f t="shared" si="2"/>
        <v>0</v>
      </c>
    </row>
    <row r="55" spans="1:23" x14ac:dyDescent="0.25">
      <c r="A55" s="3" t="s">
        <v>134</v>
      </c>
      <c r="B55" s="3" t="s">
        <v>135</v>
      </c>
      <c r="C55" s="3"/>
      <c r="D55" s="9">
        <v>600</v>
      </c>
      <c r="E55" s="9">
        <v>600</v>
      </c>
      <c r="F55" s="9">
        <v>600</v>
      </c>
      <c r="G55" s="9">
        <v>600</v>
      </c>
      <c r="H55" s="9">
        <v>600</v>
      </c>
      <c r="I55" s="9">
        <v>600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f t="shared" si="2"/>
        <v>3600</v>
      </c>
    </row>
    <row r="56" spans="1:23" x14ac:dyDescent="0.25">
      <c r="A56" s="3" t="s">
        <v>136</v>
      </c>
      <c r="B56" s="3" t="s">
        <v>137</v>
      </c>
      <c r="C56" s="3"/>
      <c r="D56" s="9">
        <v>399975.28</v>
      </c>
      <c r="E56" s="9">
        <v>399975.28</v>
      </c>
      <c r="F56" s="9">
        <v>404938.85</v>
      </c>
      <c r="G56" s="9">
        <v>420584.9</v>
      </c>
      <c r="H56" s="9">
        <v>413102.97</v>
      </c>
      <c r="I56" s="9">
        <v>412046.11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f t="shared" si="2"/>
        <v>2450623.39</v>
      </c>
    </row>
    <row r="57" spans="1:23" x14ac:dyDescent="0.25">
      <c r="A57" s="3" t="s">
        <v>140</v>
      </c>
      <c r="B57" s="3" t="s">
        <v>141</v>
      </c>
      <c r="C57" s="3"/>
      <c r="D57" s="9">
        <v>5791.86</v>
      </c>
      <c r="E57" s="9">
        <v>5791.86</v>
      </c>
      <c r="F57" s="9">
        <v>5791.86</v>
      </c>
      <c r="G57" s="9">
        <v>5791.86</v>
      </c>
      <c r="H57" s="9">
        <v>5791.86</v>
      </c>
      <c r="I57" s="9">
        <v>5791.86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f t="shared" si="2"/>
        <v>34751.159999999996</v>
      </c>
    </row>
    <row r="58" spans="1:23" x14ac:dyDescent="0.25">
      <c r="A58" s="3" t="s">
        <v>142</v>
      </c>
      <c r="B58" s="3" t="s">
        <v>143</v>
      </c>
      <c r="C58" s="3"/>
      <c r="D58" s="9">
        <v>7.25</v>
      </c>
      <c r="E58" s="9">
        <v>20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f t="shared" si="2"/>
        <v>27.25</v>
      </c>
    </row>
    <row r="59" spans="1:23" x14ac:dyDescent="0.25">
      <c r="A59" s="3" t="s">
        <v>144</v>
      </c>
      <c r="B59" s="3" t="s">
        <v>145</v>
      </c>
      <c r="C59" s="3"/>
      <c r="D59" s="9">
        <v>423.69</v>
      </c>
      <c r="E59" s="9">
        <v>0</v>
      </c>
      <c r="F59" s="9">
        <v>0</v>
      </c>
      <c r="G59" s="9">
        <v>14.84</v>
      </c>
      <c r="H59" s="9">
        <v>0</v>
      </c>
      <c r="I59" s="9">
        <v>132.38999999999999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f t="shared" si="2"/>
        <v>570.91999999999996</v>
      </c>
    </row>
    <row r="60" spans="1:23" x14ac:dyDescent="0.25">
      <c r="A60" s="3" t="s">
        <v>148</v>
      </c>
      <c r="B60" s="3" t="s">
        <v>149</v>
      </c>
      <c r="C60" s="3"/>
      <c r="D60" s="9">
        <v>0</v>
      </c>
      <c r="E60" s="9">
        <v>0</v>
      </c>
      <c r="F60" s="9">
        <v>0</v>
      </c>
      <c r="G60" s="9">
        <v>0</v>
      </c>
      <c r="H60" s="9">
        <v>173.51</v>
      </c>
      <c r="I60" s="9">
        <v>2244.1799999999998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f t="shared" si="2"/>
        <v>2417.6899999999996</v>
      </c>
    </row>
    <row r="61" spans="1:23" x14ac:dyDescent="0.25">
      <c r="A61" s="3" t="s">
        <v>150</v>
      </c>
      <c r="B61" s="3" t="s">
        <v>151</v>
      </c>
      <c r="C61" s="3"/>
      <c r="D61" s="9">
        <v>12064.81</v>
      </c>
      <c r="E61" s="9">
        <v>12142.76</v>
      </c>
      <c r="F61" s="9">
        <v>9382.5499999999993</v>
      </c>
      <c r="G61" s="9">
        <v>17739.759999999998</v>
      </c>
      <c r="H61" s="9">
        <v>19527.46</v>
      </c>
      <c r="I61" s="9">
        <v>15727.23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f t="shared" si="2"/>
        <v>86584.569999999992</v>
      </c>
    </row>
    <row r="62" spans="1:23" x14ac:dyDescent="0.25">
      <c r="A62" s="3" t="s">
        <v>152</v>
      </c>
      <c r="B62" s="3" t="s">
        <v>153</v>
      </c>
      <c r="C62" s="3"/>
      <c r="D62" s="9">
        <v>4967.869999999999</v>
      </c>
      <c r="E62" s="9">
        <v>2803.03</v>
      </c>
      <c r="F62" s="9">
        <v>1023.8000000000001</v>
      </c>
      <c r="G62" s="9">
        <v>1596.2399999999998</v>
      </c>
      <c r="H62" s="9">
        <v>3194.2799999999997</v>
      </c>
      <c r="I62" s="9">
        <v>2219.7399999999998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f t="shared" si="2"/>
        <v>15804.959999999997</v>
      </c>
    </row>
    <row r="63" spans="1:23" x14ac:dyDescent="0.25">
      <c r="A63" s="3" t="s">
        <v>154</v>
      </c>
      <c r="B63" s="3" t="s">
        <v>155</v>
      </c>
      <c r="C63" s="3"/>
      <c r="D63" s="9">
        <v>14863.49</v>
      </c>
      <c r="E63" s="9">
        <v>13390.2</v>
      </c>
      <c r="F63" s="9">
        <v>12450.29</v>
      </c>
      <c r="G63" s="9">
        <v>6120.83</v>
      </c>
      <c r="H63" s="9">
        <v>9739.92</v>
      </c>
      <c r="I63" s="9">
        <v>12784.68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f t="shared" si="2"/>
        <v>69349.41</v>
      </c>
    </row>
    <row r="64" spans="1:23" x14ac:dyDescent="0.25">
      <c r="A64" s="3" t="s">
        <v>156</v>
      </c>
      <c r="B64" s="3" t="s">
        <v>157</v>
      </c>
      <c r="C64" s="3"/>
      <c r="D64" s="9">
        <v>915.25999999999988</v>
      </c>
      <c r="E64" s="9">
        <v>2835.44</v>
      </c>
      <c r="F64" s="9">
        <v>1905</v>
      </c>
      <c r="G64" s="9">
        <v>7480.6899999999987</v>
      </c>
      <c r="H64" s="9">
        <v>3228.85</v>
      </c>
      <c r="I64" s="9">
        <v>4591.5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f t="shared" si="2"/>
        <v>20956.739999999998</v>
      </c>
    </row>
    <row r="65" spans="1:16" x14ac:dyDescent="0.25">
      <c r="A65" s="3" t="s">
        <v>158</v>
      </c>
      <c r="B65" s="3" t="s">
        <v>159</v>
      </c>
      <c r="C65" s="3"/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7978.73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f t="shared" si="2"/>
        <v>7978.73</v>
      </c>
    </row>
    <row r="66" spans="1:16" x14ac:dyDescent="0.25">
      <c r="A66" s="3" t="s">
        <v>160</v>
      </c>
      <c r="B66" s="3" t="s">
        <v>161</v>
      </c>
      <c r="C66" s="3"/>
      <c r="D66" s="9">
        <v>13560.83</v>
      </c>
      <c r="E66" s="9">
        <v>10235.83</v>
      </c>
      <c r="F66" s="9">
        <v>15278.79</v>
      </c>
      <c r="G66" s="9">
        <v>17632.16</v>
      </c>
      <c r="H66" s="9">
        <v>12424.94</v>
      </c>
      <c r="I66" s="9">
        <v>14996.94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f t="shared" si="2"/>
        <v>84129.49</v>
      </c>
    </row>
    <row r="67" spans="1:16" x14ac:dyDescent="0.25">
      <c r="A67" s="3" t="s">
        <v>162</v>
      </c>
      <c r="B67" s="3" t="s">
        <v>163</v>
      </c>
      <c r="C67" s="3"/>
      <c r="D67" s="9">
        <v>560.22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f t="shared" si="2"/>
        <v>560.22</v>
      </c>
    </row>
    <row r="68" spans="1:16" x14ac:dyDescent="0.25">
      <c r="A68" s="3" t="s">
        <v>164</v>
      </c>
      <c r="B68" s="3" t="s">
        <v>165</v>
      </c>
      <c r="C68" s="3"/>
      <c r="D68" s="9">
        <v>197.56</v>
      </c>
      <c r="E68" s="9">
        <v>197.56</v>
      </c>
      <c r="F68" s="9">
        <v>557.59</v>
      </c>
      <c r="G68" s="9">
        <v>197.56</v>
      </c>
      <c r="H68" s="9">
        <v>1238.93</v>
      </c>
      <c r="I68" s="9">
        <v>197.56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f t="shared" si="2"/>
        <v>2586.7599999999998</v>
      </c>
    </row>
    <row r="69" spans="1:16" x14ac:dyDescent="0.25">
      <c r="A69" s="3" t="s">
        <v>166</v>
      </c>
      <c r="B69" s="3" t="s">
        <v>167</v>
      </c>
      <c r="C69" s="3"/>
      <c r="D69" s="9">
        <v>4775.6000000000004</v>
      </c>
      <c r="E69" s="9">
        <v>426.2600000000001</v>
      </c>
      <c r="F69" s="9">
        <v>604.76999999999987</v>
      </c>
      <c r="G69" s="9">
        <v>1031.8200000000002</v>
      </c>
      <c r="H69" s="9">
        <v>1034.55</v>
      </c>
      <c r="I69" s="9">
        <v>90.1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f t="shared" si="2"/>
        <v>7963.1000000000013</v>
      </c>
    </row>
    <row r="70" spans="1:16" x14ac:dyDescent="0.25">
      <c r="A70" s="3" t="s">
        <v>168</v>
      </c>
      <c r="B70" s="3" t="s">
        <v>169</v>
      </c>
      <c r="C70" s="3"/>
      <c r="D70" s="9">
        <v>48513.34</v>
      </c>
      <c r="E70" s="9">
        <v>49123.199999999997</v>
      </c>
      <c r="F70" s="9">
        <v>47919.8</v>
      </c>
      <c r="G70" s="9">
        <v>53369.130000000005</v>
      </c>
      <c r="H70" s="9">
        <v>54133.77</v>
      </c>
      <c r="I70" s="9">
        <v>49678.86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f t="shared" si="2"/>
        <v>302738.09999999998</v>
      </c>
    </row>
    <row r="71" spans="1:16" x14ac:dyDescent="0.25">
      <c r="A71" s="3" t="s">
        <v>170</v>
      </c>
      <c r="B71" s="3" t="s">
        <v>171</v>
      </c>
      <c r="C71" s="3"/>
      <c r="D71" s="9">
        <v>59416.47</v>
      </c>
      <c r="E71" s="9">
        <v>59991.3</v>
      </c>
      <c r="F71" s="9">
        <v>63648.72</v>
      </c>
      <c r="G71" s="9">
        <v>59348.819999999992</v>
      </c>
      <c r="H71" s="9">
        <v>67288.44</v>
      </c>
      <c r="I71" s="9">
        <v>58075.92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f t="shared" si="2"/>
        <v>367769.67</v>
      </c>
    </row>
    <row r="72" spans="1:16" x14ac:dyDescent="0.25">
      <c r="A72" s="3" t="s">
        <v>172</v>
      </c>
      <c r="B72" s="3" t="s">
        <v>173</v>
      </c>
      <c r="C72" s="3"/>
      <c r="D72" s="9">
        <v>22421.15</v>
      </c>
      <c r="E72" s="9">
        <v>18080.669999999998</v>
      </c>
      <c r="F72" s="9">
        <v>19852.32</v>
      </c>
      <c r="G72" s="9">
        <v>21297.98</v>
      </c>
      <c r="H72" s="9">
        <v>22103.22</v>
      </c>
      <c r="I72" s="9">
        <v>20202.09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f t="shared" si="2"/>
        <v>123957.43</v>
      </c>
    </row>
    <row r="73" spans="1:16" x14ac:dyDescent="0.25">
      <c r="A73" s="3" t="s">
        <v>174</v>
      </c>
      <c r="B73" s="3" t="s">
        <v>175</v>
      </c>
      <c r="C73" s="3"/>
      <c r="D73" s="9">
        <v>231.25</v>
      </c>
      <c r="E73" s="9">
        <v>777.73</v>
      </c>
      <c r="F73" s="9">
        <v>735.66</v>
      </c>
      <c r="G73" s="9">
        <v>2392.13</v>
      </c>
      <c r="H73" s="9">
        <v>1680.3</v>
      </c>
      <c r="I73" s="9">
        <v>69.66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f t="shared" si="2"/>
        <v>5886.7300000000005</v>
      </c>
    </row>
    <row r="74" spans="1:16" x14ac:dyDescent="0.25">
      <c r="A74" s="3" t="s">
        <v>176</v>
      </c>
      <c r="B74" s="3" t="s">
        <v>177</v>
      </c>
      <c r="C74" s="3"/>
      <c r="D74" s="9">
        <v>187.2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f t="shared" si="2"/>
        <v>187.2</v>
      </c>
    </row>
    <row r="75" spans="1:16" x14ac:dyDescent="0.25">
      <c r="A75" s="3" t="s">
        <v>178</v>
      </c>
      <c r="B75" s="3" t="s">
        <v>179</v>
      </c>
      <c r="C75" s="3"/>
      <c r="D75" s="9">
        <v>386.45000000000005</v>
      </c>
      <c r="E75" s="9">
        <v>330.48</v>
      </c>
      <c r="F75" s="9">
        <v>2300.7399999999998</v>
      </c>
      <c r="G75" s="9">
        <v>347.74</v>
      </c>
      <c r="H75" s="9">
        <v>325.48</v>
      </c>
      <c r="I75" s="9">
        <v>475.74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f t="shared" si="2"/>
        <v>4166.63</v>
      </c>
    </row>
    <row r="76" spans="1:16" x14ac:dyDescent="0.25">
      <c r="A76" s="3" t="s">
        <v>180</v>
      </c>
      <c r="B76" s="3" t="s">
        <v>181</v>
      </c>
      <c r="C76" s="3"/>
      <c r="D76" s="9">
        <v>3230.4</v>
      </c>
      <c r="E76" s="9">
        <v>1578.6399999999999</v>
      </c>
      <c r="F76" s="9">
        <v>847.2399999999999</v>
      </c>
      <c r="G76" s="9">
        <v>1896.3200000000002</v>
      </c>
      <c r="H76" s="9">
        <v>1804.2599999999998</v>
      </c>
      <c r="I76" s="9">
        <v>1102.9900000000002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f t="shared" si="2"/>
        <v>10459.85</v>
      </c>
    </row>
    <row r="77" spans="1:16" x14ac:dyDescent="0.25">
      <c r="A77" s="3" t="s">
        <v>182</v>
      </c>
      <c r="B77" s="3" t="s">
        <v>183</v>
      </c>
      <c r="C77" s="3"/>
      <c r="D77" s="9">
        <v>919.91</v>
      </c>
      <c r="E77" s="9">
        <v>600.24</v>
      </c>
      <c r="F77" s="9">
        <v>1089.27</v>
      </c>
      <c r="G77" s="9">
        <v>1372.8400000000001</v>
      </c>
      <c r="H77" s="9">
        <v>1088.7299999999998</v>
      </c>
      <c r="I77" s="9">
        <v>1323.8700000000001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f t="shared" si="2"/>
        <v>6394.86</v>
      </c>
    </row>
    <row r="78" spans="1:16" x14ac:dyDescent="0.25">
      <c r="A78" s="3" t="s">
        <v>184</v>
      </c>
      <c r="B78" s="3" t="s">
        <v>185</v>
      </c>
      <c r="C78" s="3"/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f t="shared" si="2"/>
        <v>0</v>
      </c>
    </row>
    <row r="79" spans="1:16" x14ac:dyDescent="0.25">
      <c r="A79" s="3" t="s">
        <v>186</v>
      </c>
      <c r="B79" s="3" t="s">
        <v>187</v>
      </c>
      <c r="C79" s="3"/>
      <c r="D79" s="9">
        <v>5426.5</v>
      </c>
      <c r="E79" s="9">
        <v>5141.09</v>
      </c>
      <c r="F79" s="9">
        <v>5184.5599999999995</v>
      </c>
      <c r="G79" s="9">
        <v>5712.0399999999991</v>
      </c>
      <c r="H79" s="9">
        <v>5148.68</v>
      </c>
      <c r="I79" s="9">
        <v>3522.26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f t="shared" si="2"/>
        <v>30135.129999999997</v>
      </c>
    </row>
    <row r="80" spans="1:16" x14ac:dyDescent="0.25">
      <c r="A80" s="3" t="s">
        <v>188</v>
      </c>
      <c r="B80" s="3" t="s">
        <v>189</v>
      </c>
      <c r="C80" s="3"/>
      <c r="D80" s="9">
        <v>4563.05</v>
      </c>
      <c r="E80" s="9">
        <v>4648.8500000000004</v>
      </c>
      <c r="F80" s="9">
        <v>4925.3899999999994</v>
      </c>
      <c r="G80" s="9">
        <v>4723.1799999999994</v>
      </c>
      <c r="H80" s="9">
        <v>5276.1</v>
      </c>
      <c r="I80" s="9">
        <v>4448.12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f t="shared" si="2"/>
        <v>28584.69</v>
      </c>
    </row>
    <row r="81" spans="1:16" x14ac:dyDescent="0.25">
      <c r="A81" s="3" t="s">
        <v>190</v>
      </c>
      <c r="B81" s="3" t="s">
        <v>191</v>
      </c>
      <c r="C81" s="3"/>
      <c r="D81" s="9">
        <v>92.2</v>
      </c>
      <c r="E81" s="9">
        <v>81.33</v>
      </c>
      <c r="F81" s="9">
        <v>53.44</v>
      </c>
      <c r="G81" s="9">
        <v>55.26</v>
      </c>
      <c r="H81" s="9">
        <v>46.07</v>
      </c>
      <c r="I81" s="9">
        <v>24.77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f t="shared" ref="P81:P101" si="4">SUM(D81:O81)</f>
        <v>353.07</v>
      </c>
    </row>
    <row r="82" spans="1:16" x14ac:dyDescent="0.25">
      <c r="A82" s="3" t="s">
        <v>192</v>
      </c>
      <c r="B82" s="3" t="s">
        <v>193</v>
      </c>
      <c r="C82" s="3"/>
      <c r="D82" s="9">
        <v>77.56</v>
      </c>
      <c r="E82" s="9">
        <v>78.990000000000009</v>
      </c>
      <c r="F82" s="9">
        <v>83.699999999999989</v>
      </c>
      <c r="G82" s="9">
        <v>80.25</v>
      </c>
      <c r="H82" s="9">
        <v>89.639999999999986</v>
      </c>
      <c r="I82" s="9">
        <v>75.419999999999987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f t="shared" si="4"/>
        <v>485.55999999999995</v>
      </c>
    </row>
    <row r="83" spans="1:16" x14ac:dyDescent="0.25">
      <c r="A83" s="3" t="s">
        <v>194</v>
      </c>
      <c r="B83" s="3" t="s">
        <v>195</v>
      </c>
      <c r="C83" s="3"/>
      <c r="D83" s="9">
        <v>233.45</v>
      </c>
      <c r="E83" s="9">
        <v>18.55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f t="shared" si="4"/>
        <v>252</v>
      </c>
    </row>
    <row r="84" spans="1:16" x14ac:dyDescent="0.25">
      <c r="A84" s="3" t="s">
        <v>196</v>
      </c>
      <c r="B84" s="3" t="s">
        <v>197</v>
      </c>
      <c r="C84" s="3"/>
      <c r="D84" s="9">
        <v>344.38</v>
      </c>
      <c r="E84" s="9">
        <v>27.56</v>
      </c>
      <c r="F84" s="9">
        <v>6.07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f t="shared" si="4"/>
        <v>378.01</v>
      </c>
    </row>
    <row r="85" spans="1:16" x14ac:dyDescent="0.25">
      <c r="A85" s="3" t="s">
        <v>198</v>
      </c>
      <c r="B85" s="3" t="s">
        <v>199</v>
      </c>
      <c r="C85" s="3"/>
      <c r="D85" s="9">
        <v>636</v>
      </c>
      <c r="E85" s="9">
        <v>0</v>
      </c>
      <c r="F85" s="9">
        <v>0</v>
      </c>
      <c r="G85" s="9">
        <v>595.20000000000005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f t="shared" si="4"/>
        <v>1231.2</v>
      </c>
    </row>
    <row r="86" spans="1:16" x14ac:dyDescent="0.25">
      <c r="A86" s="3" t="s">
        <v>200</v>
      </c>
      <c r="B86" s="3" t="s">
        <v>201</v>
      </c>
      <c r="C86" s="3"/>
      <c r="D86" s="9">
        <v>0</v>
      </c>
      <c r="E86" s="9">
        <v>0</v>
      </c>
      <c r="F86" s="9">
        <v>0</v>
      </c>
      <c r="G86" s="9">
        <v>520.32999999999993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f t="shared" si="4"/>
        <v>520.32999999999993</v>
      </c>
    </row>
    <row r="87" spans="1:16" x14ac:dyDescent="0.25">
      <c r="A87" s="3" t="s">
        <v>202</v>
      </c>
      <c r="B87" s="3" t="s">
        <v>203</v>
      </c>
      <c r="C87" s="3"/>
      <c r="D87" s="9">
        <v>0</v>
      </c>
      <c r="E87" s="9">
        <v>0</v>
      </c>
      <c r="F87" s="9">
        <v>0</v>
      </c>
      <c r="G87" s="9">
        <v>0</v>
      </c>
      <c r="H87" s="9">
        <v>5491.07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f t="shared" si="4"/>
        <v>5491.07</v>
      </c>
    </row>
    <row r="88" spans="1:16" x14ac:dyDescent="0.25">
      <c r="A88" s="3" t="s">
        <v>237</v>
      </c>
      <c r="B88" s="3" t="s">
        <v>238</v>
      </c>
      <c r="C88" s="3"/>
      <c r="D88" s="9">
        <v>0</v>
      </c>
      <c r="E88" s="9">
        <v>0</v>
      </c>
      <c r="F88" s="9">
        <v>0</v>
      </c>
      <c r="G88" s="9">
        <v>5017.43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f t="shared" si="4"/>
        <v>5017.43</v>
      </c>
    </row>
    <row r="89" spans="1:16" x14ac:dyDescent="0.25">
      <c r="A89" s="3" t="s">
        <v>204</v>
      </c>
      <c r="B89" s="3" t="s">
        <v>205</v>
      </c>
      <c r="C89" s="3"/>
      <c r="D89" s="9">
        <v>0</v>
      </c>
      <c r="E89" s="9">
        <v>0</v>
      </c>
      <c r="F89" s="9">
        <v>49.91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f t="shared" si="4"/>
        <v>49.91</v>
      </c>
    </row>
    <row r="90" spans="1:16" x14ac:dyDescent="0.25">
      <c r="A90" s="3" t="s">
        <v>206</v>
      </c>
      <c r="B90" s="3" t="s">
        <v>207</v>
      </c>
      <c r="C90" s="3"/>
      <c r="D90" s="9">
        <v>33.53</v>
      </c>
      <c r="E90" s="9">
        <v>33.53</v>
      </c>
      <c r="F90" s="9">
        <v>33.93</v>
      </c>
      <c r="G90" s="9">
        <v>35.94</v>
      </c>
      <c r="H90" s="9">
        <v>33.93</v>
      </c>
      <c r="I90" s="9">
        <v>47.07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f t="shared" si="4"/>
        <v>217.93</v>
      </c>
    </row>
    <row r="91" spans="1:16" x14ac:dyDescent="0.25">
      <c r="A91" s="3" t="s">
        <v>208</v>
      </c>
      <c r="B91" s="3" t="s">
        <v>209</v>
      </c>
      <c r="C91" s="3"/>
      <c r="D91" s="9">
        <v>48697.34</v>
      </c>
      <c r="E91" s="9">
        <v>36257.18</v>
      </c>
      <c r="F91" s="9">
        <v>35997.269999999997</v>
      </c>
      <c r="G91" s="9">
        <v>45758.92</v>
      </c>
      <c r="H91" s="9">
        <v>47402</v>
      </c>
      <c r="I91" s="9">
        <v>49667.94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f t="shared" si="4"/>
        <v>263780.64999999997</v>
      </c>
    </row>
    <row r="92" spans="1:16" x14ac:dyDescent="0.25">
      <c r="A92" s="3" t="s">
        <v>210</v>
      </c>
      <c r="B92" s="3" t="s">
        <v>211</v>
      </c>
      <c r="C92" s="3"/>
      <c r="D92" s="9">
        <v>1758.55</v>
      </c>
      <c r="E92" s="9">
        <v>618.75</v>
      </c>
      <c r="F92" s="9">
        <v>3071.4799999999996</v>
      </c>
      <c r="G92" s="9">
        <v>1852.3799999999999</v>
      </c>
      <c r="H92" s="9">
        <v>1858.83</v>
      </c>
      <c r="I92" s="9">
        <v>1956.53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f t="shared" si="4"/>
        <v>11116.52</v>
      </c>
    </row>
    <row r="93" spans="1:16" x14ac:dyDescent="0.25">
      <c r="A93" s="3" t="s">
        <v>212</v>
      </c>
      <c r="B93" s="3" t="s">
        <v>213</v>
      </c>
      <c r="C93" s="3"/>
      <c r="D93" s="9">
        <v>2246.58</v>
      </c>
      <c r="E93" s="9">
        <v>551.5</v>
      </c>
      <c r="F93" s="9">
        <v>3756.37</v>
      </c>
      <c r="G93" s="9">
        <v>2137.9900000000002</v>
      </c>
      <c r="H93" s="9">
        <v>2433.2399999999998</v>
      </c>
      <c r="I93" s="9">
        <v>2145.8000000000002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f t="shared" si="4"/>
        <v>13271.48</v>
      </c>
    </row>
    <row r="94" spans="1:16" x14ac:dyDescent="0.25">
      <c r="A94" s="3" t="s">
        <v>216</v>
      </c>
      <c r="B94" s="3" t="s">
        <v>217</v>
      </c>
      <c r="C94" s="3"/>
      <c r="D94" s="9">
        <v>9679.1299999999992</v>
      </c>
      <c r="E94" s="9">
        <v>5495.65</v>
      </c>
      <c r="F94" s="9">
        <v>28812.989999999998</v>
      </c>
      <c r="G94" s="9">
        <v>5655</v>
      </c>
      <c r="H94" s="9">
        <v>10073.689999999999</v>
      </c>
      <c r="I94" s="9">
        <v>2024.44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f t="shared" si="4"/>
        <v>61740.899999999994</v>
      </c>
    </row>
    <row r="95" spans="1:16" x14ac:dyDescent="0.25">
      <c r="A95" s="3" t="s">
        <v>218</v>
      </c>
      <c r="B95" s="3" t="s">
        <v>219</v>
      </c>
      <c r="C95" s="3"/>
      <c r="D95" s="9">
        <v>1980.74</v>
      </c>
      <c r="E95" s="9">
        <v>35275.159999999996</v>
      </c>
      <c r="F95" s="9">
        <v>86250.609999999957</v>
      </c>
      <c r="G95" s="9">
        <v>113349.68</v>
      </c>
      <c r="H95" s="9">
        <v>72217.330000000031</v>
      </c>
      <c r="I95" s="9">
        <v>9639.2100000000009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f t="shared" si="4"/>
        <v>318712.73</v>
      </c>
    </row>
    <row r="96" spans="1:16" x14ac:dyDescent="0.25">
      <c r="A96" s="3" t="s">
        <v>220</v>
      </c>
      <c r="B96" s="3" t="s">
        <v>221</v>
      </c>
      <c r="C96" s="3"/>
      <c r="D96" s="9">
        <v>18256</v>
      </c>
      <c r="E96" s="9">
        <v>0</v>
      </c>
      <c r="F96" s="9">
        <v>0</v>
      </c>
      <c r="G96" s="9">
        <v>0</v>
      </c>
      <c r="H96" s="9">
        <v>18745</v>
      </c>
      <c r="I96" s="9">
        <v>15648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f t="shared" si="4"/>
        <v>52649</v>
      </c>
    </row>
    <row r="97" spans="1:16" x14ac:dyDescent="0.25">
      <c r="A97" s="3" t="s">
        <v>224</v>
      </c>
      <c r="B97" s="3" t="s">
        <v>225</v>
      </c>
      <c r="C97" s="3"/>
      <c r="D97" s="9">
        <v>0</v>
      </c>
      <c r="E97" s="9">
        <v>1500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f t="shared" si="4"/>
        <v>1500</v>
      </c>
    </row>
    <row r="98" spans="1:16" x14ac:dyDescent="0.25">
      <c r="A98" s="3" t="s">
        <v>226</v>
      </c>
      <c r="B98" s="3" t="s">
        <v>227</v>
      </c>
      <c r="C98" s="3"/>
      <c r="D98" s="9">
        <v>236.06</v>
      </c>
      <c r="E98" s="9">
        <v>201.84</v>
      </c>
      <c r="F98" s="9">
        <v>255.2</v>
      </c>
      <c r="G98" s="9">
        <v>213.44</v>
      </c>
      <c r="H98" s="9">
        <v>252.88</v>
      </c>
      <c r="I98" s="9">
        <v>229.74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f t="shared" si="4"/>
        <v>1389.16</v>
      </c>
    </row>
    <row r="99" spans="1:16" x14ac:dyDescent="0.25">
      <c r="A99" s="3" t="s">
        <v>228</v>
      </c>
      <c r="B99" s="3" t="s">
        <v>229</v>
      </c>
      <c r="C99" s="3"/>
      <c r="D99" s="9">
        <v>6037.54</v>
      </c>
      <c r="E99" s="9">
        <v>5605.7</v>
      </c>
      <c r="F99" s="9">
        <v>4391.43</v>
      </c>
      <c r="G99" s="9">
        <v>3561.57</v>
      </c>
      <c r="H99" s="9">
        <v>6902.46</v>
      </c>
      <c r="I99" s="9">
        <v>9113.92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f t="shared" si="4"/>
        <v>35612.620000000003</v>
      </c>
    </row>
    <row r="100" spans="1:16" x14ac:dyDescent="0.25">
      <c r="A100" s="3" t="s">
        <v>230</v>
      </c>
      <c r="B100" s="3" t="s">
        <v>231</v>
      </c>
      <c r="C100" s="3"/>
      <c r="D100" s="9">
        <v>10298.76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f t="shared" si="4"/>
        <v>10298.76</v>
      </c>
    </row>
    <row r="101" spans="1:16" x14ac:dyDescent="0.25">
      <c r="A101" s="3" t="s">
        <v>232</v>
      </c>
      <c r="B101" s="3" t="s">
        <v>233</v>
      </c>
      <c r="C101" s="3"/>
      <c r="D101" s="10">
        <v>0</v>
      </c>
      <c r="E101" s="10">
        <v>0</v>
      </c>
      <c r="F101" s="10">
        <v>0</v>
      </c>
      <c r="G101" s="10">
        <v>3106.48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f t="shared" si="4"/>
        <v>3106.48</v>
      </c>
    </row>
    <row r="102" spans="1:16" x14ac:dyDescent="0.25">
      <c r="A102" s="3"/>
      <c r="B102" s="3"/>
      <c r="C102" s="3"/>
      <c r="D102" s="21">
        <f t="shared" ref="D102:P102" si="5">SUM(D17:D101)</f>
        <v>1079117.8499999999</v>
      </c>
      <c r="E102" s="21">
        <f t="shared" si="5"/>
        <v>1075400.8500000001</v>
      </c>
      <c r="F102" s="21">
        <f t="shared" si="5"/>
        <v>1175674.8199999998</v>
      </c>
      <c r="G102" s="21">
        <f t="shared" si="5"/>
        <v>1152285.7099999997</v>
      </c>
      <c r="H102" s="21">
        <f t="shared" si="5"/>
        <v>1186135.7899999998</v>
      </c>
      <c r="I102" s="21">
        <f t="shared" si="5"/>
        <v>1036614.9500000001</v>
      </c>
      <c r="J102" s="21">
        <f t="shared" si="5"/>
        <v>0</v>
      </c>
      <c r="K102" s="21">
        <f t="shared" si="5"/>
        <v>0</v>
      </c>
      <c r="L102" s="21">
        <f t="shared" si="5"/>
        <v>0</v>
      </c>
      <c r="M102" s="21">
        <f t="shared" si="5"/>
        <v>0</v>
      </c>
      <c r="N102" s="21">
        <f t="shared" si="5"/>
        <v>0</v>
      </c>
      <c r="O102" s="21">
        <f t="shared" si="5"/>
        <v>0</v>
      </c>
      <c r="P102" s="21">
        <f t="shared" si="5"/>
        <v>6705229.9700000016</v>
      </c>
    </row>
    <row r="103" spans="1:1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x14ac:dyDescent="0.25">
      <c r="A104" s="3" t="s">
        <v>239</v>
      </c>
      <c r="B104" s="3"/>
      <c r="C104" s="3"/>
      <c r="D104" s="9">
        <f>+D13-D102</f>
        <v>1580816.1600000004</v>
      </c>
      <c r="E104" s="9">
        <f t="shared" ref="E104:P104" si="6">+E13-E102</f>
        <v>1342079.9599999995</v>
      </c>
      <c r="F104" s="9">
        <f t="shared" si="6"/>
        <v>1224485.1400000006</v>
      </c>
      <c r="G104" s="9">
        <f t="shared" si="6"/>
        <v>1263106.99</v>
      </c>
      <c r="H104" s="9">
        <f t="shared" si="6"/>
        <v>1972010.14</v>
      </c>
      <c r="I104" s="9">
        <f t="shared" si="6"/>
        <v>2267172.21</v>
      </c>
      <c r="J104" s="9">
        <f t="shared" si="6"/>
        <v>0</v>
      </c>
      <c r="K104" s="9">
        <f t="shared" si="6"/>
        <v>0</v>
      </c>
      <c r="L104" s="9">
        <f t="shared" si="6"/>
        <v>0</v>
      </c>
      <c r="M104" s="9">
        <f t="shared" si="6"/>
        <v>0</v>
      </c>
      <c r="N104" s="9">
        <f t="shared" si="6"/>
        <v>0</v>
      </c>
      <c r="O104" s="9">
        <f t="shared" si="6"/>
        <v>0</v>
      </c>
      <c r="P104" s="9">
        <f t="shared" si="6"/>
        <v>9649670.5999999978</v>
      </c>
    </row>
    <row r="105" spans="1:16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5">
      <c r="A106" s="3" t="s">
        <v>246</v>
      </c>
      <c r="B106" s="3"/>
      <c r="C106" s="3"/>
      <c r="D106" s="10">
        <v>1508849</v>
      </c>
      <c r="E106" s="10">
        <v>1249865</v>
      </c>
      <c r="F106" s="10">
        <v>1124392</v>
      </c>
      <c r="G106" s="10">
        <v>1166717</v>
      </c>
      <c r="H106" s="10">
        <v>1887403</v>
      </c>
      <c r="I106" s="10">
        <v>2182977</v>
      </c>
      <c r="J106" s="10"/>
      <c r="K106" s="10"/>
      <c r="L106" s="10"/>
      <c r="M106" s="10"/>
      <c r="N106" s="10"/>
      <c r="O106" s="10"/>
      <c r="P106" s="10">
        <f>SUM(D106:I106)</f>
        <v>9120203</v>
      </c>
    </row>
    <row r="108" spans="1:16" x14ac:dyDescent="0.25">
      <c r="A108" s="3" t="s">
        <v>245</v>
      </c>
      <c r="D108" s="13">
        <f>+D104-D106</f>
        <v>71967.160000000382</v>
      </c>
      <c r="E108" s="13">
        <f t="shared" ref="E108:P108" si="7">+E104-E106</f>
        <v>92214.959999999497</v>
      </c>
      <c r="F108" s="13">
        <f t="shared" si="7"/>
        <v>100093.1400000006</v>
      </c>
      <c r="G108" s="13">
        <f t="shared" si="7"/>
        <v>96389.989999999991</v>
      </c>
      <c r="H108" s="13">
        <f t="shared" si="7"/>
        <v>84607.139999999898</v>
      </c>
      <c r="I108" s="13">
        <f t="shared" si="7"/>
        <v>84195.209999999963</v>
      </c>
      <c r="J108" s="13">
        <f t="shared" si="7"/>
        <v>0</v>
      </c>
      <c r="K108" s="13">
        <f t="shared" si="7"/>
        <v>0</v>
      </c>
      <c r="L108" s="13">
        <f t="shared" si="7"/>
        <v>0</v>
      </c>
      <c r="M108" s="13">
        <f t="shared" si="7"/>
        <v>0</v>
      </c>
      <c r="N108" s="13">
        <f t="shared" si="7"/>
        <v>0</v>
      </c>
      <c r="O108" s="13">
        <f t="shared" si="7"/>
        <v>0</v>
      </c>
      <c r="P108" s="13">
        <f t="shared" si="7"/>
        <v>529467.59999999776</v>
      </c>
    </row>
    <row r="110" spans="1:16" x14ac:dyDescent="0.25">
      <c r="A110" t="s">
        <v>244</v>
      </c>
      <c r="D110">
        <v>1519</v>
      </c>
      <c r="E110">
        <v>1391</v>
      </c>
      <c r="F110">
        <v>1509</v>
      </c>
      <c r="G110">
        <v>1441</v>
      </c>
      <c r="H110">
        <v>1519</v>
      </c>
      <c r="I110">
        <v>1480</v>
      </c>
      <c r="P110">
        <f>SUM(D110:I110)</f>
        <v>8859</v>
      </c>
    </row>
    <row r="112" spans="1:16" x14ac:dyDescent="0.25">
      <c r="A112" t="s">
        <v>247</v>
      </c>
      <c r="D112">
        <v>49</v>
      </c>
      <c r="E112">
        <v>50</v>
      </c>
      <c r="F112">
        <v>49</v>
      </c>
      <c r="G112">
        <v>49</v>
      </c>
      <c r="H112">
        <v>49</v>
      </c>
      <c r="I112">
        <v>50</v>
      </c>
    </row>
  </sheetData>
  <printOptions headings="1" gridLines="1"/>
  <pageMargins left="0.2" right="0.2" top="0.75" bottom="0.75" header="0.3" footer="0.3"/>
  <pageSetup scale="95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0"/>
  <sheetViews>
    <sheetView workbookViewId="0">
      <pane ySplit="5" topLeftCell="A6" activePane="bottomLeft" state="frozen"/>
      <selection pane="bottomLeft" activeCell="A7" sqref="A7:B8"/>
    </sheetView>
  </sheetViews>
  <sheetFormatPr defaultRowHeight="15" x14ac:dyDescent="0.25"/>
  <cols>
    <col min="1" max="1" width="18.28515625" customWidth="1"/>
    <col min="2" max="2" width="38.5703125" customWidth="1"/>
    <col min="3" max="3" width="2" customWidth="1"/>
    <col min="16" max="16" width="10.140625" bestFit="1" customWidth="1"/>
    <col min="17" max="17" width="13" customWidth="1"/>
    <col min="18" max="18" width="10.140625" bestFit="1" customWidth="1"/>
  </cols>
  <sheetData>
    <row r="1" spans="1:18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8" ht="18.75" x14ac:dyDescent="0.3">
      <c r="A2" s="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8" ht="18.75" x14ac:dyDescent="0.3">
      <c r="A3" s="1" t="s">
        <v>248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8" ht="19.5" thickBot="1" x14ac:dyDescent="0.35">
      <c r="D4" s="12" t="s">
        <v>249</v>
      </c>
      <c r="E4" s="11"/>
      <c r="F4" s="11"/>
      <c r="G4" s="11"/>
      <c r="H4" s="11"/>
      <c r="I4" s="11"/>
      <c r="J4" s="12" t="s">
        <v>250</v>
      </c>
      <c r="K4" s="11"/>
      <c r="L4" s="11"/>
      <c r="M4" s="11"/>
      <c r="N4" s="11"/>
      <c r="O4" s="11"/>
    </row>
    <row r="5" spans="1:18" ht="30.75" thickBot="1" x14ac:dyDescent="0.3">
      <c r="D5" s="4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9</v>
      </c>
      <c r="O5" s="6" t="s">
        <v>10</v>
      </c>
      <c r="P5" s="26" t="s">
        <v>17</v>
      </c>
      <c r="Q5" s="28" t="s">
        <v>311</v>
      </c>
      <c r="R5" s="27" t="s">
        <v>312</v>
      </c>
    </row>
    <row r="6" spans="1:18" x14ac:dyDescent="0.25">
      <c r="A6" s="7" t="s">
        <v>18</v>
      </c>
      <c r="B6" s="3"/>
      <c r="C6" s="3"/>
    </row>
    <row r="7" spans="1:18" x14ac:dyDescent="0.25">
      <c r="A7" s="16" t="s">
        <v>19</v>
      </c>
      <c r="B7" s="8" t="s">
        <v>20</v>
      </c>
      <c r="C7" s="3"/>
      <c r="D7" s="13">
        <f>'Calendar Period Ended 12-18'!J7</f>
        <v>3316094.66</v>
      </c>
      <c r="E7" s="13">
        <f>'Calendar Period Ended 12-18'!K7</f>
        <v>3139088.88</v>
      </c>
      <c r="F7" s="13">
        <f>'Calendar Period Ended 12-18'!L7</f>
        <v>3070851.82</v>
      </c>
      <c r="G7" s="13">
        <f>'Calendar Period Ended 12-18'!M7</f>
        <v>2496390.2999999998</v>
      </c>
      <c r="H7" s="13">
        <f>'Calendar Period Ended 12-18'!N7</f>
        <v>2329286.0299999998</v>
      </c>
      <c r="I7" s="13">
        <f>'Calendar Period Ended 12-18'!O7</f>
        <v>2383539.0299999998</v>
      </c>
      <c r="J7" s="13">
        <f>+'6 Month P-L 6-19'!D9</f>
        <v>2505285</v>
      </c>
      <c r="K7" s="13">
        <f>'6 Month P-L 6-19'!E9</f>
        <v>2264452.0499999998</v>
      </c>
      <c r="L7" s="13">
        <f>'6 Month P-L 6-19'!F9</f>
        <v>2252802.9300000002</v>
      </c>
      <c r="M7" s="13">
        <f>'6 Month P-L 6-19'!G9</f>
        <v>2275663.02</v>
      </c>
      <c r="N7" s="13">
        <f>'6 Month P-L 6-19'!H9</f>
        <v>2991924.59</v>
      </c>
      <c r="O7" s="13">
        <f>'6 Month P-L 6-19'!I9</f>
        <v>3138545.94</v>
      </c>
      <c r="P7" s="13">
        <f t="shared" ref="P7:P14" si="0">SUM(D7:O7)</f>
        <v>32163924.25</v>
      </c>
      <c r="Q7" s="13"/>
      <c r="R7" s="13">
        <f>SUM(P7:Q7)</f>
        <v>32163924.25</v>
      </c>
    </row>
    <row r="8" spans="1:18" x14ac:dyDescent="0.25">
      <c r="A8" s="16" t="s">
        <v>21</v>
      </c>
      <c r="B8" s="8" t="s">
        <v>22</v>
      </c>
      <c r="C8" s="3"/>
      <c r="D8" s="45">
        <f>'Calendar Period Ended 12-18'!J8</f>
        <v>188964</v>
      </c>
      <c r="E8" s="45">
        <f>'Calendar Period Ended 12-18'!K8</f>
        <v>185136</v>
      </c>
      <c r="F8" s="45">
        <f>'Calendar Period Ended 12-18'!L8</f>
        <v>178176</v>
      </c>
      <c r="G8" s="45">
        <f>'Calendar Period Ended 12-18'!M8</f>
        <v>152772</v>
      </c>
      <c r="H8" s="45">
        <f>'Calendar Period Ended 12-18'!N8</f>
        <v>150684</v>
      </c>
      <c r="I8" s="45">
        <f>'Calendar Period Ended 12-18'!O8</f>
        <v>155556</v>
      </c>
      <c r="J8" s="45">
        <f>+'6 Month P-L 6-19'!D10</f>
        <v>161124</v>
      </c>
      <c r="K8" s="45">
        <f>'6 Month P-L 6-19'!E10</f>
        <v>151380</v>
      </c>
      <c r="L8" s="45">
        <f>'6 Month P-L 6-19'!F10</f>
        <v>146160</v>
      </c>
      <c r="M8" s="45">
        <f>'6 Month P-L 6-19'!G10</f>
        <v>140244</v>
      </c>
      <c r="N8" s="45">
        <f>'6 Month P-L 6-19'!H10</f>
        <v>167040</v>
      </c>
      <c r="O8" s="45">
        <f>'6 Month P-L 6-19'!I10</f>
        <v>168780</v>
      </c>
      <c r="P8" s="45">
        <f t="shared" si="0"/>
        <v>1946016</v>
      </c>
      <c r="Q8" s="45"/>
      <c r="R8" s="45">
        <f t="shared" ref="R8:R14" si="1">SUM(P8:Q8)</f>
        <v>1946016</v>
      </c>
    </row>
    <row r="9" spans="1:18" x14ac:dyDescent="0.25">
      <c r="A9" s="16"/>
      <c r="B9" s="8" t="s">
        <v>408</v>
      </c>
      <c r="C9" s="3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>
        <v>912420</v>
      </c>
      <c r="Q9" s="45"/>
      <c r="R9" s="45">
        <f t="shared" si="1"/>
        <v>912420</v>
      </c>
    </row>
    <row r="10" spans="1:18" x14ac:dyDescent="0.25">
      <c r="A10" s="16"/>
      <c r="B10" s="8" t="s">
        <v>409</v>
      </c>
      <c r="C10" s="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113568</v>
      </c>
      <c r="Q10" s="14"/>
      <c r="R10" s="14">
        <f t="shared" si="1"/>
        <v>113568</v>
      </c>
    </row>
    <row r="11" spans="1:18" x14ac:dyDescent="0.25">
      <c r="A11" s="16"/>
      <c r="B11" s="8" t="s">
        <v>313</v>
      </c>
      <c r="C11" s="3"/>
      <c r="D11" s="13">
        <f t="shared" ref="D11:O11" si="2">SUM(D7:D10)</f>
        <v>3505058.66</v>
      </c>
      <c r="E11" s="13">
        <f t="shared" si="2"/>
        <v>3324224.88</v>
      </c>
      <c r="F11" s="13">
        <f t="shared" si="2"/>
        <v>3249027.82</v>
      </c>
      <c r="G11" s="13">
        <f t="shared" si="2"/>
        <v>2649162.2999999998</v>
      </c>
      <c r="H11" s="13">
        <f t="shared" si="2"/>
        <v>2479970.0299999998</v>
      </c>
      <c r="I11" s="13">
        <f t="shared" si="2"/>
        <v>2539095.0299999998</v>
      </c>
      <c r="J11" s="13">
        <f t="shared" si="2"/>
        <v>2666409</v>
      </c>
      <c r="K11" s="13">
        <f t="shared" si="2"/>
        <v>2415832.0499999998</v>
      </c>
      <c r="L11" s="13">
        <f t="shared" si="2"/>
        <v>2398962.9300000002</v>
      </c>
      <c r="M11" s="13">
        <f t="shared" si="2"/>
        <v>2415907.02</v>
      </c>
      <c r="N11" s="13">
        <f t="shared" si="2"/>
        <v>3158964.59</v>
      </c>
      <c r="O11" s="13">
        <f t="shared" si="2"/>
        <v>3307325.94</v>
      </c>
      <c r="P11" s="13">
        <f>SUM(P7:P10)</f>
        <v>35135928.25</v>
      </c>
      <c r="Q11" s="13">
        <f t="shared" ref="Q11" si="3">SUM(Q7:Q8)</f>
        <v>0</v>
      </c>
      <c r="R11" s="13">
        <f>SUM(R7:R10)</f>
        <v>35135928.25</v>
      </c>
    </row>
    <row r="12" spans="1:18" x14ac:dyDescent="0.25">
      <c r="A12" s="16"/>
      <c r="B12" s="8"/>
      <c r="C12" s="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5">
      <c r="A13" s="16" t="s">
        <v>23</v>
      </c>
      <c r="B13" s="8" t="s">
        <v>24</v>
      </c>
      <c r="C13" s="3"/>
      <c r="D13" s="13">
        <f>'Calendar Period Ended 12-18'!J9</f>
        <v>330.48</v>
      </c>
      <c r="E13" s="13">
        <f>'Calendar Period Ended 12-18'!K9</f>
        <v>326.7</v>
      </c>
      <c r="F13" s="13">
        <f>'Calendar Period Ended 12-18'!L9</f>
        <v>308.64</v>
      </c>
      <c r="G13" s="13">
        <f>'Calendar Period Ended 12-18'!M9</f>
        <v>334.72</v>
      </c>
      <c r="H13" s="13">
        <f>'Calendar Period Ended 12-18'!N9</f>
        <v>1261.73</v>
      </c>
      <c r="I13" s="13">
        <f>'Calendar Period Ended 12-18'!O9</f>
        <v>1235.76</v>
      </c>
      <c r="J13" s="13">
        <f>'6 Month P-L 6-19'!D11</f>
        <v>340.16</v>
      </c>
      <c r="K13" s="13">
        <f>'6 Month P-L 6-19'!E11</f>
        <v>335.63</v>
      </c>
      <c r="L13" s="17">
        <f>+'6 Month P-L 6-19'!F11</f>
        <v>341.95</v>
      </c>
      <c r="M13" s="13">
        <f>'6 Month P-L 6-19'!G11</f>
        <v>346.26</v>
      </c>
      <c r="N13" s="13">
        <f>'6 Month P-L 6-19'!H11</f>
        <v>350.04</v>
      </c>
      <c r="O13" s="13">
        <f>'6 Month P-L 6-19'!I11</f>
        <v>331.22</v>
      </c>
      <c r="P13" s="13">
        <f t="shared" si="0"/>
        <v>5843.29</v>
      </c>
      <c r="Q13" s="13">
        <v>2687.74</v>
      </c>
      <c r="R13" s="13">
        <f t="shared" si="1"/>
        <v>8531.0299999999988</v>
      </c>
    </row>
    <row r="14" spans="1:18" x14ac:dyDescent="0.25">
      <c r="A14" s="16" t="s">
        <v>25</v>
      </c>
      <c r="B14" s="8" t="s">
        <v>26</v>
      </c>
      <c r="C14" s="3"/>
      <c r="D14" s="14">
        <f>'Calendar Period Ended 12-18'!J10</f>
        <v>361.46</v>
      </c>
      <c r="E14" s="14">
        <f>'Calendar Period Ended 12-18'!K10</f>
        <v>1898.52</v>
      </c>
      <c r="F14" s="14">
        <f>'Calendar Period Ended 12-18'!L10</f>
        <v>1327.76</v>
      </c>
      <c r="G14" s="14">
        <f>'Calendar Period Ended 12-18'!M10</f>
        <v>73.09</v>
      </c>
      <c r="H14" s="14">
        <f>'Calendar Period Ended 12-18'!N10</f>
        <v>-30565</v>
      </c>
      <c r="I14" s="14">
        <f>'Calendar Period Ended 12-18'!O10</f>
        <v>-1793.98</v>
      </c>
      <c r="J14" s="14">
        <f>'6 Month P-L 6-19'!D12</f>
        <v>-6815.15</v>
      </c>
      <c r="K14" s="14">
        <f>'6 Month P-L 6-19'!E12</f>
        <v>1313.13</v>
      </c>
      <c r="L14" s="14">
        <f>+'6 Month P-L 6-19'!F12</f>
        <v>855.08</v>
      </c>
      <c r="M14" s="14">
        <f>'6 Month P-L 6-19'!G12</f>
        <v>-860.58</v>
      </c>
      <c r="N14" s="14">
        <f>'6 Month P-L 6-19'!H12</f>
        <v>-1168.7</v>
      </c>
      <c r="O14" s="14">
        <f>'6 Month P-L 6-19'!I12</f>
        <v>-3870</v>
      </c>
      <c r="P14" s="14">
        <f t="shared" si="0"/>
        <v>-39244.369999999995</v>
      </c>
      <c r="Q14" s="14"/>
      <c r="R14" s="14">
        <f t="shared" si="1"/>
        <v>-39244.369999999995</v>
      </c>
    </row>
    <row r="15" spans="1:18" x14ac:dyDescent="0.25">
      <c r="A15" s="3"/>
      <c r="B15" s="3"/>
      <c r="C15" s="3"/>
      <c r="D15" s="13">
        <f>+D11+D13+D14</f>
        <v>3505750.6</v>
      </c>
      <c r="E15" s="13">
        <f t="shared" ref="E15:R15" si="4">+E11+E13+E14</f>
        <v>3326450.1</v>
      </c>
      <c r="F15" s="13">
        <f t="shared" si="4"/>
        <v>3250664.2199999997</v>
      </c>
      <c r="G15" s="13">
        <f t="shared" si="4"/>
        <v>2649570.11</v>
      </c>
      <c r="H15" s="13">
        <f t="shared" si="4"/>
        <v>2450666.7599999998</v>
      </c>
      <c r="I15" s="13">
        <f t="shared" si="4"/>
        <v>2538536.8099999996</v>
      </c>
      <c r="J15" s="13">
        <f t="shared" si="4"/>
        <v>2659934.0100000002</v>
      </c>
      <c r="K15" s="13">
        <f t="shared" si="4"/>
        <v>2417480.8099999996</v>
      </c>
      <c r="L15" s="13">
        <f t="shared" si="4"/>
        <v>2400159.9600000004</v>
      </c>
      <c r="M15" s="13">
        <f t="shared" si="4"/>
        <v>2415392.6999999997</v>
      </c>
      <c r="N15" s="13">
        <f t="shared" si="4"/>
        <v>3158145.9299999997</v>
      </c>
      <c r="O15" s="13">
        <f t="shared" si="4"/>
        <v>3303787.16</v>
      </c>
      <c r="P15" s="13">
        <f t="shared" si="4"/>
        <v>35102527.170000002</v>
      </c>
      <c r="Q15" s="13">
        <f t="shared" si="4"/>
        <v>2687.74</v>
      </c>
      <c r="R15" s="13">
        <f t="shared" si="4"/>
        <v>35105214.910000004</v>
      </c>
    </row>
    <row r="16" spans="1:18" x14ac:dyDescent="0.25">
      <c r="A16" s="3"/>
      <c r="B16" s="3"/>
      <c r="C16" s="3"/>
      <c r="Q16" s="13"/>
    </row>
    <row r="17" spans="1:18" x14ac:dyDescent="0.25">
      <c r="A17" s="3"/>
      <c r="B17" s="3"/>
      <c r="C17" s="3"/>
      <c r="Q17" s="13"/>
    </row>
    <row r="18" spans="1:18" x14ac:dyDescent="0.25">
      <c r="A18" s="7" t="s">
        <v>27</v>
      </c>
      <c r="B18" s="3"/>
      <c r="C18" s="3"/>
      <c r="Q18" s="13"/>
    </row>
    <row r="19" spans="1:18" x14ac:dyDescent="0.25">
      <c r="A19" s="16" t="s">
        <v>28</v>
      </c>
      <c r="B19" s="3" t="s">
        <v>29</v>
      </c>
      <c r="C19" s="3"/>
      <c r="D19" s="13">
        <f>+'Calendar Period Ended 12-18'!J15</f>
        <v>52</v>
      </c>
      <c r="E19" s="13">
        <f>+'Calendar Period Ended 12-18'!K15</f>
        <v>0</v>
      </c>
      <c r="F19" s="13">
        <f>+'Calendar Period Ended 12-18'!L15</f>
        <v>18000</v>
      </c>
      <c r="G19" s="13">
        <f>+'Calendar Period Ended 12-18'!M15</f>
        <v>2000</v>
      </c>
      <c r="H19" s="13">
        <f>+'Calendar Period Ended 12-18'!N15</f>
        <v>2000</v>
      </c>
      <c r="I19" s="13">
        <f>+'Calendar Period Ended 12-18'!O15</f>
        <v>2000</v>
      </c>
      <c r="J19" s="13">
        <f>+'6 Month P-L 6-19'!D17</f>
        <v>2000</v>
      </c>
      <c r="K19" s="13">
        <f>+'6 Month P-L 6-19'!E17</f>
        <v>2000</v>
      </c>
      <c r="L19" s="13">
        <f>+'6 Month P-L 6-19'!F17</f>
        <v>2000</v>
      </c>
      <c r="M19" s="13">
        <f>+'6 Month P-L 6-19'!G17</f>
        <v>2000</v>
      </c>
      <c r="N19" s="13">
        <f>+'6 Month P-L 6-19'!H17</f>
        <v>2054</v>
      </c>
      <c r="O19" s="13">
        <f>+'6 Month P-L 6-19'!I17</f>
        <v>2000</v>
      </c>
      <c r="P19" s="13">
        <f t="shared" ref="P19:P82" si="5">SUM(D19:O19)</f>
        <v>36106</v>
      </c>
      <c r="Q19" s="13"/>
      <c r="R19" s="13">
        <f t="shared" ref="R19:R82" si="6">SUM(P19:Q19)</f>
        <v>36106</v>
      </c>
    </row>
    <row r="20" spans="1:18" x14ac:dyDescent="0.25">
      <c r="A20" s="16" t="s">
        <v>30</v>
      </c>
      <c r="B20" s="3" t="s">
        <v>31</v>
      </c>
      <c r="C20" s="3"/>
      <c r="D20" s="13">
        <f>+'Calendar Period Ended 12-18'!J16</f>
        <v>4000.26</v>
      </c>
      <c r="E20" s="13">
        <f>+'Calendar Period Ended 12-18'!K16</f>
        <v>21260.97</v>
      </c>
      <c r="F20" s="13">
        <f>+'Calendar Period Ended 12-18'!L16</f>
        <v>23938.260000000002</v>
      </c>
      <c r="G20" s="13">
        <f>+'Calendar Period Ended 12-18'!M16</f>
        <v>45639.33</v>
      </c>
      <c r="H20" s="13">
        <f>+'Calendar Period Ended 12-18'!N16</f>
        <v>35227.26</v>
      </c>
      <c r="I20" s="13">
        <f>+'Calendar Period Ended 12-18'!O16</f>
        <v>11966.8</v>
      </c>
      <c r="J20" s="13">
        <f>+'6 Month P-L 6-19'!D18</f>
        <v>27090.29</v>
      </c>
      <c r="K20" s="13">
        <f>+'6 Month P-L 6-19'!E18</f>
        <v>22622.7</v>
      </c>
      <c r="L20" s="13">
        <f>+'6 Month P-L 6-19'!F18</f>
        <v>45615.199999999997</v>
      </c>
      <c r="M20" s="13">
        <f>+'6 Month P-L 6-19'!G18</f>
        <v>43349.25</v>
      </c>
      <c r="N20" s="13">
        <f>+'6 Month P-L 6-19'!H18</f>
        <v>49393</v>
      </c>
      <c r="O20" s="13">
        <f>+'6 Month P-L 6-19'!I18</f>
        <v>64641.14</v>
      </c>
      <c r="P20" s="13">
        <f t="shared" si="5"/>
        <v>394744.46</v>
      </c>
      <c r="Q20" s="13"/>
      <c r="R20" s="13">
        <f t="shared" si="6"/>
        <v>394744.46</v>
      </c>
    </row>
    <row r="21" spans="1:18" x14ac:dyDescent="0.25">
      <c r="A21" s="16" t="s">
        <v>32</v>
      </c>
      <c r="B21" s="3" t="s">
        <v>33</v>
      </c>
      <c r="C21" s="3"/>
      <c r="D21" s="13">
        <f>+'Calendar Period Ended 12-18'!J17</f>
        <v>1202.17</v>
      </c>
      <c r="E21" s="13">
        <f>+'Calendar Period Ended 12-18'!K17</f>
        <v>1173.05</v>
      </c>
      <c r="F21" s="13">
        <f>+'Calendar Period Ended 12-18'!L17</f>
        <v>1209.97</v>
      </c>
      <c r="G21" s="13">
        <f>+'Calendar Period Ended 12-18'!M17</f>
        <v>1163.49</v>
      </c>
      <c r="H21" s="13">
        <f>+'Calendar Period Ended 12-18'!N17</f>
        <v>1252.82</v>
      </c>
      <c r="I21" s="13">
        <f>+'Calendar Period Ended 12-18'!O17</f>
        <v>1425</v>
      </c>
      <c r="J21" s="13">
        <f>+'6 Month P-L 6-19'!D19</f>
        <v>1417.69</v>
      </c>
      <c r="K21" s="13">
        <f>+'6 Month P-L 6-19'!E19</f>
        <v>1320.3</v>
      </c>
      <c r="L21" s="13">
        <f>+'6 Month P-L 6-19'!F19</f>
        <v>1224.46</v>
      </c>
      <c r="M21" s="13">
        <f>+'6 Month P-L 6-19'!G19</f>
        <v>1243.17</v>
      </c>
      <c r="N21" s="13">
        <f>+'6 Month P-L 6-19'!H19</f>
        <v>1234.7</v>
      </c>
      <c r="O21" s="13">
        <f>+'6 Month P-L 6-19'!I19</f>
        <v>1360.26</v>
      </c>
      <c r="P21" s="13">
        <f t="shared" si="5"/>
        <v>15227.080000000002</v>
      </c>
      <c r="Q21" s="13"/>
      <c r="R21" s="13">
        <f t="shared" si="6"/>
        <v>15227.080000000002</v>
      </c>
    </row>
    <row r="22" spans="1:18" x14ac:dyDescent="0.25">
      <c r="A22" s="16" t="s">
        <v>34</v>
      </c>
      <c r="B22" s="3" t="s">
        <v>35</v>
      </c>
      <c r="C22" s="3"/>
      <c r="D22" s="13">
        <f>+'Calendar Period Ended 12-18'!J18</f>
        <v>0</v>
      </c>
      <c r="E22" s="13">
        <f>+'Calendar Period Ended 12-18'!K18</f>
        <v>0</v>
      </c>
      <c r="F22" s="13">
        <f>+'Calendar Period Ended 12-18'!L18</f>
        <v>0</v>
      </c>
      <c r="G22" s="13">
        <f>+'Calendar Period Ended 12-18'!M18</f>
        <v>0</v>
      </c>
      <c r="H22" s="13">
        <f>+'Calendar Period Ended 12-18'!N18</f>
        <v>0</v>
      </c>
      <c r="I22" s="13">
        <f>+'Calendar Period Ended 12-18'!O18</f>
        <v>1479.82</v>
      </c>
      <c r="J22" s="13"/>
      <c r="K22" s="13"/>
      <c r="L22" s="13"/>
      <c r="M22" s="13"/>
      <c r="N22" s="13"/>
      <c r="O22" s="13"/>
      <c r="P22" s="13">
        <f t="shared" si="5"/>
        <v>1479.82</v>
      </c>
      <c r="Q22" s="13"/>
      <c r="R22" s="13">
        <f t="shared" si="6"/>
        <v>1479.82</v>
      </c>
    </row>
    <row r="23" spans="1:18" x14ac:dyDescent="0.25">
      <c r="A23" s="16" t="s">
        <v>36</v>
      </c>
      <c r="B23" s="3" t="s">
        <v>37</v>
      </c>
      <c r="C23" s="3"/>
      <c r="D23" s="13">
        <f>+'Calendar Period Ended 12-18'!J19</f>
        <v>0</v>
      </c>
      <c r="E23" s="13">
        <f>+'Calendar Period Ended 12-18'!K19</f>
        <v>0</v>
      </c>
      <c r="F23" s="13">
        <f>+'Calendar Period Ended 12-18'!L19</f>
        <v>0</v>
      </c>
      <c r="G23" s="13">
        <f>+'Calendar Period Ended 12-18'!M19</f>
        <v>0</v>
      </c>
      <c r="H23" s="13">
        <f>+'Calendar Period Ended 12-18'!N19</f>
        <v>0</v>
      </c>
      <c r="I23" s="13">
        <f>+'Calendar Period Ended 12-18'!O19</f>
        <v>-16567.75</v>
      </c>
      <c r="J23" s="13"/>
      <c r="K23" s="13"/>
      <c r="L23" s="13"/>
      <c r="M23" s="13"/>
      <c r="N23" s="13"/>
      <c r="O23" s="13"/>
      <c r="P23" s="13">
        <f t="shared" si="5"/>
        <v>-16567.75</v>
      </c>
      <c r="Q23" s="13"/>
      <c r="R23" s="13">
        <f t="shared" si="6"/>
        <v>-16567.75</v>
      </c>
    </row>
    <row r="24" spans="1:18" x14ac:dyDescent="0.25">
      <c r="A24" s="16" t="s">
        <v>38</v>
      </c>
      <c r="B24" s="3" t="s">
        <v>39</v>
      </c>
      <c r="C24" s="3"/>
      <c r="D24" s="13">
        <f>+'Calendar Period Ended 12-18'!J20</f>
        <v>150000</v>
      </c>
      <c r="E24" s="13">
        <f>+'Calendar Period Ended 12-18'!K20</f>
        <v>0</v>
      </c>
      <c r="F24" s="13">
        <f>+'Calendar Period Ended 12-18'!L20</f>
        <v>0</v>
      </c>
      <c r="G24" s="13">
        <f>+'Calendar Period Ended 12-18'!M20</f>
        <v>0</v>
      </c>
      <c r="H24" s="13">
        <f>+'Calendar Period Ended 12-18'!N20</f>
        <v>0</v>
      </c>
      <c r="I24" s="13">
        <f>+'Calendar Period Ended 12-18'!O20</f>
        <v>0</v>
      </c>
      <c r="J24" s="13"/>
      <c r="K24" s="13"/>
      <c r="L24" s="13"/>
      <c r="M24" s="13"/>
      <c r="N24" s="13"/>
      <c r="O24" s="13"/>
      <c r="P24" s="13">
        <f t="shared" si="5"/>
        <v>150000</v>
      </c>
      <c r="Q24" s="13"/>
      <c r="R24" s="13">
        <f t="shared" si="6"/>
        <v>150000</v>
      </c>
    </row>
    <row r="25" spans="1:18" x14ac:dyDescent="0.25">
      <c r="A25" s="16" t="s">
        <v>40</v>
      </c>
      <c r="B25" s="3" t="s">
        <v>41</v>
      </c>
      <c r="C25" s="3"/>
      <c r="D25" s="13">
        <f>+'Calendar Period Ended 12-18'!J21</f>
        <v>0</v>
      </c>
      <c r="E25" s="13">
        <f>+'Calendar Period Ended 12-18'!K21</f>
        <v>0</v>
      </c>
      <c r="F25" s="13">
        <f>+'Calendar Period Ended 12-18'!L21</f>
        <v>0</v>
      </c>
      <c r="G25" s="13">
        <f>+'Calendar Period Ended 12-18'!M21</f>
        <v>0</v>
      </c>
      <c r="H25" s="13">
        <f>+'Calendar Period Ended 12-18'!N21</f>
        <v>0</v>
      </c>
      <c r="I25" s="13">
        <f>+'Calendar Period Ended 12-18'!O21</f>
        <v>0</v>
      </c>
      <c r="J25" s="13"/>
      <c r="K25" s="13"/>
      <c r="L25" s="13"/>
      <c r="M25" s="13"/>
      <c r="N25" s="13"/>
      <c r="O25" s="13"/>
      <c r="P25" s="13">
        <f t="shared" si="5"/>
        <v>0</v>
      </c>
      <c r="Q25" s="13"/>
      <c r="R25" s="13">
        <f t="shared" si="6"/>
        <v>0</v>
      </c>
    </row>
    <row r="26" spans="1:18" x14ac:dyDescent="0.25">
      <c r="A26" s="16" t="s">
        <v>42</v>
      </c>
      <c r="B26" s="3" t="s">
        <v>43</v>
      </c>
      <c r="C26" s="3"/>
      <c r="D26" s="13">
        <f>+'Calendar Period Ended 12-18'!J22</f>
        <v>298</v>
      </c>
      <c r="E26" s="13">
        <f>+'Calendar Period Ended 12-18'!K22</f>
        <v>298</v>
      </c>
      <c r="F26" s="13">
        <f>+'Calendar Period Ended 12-18'!L22</f>
        <v>332.94</v>
      </c>
      <c r="G26" s="13">
        <f>+'Calendar Period Ended 12-18'!M22</f>
        <v>298</v>
      </c>
      <c r="H26" s="13">
        <f>+'Calendar Period Ended 12-18'!N22</f>
        <v>298</v>
      </c>
      <c r="I26" s="13">
        <f>+'Calendar Period Ended 12-18'!O22</f>
        <v>298</v>
      </c>
      <c r="J26" s="13">
        <f>+'6 Month P-L 6-19'!D20</f>
        <v>298</v>
      </c>
      <c r="K26" s="13">
        <f>+'6 Month P-L 6-19'!E20</f>
        <v>298</v>
      </c>
      <c r="L26" s="13">
        <f>+'6 Month P-L 6-19'!F20</f>
        <v>298</v>
      </c>
      <c r="M26" s="13">
        <f>+'6 Month P-L 6-19'!G20</f>
        <v>298</v>
      </c>
      <c r="N26" s="13">
        <f>+'6 Month P-L 6-19'!H20</f>
        <v>298</v>
      </c>
      <c r="O26" s="13">
        <f>+'6 Month P-L 6-19'!I20</f>
        <v>298</v>
      </c>
      <c r="P26" s="13">
        <f t="shared" si="5"/>
        <v>3610.94</v>
      </c>
      <c r="Q26" s="13"/>
      <c r="R26" s="13">
        <f t="shared" si="6"/>
        <v>3610.94</v>
      </c>
    </row>
    <row r="27" spans="1:18" x14ac:dyDescent="0.25">
      <c r="A27" s="16" t="s">
        <v>44</v>
      </c>
      <c r="B27" s="3" t="s">
        <v>45</v>
      </c>
      <c r="C27" s="3"/>
      <c r="D27" s="13">
        <f>+'Calendar Period Ended 12-18'!J23</f>
        <v>16364.87</v>
      </c>
      <c r="E27" s="13">
        <f>+'Calendar Period Ended 12-18'!K23</f>
        <v>8015.0199999999995</v>
      </c>
      <c r="F27" s="13">
        <f>+'Calendar Period Ended 12-18'!L23</f>
        <v>8295.5199999999986</v>
      </c>
      <c r="G27" s="13">
        <f>+'Calendar Period Ended 12-18'!M23</f>
        <v>33279.33</v>
      </c>
      <c r="H27" s="13">
        <f>+'Calendar Period Ended 12-18'!N23</f>
        <v>7551.52</v>
      </c>
      <c r="I27" s="13">
        <f>+'Calendar Period Ended 12-18'!O23</f>
        <v>18799.52</v>
      </c>
      <c r="J27" s="13">
        <f>+'6 Month P-L 6-19'!D21</f>
        <v>5739.89</v>
      </c>
      <c r="K27" s="13">
        <f>+'6 Month P-L 6-19'!E21</f>
        <v>34003.97</v>
      </c>
      <c r="L27" s="13">
        <f>+'6 Month P-L 6-19'!F21</f>
        <v>27353.9</v>
      </c>
      <c r="M27" s="13">
        <f>+'6 Month P-L 6-19'!G21</f>
        <v>24439.89</v>
      </c>
      <c r="N27" s="13">
        <f>+'6 Month P-L 6-19'!H21</f>
        <v>11627.05</v>
      </c>
      <c r="O27" s="13">
        <f>+'6 Month P-L 6-19'!I21</f>
        <v>8398.82</v>
      </c>
      <c r="P27" s="13">
        <f t="shared" si="5"/>
        <v>203869.3</v>
      </c>
      <c r="Q27" s="13"/>
      <c r="R27" s="13">
        <f t="shared" si="6"/>
        <v>203869.3</v>
      </c>
    </row>
    <row r="28" spans="1:18" x14ac:dyDescent="0.25">
      <c r="A28" s="16" t="s">
        <v>46</v>
      </c>
      <c r="B28" s="3" t="s">
        <v>47</v>
      </c>
      <c r="C28" s="3"/>
      <c r="D28" s="13">
        <f>+'Calendar Period Ended 12-18'!J24</f>
        <v>0</v>
      </c>
      <c r="E28" s="13">
        <f>+'Calendar Period Ended 12-18'!K24</f>
        <v>0</v>
      </c>
      <c r="F28" s="13">
        <f>+'Calendar Period Ended 12-18'!L24</f>
        <v>4023.75</v>
      </c>
      <c r="G28" s="13">
        <f>+'Calendar Period Ended 12-18'!M24</f>
        <v>0</v>
      </c>
      <c r="H28" s="13">
        <f>+'Calendar Period Ended 12-18'!N24</f>
        <v>0</v>
      </c>
      <c r="I28" s="13">
        <f>+'Calendar Period Ended 12-18'!O24</f>
        <v>0</v>
      </c>
      <c r="J28" s="13"/>
      <c r="K28" s="13"/>
      <c r="L28" s="13"/>
      <c r="M28" s="13"/>
      <c r="N28" s="13"/>
      <c r="O28" s="13"/>
      <c r="P28" s="13">
        <f t="shared" si="5"/>
        <v>4023.75</v>
      </c>
      <c r="Q28" s="13"/>
      <c r="R28" s="13">
        <f t="shared" si="6"/>
        <v>4023.75</v>
      </c>
    </row>
    <row r="29" spans="1:18" x14ac:dyDescent="0.25">
      <c r="A29" s="16" t="s">
        <v>48</v>
      </c>
      <c r="B29" s="3" t="s">
        <v>49</v>
      </c>
      <c r="C29" s="3"/>
      <c r="D29" s="13">
        <f>+'Calendar Period Ended 12-18'!J25</f>
        <v>4146</v>
      </c>
      <c r="E29" s="13">
        <f>+'Calendar Period Ended 12-18'!K25</f>
        <v>266</v>
      </c>
      <c r="F29" s="13">
        <f>+'Calendar Period Ended 12-18'!L25</f>
        <v>0</v>
      </c>
      <c r="G29" s="13">
        <f>+'Calendar Period Ended 12-18'!M25</f>
        <v>0</v>
      </c>
      <c r="H29" s="13">
        <f>+'Calendar Period Ended 12-18'!N25</f>
        <v>4943</v>
      </c>
      <c r="I29" s="13">
        <f>+'Calendar Period Ended 12-18'!O25</f>
        <v>17723.800000000003</v>
      </c>
      <c r="J29" s="13">
        <f>+'6 Month P-L 6-19'!D22</f>
        <v>665</v>
      </c>
      <c r="K29" s="13">
        <f>+'6 Month P-L 6-19'!E22</f>
        <v>665</v>
      </c>
      <c r="L29" s="13">
        <f>+'6 Month P-L 6-19'!F22</f>
        <v>76</v>
      </c>
      <c r="M29" s="13">
        <f>+'6 Month P-L 6-19'!G22</f>
        <v>2760.8</v>
      </c>
      <c r="N29" s="13">
        <f>+'6 Month P-L 6-19'!H22</f>
        <v>57</v>
      </c>
      <c r="O29" s="13">
        <f>+'6 Month P-L 6-19'!I22</f>
        <v>76</v>
      </c>
      <c r="P29" s="13">
        <f t="shared" si="5"/>
        <v>31378.600000000002</v>
      </c>
      <c r="Q29" s="13"/>
      <c r="R29" s="13">
        <f t="shared" si="6"/>
        <v>31378.600000000002</v>
      </c>
    </row>
    <row r="30" spans="1:18" x14ac:dyDescent="0.25">
      <c r="A30" s="16" t="s">
        <v>50</v>
      </c>
      <c r="B30" s="3" t="s">
        <v>51</v>
      </c>
      <c r="C30" s="3"/>
      <c r="D30" s="13">
        <f>+'Calendar Period Ended 12-18'!J26</f>
        <v>0</v>
      </c>
      <c r="E30" s="13">
        <f>+'Calendar Period Ended 12-18'!K26</f>
        <v>7000</v>
      </c>
      <c r="F30" s="13">
        <f>+'Calendar Period Ended 12-18'!L26</f>
        <v>8079.75</v>
      </c>
      <c r="G30" s="13">
        <f>+'Calendar Period Ended 12-18'!M26</f>
        <v>1268.75</v>
      </c>
      <c r="H30" s="13">
        <f>+'Calendar Period Ended 12-18'!N26</f>
        <v>5206.0599999999995</v>
      </c>
      <c r="I30" s="13">
        <f>+'Calendar Period Ended 12-18'!O26</f>
        <v>481.25</v>
      </c>
      <c r="J30" s="13">
        <f>+'6 Month P-L 6-19'!D23</f>
        <v>8284.16</v>
      </c>
      <c r="K30" s="13">
        <f>+'6 Month P-L 6-19'!E23</f>
        <v>30970.190000000002</v>
      </c>
      <c r="L30" s="13">
        <f>+'6 Month P-L 6-19'!F23</f>
        <v>18657.27</v>
      </c>
      <c r="M30" s="13">
        <f>+'6 Month P-L 6-19'!G23</f>
        <v>17015.05</v>
      </c>
      <c r="N30" s="13">
        <f>+'6 Month P-L 6-19'!H23</f>
        <v>15535.679999999998</v>
      </c>
      <c r="O30" s="13">
        <f>+'6 Month P-L 6-19'!I23</f>
        <v>29730.55</v>
      </c>
      <c r="P30" s="13">
        <f t="shared" si="5"/>
        <v>142228.71</v>
      </c>
      <c r="Q30" s="13"/>
      <c r="R30" s="13">
        <f t="shared" si="6"/>
        <v>142228.71</v>
      </c>
    </row>
    <row r="31" spans="1:18" x14ac:dyDescent="0.25">
      <c r="A31" s="16" t="s">
        <v>52</v>
      </c>
      <c r="B31" s="3" t="s">
        <v>53</v>
      </c>
      <c r="C31" s="3"/>
      <c r="D31" s="13">
        <f>+'Calendar Period Ended 12-18'!J27</f>
        <v>2500</v>
      </c>
      <c r="E31" s="13">
        <f>+'Calendar Period Ended 12-18'!K27</f>
        <v>1286</v>
      </c>
      <c r="F31" s="13">
        <f>+'Calendar Period Ended 12-18'!L27</f>
        <v>1900</v>
      </c>
      <c r="G31" s="13">
        <f>+'Calendar Period Ended 12-18'!M27</f>
        <v>2585</v>
      </c>
      <c r="H31" s="13">
        <f>+'Calendar Period Ended 12-18'!N27</f>
        <v>2900</v>
      </c>
      <c r="I31" s="13">
        <f>+'Calendar Period Ended 12-18'!O27</f>
        <v>2950</v>
      </c>
      <c r="J31" s="13">
        <f>+'6 Month P-L 6-19'!D24</f>
        <v>8100</v>
      </c>
      <c r="K31" s="13">
        <f>+'6 Month P-L 6-19'!E24</f>
        <v>25203</v>
      </c>
      <c r="L31" s="13">
        <f>+'6 Month P-L 6-19'!F24</f>
        <v>6547</v>
      </c>
      <c r="M31" s="13">
        <f>+'6 Month P-L 6-19'!G24</f>
        <v>10910</v>
      </c>
      <c r="N31" s="13">
        <f>+'6 Month P-L 6-19'!H24</f>
        <v>0</v>
      </c>
      <c r="O31" s="13">
        <f>+'6 Month P-L 6-19'!I24</f>
        <v>6051</v>
      </c>
      <c r="P31" s="13">
        <f t="shared" si="5"/>
        <v>70932</v>
      </c>
      <c r="Q31" s="13"/>
      <c r="R31" s="13">
        <f t="shared" si="6"/>
        <v>70932</v>
      </c>
    </row>
    <row r="32" spans="1:18" x14ac:dyDescent="0.25">
      <c r="A32" s="16" t="s">
        <v>54</v>
      </c>
      <c r="B32" s="3" t="s">
        <v>55</v>
      </c>
      <c r="C32" s="3"/>
      <c r="D32" s="13">
        <f>+'Calendar Period Ended 12-18'!J28</f>
        <v>185.20000000000005</v>
      </c>
      <c r="E32" s="13">
        <f>+'Calendar Period Ended 12-18'!K28</f>
        <v>0</v>
      </c>
      <c r="F32" s="13">
        <f>+'Calendar Period Ended 12-18'!L28</f>
        <v>0</v>
      </c>
      <c r="G32" s="13">
        <f>+'Calendar Period Ended 12-18'!M28</f>
        <v>0</v>
      </c>
      <c r="H32" s="13">
        <f>+'Calendar Period Ended 12-18'!N28</f>
        <v>2000</v>
      </c>
      <c r="I32" s="13">
        <f>+'Calendar Period Ended 12-18'!O28</f>
        <v>0</v>
      </c>
      <c r="J32" s="13">
        <f>+'6 Month P-L 6-19'!D25</f>
        <v>1000</v>
      </c>
      <c r="K32" s="13">
        <f>+'6 Month P-L 6-19'!E25</f>
        <v>0</v>
      </c>
      <c r="L32" s="13">
        <f>+'6 Month P-L 6-19'!F25</f>
        <v>0</v>
      </c>
      <c r="M32" s="13">
        <f>+'6 Month P-L 6-19'!G25</f>
        <v>6485</v>
      </c>
      <c r="N32" s="13">
        <f>+'6 Month P-L 6-19'!H25</f>
        <v>5000</v>
      </c>
      <c r="O32" s="13">
        <f>+'6 Month P-L 6-19'!I25</f>
        <v>0</v>
      </c>
      <c r="P32" s="13">
        <f t="shared" si="5"/>
        <v>14670.2</v>
      </c>
      <c r="Q32" s="13"/>
      <c r="R32" s="13">
        <f t="shared" si="6"/>
        <v>14670.2</v>
      </c>
    </row>
    <row r="33" spans="1:18" x14ac:dyDescent="0.25">
      <c r="A33" s="16" t="s">
        <v>56</v>
      </c>
      <c r="B33" s="3" t="s">
        <v>57</v>
      </c>
      <c r="C33" s="3"/>
      <c r="D33" s="13">
        <f>+'Calendar Period Ended 12-18'!J29</f>
        <v>0</v>
      </c>
      <c r="E33" s="13">
        <f>+'Calendar Period Ended 12-18'!K29</f>
        <v>515</v>
      </c>
      <c r="F33" s="13">
        <f>+'Calendar Period Ended 12-18'!L29</f>
        <v>0</v>
      </c>
      <c r="G33" s="13">
        <f>+'Calendar Period Ended 12-18'!M29</f>
        <v>600</v>
      </c>
      <c r="H33" s="13">
        <f>+'Calendar Period Ended 12-18'!N29</f>
        <v>390</v>
      </c>
      <c r="I33" s="13">
        <f>+'Calendar Period Ended 12-18'!O29</f>
        <v>0</v>
      </c>
      <c r="J33" s="13">
        <f>+'6 Month P-L 6-19'!D26</f>
        <v>3835</v>
      </c>
      <c r="K33" s="13">
        <f>+'6 Month P-L 6-19'!E26</f>
        <v>0</v>
      </c>
      <c r="L33" s="13">
        <f>+'6 Month P-L 6-19'!F26</f>
        <v>4674</v>
      </c>
      <c r="M33" s="13">
        <f>+'6 Month P-L 6-19'!G26</f>
        <v>0</v>
      </c>
      <c r="N33" s="13">
        <f>+'6 Month P-L 6-19'!H26</f>
        <v>250</v>
      </c>
      <c r="O33" s="13">
        <f>+'6 Month P-L 6-19'!I26</f>
        <v>0</v>
      </c>
      <c r="P33" s="13">
        <f t="shared" si="5"/>
        <v>10264</v>
      </c>
      <c r="Q33" s="13"/>
      <c r="R33" s="13">
        <f t="shared" si="6"/>
        <v>10264</v>
      </c>
    </row>
    <row r="34" spans="1:18" x14ac:dyDescent="0.25">
      <c r="A34" s="16" t="s">
        <v>58</v>
      </c>
      <c r="B34" s="3" t="s">
        <v>59</v>
      </c>
      <c r="C34" s="3"/>
      <c r="D34" s="13">
        <f>+'Calendar Period Ended 12-18'!J30</f>
        <v>1666.67</v>
      </c>
      <c r="E34" s="13">
        <f>+'Calendar Period Ended 12-18'!K30</f>
        <v>1666.67</v>
      </c>
      <c r="F34" s="13">
        <f>+'Calendar Period Ended 12-18'!L30</f>
        <v>1666.66</v>
      </c>
      <c r="G34" s="13">
        <f>+'Calendar Period Ended 12-18'!M30</f>
        <v>1666.67</v>
      </c>
      <c r="H34" s="13">
        <f>+'Calendar Period Ended 12-18'!N30</f>
        <v>1666.67</v>
      </c>
      <c r="I34" s="13">
        <f>+'Calendar Period Ended 12-18'!O30</f>
        <v>1666.66</v>
      </c>
      <c r="J34" s="13">
        <f>+'6 Month P-L 6-19'!D27</f>
        <v>1633.33</v>
      </c>
      <c r="K34" s="13">
        <f>+'6 Month P-L 6-19'!E27</f>
        <v>1633.33</v>
      </c>
      <c r="L34" s="13">
        <f>+'6 Month P-L 6-19'!F27</f>
        <v>1633.34</v>
      </c>
      <c r="M34" s="13">
        <f>+'6 Month P-L 6-19'!G27</f>
        <v>1600</v>
      </c>
      <c r="N34" s="13">
        <f>+'6 Month P-L 6-19'!H27</f>
        <v>1600</v>
      </c>
      <c r="O34" s="13">
        <f>+'6 Month P-L 6-19'!I27</f>
        <v>1600</v>
      </c>
      <c r="P34" s="13">
        <f t="shared" si="5"/>
        <v>19700</v>
      </c>
      <c r="Q34" s="13"/>
      <c r="R34" s="13">
        <f t="shared" si="6"/>
        <v>19700</v>
      </c>
    </row>
    <row r="35" spans="1:18" x14ac:dyDescent="0.25">
      <c r="A35" s="16" t="s">
        <v>60</v>
      </c>
      <c r="B35" s="3" t="s">
        <v>61</v>
      </c>
      <c r="C35" s="3"/>
      <c r="D35" s="13">
        <f>+'Calendar Period Ended 12-18'!J31</f>
        <v>11000</v>
      </c>
      <c r="E35" s="13">
        <f>+'Calendar Period Ended 12-18'!K31</f>
        <v>11000</v>
      </c>
      <c r="F35" s="13">
        <f>+'Calendar Period Ended 12-18'!L31</f>
        <v>11000</v>
      </c>
      <c r="G35" s="13">
        <f>+'Calendar Period Ended 12-18'!M31</f>
        <v>11000</v>
      </c>
      <c r="H35" s="13">
        <f>+'Calendar Period Ended 12-18'!N31</f>
        <v>10780</v>
      </c>
      <c r="I35" s="13">
        <f>+'Calendar Period Ended 12-18'!O31</f>
        <v>10780</v>
      </c>
      <c r="J35" s="13">
        <f>+'6 Month P-L 6-19'!D28</f>
        <v>11270</v>
      </c>
      <c r="K35" s="13">
        <f>+'6 Month P-L 6-19'!E28</f>
        <v>11270</v>
      </c>
      <c r="L35" s="13">
        <f>+'6 Month P-L 6-19'!F28</f>
        <v>11040</v>
      </c>
      <c r="M35" s="13">
        <f>+'6 Month P-L 6-19'!G28</f>
        <v>11040</v>
      </c>
      <c r="N35" s="13">
        <f>+'6 Month P-L 6-19'!H28</f>
        <v>11270</v>
      </c>
      <c r="O35" s="13">
        <f>+'6 Month P-L 6-19'!I28</f>
        <v>11270</v>
      </c>
      <c r="P35" s="13">
        <f t="shared" si="5"/>
        <v>132720</v>
      </c>
      <c r="Q35" s="13"/>
      <c r="R35" s="13">
        <f t="shared" si="6"/>
        <v>132720</v>
      </c>
    </row>
    <row r="36" spans="1:18" x14ac:dyDescent="0.25">
      <c r="A36" s="16" t="s">
        <v>62</v>
      </c>
      <c r="B36" s="3" t="s">
        <v>63</v>
      </c>
      <c r="C36" s="3"/>
      <c r="D36" s="13">
        <f>+'Calendar Period Ended 12-18'!J32</f>
        <v>0</v>
      </c>
      <c r="E36" s="13">
        <f>+'Calendar Period Ended 12-18'!K32</f>
        <v>0</v>
      </c>
      <c r="F36" s="13">
        <f>+'Calendar Period Ended 12-18'!L32</f>
        <v>0</v>
      </c>
      <c r="G36" s="13">
        <f>+'Calendar Period Ended 12-18'!M32</f>
        <v>0</v>
      </c>
      <c r="H36" s="13">
        <f>+'Calendar Period Ended 12-18'!N32</f>
        <v>0</v>
      </c>
      <c r="I36" s="13">
        <f>+'Calendar Period Ended 12-18'!O32</f>
        <v>1000</v>
      </c>
      <c r="P36" s="13">
        <f t="shared" si="5"/>
        <v>1000</v>
      </c>
      <c r="Q36" s="13"/>
      <c r="R36" s="13">
        <f t="shared" si="6"/>
        <v>1000</v>
      </c>
    </row>
    <row r="37" spans="1:18" x14ac:dyDescent="0.25">
      <c r="A37" s="16" t="s">
        <v>64</v>
      </c>
      <c r="B37" s="3" t="s">
        <v>65</v>
      </c>
      <c r="C37" s="3"/>
      <c r="D37" s="13">
        <f>+'Calendar Period Ended 12-18'!J33</f>
        <v>0</v>
      </c>
      <c r="E37" s="13">
        <f>+'Calendar Period Ended 12-18'!K33</f>
        <v>0</v>
      </c>
      <c r="F37" s="13">
        <f>+'Calendar Period Ended 12-18'!L33</f>
        <v>181.67000000000002</v>
      </c>
      <c r="G37" s="13">
        <f>+'Calendar Period Ended 12-18'!M33</f>
        <v>992.82</v>
      </c>
      <c r="H37" s="13">
        <f>+'Calendar Period Ended 12-18'!N33</f>
        <v>0</v>
      </c>
      <c r="I37" s="13">
        <f>+'Calendar Period Ended 12-18'!O33</f>
        <v>375</v>
      </c>
      <c r="J37" s="13">
        <f>+'6 Month P-L 6-19'!D29</f>
        <v>0</v>
      </c>
      <c r="K37" s="13">
        <f>+'6 Month P-L 6-19'!E29</f>
        <v>421.06</v>
      </c>
      <c r="L37" s="13">
        <f>+'6 Month P-L 6-19'!F29</f>
        <v>0</v>
      </c>
      <c r="M37" s="13">
        <f>+'6 Month P-L 6-19'!G29</f>
        <v>0</v>
      </c>
      <c r="N37" s="13">
        <f>+'6 Month P-L 6-19'!H29</f>
        <v>0</v>
      </c>
      <c r="O37" s="13">
        <f>+'6 Month P-L 6-19'!I29</f>
        <v>0</v>
      </c>
      <c r="P37" s="13">
        <f t="shared" si="5"/>
        <v>1970.55</v>
      </c>
      <c r="Q37" s="13"/>
      <c r="R37" s="13">
        <f t="shared" si="6"/>
        <v>1970.55</v>
      </c>
    </row>
    <row r="38" spans="1:18" x14ac:dyDescent="0.25">
      <c r="A38" s="16" t="s">
        <v>66</v>
      </c>
      <c r="B38" s="3" t="s">
        <v>67</v>
      </c>
      <c r="C38" s="3"/>
      <c r="D38" s="13">
        <f>+'Calendar Period Ended 12-18'!J34</f>
        <v>14710</v>
      </c>
      <c r="E38" s="13">
        <f>+'Calendar Period Ended 12-18'!K34</f>
        <v>0</v>
      </c>
      <c r="F38" s="13">
        <f>+'Calendar Period Ended 12-18'!L34</f>
        <v>14710</v>
      </c>
      <c r="G38" s="13">
        <f>+'Calendar Period Ended 12-18'!M34</f>
        <v>0</v>
      </c>
      <c r="H38" s="13">
        <f>+'Calendar Period Ended 12-18'!N34</f>
        <v>15155</v>
      </c>
      <c r="I38" s="13">
        <f>+'Calendar Period Ended 12-18'!O34</f>
        <v>0</v>
      </c>
      <c r="J38" s="13">
        <f>+'6 Month P-L 6-19'!D30</f>
        <v>15600</v>
      </c>
      <c r="K38" s="13">
        <f>+'6 Month P-L 6-19'!E30</f>
        <v>7598.15</v>
      </c>
      <c r="L38" s="13">
        <f>+'6 Month P-L 6-19'!F30</f>
        <v>15600</v>
      </c>
      <c r="M38" s="13">
        <f>+'6 Month P-L 6-19'!G30</f>
        <v>0</v>
      </c>
      <c r="N38" s="13">
        <f>+'6 Month P-L 6-19'!H30</f>
        <v>17286.03</v>
      </c>
      <c r="O38" s="13">
        <f>+'6 Month P-L 6-19'!I30</f>
        <v>0</v>
      </c>
      <c r="P38" s="13">
        <f t="shared" si="5"/>
        <v>100659.18</v>
      </c>
      <c r="Q38" s="13"/>
      <c r="R38" s="13">
        <f t="shared" si="6"/>
        <v>100659.18</v>
      </c>
    </row>
    <row r="39" spans="1:18" x14ac:dyDescent="0.25">
      <c r="A39" s="16" t="s">
        <v>68</v>
      </c>
      <c r="B39" s="3" t="s">
        <v>69</v>
      </c>
      <c r="C39" s="3"/>
      <c r="D39" s="13">
        <f>+'Calendar Period Ended 12-18'!J35</f>
        <v>26478</v>
      </c>
      <c r="E39" s="13">
        <f>+'Calendar Period Ended 12-18'!K35</f>
        <v>0</v>
      </c>
      <c r="F39" s="13">
        <f>+'Calendar Period Ended 12-18'!L35</f>
        <v>26478</v>
      </c>
      <c r="G39" s="13">
        <f>+'Calendar Period Ended 12-18'!M35</f>
        <v>0</v>
      </c>
      <c r="H39" s="13">
        <f>+'Calendar Period Ended 12-18'!N35</f>
        <v>27279</v>
      </c>
      <c r="I39" s="13">
        <f>+'Calendar Period Ended 12-18'!O35</f>
        <v>0</v>
      </c>
      <c r="J39" s="13">
        <f>+'6 Month P-L 6-19'!D31</f>
        <v>28080</v>
      </c>
      <c r="K39" s="13">
        <f>+'6 Month P-L 6-19'!E31</f>
        <v>0</v>
      </c>
      <c r="L39" s="13">
        <f>+'6 Month P-L 6-19'!F31</f>
        <v>28080</v>
      </c>
      <c r="M39" s="13">
        <f>+'6 Month P-L 6-19'!G31</f>
        <v>0</v>
      </c>
      <c r="N39" s="13">
        <f>+'6 Month P-L 6-19'!H31</f>
        <v>28080</v>
      </c>
      <c r="O39" s="13">
        <f>+'6 Month P-L 6-19'!I31</f>
        <v>0</v>
      </c>
      <c r="P39" s="13">
        <f t="shared" si="5"/>
        <v>164475</v>
      </c>
      <c r="Q39" s="13"/>
      <c r="R39" s="13">
        <f t="shared" si="6"/>
        <v>164475</v>
      </c>
    </row>
    <row r="40" spans="1:18" x14ac:dyDescent="0.25">
      <c r="A40" s="16" t="s">
        <v>70</v>
      </c>
      <c r="B40" s="3" t="s">
        <v>71</v>
      </c>
      <c r="C40" s="3"/>
      <c r="D40" s="13">
        <f>+'Calendar Period Ended 12-18'!J36</f>
        <v>7914.34</v>
      </c>
      <c r="E40" s="13">
        <f>+'Calendar Period Ended 12-18'!K36</f>
        <v>0</v>
      </c>
      <c r="F40" s="13">
        <f>+'Calendar Period Ended 12-18'!L36</f>
        <v>8394.51</v>
      </c>
      <c r="G40" s="13">
        <f>+'Calendar Period Ended 12-18'!M36</f>
        <v>0</v>
      </c>
      <c r="H40" s="13">
        <f>+'Calendar Period Ended 12-18'!N36</f>
        <v>8394.51</v>
      </c>
      <c r="I40" s="13">
        <f>+'Calendar Period Ended 12-18'!O36</f>
        <v>0</v>
      </c>
      <c r="J40" s="13">
        <f>+'6 Month P-L 6-19'!D32</f>
        <v>8394.51</v>
      </c>
      <c r="K40" s="13">
        <f>+'6 Month P-L 6-19'!E32</f>
        <v>0</v>
      </c>
      <c r="L40" s="13">
        <f>+'6 Month P-L 6-19'!F32</f>
        <v>8394.51</v>
      </c>
      <c r="M40" s="13">
        <f>+'6 Month P-L 6-19'!G32</f>
        <v>0</v>
      </c>
      <c r="N40" s="13">
        <f>+'6 Month P-L 6-19'!H32</f>
        <v>7900.34</v>
      </c>
      <c r="O40" s="13">
        <f>+'6 Month P-L 6-19'!I32</f>
        <v>0</v>
      </c>
      <c r="P40" s="13">
        <f t="shared" si="5"/>
        <v>49392.72</v>
      </c>
      <c r="Q40" s="13"/>
      <c r="R40" s="13">
        <f t="shared" si="6"/>
        <v>49392.72</v>
      </c>
    </row>
    <row r="41" spans="1:18" x14ac:dyDescent="0.25">
      <c r="A41" s="16" t="s">
        <v>72</v>
      </c>
      <c r="B41" s="3" t="s">
        <v>73</v>
      </c>
      <c r="C41" s="3"/>
      <c r="D41" s="13">
        <f>+'Calendar Period Ended 12-18'!J37</f>
        <v>12252.75</v>
      </c>
      <c r="E41" s="13">
        <f>+'Calendar Period Ended 12-18'!K37</f>
        <v>0</v>
      </c>
      <c r="F41" s="13">
        <f>+'Calendar Period Ended 12-18'!L37</f>
        <v>12732.92</v>
      </c>
      <c r="G41" s="13">
        <f>+'Calendar Period Ended 12-18'!M37</f>
        <v>0</v>
      </c>
      <c r="H41" s="13">
        <f>+'Calendar Period Ended 12-18'!N37</f>
        <v>12732.92</v>
      </c>
      <c r="I41" s="13">
        <f>+'Calendar Period Ended 12-18'!O37</f>
        <v>0</v>
      </c>
      <c r="J41" s="13">
        <f>+'6 Month P-L 6-19'!D33</f>
        <v>12732.92</v>
      </c>
      <c r="K41" s="13">
        <f>+'6 Month P-L 6-19'!E33</f>
        <v>0</v>
      </c>
      <c r="L41" s="13">
        <f>+'6 Month P-L 6-19'!F33</f>
        <v>12732.91</v>
      </c>
      <c r="M41" s="13">
        <f>+'6 Month P-L 6-19'!G33</f>
        <v>0</v>
      </c>
      <c r="N41" s="13">
        <f>+'6 Month P-L 6-19'!H33</f>
        <v>12238.73</v>
      </c>
      <c r="O41" s="13">
        <f>+'6 Month P-L 6-19'!I33</f>
        <v>0</v>
      </c>
      <c r="P41" s="13">
        <f t="shared" si="5"/>
        <v>75423.149999999994</v>
      </c>
      <c r="Q41" s="13"/>
      <c r="R41" s="13">
        <f t="shared" si="6"/>
        <v>75423.149999999994</v>
      </c>
    </row>
    <row r="42" spans="1:18" x14ac:dyDescent="0.25">
      <c r="A42" s="16" t="s">
        <v>74</v>
      </c>
      <c r="B42" s="3" t="s">
        <v>75</v>
      </c>
      <c r="C42" s="3"/>
      <c r="D42" s="13">
        <f>+'Calendar Period Ended 12-18'!J38</f>
        <v>2406.58</v>
      </c>
      <c r="E42" s="13">
        <f>+'Calendar Period Ended 12-18'!K38</f>
        <v>2406.58</v>
      </c>
      <c r="F42" s="13">
        <f>+'Calendar Period Ended 12-18'!L38</f>
        <v>2406.58</v>
      </c>
      <c r="G42" s="13">
        <f>+'Calendar Period Ended 12-18'!M38</f>
        <v>2406.58</v>
      </c>
      <c r="H42" s="13">
        <f>+'Calendar Period Ended 12-18'!N38</f>
        <v>2406.58</v>
      </c>
      <c r="I42" s="13">
        <f>+'Calendar Period Ended 12-18'!O38</f>
        <v>2406.58</v>
      </c>
      <c r="J42" s="13">
        <f>+'6 Month P-L 6-19'!D34</f>
        <v>2406.58</v>
      </c>
      <c r="K42" s="13">
        <f>+'6 Month P-L 6-19'!E34</f>
        <v>2406.58</v>
      </c>
      <c r="L42" s="13">
        <f>+'6 Month P-L 6-19'!F34</f>
        <v>2406.58</v>
      </c>
      <c r="M42" s="13">
        <f>+'6 Month P-L 6-19'!G34</f>
        <v>2681.46</v>
      </c>
      <c r="N42" s="13">
        <f>+'6 Month P-L 6-19'!H34</f>
        <v>2681.46</v>
      </c>
      <c r="O42" s="13">
        <f>+'6 Month P-L 6-19'!I34</f>
        <v>2681.46</v>
      </c>
      <c r="P42" s="13">
        <f t="shared" si="5"/>
        <v>29703.599999999999</v>
      </c>
      <c r="Q42" s="13"/>
      <c r="R42" s="13">
        <f t="shared" si="6"/>
        <v>29703.599999999999</v>
      </c>
    </row>
    <row r="43" spans="1:18" x14ac:dyDescent="0.25">
      <c r="A43" s="16" t="s">
        <v>76</v>
      </c>
      <c r="B43" s="3" t="s">
        <v>77</v>
      </c>
      <c r="C43" s="3"/>
      <c r="D43" s="13">
        <f>+'Calendar Period Ended 12-18'!J39</f>
        <v>28259</v>
      </c>
      <c r="E43" s="13">
        <f>+'Calendar Period Ended 12-18'!K39</f>
        <v>28259</v>
      </c>
      <c r="F43" s="13">
        <f>+'Calendar Period Ended 12-18'!L39</f>
        <v>28259</v>
      </c>
      <c r="G43" s="13">
        <f>+'Calendar Period Ended 12-18'!M39</f>
        <v>28259</v>
      </c>
      <c r="H43" s="13">
        <f>+'Calendar Period Ended 12-18'!N39</f>
        <v>28259</v>
      </c>
      <c r="I43" s="13">
        <f>+'Calendar Period Ended 12-18'!O39</f>
        <v>28259</v>
      </c>
      <c r="J43" s="13">
        <f>+'6 Month P-L 6-19'!D35</f>
        <v>15305.73</v>
      </c>
      <c r="K43" s="13">
        <f>+'6 Month P-L 6-19'!E35</f>
        <v>40211.1</v>
      </c>
      <c r="L43" s="13">
        <f>+'6 Month P-L 6-19'!F35</f>
        <v>28259</v>
      </c>
      <c r="M43" s="13">
        <f>+'6 Month P-L 6-19'!G35</f>
        <v>29260.17</v>
      </c>
      <c r="N43" s="13">
        <f>+'6 Month P-L 6-19'!H35</f>
        <v>28259</v>
      </c>
      <c r="O43" s="13">
        <f>+'6 Month P-L 6-19'!I35</f>
        <v>28259</v>
      </c>
      <c r="P43" s="13">
        <f t="shared" si="5"/>
        <v>339108</v>
      </c>
      <c r="Q43" s="13"/>
      <c r="R43" s="13">
        <f t="shared" si="6"/>
        <v>339108</v>
      </c>
    </row>
    <row r="44" spans="1:18" x14ac:dyDescent="0.25">
      <c r="A44" s="16" t="s">
        <v>78</v>
      </c>
      <c r="B44" s="3" t="s">
        <v>79</v>
      </c>
      <c r="C44" s="3"/>
      <c r="D44" s="13">
        <f>+'Calendar Period Ended 12-18'!J40</f>
        <v>0</v>
      </c>
      <c r="E44" s="13">
        <f>+'Calendar Period Ended 12-18'!K40</f>
        <v>0</v>
      </c>
      <c r="F44" s="13">
        <f>+'Calendar Period Ended 12-18'!L40</f>
        <v>0</v>
      </c>
      <c r="G44" s="13">
        <f>+'Calendar Period Ended 12-18'!M40</f>
        <v>0</v>
      </c>
      <c r="H44" s="13">
        <f>+'Calendar Period Ended 12-18'!N40</f>
        <v>0</v>
      </c>
      <c r="I44" s="13">
        <f>+'Calendar Period Ended 12-18'!O40</f>
        <v>230</v>
      </c>
      <c r="P44" s="13">
        <f t="shared" si="5"/>
        <v>230</v>
      </c>
      <c r="Q44" s="13">
        <v>115</v>
      </c>
      <c r="R44" s="13">
        <f t="shared" si="6"/>
        <v>345</v>
      </c>
    </row>
    <row r="45" spans="1:18" x14ac:dyDescent="0.25">
      <c r="A45" s="16" t="s">
        <v>80</v>
      </c>
      <c r="B45" s="3" t="s">
        <v>81</v>
      </c>
      <c r="C45" s="3"/>
      <c r="D45" s="13">
        <f>+'Calendar Period Ended 12-18'!J41</f>
        <v>38.56</v>
      </c>
      <c r="E45" s="13">
        <f>+'Calendar Period Ended 12-18'!K41</f>
        <v>38.56</v>
      </c>
      <c r="F45" s="13">
        <f>+'Calendar Period Ended 12-18'!L41</f>
        <v>38.549999999999997</v>
      </c>
      <c r="G45" s="13">
        <f>+'Calendar Period Ended 12-18'!M41</f>
        <v>38.549999999999997</v>
      </c>
      <c r="H45" s="13">
        <f>+'Calendar Period Ended 12-18'!N41</f>
        <v>38.549999999999997</v>
      </c>
      <c r="I45" s="13">
        <f>+'Calendar Period Ended 12-18'!O41</f>
        <v>38.549999999999997</v>
      </c>
      <c r="J45" s="13">
        <f>+'6 Month P-L 6-19'!D36</f>
        <v>38.56</v>
      </c>
      <c r="K45" s="13">
        <f>+'6 Month P-L 6-19'!E36</f>
        <v>38.56</v>
      </c>
      <c r="L45" s="13">
        <f>+'6 Month P-L 6-19'!F36</f>
        <v>38.56</v>
      </c>
      <c r="M45" s="13">
        <f>+'6 Month P-L 6-19'!G36</f>
        <v>38.56</v>
      </c>
      <c r="N45" s="13">
        <f>+'6 Month P-L 6-19'!H36</f>
        <v>38.56</v>
      </c>
      <c r="O45" s="13">
        <f>+'6 Month P-L 6-19'!I36</f>
        <v>38.56</v>
      </c>
      <c r="P45" s="13">
        <f t="shared" si="5"/>
        <v>462.68</v>
      </c>
      <c r="Q45" s="13"/>
      <c r="R45" s="13">
        <f t="shared" si="6"/>
        <v>462.68</v>
      </c>
    </row>
    <row r="46" spans="1:18" x14ac:dyDescent="0.25">
      <c r="A46" s="16" t="s">
        <v>82</v>
      </c>
      <c r="B46" s="3" t="s">
        <v>83</v>
      </c>
      <c r="C46" s="3"/>
      <c r="D46" s="13">
        <f>+'Calendar Period Ended 12-18'!J42</f>
        <v>9270.5499999999993</v>
      </c>
      <c r="E46" s="13">
        <f>+'Calendar Period Ended 12-18'!K42</f>
        <v>9270.5499999999993</v>
      </c>
      <c r="F46" s="13">
        <f>+'Calendar Period Ended 12-18'!L42</f>
        <v>9270.5400000000009</v>
      </c>
      <c r="G46" s="13">
        <f>+'Calendar Period Ended 12-18'!M42</f>
        <v>9270.5400000000009</v>
      </c>
      <c r="H46" s="13">
        <f>+'Calendar Period Ended 12-18'!N42</f>
        <v>9270.5400000000009</v>
      </c>
      <c r="I46" s="13">
        <f>+'Calendar Period Ended 12-18'!O42</f>
        <v>7915.27</v>
      </c>
      <c r="J46" s="13">
        <f>+'6 Month P-L 6-19'!D37</f>
        <v>9270.5499999999993</v>
      </c>
      <c r="K46" s="13">
        <f>+'6 Month P-L 6-19'!E37</f>
        <v>9270.5499999999993</v>
      </c>
      <c r="L46" s="13">
        <f>+'6 Month P-L 6-19'!F37</f>
        <v>9128.4500000000007</v>
      </c>
      <c r="M46" s="13">
        <f>+'6 Month P-L 6-19'!G37</f>
        <v>9128.4500000000007</v>
      </c>
      <c r="N46" s="13">
        <f>+'6 Month P-L 6-19'!H37</f>
        <v>9128.4500000000007</v>
      </c>
      <c r="O46" s="13">
        <f>+'6 Month P-L 6-19'!I37</f>
        <v>9128.4500000000007</v>
      </c>
      <c r="P46" s="13">
        <f t="shared" si="5"/>
        <v>109322.89</v>
      </c>
      <c r="Q46" s="13">
        <v>-257</v>
      </c>
      <c r="R46" s="13">
        <f t="shared" si="6"/>
        <v>109065.89</v>
      </c>
    </row>
    <row r="47" spans="1:18" x14ac:dyDescent="0.25">
      <c r="A47" s="16" t="s">
        <v>84</v>
      </c>
      <c r="B47" s="3" t="s">
        <v>85</v>
      </c>
      <c r="C47" s="3"/>
      <c r="D47" s="13">
        <f>+'Calendar Period Ended 12-18'!J43</f>
        <v>702.17</v>
      </c>
      <c r="E47" s="13">
        <f>+'Calendar Period Ended 12-18'!K43</f>
        <v>702.17</v>
      </c>
      <c r="F47" s="13">
        <f>+'Calendar Period Ended 12-18'!L43</f>
        <v>702.17</v>
      </c>
      <c r="G47" s="13">
        <f>+'Calendar Period Ended 12-18'!M43</f>
        <v>702.17</v>
      </c>
      <c r="H47" s="13">
        <f>+'Calendar Period Ended 12-18'!N43</f>
        <v>702.18</v>
      </c>
      <c r="I47" s="13">
        <f>+'Calendar Period Ended 12-18'!O43</f>
        <v>-2779.72</v>
      </c>
      <c r="J47" s="13">
        <f>+'6 Month P-L 6-19'!D38</f>
        <v>702.17</v>
      </c>
      <c r="K47" s="13">
        <f>+'6 Month P-L 6-19'!E38</f>
        <v>702.17</v>
      </c>
      <c r="L47" s="13">
        <f>+'6 Month P-L 6-19'!F38</f>
        <v>-1370.02</v>
      </c>
      <c r="M47" s="13">
        <f>+'6 Month P-L 6-19'!G38</f>
        <v>11.44</v>
      </c>
      <c r="N47" s="13">
        <f>+'6 Month P-L 6-19'!H38</f>
        <v>11.44</v>
      </c>
      <c r="O47" s="13">
        <f>+'6 Month P-L 6-19'!I38</f>
        <v>11.44</v>
      </c>
      <c r="P47" s="13">
        <f t="shared" si="5"/>
        <v>799.7800000000002</v>
      </c>
      <c r="Q47" s="13"/>
      <c r="R47" s="13">
        <f t="shared" si="6"/>
        <v>799.7800000000002</v>
      </c>
    </row>
    <row r="48" spans="1:18" x14ac:dyDescent="0.25">
      <c r="A48" s="16" t="s">
        <v>86</v>
      </c>
      <c r="B48" s="3" t="s">
        <v>87</v>
      </c>
      <c r="C48" s="3"/>
      <c r="D48" s="13">
        <f>+'Calendar Period Ended 12-18'!J44</f>
        <v>203.2</v>
      </c>
      <c r="E48" s="13">
        <f>+'Calendar Period Ended 12-18'!K44</f>
        <v>203.2</v>
      </c>
      <c r="F48" s="13">
        <f>+'Calendar Period Ended 12-18'!L44</f>
        <v>203.21</v>
      </c>
      <c r="G48" s="13">
        <f>+'Calendar Period Ended 12-18'!M44</f>
        <v>203.21</v>
      </c>
      <c r="H48" s="13">
        <f>+'Calendar Period Ended 12-18'!N44</f>
        <v>203.21</v>
      </c>
      <c r="I48" s="13">
        <f>+'Calendar Period Ended 12-18'!O44</f>
        <v>-172.26</v>
      </c>
      <c r="J48" s="13">
        <f>+'6 Month P-L 6-19'!D39</f>
        <v>203.2</v>
      </c>
      <c r="K48" s="13">
        <f>+'6 Month P-L 6-19'!E39</f>
        <v>203.2</v>
      </c>
      <c r="L48" s="13">
        <f>+'6 Month P-L 6-19'!F39</f>
        <v>97.76</v>
      </c>
      <c r="M48" s="13">
        <f>+'6 Month P-L 6-19'!G39</f>
        <v>97.76</v>
      </c>
      <c r="N48" s="13">
        <f>+'6 Month P-L 6-19'!H39</f>
        <v>97.76</v>
      </c>
      <c r="O48" s="13">
        <f>+'6 Month P-L 6-19'!I39</f>
        <v>97.76</v>
      </c>
      <c r="P48" s="13">
        <f t="shared" si="5"/>
        <v>1641.21</v>
      </c>
      <c r="Q48" s="13">
        <v>25</v>
      </c>
      <c r="R48" s="13">
        <f t="shared" si="6"/>
        <v>1666.21</v>
      </c>
    </row>
    <row r="49" spans="1:18" x14ac:dyDescent="0.25">
      <c r="A49" s="16" t="s">
        <v>88</v>
      </c>
      <c r="B49" s="3" t="s">
        <v>89</v>
      </c>
      <c r="C49" s="3"/>
      <c r="D49" s="13">
        <f>+'Calendar Period Ended 12-18'!J45</f>
        <v>136.59</v>
      </c>
      <c r="E49" s="13">
        <f>+'Calendar Period Ended 12-18'!K45</f>
        <v>136.59</v>
      </c>
      <c r="F49" s="13">
        <f>+'Calendar Period Ended 12-18'!L45</f>
        <v>136.6</v>
      </c>
      <c r="G49" s="13">
        <f>+'Calendar Period Ended 12-18'!M45</f>
        <v>136.6</v>
      </c>
      <c r="H49" s="13">
        <f>+'Calendar Period Ended 12-18'!N45</f>
        <v>136.6</v>
      </c>
      <c r="I49" s="13">
        <f>+'Calendar Period Ended 12-18'!O45</f>
        <v>-819.17</v>
      </c>
      <c r="J49" s="13">
        <f>+'6 Month P-L 6-19'!D40</f>
        <v>136.59</v>
      </c>
      <c r="K49" s="13">
        <f>+'6 Month P-L 6-19'!E40</f>
        <v>136.59</v>
      </c>
      <c r="L49" s="13">
        <f>+'6 Month P-L 6-19'!F40</f>
        <v>41.02</v>
      </c>
      <c r="M49" s="13">
        <f>+'6 Month P-L 6-19'!G40</f>
        <v>41.02</v>
      </c>
      <c r="N49" s="13">
        <f>+'6 Month P-L 6-19'!H40</f>
        <v>41.02</v>
      </c>
      <c r="O49" s="13">
        <f>+'6 Month P-L 6-19'!I40</f>
        <v>41.02</v>
      </c>
      <c r="P49" s="13">
        <f t="shared" si="5"/>
        <v>301.07000000000005</v>
      </c>
      <c r="Q49" s="13">
        <v>-96</v>
      </c>
      <c r="R49" s="13">
        <f t="shared" si="6"/>
        <v>205.07000000000005</v>
      </c>
    </row>
    <row r="50" spans="1:18" x14ac:dyDescent="0.25">
      <c r="A50" s="16" t="s">
        <v>90</v>
      </c>
      <c r="B50" s="3" t="s">
        <v>91</v>
      </c>
      <c r="C50" s="3"/>
      <c r="D50" s="13">
        <f>+'Calendar Period Ended 12-18'!J46</f>
        <v>3681.4</v>
      </c>
      <c r="E50" s="13">
        <f>+'Calendar Period Ended 12-18'!K46</f>
        <v>3681.4</v>
      </c>
      <c r="F50" s="13">
        <f>+'Calendar Period Ended 12-18'!L46</f>
        <v>3681.41</v>
      </c>
      <c r="G50" s="13">
        <f>+'Calendar Period Ended 12-18'!M46</f>
        <v>3681.41</v>
      </c>
      <c r="H50" s="13">
        <f>+'Calendar Period Ended 12-18'!N46</f>
        <v>3681.41</v>
      </c>
      <c r="I50" s="13">
        <f>+'Calendar Period Ended 12-18'!O46</f>
        <v>3631.79</v>
      </c>
      <c r="J50" s="13">
        <f>+'6 Month P-L 6-19'!D41</f>
        <v>3681.4</v>
      </c>
      <c r="K50" s="13">
        <f>+'6 Month P-L 6-19'!E41</f>
        <v>3681.4</v>
      </c>
      <c r="L50" s="13">
        <f>+'6 Month P-L 6-19'!F41</f>
        <v>3639.34</v>
      </c>
      <c r="M50" s="13">
        <f>+'6 Month P-L 6-19'!G41</f>
        <v>3639.34</v>
      </c>
      <c r="N50" s="13">
        <f>+'6 Month P-L 6-19'!H41</f>
        <v>3639.34</v>
      </c>
      <c r="O50" s="13">
        <f>+'6 Month P-L 6-19'!I41</f>
        <v>3639.34</v>
      </c>
      <c r="P50" s="13">
        <f t="shared" si="5"/>
        <v>43958.979999999996</v>
      </c>
      <c r="Q50" s="13">
        <v>14</v>
      </c>
      <c r="R50" s="13">
        <f t="shared" si="6"/>
        <v>43972.979999999996</v>
      </c>
    </row>
    <row r="51" spans="1:18" x14ac:dyDescent="0.25">
      <c r="A51" s="16" t="s">
        <v>92</v>
      </c>
      <c r="B51" s="3" t="s">
        <v>93</v>
      </c>
      <c r="C51" s="3"/>
      <c r="D51" s="13">
        <f>+'Calendar Period Ended 12-18'!J47</f>
        <v>2.37</v>
      </c>
      <c r="E51" s="13">
        <f>+'Calendar Period Ended 12-18'!K47</f>
        <v>2.37</v>
      </c>
      <c r="F51" s="13">
        <f>+'Calendar Period Ended 12-18'!L47</f>
        <v>2.36</v>
      </c>
      <c r="G51" s="13">
        <f>+'Calendar Period Ended 12-18'!M47</f>
        <v>2.36</v>
      </c>
      <c r="H51" s="13">
        <f>+'Calendar Period Ended 12-18'!N47</f>
        <v>2.36</v>
      </c>
      <c r="I51" s="13">
        <f>+'Calendar Period Ended 12-18'!O47</f>
        <v>2.36</v>
      </c>
      <c r="J51" s="13">
        <f>+'6 Month P-L 6-19'!D42</f>
        <v>2.37</v>
      </c>
      <c r="K51" s="13">
        <f>+'6 Month P-L 6-19'!E42</f>
        <v>2.37</v>
      </c>
      <c r="L51" s="13">
        <f>+'6 Month P-L 6-19'!F42</f>
        <v>2.37</v>
      </c>
      <c r="M51" s="13">
        <f>+'6 Month P-L 6-19'!G42</f>
        <v>2.37</v>
      </c>
      <c r="N51" s="13">
        <f>+'6 Month P-L 6-19'!H42</f>
        <v>2.37</v>
      </c>
      <c r="O51" s="13">
        <f>+'6 Month P-L 6-19'!I42</f>
        <v>2.37</v>
      </c>
      <c r="P51" s="13">
        <f t="shared" si="5"/>
        <v>28.400000000000002</v>
      </c>
      <c r="Q51" s="13"/>
      <c r="R51" s="13">
        <f t="shared" si="6"/>
        <v>28.400000000000002</v>
      </c>
    </row>
    <row r="52" spans="1:18" x14ac:dyDescent="0.25">
      <c r="A52" s="16" t="s">
        <v>94</v>
      </c>
      <c r="B52" s="3" t="s">
        <v>95</v>
      </c>
      <c r="C52" s="3"/>
      <c r="D52" s="13">
        <f>+'Calendar Period Ended 12-18'!J48</f>
        <v>312.5</v>
      </c>
      <c r="E52" s="13">
        <f>+'Calendar Period Ended 12-18'!K48</f>
        <v>117.5</v>
      </c>
      <c r="F52" s="13">
        <f>+'Calendar Period Ended 12-18'!L48</f>
        <v>0</v>
      </c>
      <c r="G52" s="13">
        <f>+'Calendar Period Ended 12-18'!M48</f>
        <v>365.5</v>
      </c>
      <c r="H52" s="13">
        <f>+'Calendar Period Ended 12-18'!N48</f>
        <v>0</v>
      </c>
      <c r="I52" s="13">
        <f>+'Calendar Period Ended 12-18'!O48</f>
        <v>346.5</v>
      </c>
      <c r="J52" s="13">
        <f>+'6 Month P-L 6-19'!D43</f>
        <v>347.5</v>
      </c>
      <c r="K52" s="13">
        <f>+'6 Month P-L 6-19'!E43</f>
        <v>0</v>
      </c>
      <c r="L52" s="13">
        <f>+'6 Month P-L 6-19'!F43</f>
        <v>0</v>
      </c>
      <c r="M52" s="13">
        <f>+'6 Month P-L 6-19'!G43</f>
        <v>548</v>
      </c>
      <c r="N52" s="13">
        <f>+'6 Month P-L 6-19'!H43</f>
        <v>265</v>
      </c>
      <c r="O52" s="13">
        <f>+'6 Month P-L 6-19'!I43</f>
        <v>0</v>
      </c>
      <c r="P52" s="13">
        <f t="shared" si="5"/>
        <v>2302.5</v>
      </c>
      <c r="Q52" s="13"/>
      <c r="R52" s="13">
        <f t="shared" si="6"/>
        <v>2302.5</v>
      </c>
    </row>
    <row r="53" spans="1:18" x14ac:dyDescent="0.25">
      <c r="A53" s="16" t="s">
        <v>96</v>
      </c>
      <c r="B53" s="3" t="s">
        <v>97</v>
      </c>
      <c r="C53" s="3"/>
      <c r="D53" s="13">
        <f>+'Calendar Period Ended 12-18'!J49</f>
        <v>0</v>
      </c>
      <c r="E53" s="13">
        <f>+'Calendar Period Ended 12-18'!K49</f>
        <v>0</v>
      </c>
      <c r="F53" s="13">
        <f>+'Calendar Period Ended 12-18'!L49</f>
        <v>0</v>
      </c>
      <c r="G53" s="13">
        <f>+'Calendar Period Ended 12-18'!M49</f>
        <v>0</v>
      </c>
      <c r="H53" s="13">
        <f>+'Calendar Period Ended 12-18'!N49</f>
        <v>1525.09</v>
      </c>
      <c r="I53" s="13">
        <f>+'Calendar Period Ended 12-18'!O49</f>
        <v>0</v>
      </c>
      <c r="J53" s="13"/>
      <c r="K53" s="13"/>
      <c r="L53" s="13"/>
      <c r="M53" s="13"/>
      <c r="N53" s="13"/>
      <c r="O53" s="13"/>
      <c r="P53" s="13">
        <f t="shared" si="5"/>
        <v>1525.09</v>
      </c>
      <c r="Q53" s="13"/>
      <c r="R53" s="13">
        <f t="shared" si="6"/>
        <v>1525.09</v>
      </c>
    </row>
    <row r="54" spans="1:18" x14ac:dyDescent="0.25">
      <c r="A54" s="16" t="s">
        <v>98</v>
      </c>
      <c r="B54" s="3" t="s">
        <v>99</v>
      </c>
      <c r="C54" s="3"/>
      <c r="D54" s="13">
        <f>+'Calendar Period Ended 12-18'!J50</f>
        <v>0</v>
      </c>
      <c r="E54" s="13">
        <f>+'Calendar Period Ended 12-18'!K50</f>
        <v>0</v>
      </c>
      <c r="F54" s="13">
        <f>+'Calendar Period Ended 12-18'!L50</f>
        <v>0</v>
      </c>
      <c r="G54" s="13">
        <f>+'Calendar Period Ended 12-18'!M50</f>
        <v>0</v>
      </c>
      <c r="H54" s="13">
        <f>+'Calendar Period Ended 12-18'!N50</f>
        <v>0</v>
      </c>
      <c r="I54" s="13">
        <f>+'Calendar Period Ended 12-18'!O50</f>
        <v>0</v>
      </c>
      <c r="J54" s="13"/>
      <c r="K54" s="13"/>
      <c r="L54" s="13"/>
      <c r="M54" s="13"/>
      <c r="N54" s="13"/>
      <c r="O54" s="13"/>
      <c r="P54" s="13">
        <f t="shared" si="5"/>
        <v>0</v>
      </c>
      <c r="Q54" s="13"/>
      <c r="R54" s="13">
        <f t="shared" si="6"/>
        <v>0</v>
      </c>
    </row>
    <row r="55" spans="1:18" x14ac:dyDescent="0.25">
      <c r="A55" s="16" t="s">
        <v>100</v>
      </c>
      <c r="B55" s="3" t="s">
        <v>101</v>
      </c>
      <c r="C55" s="3"/>
      <c r="D55" s="13">
        <f>+'Calendar Period Ended 12-18'!J51</f>
        <v>6187.88</v>
      </c>
      <c r="E55" s="13">
        <f>+'Calendar Period Ended 12-18'!K51</f>
        <v>6818.66</v>
      </c>
      <c r="F55" s="13">
        <f>+'Calendar Period Ended 12-18'!L51</f>
        <v>5913.38</v>
      </c>
      <c r="G55" s="13">
        <f>+'Calendar Period Ended 12-18'!M51</f>
        <v>7238.95</v>
      </c>
      <c r="H55" s="13">
        <f>+'Calendar Period Ended 12-18'!N51</f>
        <v>5860.05</v>
      </c>
      <c r="I55" s="13">
        <f>+'Calendar Period Ended 12-18'!O51</f>
        <v>12023.67</v>
      </c>
      <c r="J55" s="13">
        <f>+'6 Month P-L 6-19'!D44</f>
        <v>8516.25</v>
      </c>
      <c r="K55" s="13">
        <f>+'6 Month P-L 6-19'!E44</f>
        <v>4868.3500000000004</v>
      </c>
      <c r="L55" s="13">
        <f>+'6 Month P-L 6-19'!F44</f>
        <v>6228.6</v>
      </c>
      <c r="M55" s="13">
        <f>+'6 Month P-L 6-19'!G44</f>
        <v>7831.29</v>
      </c>
      <c r="N55" s="13">
        <f>+'6 Month P-L 6-19'!H44</f>
        <v>5232.82</v>
      </c>
      <c r="O55" s="13">
        <f>+'6 Month P-L 6-19'!I44</f>
        <v>6504.33</v>
      </c>
      <c r="P55" s="13">
        <f t="shared" si="5"/>
        <v>83224.23</v>
      </c>
      <c r="Q55" s="13"/>
      <c r="R55" s="13">
        <f t="shared" si="6"/>
        <v>83224.23</v>
      </c>
    </row>
    <row r="56" spans="1:18" x14ac:dyDescent="0.25">
      <c r="A56" s="16" t="s">
        <v>102</v>
      </c>
      <c r="B56" s="3" t="s">
        <v>103</v>
      </c>
      <c r="C56" s="3"/>
      <c r="D56" s="13">
        <f>+'Calendar Period Ended 12-18'!J52</f>
        <v>0</v>
      </c>
      <c r="E56" s="13">
        <f>+'Calendar Period Ended 12-18'!K52</f>
        <v>0</v>
      </c>
      <c r="F56" s="13">
        <f>+'Calendar Period Ended 12-18'!L52</f>
        <v>0</v>
      </c>
      <c r="G56" s="13">
        <f>+'Calendar Period Ended 12-18'!M52</f>
        <v>0</v>
      </c>
      <c r="H56" s="13">
        <f>+'Calendar Period Ended 12-18'!N52</f>
        <v>0</v>
      </c>
      <c r="I56" s="13">
        <f>+'Calendar Period Ended 12-18'!O52</f>
        <v>0</v>
      </c>
      <c r="J56" s="13"/>
      <c r="K56" s="13"/>
      <c r="L56" s="13"/>
      <c r="M56" s="13"/>
      <c r="N56" s="13"/>
      <c r="O56" s="13"/>
      <c r="P56" s="13">
        <f t="shared" si="5"/>
        <v>0</v>
      </c>
      <c r="Q56" s="13"/>
      <c r="R56" s="13">
        <f t="shared" si="6"/>
        <v>0</v>
      </c>
    </row>
    <row r="57" spans="1:18" x14ac:dyDescent="0.25">
      <c r="A57" s="16" t="s">
        <v>104</v>
      </c>
      <c r="B57" s="3" t="s">
        <v>105</v>
      </c>
      <c r="C57" s="3"/>
      <c r="D57" s="13">
        <f>+'Calendar Period Ended 12-18'!J53</f>
        <v>0</v>
      </c>
      <c r="E57" s="13">
        <f>+'Calendar Period Ended 12-18'!K53</f>
        <v>0</v>
      </c>
      <c r="F57" s="13">
        <f>+'Calendar Period Ended 12-18'!L53</f>
        <v>0</v>
      </c>
      <c r="G57" s="13">
        <f>+'Calendar Period Ended 12-18'!M53</f>
        <v>0</v>
      </c>
      <c r="H57" s="13">
        <f>+'Calendar Period Ended 12-18'!N53</f>
        <v>0</v>
      </c>
      <c r="I57" s="13">
        <f>+'Calendar Period Ended 12-18'!O53</f>
        <v>0</v>
      </c>
      <c r="J57" s="13"/>
      <c r="K57" s="13"/>
      <c r="L57" s="13"/>
      <c r="M57" s="13"/>
      <c r="N57" s="13"/>
      <c r="O57" s="13"/>
      <c r="P57" s="13">
        <f t="shared" si="5"/>
        <v>0</v>
      </c>
      <c r="Q57" s="13"/>
      <c r="R57" s="13">
        <f t="shared" si="6"/>
        <v>0</v>
      </c>
    </row>
    <row r="58" spans="1:18" x14ac:dyDescent="0.25">
      <c r="A58" s="16" t="s">
        <v>106</v>
      </c>
      <c r="B58" s="3" t="s">
        <v>107</v>
      </c>
      <c r="C58" s="3"/>
      <c r="D58" s="13">
        <f>+'Calendar Period Ended 12-18'!J54</f>
        <v>0</v>
      </c>
      <c r="E58" s="13">
        <f>+'Calendar Period Ended 12-18'!K54</f>
        <v>0</v>
      </c>
      <c r="F58" s="13">
        <f>+'Calendar Period Ended 12-18'!L54</f>
        <v>0</v>
      </c>
      <c r="G58" s="13">
        <f>+'Calendar Period Ended 12-18'!M54</f>
        <v>0</v>
      </c>
      <c r="H58" s="13">
        <f>+'Calendar Period Ended 12-18'!N54</f>
        <v>0</v>
      </c>
      <c r="I58" s="13">
        <f>+'Calendar Period Ended 12-18'!O54</f>
        <v>0</v>
      </c>
      <c r="J58" s="13"/>
      <c r="K58" s="13"/>
      <c r="L58" s="13"/>
      <c r="M58" s="13"/>
      <c r="N58" s="13"/>
      <c r="O58" s="13"/>
      <c r="P58" s="13">
        <f t="shared" si="5"/>
        <v>0</v>
      </c>
      <c r="Q58" s="13"/>
      <c r="R58" s="13">
        <f t="shared" si="6"/>
        <v>0</v>
      </c>
    </row>
    <row r="59" spans="1:18" x14ac:dyDescent="0.25">
      <c r="A59" s="16" t="s">
        <v>108</v>
      </c>
      <c r="B59" s="3" t="s">
        <v>109</v>
      </c>
      <c r="C59" s="3"/>
      <c r="D59" s="13">
        <f>+'Calendar Period Ended 12-18'!J55</f>
        <v>0</v>
      </c>
      <c r="E59" s="13">
        <f>+'Calendar Period Ended 12-18'!K55</f>
        <v>0</v>
      </c>
      <c r="F59" s="13">
        <f>+'Calendar Period Ended 12-18'!L55</f>
        <v>0</v>
      </c>
      <c r="G59" s="13">
        <f>+'Calendar Period Ended 12-18'!M55</f>
        <v>0</v>
      </c>
      <c r="H59" s="13">
        <f>+'Calendar Period Ended 12-18'!N55</f>
        <v>0</v>
      </c>
      <c r="I59" s="13">
        <f>+'Calendar Period Ended 12-18'!O55</f>
        <v>0</v>
      </c>
      <c r="J59" s="13"/>
      <c r="K59" s="13"/>
      <c r="L59" s="13"/>
      <c r="M59" s="13"/>
      <c r="N59" s="13"/>
      <c r="O59" s="13"/>
      <c r="P59" s="13">
        <f t="shared" si="5"/>
        <v>0</v>
      </c>
      <c r="Q59" s="13"/>
      <c r="R59" s="13">
        <f t="shared" si="6"/>
        <v>0</v>
      </c>
    </row>
    <row r="60" spans="1:18" x14ac:dyDescent="0.25">
      <c r="A60" s="16" t="s">
        <v>110</v>
      </c>
      <c r="B60" s="3" t="s">
        <v>111</v>
      </c>
      <c r="C60" s="3"/>
      <c r="D60" s="13">
        <f>+'Calendar Period Ended 12-18'!J56</f>
        <v>0</v>
      </c>
      <c r="E60" s="13">
        <f>+'Calendar Period Ended 12-18'!K56</f>
        <v>0</v>
      </c>
      <c r="F60" s="13">
        <f>+'Calendar Period Ended 12-18'!L56</f>
        <v>0</v>
      </c>
      <c r="G60" s="13">
        <f>+'Calendar Period Ended 12-18'!M56</f>
        <v>2700</v>
      </c>
      <c r="H60" s="13">
        <f>+'Calendar Period Ended 12-18'!N56</f>
        <v>0</v>
      </c>
      <c r="I60" s="13">
        <f>+'Calendar Period Ended 12-18'!O56</f>
        <v>0</v>
      </c>
      <c r="J60" s="13">
        <f>+'6 Month P-L 6-19'!D45</f>
        <v>0</v>
      </c>
      <c r="K60" s="13">
        <f>+'6 Month P-L 6-19'!E45</f>
        <v>50</v>
      </c>
      <c r="L60" s="13">
        <f>+'6 Month P-L 6-19'!F45</f>
        <v>0</v>
      </c>
      <c r="M60" s="13">
        <f>+'6 Month P-L 6-19'!G45</f>
        <v>0</v>
      </c>
      <c r="N60" s="13">
        <f>+'6 Month P-L 6-19'!H45</f>
        <v>0</v>
      </c>
      <c r="O60" s="13">
        <f>+'6 Month P-L 6-19'!I45</f>
        <v>0</v>
      </c>
      <c r="P60" s="13">
        <f t="shared" si="5"/>
        <v>2750</v>
      </c>
      <c r="Q60" s="13"/>
      <c r="R60" s="13">
        <f t="shared" si="6"/>
        <v>2750</v>
      </c>
    </row>
    <row r="61" spans="1:18" x14ac:dyDescent="0.25">
      <c r="A61" s="16" t="s">
        <v>112</v>
      </c>
      <c r="B61" s="3" t="s">
        <v>113</v>
      </c>
      <c r="C61" s="3"/>
      <c r="D61" s="13">
        <f>+'Calendar Period Ended 12-18'!J57</f>
        <v>0</v>
      </c>
      <c r="E61" s="13">
        <f>+'Calendar Period Ended 12-18'!K57</f>
        <v>0</v>
      </c>
      <c r="F61" s="13">
        <f>+'Calendar Period Ended 12-18'!L57</f>
        <v>0</v>
      </c>
      <c r="G61" s="13">
        <f>+'Calendar Period Ended 12-18'!M57</f>
        <v>34583</v>
      </c>
      <c r="H61" s="13">
        <f>+'Calendar Period Ended 12-18'!N57</f>
        <v>0</v>
      </c>
      <c r="I61" s="13">
        <f>+'Calendar Period Ended 12-18'!O57</f>
        <v>0</v>
      </c>
      <c r="J61" s="13">
        <f>+'6 Month P-L 6-19'!D46</f>
        <v>0</v>
      </c>
      <c r="K61" s="13">
        <f>+'6 Month P-L 6-19'!E46</f>
        <v>0</v>
      </c>
      <c r="L61" s="13">
        <f>+'6 Month P-L 6-19'!F46</f>
        <v>0</v>
      </c>
      <c r="M61" s="13">
        <f>+'6 Month P-L 6-19'!G46</f>
        <v>139.32</v>
      </c>
      <c r="N61" s="13">
        <f>+'6 Month P-L 6-19'!H46</f>
        <v>2000</v>
      </c>
      <c r="O61" s="13">
        <f>+'6 Month P-L 6-19'!I46</f>
        <v>0</v>
      </c>
      <c r="P61" s="13">
        <f t="shared" si="5"/>
        <v>36722.32</v>
      </c>
      <c r="Q61" s="13"/>
      <c r="R61" s="13">
        <f t="shared" si="6"/>
        <v>36722.32</v>
      </c>
    </row>
    <row r="62" spans="1:18" x14ac:dyDescent="0.25">
      <c r="A62" s="16" t="s">
        <v>114</v>
      </c>
      <c r="B62" s="3" t="s">
        <v>115</v>
      </c>
      <c r="C62" s="3"/>
      <c r="D62" s="13">
        <f>+'Calendar Period Ended 12-18'!J58</f>
        <v>0</v>
      </c>
      <c r="E62" s="13">
        <f>+'Calendar Period Ended 12-18'!K58</f>
        <v>0</v>
      </c>
      <c r="F62" s="13">
        <f>+'Calendar Period Ended 12-18'!L58</f>
        <v>0</v>
      </c>
      <c r="G62" s="13">
        <f>+'Calendar Period Ended 12-18'!M58</f>
        <v>0</v>
      </c>
      <c r="H62" s="13">
        <f>+'Calendar Period Ended 12-18'!N58</f>
        <v>0</v>
      </c>
      <c r="I62" s="13">
        <f>+'Calendar Period Ended 12-18'!O58</f>
        <v>33296.67</v>
      </c>
      <c r="J62" s="13">
        <f>+'6 Month P-L 6-19'!D47</f>
        <v>20831.11</v>
      </c>
      <c r="K62" s="13">
        <f>+'6 Month P-L 6-19'!E47</f>
        <v>20531.11</v>
      </c>
      <c r="L62" s="13">
        <f>+'6 Month P-L 6-19'!F47</f>
        <v>20531.11</v>
      </c>
      <c r="M62" s="13">
        <f>+'6 Month P-L 6-19'!G47</f>
        <v>0</v>
      </c>
      <c r="N62" s="13">
        <f>+'6 Month P-L 6-19'!H47</f>
        <v>0</v>
      </c>
      <c r="O62" s="13">
        <f>+'6 Month P-L 6-19'!I47</f>
        <v>0</v>
      </c>
      <c r="P62" s="13">
        <f t="shared" si="5"/>
        <v>95190</v>
      </c>
      <c r="Q62" s="13"/>
      <c r="R62" s="13">
        <f t="shared" si="6"/>
        <v>95190</v>
      </c>
    </row>
    <row r="63" spans="1:18" x14ac:dyDescent="0.25">
      <c r="A63" s="16" t="s">
        <v>116</v>
      </c>
      <c r="B63" s="3" t="s">
        <v>117</v>
      </c>
      <c r="C63" s="3"/>
      <c r="D63" s="13">
        <f>+'Calendar Period Ended 12-18'!J59</f>
        <v>13430.71</v>
      </c>
      <c r="E63" s="13">
        <f>+'Calendar Period Ended 12-18'!K59</f>
        <v>12178.22</v>
      </c>
      <c r="F63" s="13">
        <f>+'Calendar Period Ended 12-18'!L59</f>
        <v>12178.22</v>
      </c>
      <c r="G63" s="13">
        <f>+'Calendar Period Ended 12-18'!M59</f>
        <v>12178.31</v>
      </c>
      <c r="H63" s="13">
        <f>+'Calendar Period Ended 12-18'!N59</f>
        <v>12047.27</v>
      </c>
      <c r="I63" s="13">
        <f>+'Calendar Period Ended 12-18'!O59</f>
        <v>12047.28</v>
      </c>
      <c r="J63" s="13">
        <f>+'6 Month P-L 6-19'!D48</f>
        <v>12047.27</v>
      </c>
      <c r="K63" s="13">
        <f>+'6 Month P-L 6-19'!E48</f>
        <v>17852.16</v>
      </c>
      <c r="L63" s="13">
        <f>+'6 Month P-L 6-19'!F48</f>
        <v>15265.17</v>
      </c>
      <c r="M63" s="13">
        <f>+'6 Month P-L 6-19'!G48</f>
        <v>15596.83</v>
      </c>
      <c r="N63" s="13">
        <f>+'6 Month P-L 6-19'!H48</f>
        <v>11516.83</v>
      </c>
      <c r="O63" s="13">
        <f>+'6 Month P-L 6-19'!I48</f>
        <v>11516.83</v>
      </c>
      <c r="P63" s="13">
        <f t="shared" si="5"/>
        <v>157855.09999999998</v>
      </c>
      <c r="Q63" s="13"/>
      <c r="R63" s="13">
        <f t="shared" si="6"/>
        <v>157855.09999999998</v>
      </c>
    </row>
    <row r="64" spans="1:18" x14ac:dyDescent="0.25">
      <c r="A64" s="16" t="s">
        <v>118</v>
      </c>
      <c r="B64" s="3" t="s">
        <v>322</v>
      </c>
      <c r="C64" s="3"/>
      <c r="D64" s="13">
        <f>+'Calendar Period Ended 12-18'!J60</f>
        <v>129403</v>
      </c>
      <c r="E64" s="13">
        <f>+'Calendar Period Ended 12-18'!K60</f>
        <v>129403</v>
      </c>
      <c r="F64" s="13">
        <f>+'Calendar Period Ended 12-18'!L60</f>
        <v>129403</v>
      </c>
      <c r="G64" s="13">
        <f>+'Calendar Period Ended 12-18'!M60</f>
        <v>130498</v>
      </c>
      <c r="H64" s="13">
        <f>+'Calendar Period Ended 12-18'!N60</f>
        <v>130498</v>
      </c>
      <c r="I64" s="13">
        <f>+'Calendar Period Ended 12-18'!O60</f>
        <v>130498</v>
      </c>
      <c r="J64" s="13">
        <f>+'6 Month P-L 6-19'!D49</f>
        <v>130498</v>
      </c>
      <c r="K64" s="13">
        <f>+'6 Month P-L 6-19'!E49</f>
        <v>127829</v>
      </c>
      <c r="L64" s="13">
        <f>+'6 Month P-L 6-19'!F49</f>
        <v>125160</v>
      </c>
      <c r="M64" s="13">
        <f>+'6 Month P-L 6-19'!G49</f>
        <v>123664</v>
      </c>
      <c r="N64" s="13">
        <f>+'6 Month P-L 6-19'!H49</f>
        <v>131408</v>
      </c>
      <c r="O64" s="13">
        <f>+'6 Month P-L 6-19'!I49</f>
        <v>126353</v>
      </c>
      <c r="P64" s="13">
        <f t="shared" si="5"/>
        <v>1544615</v>
      </c>
      <c r="Q64" s="13"/>
      <c r="R64" s="13">
        <f t="shared" si="6"/>
        <v>1544615</v>
      </c>
    </row>
    <row r="65" spans="1:34" x14ac:dyDescent="0.25">
      <c r="A65" s="16" t="s">
        <v>120</v>
      </c>
      <c r="B65" s="3" t="s">
        <v>121</v>
      </c>
      <c r="C65" s="3"/>
      <c r="D65" s="13">
        <f>+'Calendar Period Ended 12-18'!J61</f>
        <v>685.74</v>
      </c>
      <c r="E65" s="13">
        <f>+'Calendar Period Ended 12-18'!K61</f>
        <v>663.53</v>
      </c>
      <c r="F65" s="13">
        <f>+'Calendar Period Ended 12-18'!L61</f>
        <v>623.16</v>
      </c>
      <c r="G65" s="13">
        <f>+'Calendar Period Ended 12-18'!M61</f>
        <v>623.15</v>
      </c>
      <c r="H65" s="13">
        <f>+'Calendar Period Ended 12-18'!N61</f>
        <v>584.79999999999995</v>
      </c>
      <c r="I65" s="13">
        <f>+'Calendar Period Ended 12-18'!O61</f>
        <v>583.45000000000005</v>
      </c>
      <c r="J65" s="13">
        <f>+'6 Month P-L 6-19'!D50</f>
        <v>563.12</v>
      </c>
      <c r="K65" s="13">
        <f>+'6 Month P-L 6-19'!E50</f>
        <v>510.24</v>
      </c>
      <c r="L65" s="13">
        <f>+'6 Month P-L 6-19'!F50</f>
        <v>512.11</v>
      </c>
      <c r="M65" s="13">
        <f>+'6 Month P-L 6-19'!G50</f>
        <v>481.16</v>
      </c>
      <c r="N65" s="13">
        <f>+'6 Month P-L 6-19'!H50</f>
        <v>478.47</v>
      </c>
      <c r="O65" s="13">
        <f>+'6 Month P-L 6-19'!I50</f>
        <v>443.48</v>
      </c>
      <c r="P65" s="13">
        <f t="shared" si="5"/>
        <v>6752.41</v>
      </c>
      <c r="Q65" s="13"/>
      <c r="R65" s="13">
        <f t="shared" si="6"/>
        <v>6752.41</v>
      </c>
    </row>
    <row r="66" spans="1:34" x14ac:dyDescent="0.25">
      <c r="A66" s="16" t="s">
        <v>122</v>
      </c>
      <c r="B66" s="3" t="s">
        <v>123</v>
      </c>
      <c r="C66" s="3"/>
      <c r="D66" s="13">
        <f>+'Calendar Period Ended 12-18'!J62</f>
        <v>2117.04</v>
      </c>
      <c r="E66" s="13">
        <f>+'Calendar Period Ended 12-18'!K62</f>
        <v>1474.74</v>
      </c>
      <c r="F66" s="13">
        <f>+'Calendar Period Ended 12-18'!L62</f>
        <v>1714.94</v>
      </c>
      <c r="G66" s="13">
        <f>+'Calendar Period Ended 12-18'!M62</f>
        <v>1784.67</v>
      </c>
      <c r="H66" s="13">
        <f>+'Calendar Period Ended 12-18'!N62</f>
        <v>1578.47</v>
      </c>
      <c r="I66" s="13">
        <f>+'Calendar Period Ended 12-18'!O62</f>
        <v>1239.5899999999999</v>
      </c>
      <c r="J66" s="13">
        <f>+'6 Month P-L 6-19'!D51</f>
        <v>1502.42</v>
      </c>
      <c r="K66" s="13">
        <f>+'6 Month P-L 6-19'!E51</f>
        <v>2415.61</v>
      </c>
      <c r="L66" s="13">
        <f>+'6 Month P-L 6-19'!F51</f>
        <v>758.58</v>
      </c>
      <c r="M66" s="13">
        <f>+'6 Month P-L 6-19'!G51</f>
        <v>1042.67</v>
      </c>
      <c r="N66" s="13">
        <f>+'6 Month P-L 6-19'!H51</f>
        <v>808.35</v>
      </c>
      <c r="O66" s="13">
        <f>+'6 Month P-L 6-19'!I51</f>
        <v>781.72</v>
      </c>
      <c r="P66" s="13">
        <f t="shared" si="5"/>
        <v>17218.8</v>
      </c>
      <c r="Q66" s="13"/>
      <c r="R66" s="13">
        <f t="shared" si="6"/>
        <v>17218.8</v>
      </c>
    </row>
    <row r="67" spans="1:34" x14ac:dyDescent="0.25">
      <c r="A67" s="16" t="s">
        <v>124</v>
      </c>
      <c r="B67" s="3" t="s">
        <v>125</v>
      </c>
      <c r="C67" s="3"/>
      <c r="D67" s="13">
        <f>+'Calendar Period Ended 12-18'!J63</f>
        <v>71500</v>
      </c>
      <c r="E67" s="13">
        <f>+'Calendar Period Ended 12-18'!K63</f>
        <v>26000</v>
      </c>
      <c r="F67" s="13">
        <f>+'Calendar Period Ended 12-18'!L63</f>
        <v>20500</v>
      </c>
      <c r="G67" s="13">
        <f>+'Calendar Period Ended 12-18'!M63</f>
        <v>19500</v>
      </c>
      <c r="H67" s="13">
        <f>+'Calendar Period Ended 12-18'!N63</f>
        <v>26000</v>
      </c>
      <c r="I67" s="13">
        <f>+'Calendar Period Ended 12-18'!O63</f>
        <v>52000</v>
      </c>
      <c r="J67" s="13">
        <f>+'6 Month P-L 6-19'!D52</f>
        <v>26000</v>
      </c>
      <c r="K67" s="13">
        <f>+'6 Month P-L 6-19'!E52</f>
        <v>26000</v>
      </c>
      <c r="L67" s="13">
        <f>+'6 Month P-L 6-19'!F52</f>
        <v>13000</v>
      </c>
      <c r="M67" s="13">
        <f>+'6 Month P-L 6-19'!G52</f>
        <v>19500</v>
      </c>
      <c r="N67" s="13">
        <f>+'6 Month P-L 6-19'!H52</f>
        <v>26000</v>
      </c>
      <c r="O67" s="13">
        <f>+'6 Month P-L 6-19'!I52</f>
        <v>6500</v>
      </c>
      <c r="P67" s="13">
        <f t="shared" si="5"/>
        <v>332500</v>
      </c>
      <c r="Q67" s="13"/>
      <c r="R67" s="13">
        <f t="shared" si="6"/>
        <v>332500</v>
      </c>
      <c r="AG67">
        <f t="shared" ref="AG67" si="7">+Q67/6500</f>
        <v>0</v>
      </c>
      <c r="AH67">
        <f t="shared" ref="AH67" si="8">+R67/6500</f>
        <v>51.153846153846153</v>
      </c>
    </row>
    <row r="68" spans="1:34" x14ac:dyDescent="0.25">
      <c r="A68" s="16" t="s">
        <v>126</v>
      </c>
      <c r="B68" s="3" t="s">
        <v>127</v>
      </c>
      <c r="C68" s="3"/>
      <c r="D68" s="13">
        <f>+'Calendar Period Ended 12-18'!J64</f>
        <v>6253.27</v>
      </c>
      <c r="E68" s="13">
        <f>+'Calendar Period Ended 12-18'!K64</f>
        <v>6809.91</v>
      </c>
      <c r="F68" s="13">
        <f>+'Calendar Period Ended 12-18'!L64</f>
        <v>6322.47</v>
      </c>
      <c r="G68" s="13">
        <f>+'Calendar Period Ended 12-18'!M64</f>
        <v>6298.19</v>
      </c>
      <c r="H68" s="13">
        <f>+'Calendar Period Ended 12-18'!N64</f>
        <v>6285.86</v>
      </c>
      <c r="I68" s="13">
        <f>+'Calendar Period Ended 12-18'!O64</f>
        <v>6310.5</v>
      </c>
      <c r="J68" s="13">
        <f>+'6 Month P-L 6-19'!D53</f>
        <v>6316.98</v>
      </c>
      <c r="K68" s="13">
        <f>+'6 Month P-L 6-19'!E53</f>
        <v>6250</v>
      </c>
      <c r="L68" s="13">
        <f>+'6 Month P-L 6-19'!F53</f>
        <v>6250</v>
      </c>
      <c r="M68" s="13">
        <f>+'6 Month P-L 6-19'!G53</f>
        <v>6250</v>
      </c>
      <c r="N68" s="13">
        <f>+'6 Month P-L 6-19'!H53</f>
        <v>6250</v>
      </c>
      <c r="O68" s="13">
        <f>+'6 Month P-L 6-19'!I53</f>
        <v>6317.05</v>
      </c>
      <c r="P68" s="13">
        <f t="shared" si="5"/>
        <v>75914.23</v>
      </c>
      <c r="Q68" s="13"/>
      <c r="R68" s="13">
        <f t="shared" si="6"/>
        <v>75914.23</v>
      </c>
    </row>
    <row r="69" spans="1:34" x14ac:dyDescent="0.25">
      <c r="A69" s="16" t="s">
        <v>128</v>
      </c>
      <c r="B69" s="3" t="s">
        <v>129</v>
      </c>
      <c r="C69" s="3"/>
      <c r="D69" s="13">
        <f>+'Calendar Period Ended 12-18'!J65</f>
        <v>0</v>
      </c>
      <c r="E69" s="13">
        <f>+'Calendar Period Ended 12-18'!K65</f>
        <v>0</v>
      </c>
      <c r="F69" s="13">
        <f>+'Calendar Period Ended 12-18'!L65</f>
        <v>0</v>
      </c>
      <c r="G69" s="13">
        <f>+'Calendar Period Ended 12-18'!M65</f>
        <v>0</v>
      </c>
      <c r="H69" s="13">
        <f>+'Calendar Period Ended 12-18'!N65</f>
        <v>0</v>
      </c>
      <c r="I69" s="13">
        <f>+'Calendar Period Ended 12-18'!O65</f>
        <v>0</v>
      </c>
      <c r="J69" s="13"/>
      <c r="K69" s="13"/>
      <c r="L69" s="13"/>
      <c r="M69" s="13"/>
      <c r="N69" s="13"/>
      <c r="O69" s="13"/>
      <c r="P69" s="13">
        <f t="shared" si="5"/>
        <v>0</v>
      </c>
      <c r="Q69" s="13"/>
      <c r="R69" s="13">
        <f t="shared" si="6"/>
        <v>0</v>
      </c>
    </row>
    <row r="70" spans="1:34" x14ac:dyDescent="0.25">
      <c r="A70" s="16" t="s">
        <v>130</v>
      </c>
      <c r="B70" s="3" t="s">
        <v>131</v>
      </c>
      <c r="C70" s="3"/>
      <c r="D70" s="13">
        <f>+'Calendar Period Ended 12-18'!J66</f>
        <v>238.43</v>
      </c>
      <c r="E70" s="13">
        <f>+'Calendar Period Ended 12-18'!K66</f>
        <v>0</v>
      </c>
      <c r="F70" s="13">
        <f>+'Calendar Period Ended 12-18'!L66</f>
        <v>0</v>
      </c>
      <c r="G70" s="13">
        <f>+'Calendar Period Ended 12-18'!M66</f>
        <v>0</v>
      </c>
      <c r="H70" s="13">
        <f>+'Calendar Period Ended 12-18'!N66</f>
        <v>0</v>
      </c>
      <c r="I70" s="13">
        <f>+'Calendar Period Ended 12-18'!O66</f>
        <v>0</v>
      </c>
      <c r="K70" s="13"/>
      <c r="L70" s="13"/>
      <c r="M70" s="13"/>
      <c r="N70" s="13"/>
      <c r="O70" s="13"/>
      <c r="P70" s="13">
        <f t="shared" si="5"/>
        <v>238.43</v>
      </c>
      <c r="Q70" s="13"/>
      <c r="R70" s="13">
        <f t="shared" si="6"/>
        <v>238.43</v>
      </c>
    </row>
    <row r="71" spans="1:34" x14ac:dyDescent="0.25">
      <c r="A71" s="16" t="s">
        <v>132</v>
      </c>
      <c r="B71" s="3" t="s">
        <v>133</v>
      </c>
      <c r="C71" s="3"/>
      <c r="D71" s="13">
        <f>+'Calendar Period Ended 12-18'!J67</f>
        <v>53.76</v>
      </c>
      <c r="E71" s="13">
        <f>+'Calendar Period Ended 12-18'!K67</f>
        <v>0</v>
      </c>
      <c r="F71" s="13">
        <f>+'Calendar Period Ended 12-18'!L67</f>
        <v>0</v>
      </c>
      <c r="G71" s="13">
        <f>+'Calendar Period Ended 12-18'!M67</f>
        <v>0</v>
      </c>
      <c r="H71" s="13">
        <f>+'Calendar Period Ended 12-18'!N67</f>
        <v>0</v>
      </c>
      <c r="I71" s="13">
        <f>+'Calendar Period Ended 12-18'!O67</f>
        <v>0</v>
      </c>
      <c r="J71" s="13"/>
      <c r="K71" s="13"/>
      <c r="L71" s="13"/>
      <c r="M71" s="13"/>
      <c r="N71" s="13"/>
      <c r="O71" s="13"/>
      <c r="P71" s="13">
        <f t="shared" si="5"/>
        <v>53.76</v>
      </c>
      <c r="Q71" s="13"/>
      <c r="R71" s="13">
        <f t="shared" si="6"/>
        <v>53.76</v>
      </c>
    </row>
    <row r="72" spans="1:34" x14ac:dyDescent="0.25">
      <c r="A72" s="16" t="s">
        <v>134</v>
      </c>
      <c r="B72" s="3" t="s">
        <v>135</v>
      </c>
      <c r="C72" s="3"/>
      <c r="D72" s="13">
        <f>+'Calendar Period Ended 12-18'!J68</f>
        <v>600</v>
      </c>
      <c r="E72" s="13">
        <f>+'Calendar Period Ended 12-18'!K68</f>
        <v>600</v>
      </c>
      <c r="F72" s="13">
        <f>+'Calendar Period Ended 12-18'!L68</f>
        <v>600</v>
      </c>
      <c r="G72" s="13">
        <f>+'Calendar Period Ended 12-18'!M68</f>
        <v>600</v>
      </c>
      <c r="H72" s="13">
        <f>+'Calendar Period Ended 12-18'!N68</f>
        <v>600</v>
      </c>
      <c r="I72" s="13">
        <f>+'Calendar Period Ended 12-18'!O68</f>
        <v>600</v>
      </c>
      <c r="J72" s="13">
        <f>+'6 Month P-L 6-19'!D55</f>
        <v>600</v>
      </c>
      <c r="K72" s="13">
        <f>+'6 Month P-L 6-19'!E55</f>
        <v>600</v>
      </c>
      <c r="L72" s="13">
        <f>+'6 Month P-L 6-19'!F55</f>
        <v>600</v>
      </c>
      <c r="M72" s="13">
        <f>+'6 Month P-L 6-19'!G55</f>
        <v>600</v>
      </c>
      <c r="N72" s="13">
        <f>+'6 Month P-L 6-19'!H55</f>
        <v>600</v>
      </c>
      <c r="O72" s="13">
        <f>+'6 Month P-L 6-19'!I55</f>
        <v>600</v>
      </c>
      <c r="P72" s="13">
        <f t="shared" si="5"/>
        <v>7200</v>
      </c>
      <c r="Q72" s="13"/>
      <c r="R72" s="13">
        <f t="shared" si="6"/>
        <v>7200</v>
      </c>
    </row>
    <row r="73" spans="1:34" x14ac:dyDescent="0.25">
      <c r="A73" s="16" t="s">
        <v>136</v>
      </c>
      <c r="B73" s="3" t="s">
        <v>137</v>
      </c>
      <c r="C73" s="3"/>
      <c r="D73" s="13">
        <f>+'Calendar Period Ended 12-18'!J69</f>
        <v>387885.3</v>
      </c>
      <c r="E73" s="13">
        <f>+'Calendar Period Ended 12-18'!K69</f>
        <v>387885.3</v>
      </c>
      <c r="F73" s="13">
        <f>+'Calendar Period Ended 12-18'!L69</f>
        <v>387885.3</v>
      </c>
      <c r="G73" s="13">
        <f>+'Calendar Period Ended 12-18'!M69</f>
        <v>392999.17</v>
      </c>
      <c r="H73" s="13">
        <f>+'Calendar Period Ended 12-18'!N69</f>
        <v>392999.17</v>
      </c>
      <c r="I73" s="13">
        <f>+'Calendar Period Ended 12-18'!O69</f>
        <v>392999.17</v>
      </c>
      <c r="J73" s="13">
        <f>+'6 Month P-L 6-19'!D56</f>
        <v>399975.28</v>
      </c>
      <c r="K73" s="13">
        <f>+'6 Month P-L 6-19'!E56</f>
        <v>399975.28</v>
      </c>
      <c r="L73" s="13">
        <f>+'6 Month P-L 6-19'!F56</f>
        <v>404938.85</v>
      </c>
      <c r="M73" s="13">
        <f>+'6 Month P-L 6-19'!G56</f>
        <v>420584.9</v>
      </c>
      <c r="N73" s="13">
        <f>+'6 Month P-L 6-19'!H56</f>
        <v>413102.97</v>
      </c>
      <c r="O73" s="13">
        <f>+'6 Month P-L 6-19'!I56</f>
        <v>412046.11</v>
      </c>
      <c r="P73" s="13">
        <f t="shared" si="5"/>
        <v>4793276.8</v>
      </c>
      <c r="Q73" s="13"/>
      <c r="R73" s="13">
        <f t="shared" si="6"/>
        <v>4793276.8</v>
      </c>
    </row>
    <row r="74" spans="1:34" x14ac:dyDescent="0.25">
      <c r="A74" s="16" t="s">
        <v>138</v>
      </c>
      <c r="B74" s="3" t="s">
        <v>139</v>
      </c>
      <c r="C74" s="3"/>
      <c r="D74" s="13">
        <f>+'Calendar Period Ended 12-18'!J70</f>
        <v>0</v>
      </c>
      <c r="E74" s="13">
        <f>+'Calendar Period Ended 12-18'!K70</f>
        <v>0</v>
      </c>
      <c r="F74" s="13">
        <f>+'Calendar Period Ended 12-18'!L70</f>
        <v>0</v>
      </c>
      <c r="G74" s="13">
        <f>+'Calendar Period Ended 12-18'!M70</f>
        <v>0</v>
      </c>
      <c r="H74" s="13">
        <f>+'Calendar Period Ended 12-18'!N70</f>
        <v>0</v>
      </c>
      <c r="I74" s="13">
        <f>+'Calendar Period Ended 12-18'!O70</f>
        <v>0</v>
      </c>
      <c r="J74" s="13"/>
      <c r="K74" s="13"/>
      <c r="L74" s="13"/>
      <c r="M74" s="13"/>
      <c r="N74" s="13"/>
      <c r="O74" s="13"/>
      <c r="P74" s="13">
        <f t="shared" si="5"/>
        <v>0</v>
      </c>
      <c r="Q74" s="13"/>
      <c r="R74" s="13">
        <f t="shared" si="6"/>
        <v>0</v>
      </c>
    </row>
    <row r="75" spans="1:34" x14ac:dyDescent="0.25">
      <c r="A75" s="16" t="s">
        <v>140</v>
      </c>
      <c r="B75" s="3" t="s">
        <v>141</v>
      </c>
      <c r="C75" s="3"/>
      <c r="D75" s="13">
        <f>+'Calendar Period Ended 12-18'!J71</f>
        <v>5791.86</v>
      </c>
      <c r="E75" s="13">
        <f>+'Calendar Period Ended 12-18'!K71</f>
        <v>5791.86</v>
      </c>
      <c r="F75" s="13">
        <f>+'Calendar Period Ended 12-18'!L71</f>
        <v>5791.86</v>
      </c>
      <c r="G75" s="13">
        <f>+'Calendar Period Ended 12-18'!M71</f>
        <v>5791.86</v>
      </c>
      <c r="H75" s="13">
        <f>+'Calendar Period Ended 12-18'!N71</f>
        <v>5791.86</v>
      </c>
      <c r="I75" s="13">
        <f>+'Calendar Period Ended 12-18'!O71</f>
        <v>5791.86</v>
      </c>
      <c r="J75" s="13">
        <f>+'6 Month P-L 6-19'!D57</f>
        <v>5791.86</v>
      </c>
      <c r="K75" s="13">
        <f>+'6 Month P-L 6-19'!E57</f>
        <v>5791.86</v>
      </c>
      <c r="L75" s="13">
        <f>+'6 Month P-L 6-19'!F57</f>
        <v>5791.86</v>
      </c>
      <c r="M75" s="13">
        <f>+'6 Month P-L 6-19'!G57</f>
        <v>5791.86</v>
      </c>
      <c r="N75" s="13">
        <f>+'6 Month P-L 6-19'!H57</f>
        <v>5791.86</v>
      </c>
      <c r="O75" s="13">
        <f>+'6 Month P-L 6-19'!I57</f>
        <v>5791.86</v>
      </c>
      <c r="P75" s="13">
        <f t="shared" si="5"/>
        <v>69502.319999999992</v>
      </c>
      <c r="Q75" s="13"/>
      <c r="R75" s="13">
        <f t="shared" si="6"/>
        <v>69502.319999999992</v>
      </c>
    </row>
    <row r="76" spans="1:34" x14ac:dyDescent="0.25">
      <c r="A76" s="16" t="s">
        <v>142</v>
      </c>
      <c r="B76" s="3" t="s">
        <v>143</v>
      </c>
      <c r="C76" s="3"/>
      <c r="D76" s="13">
        <f>+'Calendar Period Ended 12-18'!J72</f>
        <v>14.25</v>
      </c>
      <c r="E76" s="13">
        <f>+'Calendar Period Ended 12-18'!K72</f>
        <v>0</v>
      </c>
      <c r="F76" s="13">
        <f>+'Calendar Period Ended 12-18'!L72</f>
        <v>0</v>
      </c>
      <c r="G76" s="13">
        <f>+'Calendar Period Ended 12-18'!M72</f>
        <v>46.42</v>
      </c>
      <c r="H76" s="13">
        <f>+'Calendar Period Ended 12-18'!N72</f>
        <v>37.22</v>
      </c>
      <c r="I76" s="13">
        <f>+'Calendar Period Ended 12-18'!O72</f>
        <v>0</v>
      </c>
      <c r="J76" s="13">
        <f>+'6 Month P-L 6-19'!D58</f>
        <v>7.25</v>
      </c>
      <c r="K76" s="13">
        <f>+'6 Month P-L 6-19'!E58</f>
        <v>20</v>
      </c>
      <c r="L76" s="13">
        <f>+'6 Month P-L 6-19'!F58</f>
        <v>0</v>
      </c>
      <c r="M76" s="13">
        <f>+'6 Month P-L 6-19'!G58</f>
        <v>0</v>
      </c>
      <c r="N76" s="13">
        <f>+'6 Month P-L 6-19'!H58</f>
        <v>0</v>
      </c>
      <c r="O76" s="13">
        <f>+'6 Month P-L 6-19'!I58</f>
        <v>0</v>
      </c>
      <c r="P76" s="13">
        <f t="shared" si="5"/>
        <v>125.14</v>
      </c>
      <c r="Q76" s="13"/>
      <c r="R76" s="13">
        <f t="shared" si="6"/>
        <v>125.14</v>
      </c>
    </row>
    <row r="77" spans="1:34" x14ac:dyDescent="0.25">
      <c r="A77" s="16" t="s">
        <v>144</v>
      </c>
      <c r="B77" s="3" t="s">
        <v>145</v>
      </c>
      <c r="C77" s="3"/>
      <c r="D77" s="13">
        <f>+'Calendar Period Ended 12-18'!J73</f>
        <v>0</v>
      </c>
      <c r="E77" s="13">
        <f>+'Calendar Period Ended 12-18'!K73</f>
        <v>23.62</v>
      </c>
      <c r="F77" s="13">
        <f>+'Calendar Period Ended 12-18'!L73</f>
        <v>214</v>
      </c>
      <c r="G77" s="13">
        <f>+'Calendar Period Ended 12-18'!M73</f>
        <v>-214</v>
      </c>
      <c r="H77" s="13">
        <f>+'Calendar Period Ended 12-18'!N73</f>
        <v>221.45</v>
      </c>
      <c r="I77" s="13">
        <f>+'Calendar Period Ended 12-18'!O73</f>
        <v>156.21</v>
      </c>
      <c r="J77" s="13">
        <f>+'6 Month P-L 6-19'!D59</f>
        <v>423.69</v>
      </c>
      <c r="K77" s="13">
        <f>+'6 Month P-L 6-19'!E59</f>
        <v>0</v>
      </c>
      <c r="L77" s="13">
        <f>+'6 Month P-L 6-19'!F59</f>
        <v>0</v>
      </c>
      <c r="M77" s="13">
        <f>+'6 Month P-L 6-19'!G59</f>
        <v>14.84</v>
      </c>
      <c r="N77" s="13">
        <f>+'6 Month P-L 6-19'!H59</f>
        <v>0</v>
      </c>
      <c r="O77" s="13">
        <f>+'6 Month P-L 6-19'!I59</f>
        <v>132.38999999999999</v>
      </c>
      <c r="P77" s="13">
        <f t="shared" si="5"/>
        <v>972.2</v>
      </c>
      <c r="Q77" s="13"/>
      <c r="R77" s="13">
        <f t="shared" si="6"/>
        <v>972.2</v>
      </c>
    </row>
    <row r="78" spans="1:34" x14ac:dyDescent="0.25">
      <c r="A78" s="16" t="s">
        <v>146</v>
      </c>
      <c r="B78" s="3" t="s">
        <v>147</v>
      </c>
      <c r="C78" s="3"/>
      <c r="D78" s="13">
        <f>+'Calendar Period Ended 12-18'!J74</f>
        <v>0</v>
      </c>
      <c r="E78" s="13">
        <f>+'Calendar Period Ended 12-18'!K74</f>
        <v>0</v>
      </c>
      <c r="F78" s="13">
        <f>+'Calendar Period Ended 12-18'!L74</f>
        <v>0</v>
      </c>
      <c r="G78" s="13">
        <f>+'Calendar Period Ended 12-18'!M74</f>
        <v>0</v>
      </c>
      <c r="H78" s="13">
        <f>+'Calendar Period Ended 12-18'!N74</f>
        <v>0</v>
      </c>
      <c r="I78" s="13">
        <f>+'Calendar Period Ended 12-18'!O74</f>
        <v>0</v>
      </c>
      <c r="J78" s="13"/>
      <c r="K78" s="13"/>
      <c r="L78" s="13"/>
      <c r="M78" s="13"/>
      <c r="N78" s="13"/>
      <c r="O78" s="13"/>
      <c r="P78" s="13">
        <f t="shared" si="5"/>
        <v>0</v>
      </c>
      <c r="Q78" s="13"/>
      <c r="R78" s="13">
        <f t="shared" si="6"/>
        <v>0</v>
      </c>
    </row>
    <row r="79" spans="1:34" x14ac:dyDescent="0.25">
      <c r="A79" s="16" t="s">
        <v>148</v>
      </c>
      <c r="B79" s="3" t="s">
        <v>149</v>
      </c>
      <c r="C79" s="3"/>
      <c r="D79" s="13">
        <f>+'Calendar Period Ended 12-18'!J75</f>
        <v>0</v>
      </c>
      <c r="E79" s="13">
        <f>+'Calendar Period Ended 12-18'!K75</f>
        <v>0</v>
      </c>
      <c r="F79" s="13">
        <f>+'Calendar Period Ended 12-18'!L75</f>
        <v>0</v>
      </c>
      <c r="G79" s="13">
        <f>+'Calendar Period Ended 12-18'!M75</f>
        <v>0</v>
      </c>
      <c r="H79" s="13">
        <f>+'Calendar Period Ended 12-18'!N75</f>
        <v>0</v>
      </c>
      <c r="I79" s="13">
        <f>+'Calendar Period Ended 12-18'!O75</f>
        <v>0</v>
      </c>
      <c r="J79" s="13">
        <f>+'6 Month P-L 6-19'!D60</f>
        <v>0</v>
      </c>
      <c r="K79" s="13">
        <f>+'6 Month P-L 6-19'!E60</f>
        <v>0</v>
      </c>
      <c r="L79" s="13">
        <f>+'6 Month P-L 6-19'!F60</f>
        <v>0</v>
      </c>
      <c r="M79" s="13">
        <f>+'6 Month P-L 6-19'!G60</f>
        <v>0</v>
      </c>
      <c r="N79" s="13">
        <f>+'6 Month P-L 6-19'!H60</f>
        <v>173.51</v>
      </c>
      <c r="O79" s="13">
        <f>+'6 Month P-L 6-19'!I60</f>
        <v>2244.1799999999998</v>
      </c>
      <c r="P79" s="13">
        <f t="shared" si="5"/>
        <v>2417.6899999999996</v>
      </c>
      <c r="Q79" s="13"/>
      <c r="R79" s="13">
        <f t="shared" si="6"/>
        <v>2417.6899999999996</v>
      </c>
    </row>
    <row r="80" spans="1:34" x14ac:dyDescent="0.25">
      <c r="A80" s="16" t="s">
        <v>150</v>
      </c>
      <c r="B80" s="3" t="s">
        <v>151</v>
      </c>
      <c r="C80" s="3"/>
      <c r="D80" s="13">
        <f>+'Calendar Period Ended 12-18'!J76</f>
        <v>12552.75</v>
      </c>
      <c r="E80" s="13">
        <f>+'Calendar Period Ended 12-18'!K76</f>
        <v>17337.32</v>
      </c>
      <c r="F80" s="13">
        <f>+'Calendar Period Ended 12-18'!L76</f>
        <v>20157.25</v>
      </c>
      <c r="G80" s="13">
        <f>+'Calendar Period Ended 12-18'!M76</f>
        <v>17954.8</v>
      </c>
      <c r="H80" s="13">
        <f>+'Calendar Period Ended 12-18'!N76</f>
        <v>21059.61</v>
      </c>
      <c r="I80" s="13">
        <f>+'Calendar Period Ended 12-18'!O76</f>
        <v>13085</v>
      </c>
      <c r="J80" s="13">
        <f>+'6 Month P-L 6-19'!D61</f>
        <v>12064.81</v>
      </c>
      <c r="K80" s="13">
        <f>+'6 Month P-L 6-19'!E61</f>
        <v>12142.76</v>
      </c>
      <c r="L80" s="13">
        <f>+'6 Month P-L 6-19'!F61</f>
        <v>9382.5499999999993</v>
      </c>
      <c r="M80" s="13">
        <f>+'6 Month P-L 6-19'!G61</f>
        <v>17739.759999999998</v>
      </c>
      <c r="N80" s="13">
        <f>+'6 Month P-L 6-19'!H61</f>
        <v>19527.46</v>
      </c>
      <c r="O80" s="13">
        <f>+'6 Month P-L 6-19'!I61</f>
        <v>15727.23</v>
      </c>
      <c r="P80" s="13">
        <f t="shared" si="5"/>
        <v>188731.3</v>
      </c>
      <c r="Q80" s="13"/>
      <c r="R80" s="13">
        <f t="shared" si="6"/>
        <v>188731.3</v>
      </c>
    </row>
    <row r="81" spans="1:18" x14ac:dyDescent="0.25">
      <c r="A81" s="16" t="s">
        <v>152</v>
      </c>
      <c r="B81" s="3" t="s">
        <v>153</v>
      </c>
      <c r="C81" s="3"/>
      <c r="D81" s="13">
        <f>+'Calendar Period Ended 12-18'!J77</f>
        <v>586.68000000000006</v>
      </c>
      <c r="E81" s="13">
        <f>+'Calendar Period Ended 12-18'!K77</f>
        <v>1804.9799999999996</v>
      </c>
      <c r="F81" s="13">
        <f>+'Calendar Period Ended 12-18'!L77</f>
        <v>4232.78</v>
      </c>
      <c r="G81" s="13">
        <f>+'Calendar Period Ended 12-18'!M77</f>
        <v>3874.6099999999997</v>
      </c>
      <c r="H81" s="13">
        <f>+'Calendar Period Ended 12-18'!N77</f>
        <v>28162.21</v>
      </c>
      <c r="I81" s="13">
        <f>+'Calendar Period Ended 12-18'!O77</f>
        <v>821.83999999999992</v>
      </c>
      <c r="J81" s="13">
        <f>+'6 Month P-L 6-19'!D62</f>
        <v>4967.869999999999</v>
      </c>
      <c r="K81" s="13">
        <f>+'6 Month P-L 6-19'!E62</f>
        <v>2803.03</v>
      </c>
      <c r="L81" s="13">
        <f>+'6 Month P-L 6-19'!F62</f>
        <v>1023.8000000000001</v>
      </c>
      <c r="M81" s="13">
        <f>+'6 Month P-L 6-19'!G62</f>
        <v>1596.2399999999998</v>
      </c>
      <c r="N81" s="13">
        <f>+'6 Month P-L 6-19'!H62</f>
        <v>3194.2799999999997</v>
      </c>
      <c r="O81" s="13">
        <f>+'6 Month P-L 6-19'!I62</f>
        <v>2219.7399999999998</v>
      </c>
      <c r="P81" s="13">
        <f t="shared" si="5"/>
        <v>55288.059999999983</v>
      </c>
      <c r="Q81" s="13"/>
      <c r="R81" s="13">
        <f t="shared" si="6"/>
        <v>55288.059999999983</v>
      </c>
    </row>
    <row r="82" spans="1:18" x14ac:dyDescent="0.25">
      <c r="A82" s="16" t="s">
        <v>154</v>
      </c>
      <c r="B82" s="3" t="s">
        <v>155</v>
      </c>
      <c r="C82" s="3"/>
      <c r="D82" s="13">
        <f>+'Calendar Period Ended 12-18'!J78</f>
        <v>27073.27</v>
      </c>
      <c r="E82" s="13">
        <f>+'Calendar Period Ended 12-18'!K78</f>
        <v>19407.57</v>
      </c>
      <c r="F82" s="13">
        <f>+'Calendar Period Ended 12-18'!L78</f>
        <v>14330.21</v>
      </c>
      <c r="G82" s="13">
        <f>+'Calendar Period Ended 12-18'!M78</f>
        <v>14632.49</v>
      </c>
      <c r="H82" s="13">
        <f>+'Calendar Period Ended 12-18'!N78</f>
        <v>13584.67</v>
      </c>
      <c r="I82" s="13">
        <f>+'Calendar Period Ended 12-18'!O78</f>
        <v>13418.39</v>
      </c>
      <c r="J82" s="13">
        <f>+'6 Month P-L 6-19'!D63</f>
        <v>14863.49</v>
      </c>
      <c r="K82" s="13">
        <f>+'6 Month P-L 6-19'!E63</f>
        <v>13390.2</v>
      </c>
      <c r="L82" s="13">
        <f>+'6 Month P-L 6-19'!F63</f>
        <v>12450.29</v>
      </c>
      <c r="M82" s="13">
        <f>+'6 Month P-L 6-19'!G63</f>
        <v>6120.83</v>
      </c>
      <c r="N82" s="13">
        <f>+'6 Month P-L 6-19'!H63</f>
        <v>9739.92</v>
      </c>
      <c r="O82" s="13">
        <f>+'6 Month P-L 6-19'!I63</f>
        <v>12784.68</v>
      </c>
      <c r="P82" s="13">
        <f t="shared" si="5"/>
        <v>171796.00999999998</v>
      </c>
      <c r="Q82" s="13"/>
      <c r="R82" s="13">
        <f t="shared" si="6"/>
        <v>171796.00999999998</v>
      </c>
    </row>
    <row r="83" spans="1:18" x14ac:dyDescent="0.25">
      <c r="A83" s="16" t="s">
        <v>156</v>
      </c>
      <c r="B83" s="3" t="s">
        <v>157</v>
      </c>
      <c r="C83" s="3"/>
      <c r="D83" s="13">
        <f>+'Calendar Period Ended 12-18'!J79</f>
        <v>133.76</v>
      </c>
      <c r="E83" s="13">
        <f>+'Calendar Period Ended 12-18'!K79</f>
        <v>983.33999999999992</v>
      </c>
      <c r="F83" s="13">
        <f>+'Calendar Period Ended 12-18'!L79</f>
        <v>3498.9900000000002</v>
      </c>
      <c r="G83" s="13">
        <f>+'Calendar Period Ended 12-18'!M79</f>
        <v>4066.84</v>
      </c>
      <c r="H83" s="13">
        <f>+'Calendar Period Ended 12-18'!N79</f>
        <v>31912.39</v>
      </c>
      <c r="I83" s="13">
        <f>+'Calendar Period Ended 12-18'!O79</f>
        <v>1164.6599999999999</v>
      </c>
      <c r="J83" s="13">
        <f>+'6 Month P-L 6-19'!D64</f>
        <v>915.25999999999988</v>
      </c>
      <c r="K83" s="13">
        <f>+'6 Month P-L 6-19'!E64</f>
        <v>2835.44</v>
      </c>
      <c r="L83" s="13">
        <f>+'6 Month P-L 6-19'!F64</f>
        <v>1905</v>
      </c>
      <c r="M83" s="13">
        <f>+'6 Month P-L 6-19'!G64</f>
        <v>7480.6899999999987</v>
      </c>
      <c r="N83" s="13">
        <f>+'6 Month P-L 6-19'!H64</f>
        <v>3228.85</v>
      </c>
      <c r="O83" s="13">
        <f>+'6 Month P-L 6-19'!I64</f>
        <v>4591.5</v>
      </c>
      <c r="P83" s="13">
        <f t="shared" ref="P83:P124" si="9">SUM(D83:O83)</f>
        <v>62716.719999999994</v>
      </c>
      <c r="Q83" s="13"/>
      <c r="R83" s="13">
        <f t="shared" ref="R83:R133" si="10">SUM(P83:Q83)</f>
        <v>62716.719999999994</v>
      </c>
    </row>
    <row r="84" spans="1:18" x14ac:dyDescent="0.25">
      <c r="A84" s="16" t="s">
        <v>158</v>
      </c>
      <c r="B84" s="3" t="s">
        <v>159</v>
      </c>
      <c r="C84" s="3"/>
      <c r="D84" s="13">
        <f>+'Calendar Period Ended 12-18'!J80</f>
        <v>1272.3599999999999</v>
      </c>
      <c r="E84" s="13">
        <f>+'Calendar Period Ended 12-18'!K80</f>
        <v>1272.8599999999999</v>
      </c>
      <c r="F84" s="13">
        <f>+'Calendar Period Ended 12-18'!L80</f>
        <v>0</v>
      </c>
      <c r="G84" s="13">
        <f>+'Calendar Period Ended 12-18'!M80</f>
        <v>0</v>
      </c>
      <c r="H84" s="13">
        <f>+'Calendar Period Ended 12-18'!N80</f>
        <v>7313.97</v>
      </c>
      <c r="I84" s="13">
        <f>+'Calendar Period Ended 12-18'!O80</f>
        <v>0</v>
      </c>
      <c r="J84" s="13">
        <f>+'6 Month P-L 6-19'!D65</f>
        <v>0</v>
      </c>
      <c r="K84" s="13">
        <f>+'6 Month P-L 6-19'!E65</f>
        <v>0</v>
      </c>
      <c r="L84" s="13">
        <f>+'6 Month P-L 6-19'!F65</f>
        <v>0</v>
      </c>
      <c r="M84" s="13">
        <f>+'6 Month P-L 6-19'!G65</f>
        <v>0</v>
      </c>
      <c r="N84" s="13">
        <f>+'6 Month P-L 6-19'!H65</f>
        <v>0</v>
      </c>
      <c r="O84" s="13">
        <f>+'6 Month P-L 6-19'!I65</f>
        <v>7978.73</v>
      </c>
      <c r="P84" s="13">
        <f t="shared" si="9"/>
        <v>17837.919999999998</v>
      </c>
      <c r="Q84" s="13"/>
      <c r="R84" s="13">
        <f t="shared" si="10"/>
        <v>17837.919999999998</v>
      </c>
    </row>
    <row r="85" spans="1:18" x14ac:dyDescent="0.25">
      <c r="A85" s="16" t="s">
        <v>160</v>
      </c>
      <c r="B85" s="3" t="s">
        <v>161</v>
      </c>
      <c r="C85" s="3"/>
      <c r="D85" s="13">
        <f>+'Calendar Period Ended 12-18'!J81</f>
        <v>10965.39</v>
      </c>
      <c r="E85" s="13">
        <f>+'Calendar Period Ended 12-18'!K81</f>
        <v>10599.25</v>
      </c>
      <c r="F85" s="13">
        <f>+'Calendar Period Ended 12-18'!L81</f>
        <v>11757.31</v>
      </c>
      <c r="G85" s="13">
        <f>+'Calendar Period Ended 12-18'!M81</f>
        <v>10696.97</v>
      </c>
      <c r="H85" s="13">
        <f>+'Calendar Period Ended 12-18'!N81</f>
        <v>10592.31</v>
      </c>
      <c r="I85" s="13">
        <f>+'Calendar Period Ended 12-18'!O81</f>
        <v>10568.31</v>
      </c>
      <c r="J85" s="13">
        <f>+'6 Month P-L 6-19'!D66</f>
        <v>13560.83</v>
      </c>
      <c r="K85" s="13">
        <f>+'6 Month P-L 6-19'!E66</f>
        <v>10235.83</v>
      </c>
      <c r="L85" s="13">
        <f>+'6 Month P-L 6-19'!F66</f>
        <v>15278.79</v>
      </c>
      <c r="M85" s="13">
        <f>+'6 Month P-L 6-19'!G66</f>
        <v>17632.16</v>
      </c>
      <c r="N85" s="13">
        <f>+'6 Month P-L 6-19'!H66</f>
        <v>12424.94</v>
      </c>
      <c r="O85" s="13">
        <f>+'6 Month P-L 6-19'!I66</f>
        <v>14996.94</v>
      </c>
      <c r="P85" s="13">
        <f t="shared" si="9"/>
        <v>149309.03</v>
      </c>
      <c r="Q85" s="13"/>
      <c r="R85" s="13">
        <f t="shared" si="10"/>
        <v>149309.03</v>
      </c>
    </row>
    <row r="86" spans="1:18" x14ac:dyDescent="0.25">
      <c r="A86" s="16" t="s">
        <v>162</v>
      </c>
      <c r="B86" s="3" t="s">
        <v>163</v>
      </c>
      <c r="C86" s="3"/>
      <c r="D86" s="13">
        <f>+'Calendar Period Ended 12-18'!J82</f>
        <v>3819.76</v>
      </c>
      <c r="E86" s="13">
        <f>+'Calendar Period Ended 12-18'!K82</f>
        <v>0</v>
      </c>
      <c r="F86" s="13">
        <f>+'Calendar Period Ended 12-18'!L82</f>
        <v>0</v>
      </c>
      <c r="G86" s="13">
        <f>+'Calendar Period Ended 12-18'!M82</f>
        <v>0</v>
      </c>
      <c r="H86" s="13">
        <f>+'Calendar Period Ended 12-18'!N82</f>
        <v>0</v>
      </c>
      <c r="I86" s="13">
        <f>+'Calendar Period Ended 12-18'!O82</f>
        <v>0</v>
      </c>
      <c r="J86" s="13">
        <f>+'6 Month P-L 6-19'!D67</f>
        <v>560.22</v>
      </c>
      <c r="K86" s="13">
        <f>+'6 Month P-L 6-19'!E67</f>
        <v>0</v>
      </c>
      <c r="L86" s="13">
        <f>+'6 Month P-L 6-19'!F67</f>
        <v>0</v>
      </c>
      <c r="M86" s="13">
        <f>+'6 Month P-L 6-19'!G67</f>
        <v>0</v>
      </c>
      <c r="N86" s="13">
        <f>+'6 Month P-L 6-19'!H67</f>
        <v>0</v>
      </c>
      <c r="O86" s="13">
        <f>+'6 Month P-L 6-19'!I67</f>
        <v>0</v>
      </c>
      <c r="P86" s="13">
        <f t="shared" si="9"/>
        <v>4379.9800000000005</v>
      </c>
      <c r="Q86" s="13"/>
      <c r="R86" s="13">
        <f t="shared" si="10"/>
        <v>4379.9800000000005</v>
      </c>
    </row>
    <row r="87" spans="1:18" x14ac:dyDescent="0.25">
      <c r="A87" s="16" t="s">
        <v>164</v>
      </c>
      <c r="B87" s="3" t="s">
        <v>165</v>
      </c>
      <c r="C87" s="3"/>
      <c r="D87" s="13">
        <f>+'Calendar Period Ended 12-18'!J83</f>
        <v>190.95</v>
      </c>
      <c r="E87" s="13">
        <f>+'Calendar Period Ended 12-18'!K83</f>
        <v>121.11</v>
      </c>
      <c r="F87" s="13">
        <f>+'Calendar Period Ended 12-18'!L83</f>
        <v>620.82000000000005</v>
      </c>
      <c r="G87" s="13">
        <f>+'Calendar Period Ended 12-18'!M83</f>
        <v>190.91</v>
      </c>
      <c r="H87" s="13">
        <f>+'Calendar Period Ended 12-18'!N83</f>
        <v>190.95</v>
      </c>
      <c r="I87" s="13">
        <f>+'Calendar Period Ended 12-18'!O83</f>
        <v>963.87</v>
      </c>
      <c r="J87" s="13">
        <f>+'6 Month P-L 6-19'!D68</f>
        <v>197.56</v>
      </c>
      <c r="K87" s="13">
        <f>+'6 Month P-L 6-19'!E68</f>
        <v>197.56</v>
      </c>
      <c r="L87" s="13">
        <f>+'6 Month P-L 6-19'!F68</f>
        <v>557.59</v>
      </c>
      <c r="M87" s="13">
        <f>+'6 Month P-L 6-19'!G68</f>
        <v>197.56</v>
      </c>
      <c r="N87" s="13">
        <f>+'6 Month P-L 6-19'!H68</f>
        <v>1238.93</v>
      </c>
      <c r="O87" s="13">
        <f>+'6 Month P-L 6-19'!I68</f>
        <v>197.56</v>
      </c>
      <c r="P87" s="13">
        <f t="shared" si="9"/>
        <v>4865.3700000000008</v>
      </c>
      <c r="Q87" s="13"/>
      <c r="R87" s="13">
        <f t="shared" si="10"/>
        <v>4865.3700000000008</v>
      </c>
    </row>
    <row r="88" spans="1:18" x14ac:dyDescent="0.25">
      <c r="A88" s="16" t="s">
        <v>166</v>
      </c>
      <c r="B88" s="3" t="s">
        <v>167</v>
      </c>
      <c r="C88" s="3"/>
      <c r="D88" s="13">
        <f>+'Calendar Period Ended 12-18'!J84</f>
        <v>116.67</v>
      </c>
      <c r="E88" s="13">
        <f>+'Calendar Period Ended 12-18'!K84</f>
        <v>832.8</v>
      </c>
      <c r="F88" s="13">
        <f>+'Calendar Period Ended 12-18'!L84</f>
        <v>1333.9299999999998</v>
      </c>
      <c r="G88" s="13">
        <f>+'Calendar Period Ended 12-18'!M84</f>
        <v>346.92</v>
      </c>
      <c r="H88" s="13">
        <f>+'Calendar Period Ended 12-18'!N84</f>
        <v>64.31</v>
      </c>
      <c r="I88" s="13">
        <f>+'Calendar Period Ended 12-18'!O84</f>
        <v>230.33999999999997</v>
      </c>
      <c r="J88" s="13">
        <f>+'6 Month P-L 6-19'!D69</f>
        <v>4775.6000000000004</v>
      </c>
      <c r="K88" s="13">
        <f>+'6 Month P-L 6-19'!E69</f>
        <v>426.2600000000001</v>
      </c>
      <c r="L88" s="13">
        <f>+'6 Month P-L 6-19'!F69</f>
        <v>604.76999999999987</v>
      </c>
      <c r="M88" s="13">
        <f>+'6 Month P-L 6-19'!G69</f>
        <v>1031.8200000000002</v>
      </c>
      <c r="N88" s="13">
        <f>+'6 Month P-L 6-19'!H69</f>
        <v>1034.55</v>
      </c>
      <c r="O88" s="13">
        <f>+'6 Month P-L 6-19'!I69</f>
        <v>90.1</v>
      </c>
      <c r="P88" s="13">
        <f t="shared" si="9"/>
        <v>10888.07</v>
      </c>
      <c r="Q88" s="13"/>
      <c r="R88" s="13">
        <f t="shared" si="10"/>
        <v>10888.07</v>
      </c>
    </row>
    <row r="89" spans="1:18" x14ac:dyDescent="0.25">
      <c r="A89" s="16" t="s">
        <v>168</v>
      </c>
      <c r="B89" s="3" t="s">
        <v>169</v>
      </c>
      <c r="C89" s="3"/>
      <c r="D89" s="13">
        <f>+'Calendar Period Ended 12-18'!J85</f>
        <v>48954.3</v>
      </c>
      <c r="E89" s="13">
        <f>+'Calendar Period Ended 12-18'!K85</f>
        <v>50281.66</v>
      </c>
      <c r="F89" s="13">
        <f>+'Calendar Period Ended 12-18'!L85</f>
        <v>47395.19</v>
      </c>
      <c r="G89" s="13">
        <f>+'Calendar Period Ended 12-18'!M85</f>
        <v>47820.98</v>
      </c>
      <c r="H89" s="13">
        <f>+'Calendar Period Ended 12-18'!N85</f>
        <v>52764.06</v>
      </c>
      <c r="I89" s="13">
        <f>+'Calendar Period Ended 12-18'!O85</f>
        <v>53265.88</v>
      </c>
      <c r="J89" s="13">
        <f>+'6 Month P-L 6-19'!D70</f>
        <v>48513.34</v>
      </c>
      <c r="K89" s="13">
        <f>+'6 Month P-L 6-19'!E70</f>
        <v>49123.199999999997</v>
      </c>
      <c r="L89" s="13">
        <f>+'6 Month P-L 6-19'!F70</f>
        <v>47919.8</v>
      </c>
      <c r="M89" s="13">
        <f>+'6 Month P-L 6-19'!G70</f>
        <v>53369.130000000005</v>
      </c>
      <c r="N89" s="13">
        <f>+'6 Month P-L 6-19'!H70</f>
        <v>54133.77</v>
      </c>
      <c r="O89" s="13">
        <f>+'6 Month P-L 6-19'!I70</f>
        <v>49678.86</v>
      </c>
      <c r="P89" s="13">
        <f t="shared" si="9"/>
        <v>603220.17000000004</v>
      </c>
      <c r="Q89" s="13"/>
      <c r="R89" s="13">
        <f t="shared" si="10"/>
        <v>603220.17000000004</v>
      </c>
    </row>
    <row r="90" spans="1:18" x14ac:dyDescent="0.25">
      <c r="A90" s="16" t="s">
        <v>170</v>
      </c>
      <c r="B90" s="3" t="s">
        <v>171</v>
      </c>
      <c r="C90" s="3"/>
      <c r="D90" s="13">
        <f>+'Calendar Period Ended 12-18'!J86</f>
        <v>52280.520000000004</v>
      </c>
      <c r="E90" s="13">
        <f>+'Calendar Period Ended 12-18'!K86</f>
        <v>64084.14</v>
      </c>
      <c r="F90" s="13">
        <f>+'Calendar Period Ended 12-18'!L86</f>
        <v>59251.44</v>
      </c>
      <c r="G90" s="13">
        <f>+'Calendar Period Ended 12-18'!M86</f>
        <v>57951.6</v>
      </c>
      <c r="H90" s="13">
        <f>+'Calendar Period Ended 12-18'!N86</f>
        <v>68701.679999999993</v>
      </c>
      <c r="I90" s="13">
        <f>+'Calendar Period Ended 12-18'!O86</f>
        <v>69586.329999999987</v>
      </c>
      <c r="J90" s="13">
        <f>+'6 Month P-L 6-19'!D71</f>
        <v>59416.47</v>
      </c>
      <c r="K90" s="13">
        <f>+'6 Month P-L 6-19'!E71</f>
        <v>59991.3</v>
      </c>
      <c r="L90" s="13">
        <f>+'6 Month P-L 6-19'!F71</f>
        <v>63648.72</v>
      </c>
      <c r="M90" s="13">
        <f>+'6 Month P-L 6-19'!G71</f>
        <v>59348.819999999992</v>
      </c>
      <c r="N90" s="13">
        <f>+'6 Month P-L 6-19'!H71</f>
        <v>67288.44</v>
      </c>
      <c r="O90" s="13">
        <f>+'6 Month P-L 6-19'!I71</f>
        <v>58075.92</v>
      </c>
      <c r="P90" s="13">
        <f t="shared" si="9"/>
        <v>739625.38</v>
      </c>
      <c r="Q90" s="13"/>
      <c r="R90" s="13">
        <f t="shared" si="10"/>
        <v>739625.38</v>
      </c>
    </row>
    <row r="91" spans="1:18" x14ac:dyDescent="0.25">
      <c r="A91" s="16" t="s">
        <v>172</v>
      </c>
      <c r="B91" s="3" t="s">
        <v>173</v>
      </c>
      <c r="C91" s="3"/>
      <c r="D91" s="13">
        <f>+'Calendar Period Ended 12-18'!J87</f>
        <v>19488.509999999998</v>
      </c>
      <c r="E91" s="13">
        <f>+'Calendar Period Ended 12-18'!K87</f>
        <v>21067.89</v>
      </c>
      <c r="F91" s="13">
        <f>+'Calendar Period Ended 12-18'!L87</f>
        <v>20416.43</v>
      </c>
      <c r="G91" s="13">
        <f>+'Calendar Period Ended 12-18'!M87</f>
        <v>22542.23</v>
      </c>
      <c r="H91" s="13">
        <f>+'Calendar Period Ended 12-18'!N87</f>
        <v>20810.330000000002</v>
      </c>
      <c r="I91" s="13">
        <f>+'Calendar Period Ended 12-18'!O87</f>
        <v>19793.89</v>
      </c>
      <c r="J91" s="13">
        <f>+'6 Month P-L 6-19'!D72</f>
        <v>22421.15</v>
      </c>
      <c r="K91" s="13">
        <f>+'6 Month P-L 6-19'!E72</f>
        <v>18080.669999999998</v>
      </c>
      <c r="L91" s="13">
        <f>+'6 Month P-L 6-19'!F72</f>
        <v>19852.32</v>
      </c>
      <c r="M91" s="13">
        <f>+'6 Month P-L 6-19'!G72</f>
        <v>21297.98</v>
      </c>
      <c r="N91" s="13">
        <f>+'6 Month P-L 6-19'!H72</f>
        <v>22103.22</v>
      </c>
      <c r="O91" s="13">
        <f>+'6 Month P-L 6-19'!I72</f>
        <v>20202.09</v>
      </c>
      <c r="P91" s="13">
        <f t="shared" si="9"/>
        <v>248076.71</v>
      </c>
      <c r="Q91" s="13"/>
      <c r="R91" s="13">
        <f t="shared" si="10"/>
        <v>248076.71</v>
      </c>
    </row>
    <row r="92" spans="1:18" x14ac:dyDescent="0.25">
      <c r="A92" s="16" t="s">
        <v>174</v>
      </c>
      <c r="B92" s="3" t="s">
        <v>175</v>
      </c>
      <c r="C92" s="3"/>
      <c r="D92" s="13">
        <f>+'Calendar Period Ended 12-18'!J88</f>
        <v>1123.5999999999999</v>
      </c>
      <c r="E92" s="13">
        <f>+'Calendar Period Ended 12-18'!K88</f>
        <v>2879.2799999999997</v>
      </c>
      <c r="F92" s="13">
        <f>+'Calendar Period Ended 12-18'!L88</f>
        <v>2061.4699999999998</v>
      </c>
      <c r="G92" s="13">
        <f>+'Calendar Period Ended 12-18'!M88</f>
        <v>4274.28</v>
      </c>
      <c r="H92" s="13">
        <f>+'Calendar Period Ended 12-18'!N88</f>
        <v>13487.900000000001</v>
      </c>
      <c r="I92" s="13">
        <f>+'Calendar Period Ended 12-18'!O88</f>
        <v>12040.189999999999</v>
      </c>
      <c r="J92" s="13">
        <f>+'6 Month P-L 6-19'!D73</f>
        <v>231.25</v>
      </c>
      <c r="K92" s="13">
        <f>+'6 Month P-L 6-19'!E73</f>
        <v>777.73</v>
      </c>
      <c r="L92" s="13">
        <f>+'6 Month P-L 6-19'!F73</f>
        <v>735.66</v>
      </c>
      <c r="M92" s="13">
        <f>+'6 Month P-L 6-19'!G73</f>
        <v>2392.13</v>
      </c>
      <c r="N92" s="13">
        <f>+'6 Month P-L 6-19'!H73</f>
        <v>1680.3</v>
      </c>
      <c r="O92" s="13">
        <f>+'6 Month P-L 6-19'!I73</f>
        <v>69.66</v>
      </c>
      <c r="P92" s="13">
        <f t="shared" si="9"/>
        <v>41753.450000000012</v>
      </c>
      <c r="Q92" s="13"/>
      <c r="R92" s="13">
        <f t="shared" si="10"/>
        <v>41753.450000000012</v>
      </c>
    </row>
    <row r="93" spans="1:18" x14ac:dyDescent="0.25">
      <c r="A93" s="16" t="s">
        <v>176</v>
      </c>
      <c r="B93" s="3" t="s">
        <v>177</v>
      </c>
      <c r="C93" s="3"/>
      <c r="D93" s="13">
        <f>+'Calendar Period Ended 12-18'!J89</f>
        <v>187.2</v>
      </c>
      <c r="E93" s="13">
        <f>+'Calendar Period Ended 12-18'!K89</f>
        <v>0</v>
      </c>
      <c r="F93" s="13">
        <f>+'Calendar Period Ended 12-18'!L89</f>
        <v>0</v>
      </c>
      <c r="G93" s="13">
        <f>+'Calendar Period Ended 12-18'!M89</f>
        <v>0</v>
      </c>
      <c r="H93" s="13">
        <f>+'Calendar Period Ended 12-18'!N89</f>
        <v>0</v>
      </c>
      <c r="I93" s="13">
        <f>+'Calendar Period Ended 12-18'!O89</f>
        <v>0</v>
      </c>
      <c r="J93" s="13">
        <f>+'6 Month P-L 6-19'!D74</f>
        <v>187.2</v>
      </c>
      <c r="K93" s="13">
        <f>+'6 Month P-L 6-19'!E74</f>
        <v>0</v>
      </c>
      <c r="L93" s="13">
        <f>+'6 Month P-L 6-19'!F74</f>
        <v>0</v>
      </c>
      <c r="M93" s="13">
        <f>+'6 Month P-L 6-19'!G74</f>
        <v>0</v>
      </c>
      <c r="N93" s="13">
        <f>+'6 Month P-L 6-19'!H74</f>
        <v>0</v>
      </c>
      <c r="O93" s="13">
        <f>+'6 Month P-L 6-19'!I74</f>
        <v>0</v>
      </c>
      <c r="P93" s="13">
        <f t="shared" si="9"/>
        <v>374.4</v>
      </c>
      <c r="Q93" s="13"/>
      <c r="R93" s="13">
        <f t="shared" si="10"/>
        <v>374.4</v>
      </c>
    </row>
    <row r="94" spans="1:18" x14ac:dyDescent="0.25">
      <c r="A94" s="16" t="s">
        <v>178</v>
      </c>
      <c r="B94" s="3" t="s">
        <v>179</v>
      </c>
      <c r="C94" s="3"/>
      <c r="D94" s="13">
        <f>+'Calendar Period Ended 12-18'!J90</f>
        <v>332.46000000000004</v>
      </c>
      <c r="E94" s="13">
        <f>+'Calendar Period Ended 12-18'!K90</f>
        <v>2351.4499999999998</v>
      </c>
      <c r="F94" s="13">
        <f>+'Calendar Period Ended 12-18'!L90</f>
        <v>374.06</v>
      </c>
      <c r="G94" s="13">
        <f>+'Calendar Period Ended 12-18'!M90</f>
        <v>386.45000000000005</v>
      </c>
      <c r="H94" s="13">
        <f>+'Calendar Period Ended 12-18'!N90</f>
        <v>391.05</v>
      </c>
      <c r="I94" s="13">
        <f>+'Calendar Period Ended 12-18'!O90</f>
        <v>409.45000000000005</v>
      </c>
      <c r="J94" s="13">
        <f>+'6 Month P-L 6-19'!D75</f>
        <v>386.45000000000005</v>
      </c>
      <c r="K94" s="13">
        <f>+'6 Month P-L 6-19'!E75</f>
        <v>330.48</v>
      </c>
      <c r="L94" s="13">
        <f>+'6 Month P-L 6-19'!F75</f>
        <v>2300.7399999999998</v>
      </c>
      <c r="M94" s="13">
        <f>+'6 Month P-L 6-19'!G75</f>
        <v>347.74</v>
      </c>
      <c r="N94" s="13">
        <f>+'6 Month P-L 6-19'!H75</f>
        <v>325.48</v>
      </c>
      <c r="O94" s="13">
        <f>+'6 Month P-L 6-19'!I75</f>
        <v>475.74</v>
      </c>
      <c r="P94" s="13">
        <f t="shared" si="9"/>
        <v>8411.5499999999993</v>
      </c>
      <c r="Q94" s="13"/>
      <c r="R94" s="13">
        <f t="shared" si="10"/>
        <v>8411.5499999999993</v>
      </c>
    </row>
    <row r="95" spans="1:18" x14ac:dyDescent="0.25">
      <c r="A95" s="16" t="s">
        <v>180</v>
      </c>
      <c r="B95" s="3" t="s">
        <v>181</v>
      </c>
      <c r="C95" s="3"/>
      <c r="D95" s="13">
        <f>+'Calendar Period Ended 12-18'!J91</f>
        <v>1750.38</v>
      </c>
      <c r="E95" s="13">
        <f>+'Calendar Period Ended 12-18'!K91</f>
        <v>1023.29</v>
      </c>
      <c r="F95" s="13">
        <f>+'Calendar Period Ended 12-18'!L91</f>
        <v>524.42999999999995</v>
      </c>
      <c r="G95" s="13">
        <f>+'Calendar Period Ended 12-18'!M91</f>
        <v>2631.0699999999997</v>
      </c>
      <c r="H95" s="13">
        <f>+'Calendar Period Ended 12-18'!N91</f>
        <v>896.70999999999992</v>
      </c>
      <c r="I95" s="13">
        <f>+'Calendar Period Ended 12-18'!O91</f>
        <v>2767.3599999999997</v>
      </c>
      <c r="J95" s="13">
        <f>+'6 Month P-L 6-19'!D76</f>
        <v>3230.4</v>
      </c>
      <c r="K95" s="13">
        <f>+'6 Month P-L 6-19'!E76</f>
        <v>1578.6399999999999</v>
      </c>
      <c r="L95" s="13">
        <f>+'6 Month P-L 6-19'!F76</f>
        <v>847.2399999999999</v>
      </c>
      <c r="M95" s="13">
        <f>+'6 Month P-L 6-19'!G76</f>
        <v>1896.3200000000002</v>
      </c>
      <c r="N95" s="13">
        <f>+'6 Month P-L 6-19'!H76</f>
        <v>1804.2599999999998</v>
      </c>
      <c r="O95" s="13">
        <f>+'6 Month P-L 6-19'!I76</f>
        <v>1102.9900000000002</v>
      </c>
      <c r="P95" s="13">
        <f t="shared" si="9"/>
        <v>20053.09</v>
      </c>
      <c r="Q95" s="13"/>
      <c r="R95" s="13">
        <f t="shared" si="10"/>
        <v>20053.09</v>
      </c>
    </row>
    <row r="96" spans="1:18" x14ac:dyDescent="0.25">
      <c r="A96" s="16" t="s">
        <v>182</v>
      </c>
      <c r="B96" s="3" t="s">
        <v>183</v>
      </c>
      <c r="C96" s="3"/>
      <c r="D96" s="13">
        <f>+'Calendar Period Ended 12-18'!J92</f>
        <v>681.1</v>
      </c>
      <c r="E96" s="13">
        <f>+'Calendar Period Ended 12-18'!K92</f>
        <v>733.72</v>
      </c>
      <c r="F96" s="13">
        <f>+'Calendar Period Ended 12-18'!L92</f>
        <v>1827.45</v>
      </c>
      <c r="G96" s="13">
        <f>+'Calendar Period Ended 12-18'!M92</f>
        <v>752.52</v>
      </c>
      <c r="H96" s="13">
        <f>+'Calendar Period Ended 12-18'!N92</f>
        <v>942.8</v>
      </c>
      <c r="I96" s="13">
        <f>+'Calendar Period Ended 12-18'!O92</f>
        <v>3259.3199999999997</v>
      </c>
      <c r="J96" s="13">
        <f>+'6 Month P-L 6-19'!D77</f>
        <v>919.91</v>
      </c>
      <c r="K96" s="13">
        <f>+'6 Month P-L 6-19'!E77</f>
        <v>600.24</v>
      </c>
      <c r="L96" s="13">
        <f>+'6 Month P-L 6-19'!F77</f>
        <v>1089.27</v>
      </c>
      <c r="M96" s="13">
        <f>+'6 Month P-L 6-19'!G77</f>
        <v>1372.8400000000001</v>
      </c>
      <c r="N96" s="13">
        <f>+'6 Month P-L 6-19'!H77</f>
        <v>1088.7299999999998</v>
      </c>
      <c r="O96" s="13">
        <f>+'6 Month P-L 6-19'!I77</f>
        <v>1323.8700000000001</v>
      </c>
      <c r="P96" s="13">
        <f t="shared" si="9"/>
        <v>14591.77</v>
      </c>
      <c r="Q96" s="13"/>
      <c r="R96" s="13">
        <f t="shared" si="10"/>
        <v>14591.77</v>
      </c>
    </row>
    <row r="97" spans="1:18" x14ac:dyDescent="0.25">
      <c r="A97" s="16" t="s">
        <v>184</v>
      </c>
      <c r="B97" s="3" t="s">
        <v>185</v>
      </c>
      <c r="C97" s="3"/>
      <c r="D97" s="13">
        <f>+'Calendar Period Ended 12-18'!J93</f>
        <v>0</v>
      </c>
      <c r="E97" s="13">
        <f>+'Calendar Period Ended 12-18'!K93</f>
        <v>528.39</v>
      </c>
      <c r="F97" s="13">
        <f>+'Calendar Period Ended 12-18'!L93</f>
        <v>0</v>
      </c>
      <c r="G97" s="13">
        <f>+'Calendar Period Ended 12-18'!M93</f>
        <v>-528.39</v>
      </c>
      <c r="H97" s="13">
        <f>+'Calendar Period Ended 12-18'!N93</f>
        <v>0</v>
      </c>
      <c r="I97" s="13">
        <f>+'Calendar Period Ended 12-18'!O93</f>
        <v>0</v>
      </c>
      <c r="J97" s="13">
        <f>+'6 Month P-L 6-19'!D78</f>
        <v>0</v>
      </c>
      <c r="K97" s="13">
        <f>+'6 Month P-L 6-19'!E78</f>
        <v>0</v>
      </c>
      <c r="L97" s="13">
        <f>+'6 Month P-L 6-19'!F78</f>
        <v>0</v>
      </c>
      <c r="M97" s="13">
        <f>+'6 Month P-L 6-19'!G78</f>
        <v>0</v>
      </c>
      <c r="N97" s="13">
        <f>+'6 Month P-L 6-19'!H78</f>
        <v>0</v>
      </c>
      <c r="O97" s="13">
        <f>+'6 Month P-L 6-19'!I78</f>
        <v>0</v>
      </c>
      <c r="P97" s="13">
        <f t="shared" si="9"/>
        <v>0</v>
      </c>
      <c r="Q97" s="13"/>
      <c r="R97" s="13">
        <f t="shared" si="10"/>
        <v>0</v>
      </c>
    </row>
    <row r="98" spans="1:18" x14ac:dyDescent="0.25">
      <c r="A98" s="16" t="s">
        <v>186</v>
      </c>
      <c r="B98" s="3" t="s">
        <v>187</v>
      </c>
      <c r="C98" s="3"/>
      <c r="D98" s="13">
        <f>+'Calendar Period Ended 12-18'!J94</f>
        <v>3492.33</v>
      </c>
      <c r="E98" s="13">
        <f>+'Calendar Period Ended 12-18'!K94</f>
        <v>3736.0499999999997</v>
      </c>
      <c r="F98" s="13">
        <f>+'Calendar Period Ended 12-18'!L94</f>
        <v>3444.0299999999997</v>
      </c>
      <c r="G98" s="13">
        <f>+'Calendar Period Ended 12-18'!M94</f>
        <v>3729.5600000000004</v>
      </c>
      <c r="H98" s="13">
        <f>+'Calendar Period Ended 12-18'!N94</f>
        <v>3777.67</v>
      </c>
      <c r="I98" s="13">
        <f>+'Calendar Period Ended 12-18'!O94</f>
        <v>3059.4399999999996</v>
      </c>
      <c r="J98" s="13">
        <f>+'6 Month P-L 6-19'!D79</f>
        <v>5426.5</v>
      </c>
      <c r="K98" s="13">
        <f>+'6 Month P-L 6-19'!E79</f>
        <v>5141.09</v>
      </c>
      <c r="L98" s="13">
        <f>+'6 Month P-L 6-19'!F79</f>
        <v>5184.5599999999995</v>
      </c>
      <c r="M98" s="13">
        <f>+'6 Month P-L 6-19'!G79</f>
        <v>5712.0399999999991</v>
      </c>
      <c r="N98" s="13">
        <f>+'6 Month P-L 6-19'!H79</f>
        <v>5148.68</v>
      </c>
      <c r="O98" s="13">
        <f>+'6 Month P-L 6-19'!I79</f>
        <v>3522.26</v>
      </c>
      <c r="P98" s="13">
        <f t="shared" si="9"/>
        <v>51374.21</v>
      </c>
      <c r="Q98" s="13"/>
      <c r="R98" s="13">
        <f t="shared" si="10"/>
        <v>51374.21</v>
      </c>
    </row>
    <row r="99" spans="1:18" x14ac:dyDescent="0.25">
      <c r="A99" s="16" t="s">
        <v>188</v>
      </c>
      <c r="B99" s="3" t="s">
        <v>189</v>
      </c>
      <c r="C99" s="3"/>
      <c r="D99" s="13">
        <f>+'Calendar Period Ended 12-18'!J95</f>
        <v>4175.76</v>
      </c>
      <c r="E99" s="13">
        <f>+'Calendar Period Ended 12-18'!K95</f>
        <v>5122.6899999999996</v>
      </c>
      <c r="F99" s="13">
        <f>+'Calendar Period Ended 12-18'!L95</f>
        <v>4780.76</v>
      </c>
      <c r="G99" s="13">
        <f>+'Calendar Period Ended 12-18'!M95</f>
        <v>4760.2700000000004</v>
      </c>
      <c r="H99" s="13">
        <f>+'Calendar Period Ended 12-18'!N95</f>
        <v>6287.4800000000005</v>
      </c>
      <c r="I99" s="13">
        <f>+'Calendar Period Ended 12-18'!O95</f>
        <v>6244.4000000000005</v>
      </c>
      <c r="J99" s="13">
        <f>+'6 Month P-L 6-19'!D80</f>
        <v>4563.05</v>
      </c>
      <c r="K99" s="13">
        <f>+'6 Month P-L 6-19'!E80</f>
        <v>4648.8500000000004</v>
      </c>
      <c r="L99" s="13">
        <f>+'6 Month P-L 6-19'!F80</f>
        <v>4925.3899999999994</v>
      </c>
      <c r="M99" s="13">
        <f>+'6 Month P-L 6-19'!G80</f>
        <v>4723.1799999999994</v>
      </c>
      <c r="N99" s="13">
        <f>+'6 Month P-L 6-19'!H80</f>
        <v>5276.1</v>
      </c>
      <c r="O99" s="13">
        <f>+'6 Month P-L 6-19'!I80</f>
        <v>4448.12</v>
      </c>
      <c r="P99" s="13">
        <f t="shared" si="9"/>
        <v>59956.05</v>
      </c>
      <c r="Q99" s="13"/>
      <c r="R99" s="13">
        <f t="shared" si="10"/>
        <v>59956.05</v>
      </c>
    </row>
    <row r="100" spans="1:18" x14ac:dyDescent="0.25">
      <c r="A100" s="16" t="s">
        <v>190</v>
      </c>
      <c r="B100" s="3" t="s">
        <v>191</v>
      </c>
      <c r="C100" s="3"/>
      <c r="D100" s="13">
        <f>+'Calendar Period Ended 12-18'!J96</f>
        <v>4.7300000000000004</v>
      </c>
      <c r="E100" s="13">
        <f>+'Calendar Period Ended 12-18'!K96</f>
        <v>5.15</v>
      </c>
      <c r="F100" s="13">
        <f>+'Calendar Period Ended 12-18'!L96</f>
        <v>4.08</v>
      </c>
      <c r="G100" s="13">
        <f>+'Calendar Period Ended 12-18'!M96</f>
        <v>4.9400000000000004</v>
      </c>
      <c r="H100" s="13">
        <f>+'Calendar Period Ended 12-18'!N96</f>
        <v>5.15</v>
      </c>
      <c r="I100" s="13">
        <f>+'Calendar Period Ended 12-18'!O96</f>
        <v>4.9399999999999995</v>
      </c>
      <c r="J100" s="13">
        <f>+'6 Month P-L 6-19'!D81</f>
        <v>92.2</v>
      </c>
      <c r="K100" s="13">
        <f>+'6 Month P-L 6-19'!E81</f>
        <v>81.33</v>
      </c>
      <c r="L100" s="13">
        <f>+'6 Month P-L 6-19'!F81</f>
        <v>53.44</v>
      </c>
      <c r="M100" s="13">
        <f>+'6 Month P-L 6-19'!G81</f>
        <v>55.26</v>
      </c>
      <c r="N100" s="13">
        <f>+'6 Month P-L 6-19'!H81</f>
        <v>46.07</v>
      </c>
      <c r="O100" s="13">
        <f>+'6 Month P-L 6-19'!I81</f>
        <v>24.77</v>
      </c>
      <c r="P100" s="13">
        <f t="shared" si="9"/>
        <v>382.05999999999995</v>
      </c>
      <c r="Q100" s="13"/>
      <c r="R100" s="13">
        <f t="shared" si="10"/>
        <v>382.05999999999995</v>
      </c>
    </row>
    <row r="101" spans="1:18" x14ac:dyDescent="0.25">
      <c r="A101" s="16" t="s">
        <v>192</v>
      </c>
      <c r="B101" s="3" t="s">
        <v>193</v>
      </c>
      <c r="C101" s="3"/>
      <c r="D101" s="13">
        <f>+'Calendar Period Ended 12-18'!J97</f>
        <v>31.939999999999998</v>
      </c>
      <c r="E101" s="13">
        <f>+'Calendar Period Ended 12-18'!K97</f>
        <v>20.65</v>
      </c>
      <c r="F101" s="13">
        <f>+'Calendar Period Ended 12-18'!L97</f>
        <v>1.47</v>
      </c>
      <c r="G101" s="13">
        <f>+'Calendar Period Ended 12-18'!M97</f>
        <v>0</v>
      </c>
      <c r="H101" s="13">
        <f>+'Calendar Period Ended 12-18'!N97</f>
        <v>0</v>
      </c>
      <c r="I101" s="13">
        <f>+'Calendar Period Ended 12-18'!O97</f>
        <v>0</v>
      </c>
      <c r="J101" s="13">
        <f>+'6 Month P-L 6-19'!D82</f>
        <v>77.56</v>
      </c>
      <c r="K101" s="13">
        <f>+'6 Month P-L 6-19'!E82</f>
        <v>78.990000000000009</v>
      </c>
      <c r="L101" s="13">
        <f>+'6 Month P-L 6-19'!F82</f>
        <v>83.699999999999989</v>
      </c>
      <c r="M101" s="13">
        <f>+'6 Month P-L 6-19'!G82</f>
        <v>80.25</v>
      </c>
      <c r="N101" s="13">
        <f>+'6 Month P-L 6-19'!H82</f>
        <v>89.639999999999986</v>
      </c>
      <c r="O101" s="13">
        <f>+'6 Month P-L 6-19'!I82</f>
        <v>75.419999999999987</v>
      </c>
      <c r="P101" s="13">
        <f t="shared" si="9"/>
        <v>539.62</v>
      </c>
      <c r="Q101" s="13"/>
      <c r="R101" s="13">
        <f t="shared" si="10"/>
        <v>539.62</v>
      </c>
    </row>
    <row r="102" spans="1:18" x14ac:dyDescent="0.25">
      <c r="A102" s="16" t="s">
        <v>194</v>
      </c>
      <c r="B102" s="3" t="s">
        <v>195</v>
      </c>
      <c r="C102" s="3"/>
      <c r="D102" s="13">
        <f>+'Calendar Period Ended 12-18'!J98</f>
        <v>0</v>
      </c>
      <c r="E102" s="13">
        <f>+'Calendar Period Ended 12-18'!K98</f>
        <v>0</v>
      </c>
      <c r="F102" s="13">
        <f>+'Calendar Period Ended 12-18'!L98</f>
        <v>0</v>
      </c>
      <c r="G102" s="13">
        <f>+'Calendar Period Ended 12-18'!M98</f>
        <v>0</v>
      </c>
      <c r="H102" s="13">
        <f>+'Calendar Period Ended 12-18'!N98</f>
        <v>0</v>
      </c>
      <c r="I102" s="13">
        <f>+'Calendar Period Ended 12-18'!O98</f>
        <v>-0.01</v>
      </c>
      <c r="J102" s="13">
        <f>+'6 Month P-L 6-19'!D83</f>
        <v>233.45</v>
      </c>
      <c r="K102" s="13">
        <f>+'6 Month P-L 6-19'!E83</f>
        <v>18.55</v>
      </c>
      <c r="L102" s="13">
        <f>+'6 Month P-L 6-19'!F83</f>
        <v>0</v>
      </c>
      <c r="M102" s="13">
        <f>+'6 Month P-L 6-19'!G83</f>
        <v>0</v>
      </c>
      <c r="N102" s="13">
        <f>+'6 Month P-L 6-19'!H83</f>
        <v>0</v>
      </c>
      <c r="O102" s="13">
        <f>+'6 Month P-L 6-19'!I83</f>
        <v>0</v>
      </c>
      <c r="P102" s="13">
        <f t="shared" si="9"/>
        <v>251.99</v>
      </c>
      <c r="Q102" s="13"/>
      <c r="R102" s="13">
        <f t="shared" si="10"/>
        <v>251.99</v>
      </c>
    </row>
    <row r="103" spans="1:18" x14ac:dyDescent="0.25">
      <c r="A103" s="16" t="s">
        <v>196</v>
      </c>
      <c r="B103" s="3" t="s">
        <v>197</v>
      </c>
      <c r="C103" s="3"/>
      <c r="D103" s="13">
        <f>+'Calendar Period Ended 12-18'!J99</f>
        <v>0</v>
      </c>
      <c r="E103" s="13">
        <f>+'Calendar Period Ended 12-18'!K99</f>
        <v>0</v>
      </c>
      <c r="F103" s="13">
        <f>+'Calendar Period Ended 12-18'!L99</f>
        <v>0</v>
      </c>
      <c r="G103" s="13">
        <f>+'Calendar Period Ended 12-18'!M99</f>
        <v>0</v>
      </c>
      <c r="H103" s="13">
        <f>+'Calendar Period Ended 12-18'!N99</f>
        <v>0</v>
      </c>
      <c r="I103" s="13">
        <f>+'Calendar Period Ended 12-18'!O99</f>
        <v>0</v>
      </c>
      <c r="J103" s="13">
        <f>+'6 Month P-L 6-19'!D84</f>
        <v>344.38</v>
      </c>
      <c r="K103" s="13">
        <f>+'6 Month P-L 6-19'!E84</f>
        <v>27.56</v>
      </c>
      <c r="L103" s="13">
        <f>+'6 Month P-L 6-19'!F84</f>
        <v>6.07</v>
      </c>
      <c r="M103" s="13">
        <f>+'6 Month P-L 6-19'!G84</f>
        <v>0</v>
      </c>
      <c r="N103" s="13">
        <f>+'6 Month P-L 6-19'!H84</f>
        <v>0</v>
      </c>
      <c r="O103" s="13">
        <f>+'6 Month P-L 6-19'!I84</f>
        <v>0</v>
      </c>
      <c r="P103" s="13">
        <f t="shared" si="9"/>
        <v>378.01</v>
      </c>
      <c r="Q103" s="13"/>
      <c r="R103" s="13">
        <f t="shared" si="10"/>
        <v>378.01</v>
      </c>
    </row>
    <row r="104" spans="1:18" x14ac:dyDescent="0.25">
      <c r="A104" s="16" t="s">
        <v>198</v>
      </c>
      <c r="B104" s="3" t="s">
        <v>199</v>
      </c>
      <c r="C104" s="3"/>
      <c r="D104" s="13">
        <f>+'Calendar Period Ended 12-18'!J100</f>
        <v>594.65</v>
      </c>
      <c r="E104" s="13">
        <f>+'Calendar Period Ended 12-18'!K100</f>
        <v>0</v>
      </c>
      <c r="F104" s="13">
        <f>+'Calendar Period Ended 12-18'!L100</f>
        <v>0</v>
      </c>
      <c r="G104" s="13">
        <f>+'Calendar Period Ended 12-18'!M100</f>
        <v>594.79</v>
      </c>
      <c r="H104" s="13">
        <f>+'Calendar Period Ended 12-18'!N100</f>
        <v>0</v>
      </c>
      <c r="I104" s="13">
        <f>+'Calendar Period Ended 12-18'!O100</f>
        <v>0</v>
      </c>
      <c r="J104" s="13">
        <f>+'6 Month P-L 6-19'!D85</f>
        <v>636</v>
      </c>
      <c r="K104" s="13">
        <f>+'6 Month P-L 6-19'!E85</f>
        <v>0</v>
      </c>
      <c r="L104" s="13">
        <f>+'6 Month P-L 6-19'!F85</f>
        <v>0</v>
      </c>
      <c r="M104" s="13">
        <f>+'6 Month P-L 6-19'!G85</f>
        <v>595.20000000000005</v>
      </c>
      <c r="N104" s="13">
        <f>+'6 Month P-L 6-19'!H85</f>
        <v>0</v>
      </c>
      <c r="O104" s="13">
        <f>+'6 Month P-L 6-19'!I85</f>
        <v>0</v>
      </c>
      <c r="P104" s="13">
        <f t="shared" si="9"/>
        <v>2420.6400000000003</v>
      </c>
      <c r="Q104" s="13"/>
      <c r="R104" s="13">
        <f t="shared" si="10"/>
        <v>2420.6400000000003</v>
      </c>
    </row>
    <row r="105" spans="1:18" x14ac:dyDescent="0.25">
      <c r="A105" s="16" t="s">
        <v>200</v>
      </c>
      <c r="B105" s="3" t="s">
        <v>201</v>
      </c>
      <c r="C105" s="3"/>
      <c r="D105" s="13">
        <f>+'Calendar Period Ended 12-18'!J101</f>
        <v>0</v>
      </c>
      <c r="E105" s="13">
        <f>+'Calendar Period Ended 12-18'!K101</f>
        <v>0</v>
      </c>
      <c r="F105" s="13">
        <f>+'Calendar Period Ended 12-18'!L101</f>
        <v>0</v>
      </c>
      <c r="G105" s="13">
        <f>+'Calendar Period Ended 12-18'!M101</f>
        <v>337.53</v>
      </c>
      <c r="H105" s="13">
        <f>+'Calendar Period Ended 12-18'!N101</f>
        <v>0</v>
      </c>
      <c r="I105" s="13">
        <f>+'Calendar Period Ended 12-18'!O101</f>
        <v>0</v>
      </c>
      <c r="J105" s="13">
        <f>+'6 Month P-L 6-19'!D86</f>
        <v>0</v>
      </c>
      <c r="K105" s="13">
        <f>+'6 Month P-L 6-19'!E86</f>
        <v>0</v>
      </c>
      <c r="L105" s="13">
        <f>+'6 Month P-L 6-19'!F86</f>
        <v>0</v>
      </c>
      <c r="M105" s="13">
        <f>+'6 Month P-L 6-19'!G86</f>
        <v>520.32999999999993</v>
      </c>
      <c r="N105" s="13">
        <f>+'6 Month P-L 6-19'!H86</f>
        <v>0</v>
      </c>
      <c r="O105" s="13">
        <f>+'6 Month P-L 6-19'!I86</f>
        <v>0</v>
      </c>
      <c r="P105" s="13">
        <f t="shared" si="9"/>
        <v>857.8599999999999</v>
      </c>
      <c r="Q105" s="13">
        <v>867</v>
      </c>
      <c r="R105" s="13">
        <f t="shared" si="10"/>
        <v>1724.86</v>
      </c>
    </row>
    <row r="106" spans="1:18" x14ac:dyDescent="0.25">
      <c r="A106" s="16" t="s">
        <v>202</v>
      </c>
      <c r="B106" s="3" t="s">
        <v>203</v>
      </c>
      <c r="C106" s="3"/>
      <c r="D106" s="13">
        <f>+'Calendar Period Ended 12-18'!J102</f>
        <v>0</v>
      </c>
      <c r="E106" s="13">
        <f>+'Calendar Period Ended 12-18'!K102</f>
        <v>0</v>
      </c>
      <c r="F106" s="13">
        <f>+'Calendar Period Ended 12-18'!L102</f>
        <v>0</v>
      </c>
      <c r="G106" s="13">
        <f>+'Calendar Period Ended 12-18'!M102</f>
        <v>6458.07</v>
      </c>
      <c r="H106" s="13">
        <f>+'Calendar Period Ended 12-18'!N102</f>
        <v>0</v>
      </c>
      <c r="I106" s="13">
        <f>+'Calendar Period Ended 12-18'!O102</f>
        <v>0</v>
      </c>
      <c r="J106" s="13">
        <f>+'6 Month P-L 6-19'!D87</f>
        <v>0</v>
      </c>
      <c r="K106" s="13">
        <f>+'6 Month P-L 6-19'!E87</f>
        <v>0</v>
      </c>
      <c r="L106" s="13">
        <f>+'6 Month P-L 6-19'!F87</f>
        <v>0</v>
      </c>
      <c r="M106" s="13">
        <f>+'6 Month P-L 6-19'!G87</f>
        <v>0</v>
      </c>
      <c r="N106" s="13">
        <f>+'6 Month P-L 6-19'!H87</f>
        <v>5491.07</v>
      </c>
      <c r="O106" s="13">
        <f>+'6 Month P-L 6-19'!I87</f>
        <v>0</v>
      </c>
      <c r="P106" s="13">
        <f t="shared" si="9"/>
        <v>11949.14</v>
      </c>
      <c r="Q106" s="13"/>
      <c r="R106" s="13">
        <f t="shared" si="10"/>
        <v>11949.14</v>
      </c>
    </row>
    <row r="107" spans="1:18" x14ac:dyDescent="0.25">
      <c r="A107" s="16" t="s">
        <v>237</v>
      </c>
      <c r="B107" s="3" t="s">
        <v>238</v>
      </c>
      <c r="C107" s="3"/>
      <c r="D107" s="13">
        <f>+'Calendar Period Ended 12-18'!J103</f>
        <v>0</v>
      </c>
      <c r="E107" s="13">
        <f>+'Calendar Period Ended 12-18'!K103</f>
        <v>0</v>
      </c>
      <c r="F107" s="13">
        <f>+'Calendar Period Ended 12-18'!L103</f>
        <v>0</v>
      </c>
      <c r="G107" s="13">
        <f>+'Calendar Period Ended 12-18'!M103</f>
        <v>0</v>
      </c>
      <c r="H107" s="13">
        <f>+'Calendar Period Ended 12-18'!N103</f>
        <v>0</v>
      </c>
      <c r="I107" s="13">
        <f>+'Calendar Period Ended 12-18'!O103</f>
        <v>0</v>
      </c>
      <c r="J107" s="13">
        <f>+'6 Month P-L 6-19'!D88</f>
        <v>0</v>
      </c>
      <c r="K107" s="13">
        <f>+'6 Month P-L 6-19'!E88</f>
        <v>0</v>
      </c>
      <c r="L107" s="13">
        <f>+'6 Month P-L 6-19'!F88</f>
        <v>0</v>
      </c>
      <c r="M107" s="13">
        <f>+'6 Month P-L 6-19'!G88</f>
        <v>5017.43</v>
      </c>
      <c r="N107" s="13">
        <f>+'6 Month P-L 6-19'!H88</f>
        <v>0</v>
      </c>
      <c r="O107" s="13">
        <f>+'6 Month P-L 6-19'!I88</f>
        <v>0</v>
      </c>
      <c r="P107" s="13">
        <f t="shared" si="9"/>
        <v>5017.43</v>
      </c>
      <c r="Q107" s="13"/>
      <c r="R107" s="13">
        <f t="shared" si="10"/>
        <v>5017.43</v>
      </c>
    </row>
    <row r="108" spans="1:18" x14ac:dyDescent="0.25">
      <c r="A108" s="16" t="s">
        <v>204</v>
      </c>
      <c r="B108" s="3" t="s">
        <v>205</v>
      </c>
      <c r="C108" s="3"/>
      <c r="D108" s="13">
        <f>+'Calendar Period Ended 12-18'!J104</f>
        <v>18.899999999999999</v>
      </c>
      <c r="E108" s="13">
        <f>+'Calendar Period Ended 12-18'!K104</f>
        <v>0</v>
      </c>
      <c r="F108" s="13">
        <f>+'Calendar Period Ended 12-18'!L104</f>
        <v>0</v>
      </c>
      <c r="G108" s="13">
        <f>+'Calendar Period Ended 12-18'!M104</f>
        <v>0</v>
      </c>
      <c r="H108" s="13">
        <f>+'Calendar Period Ended 12-18'!N104</f>
        <v>0</v>
      </c>
      <c r="I108" s="13">
        <f>+'Calendar Period Ended 12-18'!O104</f>
        <v>0</v>
      </c>
      <c r="J108" s="13">
        <f>+'6 Month P-L 6-19'!D89</f>
        <v>0</v>
      </c>
      <c r="K108" s="13">
        <f>+'6 Month P-L 6-19'!E89</f>
        <v>0</v>
      </c>
      <c r="L108" s="13">
        <f>+'6 Month P-L 6-19'!F89</f>
        <v>49.91</v>
      </c>
      <c r="M108" s="13">
        <f>+'6 Month P-L 6-19'!G89</f>
        <v>0</v>
      </c>
      <c r="N108" s="13">
        <f>+'6 Month P-L 6-19'!H89</f>
        <v>0</v>
      </c>
      <c r="O108" s="13">
        <f>+'6 Month P-L 6-19'!I89</f>
        <v>0</v>
      </c>
      <c r="P108" s="13">
        <f t="shared" si="9"/>
        <v>68.81</v>
      </c>
      <c r="Q108" s="13"/>
      <c r="R108" s="13">
        <f t="shared" si="10"/>
        <v>68.81</v>
      </c>
    </row>
    <row r="109" spans="1:18" x14ac:dyDescent="0.25">
      <c r="A109" s="16" t="s">
        <v>206</v>
      </c>
      <c r="B109" s="3" t="s">
        <v>207</v>
      </c>
      <c r="C109" s="3"/>
      <c r="D109" s="13">
        <f>+'Calendar Period Ended 12-18'!J105</f>
        <v>35.53</v>
      </c>
      <c r="E109" s="13">
        <f>+'Calendar Period Ended 12-18'!K105</f>
        <v>33.53</v>
      </c>
      <c r="F109" s="13">
        <f>+'Calendar Period Ended 12-18'!L105</f>
        <v>35.94</v>
      </c>
      <c r="G109" s="13">
        <f>+'Calendar Period Ended 12-18'!M105</f>
        <v>33.53</v>
      </c>
      <c r="H109" s="13">
        <f>+'Calendar Period Ended 12-18'!N105</f>
        <v>33.93</v>
      </c>
      <c r="I109" s="13">
        <f>+'Calendar Period Ended 12-18'!O105</f>
        <v>35.53</v>
      </c>
      <c r="J109" s="13">
        <f>+'6 Month P-L 6-19'!D90</f>
        <v>33.53</v>
      </c>
      <c r="K109" s="13">
        <f>+'6 Month P-L 6-19'!E90</f>
        <v>33.53</v>
      </c>
      <c r="L109" s="13">
        <f>+'6 Month P-L 6-19'!F90</f>
        <v>33.93</v>
      </c>
      <c r="M109" s="13">
        <f>+'6 Month P-L 6-19'!G90</f>
        <v>35.94</v>
      </c>
      <c r="N109" s="13">
        <f>+'6 Month P-L 6-19'!H90</f>
        <v>33.93</v>
      </c>
      <c r="O109" s="13">
        <f>+'6 Month P-L 6-19'!I90</f>
        <v>47.07</v>
      </c>
      <c r="P109" s="13">
        <f t="shared" si="9"/>
        <v>425.92</v>
      </c>
      <c r="Q109" s="13"/>
      <c r="R109" s="13">
        <f t="shared" si="10"/>
        <v>425.92</v>
      </c>
    </row>
    <row r="110" spans="1:18" x14ac:dyDescent="0.25">
      <c r="A110" s="16" t="s">
        <v>208</v>
      </c>
      <c r="B110" s="3" t="s">
        <v>209</v>
      </c>
      <c r="C110" s="3"/>
      <c r="D110" s="13">
        <f>+'Calendar Period Ended 12-18'!J106</f>
        <v>63463.600000000006</v>
      </c>
      <c r="E110" s="13">
        <f>+'Calendar Period Ended 12-18'!K106</f>
        <v>49891.85</v>
      </c>
      <c r="F110" s="13">
        <f>+'Calendar Period Ended 12-18'!L106</f>
        <v>48755.33</v>
      </c>
      <c r="G110" s="13">
        <f>+'Calendar Period Ended 12-18'!M106</f>
        <v>52252.22</v>
      </c>
      <c r="H110" s="13">
        <f>+'Calendar Period Ended 12-18'!N106</f>
        <v>39620.300000000003</v>
      </c>
      <c r="I110" s="13">
        <f>+'Calendar Period Ended 12-18'!O106</f>
        <v>37541.9</v>
      </c>
      <c r="J110" s="13">
        <f>+'6 Month P-L 6-19'!D91</f>
        <v>48697.34</v>
      </c>
      <c r="K110" s="13">
        <f>+'6 Month P-L 6-19'!E91</f>
        <v>36257.18</v>
      </c>
      <c r="L110" s="13">
        <f>+'6 Month P-L 6-19'!F91</f>
        <v>35997.269999999997</v>
      </c>
      <c r="M110" s="13">
        <f>+'6 Month P-L 6-19'!G91</f>
        <v>45758.92</v>
      </c>
      <c r="N110" s="13">
        <f>+'6 Month P-L 6-19'!H91</f>
        <v>47402</v>
      </c>
      <c r="O110" s="13">
        <f>+'6 Month P-L 6-19'!I91</f>
        <v>49667.94</v>
      </c>
      <c r="P110" s="13">
        <f t="shared" si="9"/>
        <v>555305.85000000009</v>
      </c>
      <c r="Q110" s="13"/>
      <c r="R110" s="13">
        <f t="shared" si="10"/>
        <v>555305.85000000009</v>
      </c>
    </row>
    <row r="111" spans="1:18" x14ac:dyDescent="0.25">
      <c r="A111" s="16" t="s">
        <v>210</v>
      </c>
      <c r="B111" s="3" t="s">
        <v>211</v>
      </c>
      <c r="C111" s="3"/>
      <c r="D111" s="13">
        <f>+'Calendar Period Ended 12-18'!J107</f>
        <v>1953.8200000000002</v>
      </c>
      <c r="E111" s="13">
        <f>+'Calendar Period Ended 12-18'!K107</f>
        <v>1920.06</v>
      </c>
      <c r="F111" s="13">
        <f>+'Calendar Period Ended 12-18'!L107</f>
        <v>1924.52</v>
      </c>
      <c r="G111" s="13">
        <f>+'Calendar Period Ended 12-18'!M107</f>
        <v>1928.87</v>
      </c>
      <c r="H111" s="13">
        <f>+'Calendar Period Ended 12-18'!N107</f>
        <v>1832.97</v>
      </c>
      <c r="I111" s="13">
        <f>+'Calendar Period Ended 12-18'!O107</f>
        <v>2180.04</v>
      </c>
      <c r="J111" s="13">
        <f>+'6 Month P-L 6-19'!D92</f>
        <v>1758.55</v>
      </c>
      <c r="K111" s="13">
        <f>+'6 Month P-L 6-19'!E92</f>
        <v>618.75</v>
      </c>
      <c r="L111" s="13">
        <f>+'6 Month P-L 6-19'!F92</f>
        <v>3071.4799999999996</v>
      </c>
      <c r="M111" s="13">
        <f>+'6 Month P-L 6-19'!G92</f>
        <v>1852.3799999999999</v>
      </c>
      <c r="N111" s="13">
        <f>+'6 Month P-L 6-19'!H92</f>
        <v>1858.83</v>
      </c>
      <c r="O111" s="13">
        <f>+'6 Month P-L 6-19'!I92</f>
        <v>1956.53</v>
      </c>
      <c r="P111" s="13">
        <f t="shared" si="9"/>
        <v>22856.799999999996</v>
      </c>
      <c r="Q111" s="13"/>
      <c r="R111" s="13">
        <f t="shared" si="10"/>
        <v>22856.799999999996</v>
      </c>
    </row>
    <row r="112" spans="1:18" x14ac:dyDescent="0.25">
      <c r="A112" s="16" t="s">
        <v>212</v>
      </c>
      <c r="B112" s="3" t="s">
        <v>213</v>
      </c>
      <c r="C112" s="3"/>
      <c r="D112" s="13">
        <f>+'Calendar Period Ended 12-18'!J108</f>
        <v>2130.35</v>
      </c>
      <c r="E112" s="13">
        <f>+'Calendar Period Ended 12-18'!K108</f>
        <v>2103.8000000000002</v>
      </c>
      <c r="F112" s="13">
        <f>+'Calendar Period Ended 12-18'!L108</f>
        <v>2100.85</v>
      </c>
      <c r="G112" s="13">
        <f>+'Calendar Period Ended 12-18'!M108</f>
        <v>2417.16</v>
      </c>
      <c r="H112" s="13">
        <f>+'Calendar Period Ended 12-18'!N108</f>
        <v>2138.4899999999998</v>
      </c>
      <c r="I112" s="13">
        <f>+'Calendar Period Ended 12-18'!O108</f>
        <v>2139.02</v>
      </c>
      <c r="J112" s="13">
        <f>+'6 Month P-L 6-19'!D93</f>
        <v>2246.58</v>
      </c>
      <c r="K112" s="13">
        <f>+'6 Month P-L 6-19'!E93</f>
        <v>551.5</v>
      </c>
      <c r="L112" s="13">
        <f>+'6 Month P-L 6-19'!F93</f>
        <v>3756.37</v>
      </c>
      <c r="M112" s="13">
        <f>+'6 Month P-L 6-19'!G93</f>
        <v>2137.9900000000002</v>
      </c>
      <c r="N112" s="13">
        <f>+'6 Month P-L 6-19'!H93</f>
        <v>2433.2399999999998</v>
      </c>
      <c r="O112" s="13">
        <f>+'6 Month P-L 6-19'!I93</f>
        <v>2145.8000000000002</v>
      </c>
      <c r="P112" s="13">
        <f t="shared" si="9"/>
        <v>26301.149999999998</v>
      </c>
      <c r="Q112" s="13"/>
      <c r="R112" s="13">
        <f t="shared" si="10"/>
        <v>26301.149999999998</v>
      </c>
    </row>
    <row r="113" spans="1:20" x14ac:dyDescent="0.25">
      <c r="A113" s="16" t="s">
        <v>214</v>
      </c>
      <c r="B113" s="3" t="s">
        <v>215</v>
      </c>
      <c r="C113" s="3"/>
      <c r="D113" s="13">
        <f>+'Calendar Period Ended 12-18'!J109</f>
        <v>0</v>
      </c>
      <c r="E113" s="13">
        <f>+'Calendar Period Ended 12-18'!K109</f>
        <v>0</v>
      </c>
      <c r="F113" s="13">
        <f>+'Calendar Period Ended 12-18'!L109</f>
        <v>0</v>
      </c>
      <c r="G113" s="13">
        <f>+'Calendar Period Ended 12-18'!M109</f>
        <v>0</v>
      </c>
      <c r="H113" s="13">
        <f>+'Calendar Period Ended 12-18'!N109</f>
        <v>0</v>
      </c>
      <c r="I113" s="13">
        <f>+'Calendar Period Ended 12-18'!O109</f>
        <v>16820.240000000002</v>
      </c>
      <c r="J113" s="13"/>
      <c r="K113" s="13"/>
      <c r="L113" s="13"/>
      <c r="M113" s="13"/>
      <c r="N113" s="13"/>
      <c r="O113" s="13"/>
      <c r="P113" s="13">
        <f t="shared" si="9"/>
        <v>16820.240000000002</v>
      </c>
      <c r="Q113" s="13"/>
      <c r="R113" s="13">
        <f t="shared" si="10"/>
        <v>16820.240000000002</v>
      </c>
    </row>
    <row r="114" spans="1:20" x14ac:dyDescent="0.25">
      <c r="A114" s="16" t="s">
        <v>216</v>
      </c>
      <c r="B114" s="3" t="s">
        <v>217</v>
      </c>
      <c r="C114" s="3"/>
      <c r="D114" s="13">
        <f>+'Calendar Period Ended 12-18'!J110</f>
        <v>0</v>
      </c>
      <c r="E114" s="13">
        <f>+'Calendar Period Ended 12-18'!K110</f>
        <v>0</v>
      </c>
      <c r="F114" s="13">
        <f>+'Calendar Period Ended 12-18'!L110</f>
        <v>1235</v>
      </c>
      <c r="G114" s="13">
        <f>+'Calendar Period Ended 12-18'!M110</f>
        <v>5358</v>
      </c>
      <c r="H114" s="13">
        <f>+'Calendar Period Ended 12-18'!N110</f>
        <v>80619.42</v>
      </c>
      <c r="I114" s="13">
        <f>+'Calendar Period Ended 12-18'!O110</f>
        <v>35762.399999999994</v>
      </c>
      <c r="J114" s="13">
        <f>+'6 Month P-L 6-19'!D94</f>
        <v>9679.1299999999992</v>
      </c>
      <c r="K114" s="13">
        <f>+'6 Month P-L 6-19'!E94</f>
        <v>5495.65</v>
      </c>
      <c r="L114" s="13">
        <f>+'6 Month P-L 6-19'!F94</f>
        <v>28812.989999999998</v>
      </c>
      <c r="M114" s="13">
        <f>+'6 Month P-L 6-19'!G94</f>
        <v>5655</v>
      </c>
      <c r="N114" s="13">
        <f>+'6 Month P-L 6-19'!H94</f>
        <v>10073.689999999999</v>
      </c>
      <c r="O114" s="13">
        <f>+'6 Month P-L 6-19'!I94</f>
        <v>2024.44</v>
      </c>
      <c r="P114" s="13">
        <f t="shared" si="9"/>
        <v>184715.71999999997</v>
      </c>
      <c r="Q114" s="13"/>
      <c r="R114" s="13">
        <f t="shared" si="10"/>
        <v>184715.71999999997</v>
      </c>
    </row>
    <row r="115" spans="1:20" x14ac:dyDescent="0.25">
      <c r="A115" s="16" t="s">
        <v>218</v>
      </c>
      <c r="B115" s="3" t="s">
        <v>219</v>
      </c>
      <c r="C115" s="3"/>
      <c r="D115" s="13">
        <f>+'Calendar Period Ended 12-18'!J111</f>
        <v>3224.8599999999997</v>
      </c>
      <c r="E115" s="13">
        <f>+'Calendar Period Ended 12-18'!K111</f>
        <v>0</v>
      </c>
      <c r="F115" s="13">
        <f>+'Calendar Period Ended 12-18'!L111</f>
        <v>1300</v>
      </c>
      <c r="G115" s="13">
        <f>+'Calendar Period Ended 12-18'!M111</f>
        <v>1690</v>
      </c>
      <c r="H115" s="13">
        <f>+'Calendar Period Ended 12-18'!N111</f>
        <v>0</v>
      </c>
      <c r="I115" s="13">
        <f>+'Calendar Period Ended 12-18'!O111</f>
        <v>2614.9700000000003</v>
      </c>
      <c r="J115" s="13">
        <f>+'6 Month P-L 6-19'!D95</f>
        <v>1980.74</v>
      </c>
      <c r="K115" s="13">
        <f>+'6 Month P-L 6-19'!E95</f>
        <v>35275.159999999996</v>
      </c>
      <c r="L115" s="13">
        <f>+'6 Month P-L 6-19'!F95</f>
        <v>86250.609999999957</v>
      </c>
      <c r="M115" s="13">
        <f>+'6 Month P-L 6-19'!G95</f>
        <v>113349.68</v>
      </c>
      <c r="N115" s="13">
        <f>+'6 Month P-L 6-19'!H95</f>
        <v>72217.330000000031</v>
      </c>
      <c r="O115" s="13">
        <f>+'6 Month P-L 6-19'!I95</f>
        <v>9639.2100000000009</v>
      </c>
      <c r="P115" s="13">
        <f t="shared" si="9"/>
        <v>327542.56</v>
      </c>
      <c r="Q115" s="13"/>
      <c r="R115" s="13">
        <f t="shared" si="10"/>
        <v>327542.56</v>
      </c>
    </row>
    <row r="116" spans="1:20" x14ac:dyDescent="0.25">
      <c r="A116" s="16" t="s">
        <v>220</v>
      </c>
      <c r="B116" s="3" t="s">
        <v>221</v>
      </c>
      <c r="C116" s="3"/>
      <c r="D116" s="13">
        <f>+'Calendar Period Ended 12-18'!J112</f>
        <v>25917</v>
      </c>
      <c r="E116" s="13">
        <f>+'Calendar Period Ended 12-18'!K112</f>
        <v>25265</v>
      </c>
      <c r="F116" s="13">
        <f>+'Calendar Period Ended 12-18'!L112</f>
        <v>22331</v>
      </c>
      <c r="G116" s="13">
        <f>+'Calendar Period Ended 12-18'!M112</f>
        <v>18582</v>
      </c>
      <c r="H116" s="13">
        <f>+'Calendar Period Ended 12-18'!N112</f>
        <v>19397</v>
      </c>
      <c r="I116" s="13">
        <f>+'Calendar Period Ended 12-18'!O112</f>
        <v>18419</v>
      </c>
      <c r="J116" s="13">
        <f>+'6 Month P-L 6-19'!D96</f>
        <v>18256</v>
      </c>
      <c r="K116" s="13">
        <f>+'6 Month P-L 6-19'!E96</f>
        <v>0</v>
      </c>
      <c r="L116" s="13">
        <f>+'6 Month P-L 6-19'!F96</f>
        <v>0</v>
      </c>
      <c r="M116" s="13">
        <f>+'6 Month P-L 6-19'!G96</f>
        <v>0</v>
      </c>
      <c r="N116" s="13">
        <f>+'6 Month P-L 6-19'!H96</f>
        <v>18745</v>
      </c>
      <c r="O116" s="13">
        <f>+'6 Month P-L 6-19'!I96</f>
        <v>15648</v>
      </c>
      <c r="P116" s="13">
        <f t="shared" si="9"/>
        <v>182560</v>
      </c>
      <c r="Q116" s="13"/>
      <c r="R116" s="13">
        <f t="shared" si="10"/>
        <v>182560</v>
      </c>
    </row>
    <row r="117" spans="1:20" x14ac:dyDescent="0.25">
      <c r="A117" s="16"/>
      <c r="B117" s="3" t="s">
        <v>402</v>
      </c>
      <c r="C117" s="3"/>
      <c r="D117" s="13">
        <f>-D130</f>
        <v>85157.5</v>
      </c>
      <c r="E117" s="13">
        <f t="shared" ref="E117:P117" si="11">-E130</f>
        <v>86526.5</v>
      </c>
      <c r="F117" s="13">
        <f t="shared" si="11"/>
        <v>76315.5</v>
      </c>
      <c r="G117" s="13">
        <f t="shared" si="11"/>
        <v>85346.25</v>
      </c>
      <c r="H117" s="13">
        <f t="shared" si="11"/>
        <v>77154.25</v>
      </c>
      <c r="I117" s="13">
        <f t="shared" si="11"/>
        <v>79182.25</v>
      </c>
      <c r="J117" s="13">
        <f t="shared" si="11"/>
        <v>79396</v>
      </c>
      <c r="K117" s="13">
        <f t="shared" si="11"/>
        <v>0</v>
      </c>
      <c r="L117" s="13">
        <f t="shared" si="11"/>
        <v>0</v>
      </c>
      <c r="M117" s="13">
        <f t="shared" si="11"/>
        <v>0</v>
      </c>
      <c r="N117" s="13">
        <f t="shared" si="11"/>
        <v>72560.5</v>
      </c>
      <c r="O117" s="13">
        <f t="shared" si="11"/>
        <v>77857.25</v>
      </c>
      <c r="P117" s="13">
        <f t="shared" si="11"/>
        <v>719496</v>
      </c>
      <c r="Q117" s="13"/>
      <c r="R117" s="13">
        <f t="shared" si="10"/>
        <v>719496</v>
      </c>
    </row>
    <row r="118" spans="1:20" x14ac:dyDescent="0.25">
      <c r="A118" s="16" t="s">
        <v>222</v>
      </c>
      <c r="B118" s="3" t="s">
        <v>223</v>
      </c>
      <c r="C118" s="3"/>
      <c r="D118" s="13">
        <f>+'Calendar Period Ended 12-18'!J113</f>
        <v>0</v>
      </c>
      <c r="E118" s="13">
        <f>+'Calendar Period Ended 12-18'!K113</f>
        <v>0</v>
      </c>
      <c r="F118" s="13">
        <f>+'Calendar Period Ended 12-18'!L113</f>
        <v>0</v>
      </c>
      <c r="G118" s="13">
        <f>+'Calendar Period Ended 12-18'!M113</f>
        <v>0</v>
      </c>
      <c r="H118" s="13">
        <f>+'Calendar Period Ended 12-18'!N113</f>
        <v>0</v>
      </c>
      <c r="I118" s="13">
        <f>+'Calendar Period Ended 12-18'!O113</f>
        <v>0</v>
      </c>
      <c r="J118" s="13">
        <f>+'6 Month P-L 6-19'!D97</f>
        <v>0</v>
      </c>
      <c r="K118" s="13">
        <v>0</v>
      </c>
      <c r="L118" s="13">
        <f>+'6 Month P-L 6-19'!F97</f>
        <v>0</v>
      </c>
      <c r="M118" s="13">
        <f>+'6 Month P-L 6-19'!G97</f>
        <v>0</v>
      </c>
      <c r="N118" s="13">
        <f>+'6 Month P-L 6-19'!H97</f>
        <v>0</v>
      </c>
      <c r="O118" s="13">
        <f>+'6 Month P-L 6-19'!I97</f>
        <v>0</v>
      </c>
      <c r="P118" s="13">
        <f t="shared" si="9"/>
        <v>0</v>
      </c>
      <c r="Q118" s="13"/>
      <c r="R118" s="13">
        <f t="shared" si="10"/>
        <v>0</v>
      </c>
    </row>
    <row r="119" spans="1:20" x14ac:dyDescent="0.25">
      <c r="A119" s="16" t="s">
        <v>224</v>
      </c>
      <c r="B119" s="3" t="s">
        <v>225</v>
      </c>
      <c r="C119" s="3"/>
      <c r="D119" s="13">
        <f>+'Calendar Period Ended 12-18'!J114</f>
        <v>0</v>
      </c>
      <c r="E119" s="13">
        <f>+'Calendar Period Ended 12-18'!K114</f>
        <v>0</v>
      </c>
      <c r="F119" s="13">
        <f>+'Calendar Period Ended 12-18'!L114</f>
        <v>0</v>
      </c>
      <c r="G119" s="13">
        <f>+'Calendar Period Ended 12-18'!M114</f>
        <v>0</v>
      </c>
      <c r="H119" s="13">
        <f>+'Calendar Period Ended 12-18'!N114</f>
        <v>0</v>
      </c>
      <c r="I119" s="13">
        <f>+'Calendar Period Ended 12-18'!O114</f>
        <v>0</v>
      </c>
      <c r="J119" s="13">
        <f>+'6 Month P-L 6-19'!D97</f>
        <v>0</v>
      </c>
      <c r="K119" s="13">
        <f>+'6 Month P-L 6-19'!E97</f>
        <v>1500</v>
      </c>
      <c r="L119" s="13">
        <f>+'6 Month P-L 6-19'!F97</f>
        <v>0</v>
      </c>
      <c r="M119" s="13">
        <f>+'6 Month P-L 6-19'!G97</f>
        <v>0</v>
      </c>
      <c r="N119" s="13">
        <f>+'6 Month P-L 6-19'!H97</f>
        <v>0</v>
      </c>
      <c r="O119" s="13">
        <f>+'6 Month P-L 6-19'!I97</f>
        <v>0</v>
      </c>
      <c r="P119" s="13">
        <f t="shared" si="9"/>
        <v>1500</v>
      </c>
      <c r="Q119" s="13"/>
      <c r="R119" s="13">
        <f t="shared" si="10"/>
        <v>1500</v>
      </c>
    </row>
    <row r="120" spans="1:20" x14ac:dyDescent="0.25">
      <c r="A120" s="16" t="s">
        <v>226</v>
      </c>
      <c r="B120" s="3" t="s">
        <v>227</v>
      </c>
      <c r="C120" s="3"/>
      <c r="D120" s="13">
        <f>+'Calendar Period Ended 12-18'!J115</f>
        <v>206.01</v>
      </c>
      <c r="E120" s="13">
        <f>+'Calendar Period Ended 12-18'!K115</f>
        <v>206.56</v>
      </c>
      <c r="F120" s="13">
        <f>+'Calendar Period Ended 12-18'!L115</f>
        <v>222.91</v>
      </c>
      <c r="G120" s="13">
        <f>+'Calendar Period Ended 12-18'!M115</f>
        <v>200.01999999999998</v>
      </c>
      <c r="H120" s="13">
        <f>+'Calendar Period Ended 12-18'!N115</f>
        <v>245.79999999999998</v>
      </c>
      <c r="I120" s="13">
        <f>+'Calendar Period Ended 12-18'!O115</f>
        <v>168.41</v>
      </c>
      <c r="J120" s="13">
        <f>+'6 Month P-L 6-19'!D98</f>
        <v>236.06</v>
      </c>
      <c r="K120" s="13">
        <f>+'6 Month P-L 6-19'!E98</f>
        <v>201.84</v>
      </c>
      <c r="L120" s="13">
        <f>+'6 Month P-L 6-19'!F98</f>
        <v>255.2</v>
      </c>
      <c r="M120" s="13">
        <f>+'6 Month P-L 6-19'!G98</f>
        <v>213.44</v>
      </c>
      <c r="N120" s="13">
        <f>+'6 Month P-L 6-19'!H98</f>
        <v>252.88</v>
      </c>
      <c r="O120" s="13">
        <f>+'6 Month P-L 6-19'!I98</f>
        <v>229.74</v>
      </c>
      <c r="P120" s="13">
        <f t="shared" si="9"/>
        <v>2638.87</v>
      </c>
      <c r="Q120" s="13"/>
      <c r="R120" s="13">
        <f t="shared" si="10"/>
        <v>2638.87</v>
      </c>
    </row>
    <row r="121" spans="1:20" x14ac:dyDescent="0.25">
      <c r="A121" s="16" t="s">
        <v>228</v>
      </c>
      <c r="B121" s="3" t="s">
        <v>229</v>
      </c>
      <c r="C121" s="3"/>
      <c r="D121" s="13">
        <f>+'Calendar Period Ended 12-18'!J116</f>
        <v>4172.2300000000005</v>
      </c>
      <c r="E121" s="13">
        <f>+'Calendar Period Ended 12-18'!K116</f>
        <v>3987.4399999999996</v>
      </c>
      <c r="F121" s="13">
        <f>+'Calendar Period Ended 12-18'!L116</f>
        <v>5492.3399999999992</v>
      </c>
      <c r="G121" s="13">
        <f>+'Calendar Period Ended 12-18'!M116</f>
        <v>20589.41</v>
      </c>
      <c r="H121" s="13">
        <f>+'Calendar Period Ended 12-18'!N116</f>
        <v>6415.4999999999991</v>
      </c>
      <c r="I121" s="13">
        <f>+'Calendar Period Ended 12-18'!O116</f>
        <v>7407.6299999999992</v>
      </c>
      <c r="J121" s="13">
        <f>+'6 Month P-L 6-19'!D99</f>
        <v>6037.54</v>
      </c>
      <c r="K121" s="13">
        <f>+'6 Month P-L 6-19'!E99</f>
        <v>5605.7</v>
      </c>
      <c r="L121" s="13">
        <f>+'6 Month P-L 6-19'!F99</f>
        <v>4391.43</v>
      </c>
      <c r="M121" s="13">
        <f>+'6 Month P-L 6-19'!G99</f>
        <v>3561.57</v>
      </c>
      <c r="N121" s="13">
        <f>+'6 Month P-L 6-19'!H99</f>
        <v>6902.46</v>
      </c>
      <c r="O121" s="13">
        <f>+'6 Month P-L 6-19'!I99</f>
        <v>9113.92</v>
      </c>
      <c r="P121" s="13">
        <f t="shared" si="9"/>
        <v>83677.17</v>
      </c>
      <c r="Q121" s="13"/>
      <c r="R121" s="13">
        <f t="shared" si="10"/>
        <v>83677.17</v>
      </c>
    </row>
    <row r="122" spans="1:20" x14ac:dyDescent="0.25">
      <c r="A122" s="16" t="s">
        <v>230</v>
      </c>
      <c r="B122" s="3" t="s">
        <v>231</v>
      </c>
      <c r="C122" s="3"/>
      <c r="D122" s="13">
        <f>+'Calendar Period Ended 12-18'!J117</f>
        <v>0</v>
      </c>
      <c r="E122" s="13">
        <f>+'Calendar Period Ended 12-18'!K117</f>
        <v>0</v>
      </c>
      <c r="F122" s="13">
        <f>+'Calendar Period Ended 12-18'!L117</f>
        <v>0</v>
      </c>
      <c r="G122" s="13">
        <f>+'Calendar Period Ended 12-18'!M117</f>
        <v>0</v>
      </c>
      <c r="H122" s="13">
        <f>+'Calendar Period Ended 12-18'!N117</f>
        <v>0</v>
      </c>
      <c r="I122" s="13">
        <f>+'Calendar Period Ended 12-18'!O117</f>
        <v>0</v>
      </c>
      <c r="J122" s="13">
        <f>+'6 Month P-L 6-19'!D100</f>
        <v>10298.76</v>
      </c>
      <c r="K122" s="13">
        <f>+'6 Month P-L 6-19'!E100</f>
        <v>0</v>
      </c>
      <c r="L122" s="13">
        <f>+'6 Month P-L 6-19'!F100</f>
        <v>0</v>
      </c>
      <c r="M122" s="13">
        <f>+'6 Month P-L 6-19'!G100</f>
        <v>0</v>
      </c>
      <c r="N122" s="13">
        <f>+'6 Month P-L 6-19'!H100</f>
        <v>0</v>
      </c>
      <c r="O122" s="13">
        <f>+'6 Month P-L 6-19'!I100</f>
        <v>0</v>
      </c>
      <c r="P122" s="13">
        <f t="shared" si="9"/>
        <v>10298.76</v>
      </c>
      <c r="Q122" s="13"/>
      <c r="R122" s="13">
        <f t="shared" si="10"/>
        <v>10298.76</v>
      </c>
    </row>
    <row r="123" spans="1:20" x14ac:dyDescent="0.25">
      <c r="A123" s="16" t="s">
        <v>232</v>
      </c>
      <c r="B123" s="3" t="s">
        <v>233</v>
      </c>
      <c r="C123" s="3"/>
      <c r="D123" s="13">
        <f>+'Calendar Period Ended 12-18'!J118</f>
        <v>0</v>
      </c>
      <c r="E123" s="13">
        <f>+'Calendar Period Ended 12-18'!K118</f>
        <v>0</v>
      </c>
      <c r="F123" s="13">
        <f>+'Calendar Period Ended 12-18'!L118</f>
        <v>0</v>
      </c>
      <c r="G123" s="13">
        <f>+'Calendar Period Ended 12-18'!M118</f>
        <v>0</v>
      </c>
      <c r="H123" s="13">
        <f>+'Calendar Period Ended 12-18'!N118</f>
        <v>0</v>
      </c>
      <c r="I123" s="13">
        <f>+'Calendar Period Ended 12-18'!O118</f>
        <v>1251.48</v>
      </c>
      <c r="J123" s="13">
        <f>+'6 Month P-L 6-19'!D101</f>
        <v>0</v>
      </c>
      <c r="K123" s="13">
        <f>+'6 Month P-L 6-19'!E101</f>
        <v>0</v>
      </c>
      <c r="L123" s="13">
        <f>+'6 Month P-L 6-19'!F101</f>
        <v>0</v>
      </c>
      <c r="M123" s="13">
        <f>+'6 Month P-L 6-19'!G101</f>
        <v>3106.48</v>
      </c>
      <c r="N123" s="13">
        <f>+'6 Month P-L 6-19'!H101</f>
        <v>0</v>
      </c>
      <c r="O123" s="13">
        <f>+'6 Month P-L 6-19'!I101</f>
        <v>0</v>
      </c>
      <c r="P123" s="13">
        <f t="shared" si="9"/>
        <v>4357.96</v>
      </c>
      <c r="Q123" s="13"/>
      <c r="R123" s="13">
        <f t="shared" si="10"/>
        <v>4357.96</v>
      </c>
    </row>
    <row r="124" spans="1:20" x14ac:dyDescent="0.25">
      <c r="A124" s="16" t="s">
        <v>234</v>
      </c>
      <c r="B124" s="3" t="s">
        <v>235</v>
      </c>
      <c r="C124" s="3"/>
      <c r="D124" s="14">
        <f>+'Calendar Period Ended 12-18'!J119</f>
        <v>1869.6000000000001</v>
      </c>
      <c r="E124" s="14">
        <f>+'Calendar Period Ended 12-18'!K119</f>
        <v>1613.3300000000002</v>
      </c>
      <c r="F124" s="14">
        <f>+'Calendar Period Ended 12-18'!L119</f>
        <v>1645.12</v>
      </c>
      <c r="G124" s="14">
        <f>+'Calendar Period Ended 12-18'!M119</f>
        <v>1944.76</v>
      </c>
      <c r="H124" s="14">
        <f>+'Calendar Period Ended 12-18'!N119</f>
        <v>1841.11</v>
      </c>
      <c r="I124" s="14">
        <f>+'Calendar Period Ended 12-18'!O119</f>
        <v>2025.27</v>
      </c>
      <c r="J124" s="14">
        <f>2498.24+70.02</f>
        <v>2568.2599999999998</v>
      </c>
      <c r="K124" s="14">
        <f>2282.11+70.02</f>
        <v>2352.13</v>
      </c>
      <c r="L124" s="14">
        <f>3008.94+70.02</f>
        <v>3078.96</v>
      </c>
      <c r="M124" s="14">
        <f>2240.73+70.02</f>
        <v>2310.75</v>
      </c>
      <c r="N124" s="14">
        <f>2080.95+70.02</f>
        <v>2150.9699999999998</v>
      </c>
      <c r="O124" s="14">
        <f>1888.35+77.02</f>
        <v>1965.37</v>
      </c>
      <c r="P124" s="14">
        <f t="shared" si="9"/>
        <v>25365.63</v>
      </c>
      <c r="Q124" s="13"/>
      <c r="R124" s="13">
        <f t="shared" si="10"/>
        <v>25365.63</v>
      </c>
      <c r="T124" s="13"/>
    </row>
    <row r="125" spans="1:20" x14ac:dyDescent="0.25">
      <c r="A125" s="3"/>
      <c r="B125" s="3"/>
      <c r="C125" s="3"/>
      <c r="D125" s="20">
        <f t="shared" ref="D125:R125" si="12">SUM(D19:D124)</f>
        <v>1299902.8900000004</v>
      </c>
      <c r="E125" s="20">
        <f t="shared" si="12"/>
        <v>1050689.1300000001</v>
      </c>
      <c r="F125" s="20">
        <f t="shared" si="12"/>
        <v>1114161.31</v>
      </c>
      <c r="G125" s="20">
        <f t="shared" si="12"/>
        <v>1154008.69</v>
      </c>
      <c r="H125" s="20">
        <f t="shared" si="12"/>
        <v>1276750.45</v>
      </c>
      <c r="I125" s="20">
        <f t="shared" si="12"/>
        <v>1157215.1399999997</v>
      </c>
      <c r="J125" s="20">
        <f t="shared" si="12"/>
        <v>1161082.1099999999</v>
      </c>
      <c r="K125" s="20">
        <f t="shared" si="12"/>
        <v>1077752.98</v>
      </c>
      <c r="L125" s="20">
        <f t="shared" si="12"/>
        <v>1178753.7799999998</v>
      </c>
      <c r="M125" s="20">
        <f t="shared" si="12"/>
        <v>1154596.4599999997</v>
      </c>
      <c r="N125" s="20">
        <f t="shared" si="12"/>
        <v>1260847.2599999998</v>
      </c>
      <c r="O125" s="20">
        <f t="shared" si="12"/>
        <v>1116437.57</v>
      </c>
      <c r="P125" s="20">
        <f t="shared" si="12"/>
        <v>14002197.770000005</v>
      </c>
      <c r="Q125" s="20">
        <f t="shared" si="12"/>
        <v>668</v>
      </c>
      <c r="R125" s="20">
        <f t="shared" si="12"/>
        <v>14002865.770000005</v>
      </c>
    </row>
    <row r="126" spans="1:20" x14ac:dyDescent="0.25">
      <c r="A126" s="3"/>
      <c r="B126" s="3"/>
      <c r="C126" s="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>
        <f t="shared" si="10"/>
        <v>0</v>
      </c>
    </row>
    <row r="127" spans="1:20" x14ac:dyDescent="0.25">
      <c r="A127" s="3" t="s">
        <v>323</v>
      </c>
      <c r="B127" s="3"/>
      <c r="C127" s="3"/>
      <c r="D127" s="13">
        <f t="shared" ref="D127:Q127" si="13">+D15-D125</f>
        <v>2205847.71</v>
      </c>
      <c r="E127" s="13">
        <f t="shared" si="13"/>
        <v>2275760.9699999997</v>
      </c>
      <c r="F127" s="13">
        <f t="shared" si="13"/>
        <v>2136502.9099999997</v>
      </c>
      <c r="G127" s="13">
        <f t="shared" si="13"/>
        <v>1495561.42</v>
      </c>
      <c r="H127" s="13">
        <f t="shared" si="13"/>
        <v>1173916.3099999998</v>
      </c>
      <c r="I127" s="13">
        <f t="shared" si="13"/>
        <v>1381321.67</v>
      </c>
      <c r="J127" s="13">
        <f t="shared" si="13"/>
        <v>1498851.9000000004</v>
      </c>
      <c r="K127" s="13">
        <f t="shared" si="13"/>
        <v>1339727.8299999996</v>
      </c>
      <c r="L127" s="13">
        <f t="shared" si="13"/>
        <v>1221406.1800000006</v>
      </c>
      <c r="M127" s="13">
        <f t="shared" si="13"/>
        <v>1260796.24</v>
      </c>
      <c r="N127" s="13">
        <f t="shared" si="13"/>
        <v>1897298.67</v>
      </c>
      <c r="O127" s="13">
        <f t="shared" si="13"/>
        <v>2187349.59</v>
      </c>
      <c r="P127" s="13">
        <f t="shared" si="13"/>
        <v>21100329.399999999</v>
      </c>
      <c r="Q127" s="13">
        <f t="shared" si="13"/>
        <v>2019.7399999999998</v>
      </c>
      <c r="R127" s="13">
        <f t="shared" si="10"/>
        <v>21102349.139999997</v>
      </c>
    </row>
    <row r="128" spans="1:20" x14ac:dyDescent="0.25">
      <c r="B128" s="3"/>
      <c r="C128" s="3"/>
      <c r="R128" s="13">
        <f t="shared" si="10"/>
        <v>0</v>
      </c>
    </row>
    <row r="129" spans="1:18" x14ac:dyDescent="0.25">
      <c r="A129" s="3" t="s">
        <v>246</v>
      </c>
      <c r="B129" s="3"/>
      <c r="C129" s="3"/>
      <c r="D129" s="45">
        <f>+'Calendar Period Ended 12-18'!J125</f>
        <v>2216952</v>
      </c>
      <c r="E129" s="45">
        <f>+'Calendar Period Ended 12-18'!K125</f>
        <v>2291930</v>
      </c>
      <c r="F129" s="45">
        <f>+'Calendar Period Ended 12-18'!L125</f>
        <v>2140229</v>
      </c>
      <c r="G129" s="45">
        <f>+'Calendar Period Ended 12-18'!M125</f>
        <v>1499999</v>
      </c>
      <c r="H129" s="45">
        <f>+'Calendar Period Ended 12-18'!N125</f>
        <v>1200439</v>
      </c>
      <c r="I129" s="45">
        <f>+'Calendar Period Ended 12-18'!O125</f>
        <v>1380642</v>
      </c>
      <c r="J129" s="45">
        <f>+'6 Month P-L 6-19'!D106</f>
        <v>1508849</v>
      </c>
      <c r="K129" s="45">
        <f>+'6 Month P-L 6-19'!E106</f>
        <v>1249865</v>
      </c>
      <c r="L129" s="45">
        <f>+'6 Month P-L 6-19'!F106</f>
        <v>1124392</v>
      </c>
      <c r="M129" s="45">
        <f>+'6 Month P-L 6-19'!G106</f>
        <v>1166717</v>
      </c>
      <c r="N129" s="45">
        <f>+'6 Month P-L 6-19'!H106</f>
        <v>1887403</v>
      </c>
      <c r="O129" s="45">
        <f>+'6 Month P-L 6-19'!I106</f>
        <v>2182977</v>
      </c>
      <c r="P129" s="45">
        <f>SUM(D129:O129)</f>
        <v>19850394</v>
      </c>
      <c r="Q129" s="45">
        <v>0</v>
      </c>
      <c r="R129" s="45">
        <f t="shared" si="10"/>
        <v>19850394</v>
      </c>
    </row>
    <row r="130" spans="1:18" x14ac:dyDescent="0.25">
      <c r="A130" t="s">
        <v>403</v>
      </c>
      <c r="B130" s="3"/>
      <c r="C130" s="3"/>
      <c r="D130" s="14">
        <v>-85157.5</v>
      </c>
      <c r="E130" s="14">
        <v>-86526.5</v>
      </c>
      <c r="F130" s="14">
        <v>-76315.5</v>
      </c>
      <c r="G130" s="14">
        <v>-85346.25</v>
      </c>
      <c r="H130" s="14">
        <v>-77154.25</v>
      </c>
      <c r="I130" s="14">
        <v>-79182.25</v>
      </c>
      <c r="J130" s="14">
        <v>-79396</v>
      </c>
      <c r="K130" s="14"/>
      <c r="L130" s="14"/>
      <c r="M130" s="14"/>
      <c r="N130" s="14">
        <v>-72560.5</v>
      </c>
      <c r="O130" s="14">
        <v>-77857.25</v>
      </c>
      <c r="P130" s="14">
        <f>SUM(D130:O130)</f>
        <v>-719496</v>
      </c>
      <c r="Q130" s="14"/>
      <c r="R130" s="14">
        <f t="shared" si="10"/>
        <v>-719496</v>
      </c>
    </row>
    <row r="131" spans="1:18" x14ac:dyDescent="0.25">
      <c r="B131" s="3"/>
      <c r="C131" s="3"/>
      <c r="D131" s="13">
        <f>SUM(D129:D130)</f>
        <v>2131794.5</v>
      </c>
      <c r="E131" s="13">
        <f t="shared" ref="E131:R131" si="14">SUM(E129:E130)</f>
        <v>2205403.5</v>
      </c>
      <c r="F131" s="13">
        <f t="shared" si="14"/>
        <v>2063913.5</v>
      </c>
      <c r="G131" s="13">
        <f t="shared" si="14"/>
        <v>1414652.75</v>
      </c>
      <c r="H131" s="13">
        <f t="shared" si="14"/>
        <v>1123284.75</v>
      </c>
      <c r="I131" s="13">
        <f t="shared" si="14"/>
        <v>1301459.75</v>
      </c>
      <c r="J131" s="13">
        <f t="shared" si="14"/>
        <v>1429453</v>
      </c>
      <c r="K131" s="13">
        <f t="shared" si="14"/>
        <v>1249865</v>
      </c>
      <c r="L131" s="13">
        <f t="shared" si="14"/>
        <v>1124392</v>
      </c>
      <c r="M131" s="13">
        <f t="shared" si="14"/>
        <v>1166717</v>
      </c>
      <c r="N131" s="13">
        <f t="shared" si="14"/>
        <v>1814842.5</v>
      </c>
      <c r="O131" s="13">
        <f t="shared" si="14"/>
        <v>2105119.75</v>
      </c>
      <c r="P131" s="13">
        <f t="shared" si="14"/>
        <v>19130898</v>
      </c>
      <c r="Q131" s="13">
        <f t="shared" si="14"/>
        <v>0</v>
      </c>
      <c r="R131" s="13">
        <f t="shared" si="14"/>
        <v>19130898</v>
      </c>
    </row>
    <row r="132" spans="1:18" x14ac:dyDescent="0.25">
      <c r="B132" s="3"/>
      <c r="C132" s="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x14ac:dyDescent="0.25">
      <c r="A133" s="3" t="s">
        <v>309</v>
      </c>
      <c r="B133" s="3"/>
      <c r="C133" s="3"/>
      <c r="D133" s="13">
        <f>+D127-D129</f>
        <v>-11104.290000000037</v>
      </c>
      <c r="E133" s="13">
        <f t="shared" ref="E133:P133" si="15">+E127-E129</f>
        <v>-16169.030000000261</v>
      </c>
      <c r="F133" s="13">
        <f t="shared" si="15"/>
        <v>-3726.0900000003166</v>
      </c>
      <c r="G133" s="13">
        <f t="shared" si="15"/>
        <v>-4437.5800000000745</v>
      </c>
      <c r="H133" s="13">
        <f t="shared" si="15"/>
        <v>-26522.690000000177</v>
      </c>
      <c r="I133" s="13">
        <f t="shared" si="15"/>
        <v>679.66999999992549</v>
      </c>
      <c r="J133" s="13">
        <f t="shared" si="15"/>
        <v>-9997.0999999996275</v>
      </c>
      <c r="K133" s="13">
        <f t="shared" si="15"/>
        <v>89862.829999999609</v>
      </c>
      <c r="L133" s="13">
        <f t="shared" si="15"/>
        <v>97014.180000000633</v>
      </c>
      <c r="M133" s="13">
        <f t="shared" si="15"/>
        <v>94079.239999999991</v>
      </c>
      <c r="N133" s="13">
        <f t="shared" si="15"/>
        <v>9895.6699999999255</v>
      </c>
      <c r="O133" s="13">
        <f t="shared" si="15"/>
        <v>4372.589999999851</v>
      </c>
      <c r="P133" s="13">
        <f t="shared" si="15"/>
        <v>1249935.3999999985</v>
      </c>
      <c r="Q133" s="13">
        <f t="shared" ref="Q133" si="16">+Q127-Q129</f>
        <v>2019.7399999999998</v>
      </c>
      <c r="R133" s="13">
        <f t="shared" si="10"/>
        <v>1251955.1399999985</v>
      </c>
    </row>
    <row r="135" spans="1:18" x14ac:dyDescent="0.25">
      <c r="A135" t="s">
        <v>244</v>
      </c>
      <c r="D135" s="13">
        <f>+'Calendar Period Ended 12-18'!I129</f>
        <v>1500</v>
      </c>
      <c r="E135" s="13">
        <f>+'Calendar Period Ended 12-18'!J129</f>
        <v>1550</v>
      </c>
      <c r="F135" s="13">
        <f>+'Calendar Period Ended 12-18'!K129</f>
        <v>1550</v>
      </c>
      <c r="G135" s="13">
        <f>+'Calendar Period Ended 12-18'!L129</f>
        <v>1508</v>
      </c>
      <c r="H135" s="13">
        <f>+'Calendar Period Ended 12-18'!M129</f>
        <v>1550</v>
      </c>
      <c r="I135" s="13">
        <f>+'Calendar Period Ended 12-18'!N129</f>
        <v>1500</v>
      </c>
      <c r="J135" s="13">
        <f>+'6 Month P-L 6-19'!D110</f>
        <v>1519</v>
      </c>
      <c r="K135" s="13">
        <f>+'6 Month P-L 6-19'!E110</f>
        <v>1391</v>
      </c>
      <c r="L135" s="13">
        <f>+'6 Month P-L 6-19'!F110</f>
        <v>1509</v>
      </c>
      <c r="M135" s="13">
        <f>+'6 Month P-L 6-19'!G110</f>
        <v>1441</v>
      </c>
      <c r="N135" s="13">
        <f>+'6 Month P-L 6-19'!H110</f>
        <v>1519</v>
      </c>
      <c r="O135" s="13">
        <f>+'6 Month P-L 6-19'!I110</f>
        <v>1480</v>
      </c>
      <c r="P135" s="13">
        <f>SUM(D135:O135)</f>
        <v>18017</v>
      </c>
    </row>
    <row r="136" spans="1:18" x14ac:dyDescent="0.25"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8" x14ac:dyDescent="0.25">
      <c r="A137" t="s">
        <v>247</v>
      </c>
      <c r="D137" s="13">
        <f>+'Calendar Period Ended 12-18'!J131</f>
        <v>50</v>
      </c>
      <c r="E137" s="13">
        <f>+'Calendar Period Ended 12-18'!K131</f>
        <v>50</v>
      </c>
      <c r="F137" s="13">
        <f>+'Calendar Period Ended 12-18'!L131</f>
        <v>51</v>
      </c>
      <c r="G137" s="13">
        <f>+'Calendar Period Ended 12-18'!M131</f>
        <v>50</v>
      </c>
      <c r="H137" s="13">
        <f>+'Calendar Period Ended 12-18'!N131</f>
        <v>50</v>
      </c>
      <c r="I137" s="13">
        <f>+'Calendar Period Ended 12-18'!O131</f>
        <v>50</v>
      </c>
      <c r="J137" s="13">
        <f>+'6 Month P-L 6-19'!D112</f>
        <v>49</v>
      </c>
      <c r="K137" s="13">
        <f>+'6 Month P-L 6-19'!E112</f>
        <v>50</v>
      </c>
      <c r="L137" s="13">
        <f>+'6 Month P-L 6-19'!F112</f>
        <v>49</v>
      </c>
      <c r="M137" s="13">
        <f>+'6 Month P-L 6-19'!G112</f>
        <v>49</v>
      </c>
      <c r="N137" s="13">
        <f>+'6 Month P-L 6-19'!H112</f>
        <v>49</v>
      </c>
      <c r="O137" s="13">
        <f>+'6 Month P-L 6-19'!I112</f>
        <v>50</v>
      </c>
      <c r="P137" s="22"/>
    </row>
    <row r="138" spans="1:18" x14ac:dyDescent="0.25"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22"/>
    </row>
    <row r="139" spans="1:18" x14ac:dyDescent="0.25"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8" x14ac:dyDescent="0.25"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</sheetData>
  <printOptions headings="1" gridLines="1"/>
  <pageMargins left="0.45" right="0.45" top="0.75" bottom="0.75" header="0.3" footer="0.3"/>
  <pageSetup scale="62" fitToHeight="0" orientation="landscape" r:id="rId1"/>
  <headerFooter>
    <oddFooter>&amp;L&amp;D&amp;C&amp;F      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view="pageLayout" topLeftCell="A61" zoomScaleNormal="100" workbookViewId="0">
      <selection activeCell="G73" sqref="G73"/>
    </sheetView>
  </sheetViews>
  <sheetFormatPr defaultRowHeight="15" x14ac:dyDescent="0.25"/>
  <cols>
    <col min="1" max="1" width="9.140625" customWidth="1"/>
    <col min="2" max="2" width="19.85546875" customWidth="1"/>
    <col min="3" max="4" width="4.7109375" customWidth="1"/>
    <col min="5" max="5" width="27" bestFit="1" customWidth="1"/>
    <col min="6" max="6" width="2.7109375" customWidth="1"/>
    <col min="7" max="7" width="17.140625" customWidth="1"/>
    <col min="8" max="8" width="2.7109375" customWidth="1"/>
    <col min="9" max="9" width="14.7109375" customWidth="1"/>
    <col min="10" max="10" width="2.7109375" customWidth="1"/>
    <col min="11" max="11" width="14.7109375" customWidth="1"/>
    <col min="12" max="12" width="2.7109375" customWidth="1"/>
    <col min="13" max="13" width="14.7109375" customWidth="1"/>
    <col min="14" max="16" width="10.85546875" bestFit="1" customWidth="1"/>
  </cols>
  <sheetData>
    <row r="1" spans="1:15" ht="18.75" x14ac:dyDescent="0.3">
      <c r="B1" s="1" t="s">
        <v>0</v>
      </c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18.75" x14ac:dyDescent="0.3">
      <c r="B2" s="1" t="s">
        <v>251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5" ht="18.75" x14ac:dyDescent="0.3">
      <c r="B3" s="1" t="s">
        <v>248</v>
      </c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15" ht="18.75" x14ac:dyDescent="0.3">
      <c r="A4" s="36" t="s">
        <v>320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</row>
    <row r="5" spans="1:15" x14ac:dyDescent="0.25">
      <c r="A5" s="37" t="s">
        <v>321</v>
      </c>
      <c r="B5" s="29" t="s">
        <v>314</v>
      </c>
      <c r="C5" s="29"/>
      <c r="D5" s="29"/>
      <c r="E5" s="29" t="s">
        <v>315</v>
      </c>
      <c r="F5" s="29"/>
      <c r="G5" s="29" t="s">
        <v>316</v>
      </c>
      <c r="H5" s="29"/>
      <c r="I5" s="29" t="s">
        <v>317</v>
      </c>
      <c r="J5" s="29"/>
      <c r="K5" s="29" t="s">
        <v>318</v>
      </c>
      <c r="L5" s="29"/>
      <c r="M5" s="29" t="s">
        <v>319</v>
      </c>
    </row>
    <row r="6" spans="1:15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5" x14ac:dyDescent="0.25">
      <c r="B7" s="3"/>
      <c r="C7" s="3"/>
      <c r="D7" s="3"/>
      <c r="E7" s="3"/>
      <c r="F7" s="3"/>
      <c r="G7" s="23" t="s">
        <v>252</v>
      </c>
      <c r="H7" s="3"/>
      <c r="I7" s="23" t="s">
        <v>253</v>
      </c>
      <c r="J7" s="3"/>
      <c r="K7" s="23" t="s">
        <v>310</v>
      </c>
      <c r="L7" s="3"/>
      <c r="M7" s="23" t="s">
        <v>254</v>
      </c>
    </row>
    <row r="8" spans="1:15" x14ac:dyDescent="0.25">
      <c r="B8" s="24" t="s">
        <v>3</v>
      </c>
      <c r="C8" s="3"/>
      <c r="D8" s="3"/>
      <c r="E8" s="24" t="s">
        <v>255</v>
      </c>
      <c r="F8" s="3"/>
      <c r="G8" s="25" t="s">
        <v>306</v>
      </c>
      <c r="H8" s="3"/>
      <c r="I8" s="25" t="s">
        <v>256</v>
      </c>
      <c r="J8" s="3"/>
      <c r="K8" s="25" t="s">
        <v>256</v>
      </c>
      <c r="L8" s="3"/>
      <c r="M8" s="25" t="s">
        <v>257</v>
      </c>
    </row>
    <row r="9" spans="1:15" x14ac:dyDescent="0.25">
      <c r="A9" s="35">
        <v>7</v>
      </c>
      <c r="B9" s="3" t="s">
        <v>19</v>
      </c>
      <c r="C9" s="3"/>
      <c r="D9" s="3"/>
      <c r="E9" s="3" t="s">
        <v>20</v>
      </c>
      <c r="F9" s="3"/>
      <c r="G9" s="31">
        <f>+'Fiscal Period Ended 6-19'!R7</f>
        <v>32163924.25</v>
      </c>
      <c r="H9" s="31"/>
      <c r="I9" s="31"/>
      <c r="J9" s="31"/>
      <c r="K9" s="31">
        <f>+'Pro Forma Entries'!L73</f>
        <v>12544578</v>
      </c>
      <c r="L9" s="31"/>
      <c r="M9" s="31">
        <f>SUM(G9:K9)</f>
        <v>44708502.25</v>
      </c>
      <c r="O9" s="34"/>
    </row>
    <row r="10" spans="1:15" x14ac:dyDescent="0.25">
      <c r="A10" s="35">
        <f>+A9+1</f>
        <v>8</v>
      </c>
      <c r="B10" s="3" t="s">
        <v>21</v>
      </c>
      <c r="C10" s="3"/>
      <c r="D10" s="3"/>
      <c r="E10" s="3" t="s">
        <v>22</v>
      </c>
      <c r="F10" s="3"/>
      <c r="G10" s="32">
        <f>+'Fiscal Period Ended 6-19'!R8</f>
        <v>1946016</v>
      </c>
      <c r="H10" s="46"/>
      <c r="I10" s="32"/>
      <c r="J10" s="46"/>
      <c r="K10" s="32">
        <f>+'Pro Forma Entries'!L74</f>
        <v>-29232</v>
      </c>
      <c r="L10" s="46"/>
      <c r="M10" s="32">
        <f>SUM(G10:K10)</f>
        <v>1916784</v>
      </c>
      <c r="N10" s="34"/>
    </row>
    <row r="11" spans="1:15" x14ac:dyDescent="0.25">
      <c r="A11" s="35"/>
      <c r="B11" s="3" t="s">
        <v>258</v>
      </c>
      <c r="C11" s="3"/>
      <c r="D11" s="3"/>
      <c r="E11" s="3"/>
      <c r="F11" s="3"/>
      <c r="G11" s="31">
        <f>SUM(G9:G10)</f>
        <v>34109940.25</v>
      </c>
      <c r="H11" s="31"/>
      <c r="I11" s="31">
        <f>SUM(I9:I10)</f>
        <v>0</v>
      </c>
      <c r="J11" s="31"/>
      <c r="K11" s="31">
        <f>SUM(K9:K10)</f>
        <v>12515346</v>
      </c>
      <c r="L11" s="31"/>
      <c r="M11" s="31">
        <f>SUM(M9:M10)</f>
        <v>46625286.25</v>
      </c>
      <c r="N11" s="34"/>
      <c r="O11" s="34"/>
    </row>
    <row r="12" spans="1:15" x14ac:dyDescent="0.25">
      <c r="A12" s="35"/>
      <c r="B12" s="3"/>
      <c r="C12" s="3"/>
      <c r="D12" s="3"/>
      <c r="E12" s="3"/>
      <c r="F12" s="3"/>
      <c r="G12" s="31"/>
      <c r="H12" s="31"/>
      <c r="I12" s="31"/>
      <c r="J12" s="31"/>
      <c r="K12" s="31"/>
      <c r="L12" s="31"/>
      <c r="M12" s="31"/>
    </row>
    <row r="13" spans="1:15" x14ac:dyDescent="0.25">
      <c r="A13" s="35">
        <f>+A10+1</f>
        <v>9</v>
      </c>
      <c r="B13" s="3" t="s">
        <v>23</v>
      </c>
      <c r="C13" s="3"/>
      <c r="D13" s="3"/>
      <c r="E13" s="3" t="s">
        <v>24</v>
      </c>
      <c r="F13" s="3"/>
      <c r="G13" s="31">
        <f>+'Fiscal Period Ended 6-19'!R13</f>
        <v>8531.0299999999988</v>
      </c>
      <c r="H13" s="31"/>
      <c r="I13" s="31"/>
      <c r="J13" s="31"/>
      <c r="K13" s="31"/>
      <c r="L13" s="31"/>
      <c r="M13" s="31">
        <f>SUM(G13:L13)</f>
        <v>8531.0299999999988</v>
      </c>
    </row>
    <row r="14" spans="1:15" x14ac:dyDescent="0.25">
      <c r="A14" s="35">
        <f>+A13+1</f>
        <v>10</v>
      </c>
      <c r="B14" s="3" t="s">
        <v>25</v>
      </c>
      <c r="C14" s="3"/>
      <c r="D14" s="3"/>
      <c r="E14" s="3" t="s">
        <v>26</v>
      </c>
      <c r="F14" s="3"/>
      <c r="G14" s="32">
        <f>+'Fiscal Period Ended 6-19'!R14</f>
        <v>-39244.369999999995</v>
      </c>
      <c r="H14" s="31"/>
      <c r="I14" s="31">
        <f>+'Restating Entries'!L8</f>
        <v>39244</v>
      </c>
      <c r="J14" s="31"/>
      <c r="K14" s="32"/>
      <c r="L14" s="31"/>
      <c r="M14" s="32">
        <f t="shared" ref="M14:M15" si="0">SUM(G14:K14)</f>
        <v>-0.36999999999534339</v>
      </c>
    </row>
    <row r="15" spans="1:15" x14ac:dyDescent="0.25">
      <c r="A15" s="35"/>
      <c r="B15" s="3" t="s">
        <v>259</v>
      </c>
      <c r="C15" s="3"/>
      <c r="D15" s="3"/>
      <c r="E15" s="3"/>
      <c r="F15" s="3"/>
      <c r="G15" s="33">
        <f>SUM(G13:G14)</f>
        <v>-30713.339999999997</v>
      </c>
      <c r="H15" s="31"/>
      <c r="I15" s="33">
        <f>SUM(I13:I14)</f>
        <v>39244</v>
      </c>
      <c r="J15" s="31"/>
      <c r="K15" s="33"/>
      <c r="L15" s="31"/>
      <c r="M15" s="32">
        <f t="shared" si="0"/>
        <v>8530.6600000000035</v>
      </c>
    </row>
    <row r="16" spans="1:15" x14ac:dyDescent="0.25">
      <c r="A16" s="35"/>
      <c r="B16" s="3" t="s">
        <v>260</v>
      </c>
      <c r="C16" s="3"/>
      <c r="D16" s="3"/>
      <c r="E16" s="3"/>
      <c r="F16" s="3"/>
      <c r="G16" s="31">
        <f>+G11+G15</f>
        <v>34079226.909999996</v>
      </c>
      <c r="H16" s="31"/>
      <c r="I16" s="31">
        <f>+I11+I15</f>
        <v>39244</v>
      </c>
      <c r="J16" s="31"/>
      <c r="K16" s="31">
        <f>+K11+K15</f>
        <v>12515346</v>
      </c>
      <c r="L16" s="31"/>
      <c r="M16" s="31">
        <f>+M11+M15</f>
        <v>46633816.909999996</v>
      </c>
    </row>
    <row r="17" spans="1:15" x14ac:dyDescent="0.25">
      <c r="A17" s="35"/>
      <c r="B17" s="3"/>
      <c r="C17" s="3"/>
      <c r="D17" s="3"/>
      <c r="E17" s="3"/>
      <c r="F17" s="3"/>
      <c r="G17" s="31"/>
      <c r="H17" s="31"/>
      <c r="I17" s="31"/>
      <c r="J17" s="31"/>
      <c r="K17" s="31"/>
      <c r="L17" s="31"/>
      <c r="M17" s="31"/>
    </row>
    <row r="18" spans="1:15" x14ac:dyDescent="0.25">
      <c r="A18" s="35"/>
      <c r="B18" s="30" t="s">
        <v>27</v>
      </c>
      <c r="C18" s="3"/>
      <c r="D18" s="3"/>
      <c r="E18" s="3"/>
      <c r="F18" s="3"/>
      <c r="G18" s="31"/>
      <c r="H18" s="31"/>
      <c r="I18" s="31"/>
      <c r="J18" s="31"/>
      <c r="K18" s="31"/>
      <c r="L18" s="31"/>
      <c r="M18" s="31"/>
    </row>
    <row r="19" spans="1:15" x14ac:dyDescent="0.25">
      <c r="A19" s="35">
        <v>11</v>
      </c>
      <c r="B19" s="3" t="s">
        <v>28</v>
      </c>
      <c r="C19" s="3"/>
      <c r="D19" s="3"/>
      <c r="E19" s="3" t="s">
        <v>29</v>
      </c>
      <c r="F19" s="3"/>
      <c r="G19" s="31">
        <f>+'Fiscal Period Ended 6-19'!R19</f>
        <v>36106</v>
      </c>
      <c r="H19" s="31"/>
      <c r="I19" s="31">
        <f>+'Restating Entries'!L14</f>
        <v>-12000</v>
      </c>
      <c r="J19" s="31"/>
      <c r="K19" s="31"/>
      <c r="L19" s="31"/>
      <c r="M19" s="31">
        <f t="shared" ref="M19:M68" si="1">SUM(G19:K19)</f>
        <v>24106</v>
      </c>
    </row>
    <row r="20" spans="1:15" x14ac:dyDescent="0.25">
      <c r="A20" s="35">
        <f>+A19+1</f>
        <v>12</v>
      </c>
      <c r="B20" s="3" t="s">
        <v>30</v>
      </c>
      <c r="C20" s="3"/>
      <c r="D20" s="3"/>
      <c r="E20" s="3" t="s">
        <v>31</v>
      </c>
      <c r="F20" s="3"/>
      <c r="G20" s="31">
        <f>+'Fiscal Period Ended 6-19'!R20</f>
        <v>394744.46</v>
      </c>
      <c r="H20" s="31"/>
      <c r="I20" s="31">
        <f>+'Restating Entries'!L94</f>
        <v>42998.239999999998</v>
      </c>
      <c r="J20" s="31"/>
      <c r="K20" s="31">
        <f>+'Pro Forma Entries'!L8+'Pro Forma Entries'!L12</f>
        <v>238462.27500000008</v>
      </c>
      <c r="L20" s="31"/>
      <c r="M20" s="31">
        <f t="shared" si="1"/>
        <v>676204.97500000009</v>
      </c>
    </row>
    <row r="21" spans="1:15" x14ac:dyDescent="0.25">
      <c r="A21" s="35">
        <f t="shared" ref="A21:A65" si="2">+A20+1</f>
        <v>13</v>
      </c>
      <c r="B21" s="3" t="s">
        <v>32</v>
      </c>
      <c r="C21" s="3"/>
      <c r="D21" s="3"/>
      <c r="E21" s="3" t="s">
        <v>33</v>
      </c>
      <c r="F21" s="3"/>
      <c r="G21" s="31">
        <f>+'Fiscal Period Ended 6-19'!R21</f>
        <v>15227.080000000002</v>
      </c>
      <c r="H21" s="31"/>
      <c r="I21" s="31"/>
      <c r="J21" s="31"/>
      <c r="K21" s="31"/>
      <c r="L21" s="31"/>
      <c r="M21" s="31">
        <f t="shared" si="1"/>
        <v>15227.080000000002</v>
      </c>
    </row>
    <row r="22" spans="1:15" x14ac:dyDescent="0.25">
      <c r="A22" s="35">
        <f t="shared" si="2"/>
        <v>14</v>
      </c>
      <c r="B22" s="3" t="s">
        <v>34</v>
      </c>
      <c r="C22" s="3"/>
      <c r="D22" s="3"/>
      <c r="E22" s="3" t="s">
        <v>35</v>
      </c>
      <c r="F22" s="3"/>
      <c r="G22" s="31">
        <f>+'Fiscal Period Ended 6-19'!R22</f>
        <v>1479.82</v>
      </c>
      <c r="H22" s="31"/>
      <c r="I22" s="31">
        <f>+'Restating Entries'!L21</f>
        <v>8622</v>
      </c>
      <c r="J22" s="31"/>
      <c r="K22" s="31"/>
      <c r="L22" s="31"/>
      <c r="M22" s="31">
        <f t="shared" si="1"/>
        <v>10101.82</v>
      </c>
    </row>
    <row r="23" spans="1:15" x14ac:dyDescent="0.25">
      <c r="A23" s="35">
        <f t="shared" si="2"/>
        <v>15</v>
      </c>
      <c r="B23" s="3" t="s">
        <v>36</v>
      </c>
      <c r="C23" s="3"/>
      <c r="D23" s="3"/>
      <c r="E23" s="3" t="s">
        <v>37</v>
      </c>
      <c r="F23" s="3"/>
      <c r="G23" s="31">
        <f>+'Fiscal Period Ended 6-19'!R23</f>
        <v>-16567.75</v>
      </c>
      <c r="H23" s="31"/>
      <c r="I23" s="31">
        <f>+'Restating Entries'!L26</f>
        <v>16568</v>
      </c>
      <c r="J23" s="31"/>
      <c r="K23" s="31"/>
      <c r="L23" s="31"/>
      <c r="M23" s="31">
        <f t="shared" si="1"/>
        <v>0.25</v>
      </c>
    </row>
    <row r="24" spans="1:15" x14ac:dyDescent="0.25">
      <c r="A24" s="35">
        <f t="shared" si="2"/>
        <v>16</v>
      </c>
      <c r="B24" s="3" t="s">
        <v>38</v>
      </c>
      <c r="C24" s="3"/>
      <c r="D24" s="3"/>
      <c r="E24" s="3" t="s">
        <v>39</v>
      </c>
      <c r="F24" s="3"/>
      <c r="G24" s="31">
        <f>+'Fiscal Period Ended 6-19'!R24</f>
        <v>150000</v>
      </c>
      <c r="H24" s="31"/>
      <c r="I24" s="31"/>
      <c r="J24" s="31"/>
      <c r="K24" s="31"/>
      <c r="L24" s="31"/>
      <c r="M24" s="31">
        <f t="shared" si="1"/>
        <v>150000</v>
      </c>
    </row>
    <row r="25" spans="1:15" x14ac:dyDescent="0.25">
      <c r="A25" s="35">
        <f t="shared" si="2"/>
        <v>17</v>
      </c>
      <c r="B25" s="3" t="s">
        <v>261</v>
      </c>
      <c r="C25" s="3"/>
      <c r="D25" s="3"/>
      <c r="E25" s="3" t="s">
        <v>262</v>
      </c>
      <c r="F25" s="3"/>
      <c r="G25" s="31">
        <f>+'Fiscal Period Ended 6-19'!R25+'Fiscal Period Ended 6-19'!R26+'Fiscal Period Ended 6-19'!R27+'Fiscal Period Ended 6-19'!R28</f>
        <v>211503.99</v>
      </c>
      <c r="H25" s="31"/>
      <c r="I25" s="31"/>
      <c r="J25" s="31"/>
      <c r="K25" s="31"/>
      <c r="L25" s="31"/>
      <c r="M25" s="31">
        <f t="shared" si="1"/>
        <v>211503.99</v>
      </c>
    </row>
    <row r="26" spans="1:15" x14ac:dyDescent="0.25">
      <c r="A26" s="35">
        <f t="shared" si="2"/>
        <v>18</v>
      </c>
      <c r="B26" s="3" t="s">
        <v>48</v>
      </c>
      <c r="C26" s="3"/>
      <c r="D26" s="3"/>
      <c r="E26" s="3" t="s">
        <v>49</v>
      </c>
      <c r="F26" s="3"/>
      <c r="G26" s="31">
        <f>+'Fiscal Period Ended 6-19'!R29</f>
        <v>31378.600000000002</v>
      </c>
      <c r="H26" s="31"/>
      <c r="I26" s="31"/>
      <c r="J26" s="31"/>
      <c r="K26" s="31"/>
      <c r="L26" s="31"/>
      <c r="M26" s="31">
        <f t="shared" si="1"/>
        <v>31378.600000000002</v>
      </c>
    </row>
    <row r="27" spans="1:15" x14ac:dyDescent="0.25">
      <c r="A27" s="35">
        <f t="shared" si="2"/>
        <v>19</v>
      </c>
      <c r="B27" s="3" t="s">
        <v>50</v>
      </c>
      <c r="C27" s="3"/>
      <c r="D27" s="3"/>
      <c r="E27" s="3" t="s">
        <v>51</v>
      </c>
      <c r="F27" s="3"/>
      <c r="G27" s="31">
        <f>+'Fiscal Period Ended 6-19'!R30</f>
        <v>142228.71</v>
      </c>
      <c r="H27" s="31"/>
      <c r="I27" s="31"/>
      <c r="J27" s="31"/>
      <c r="K27" s="31">
        <f>+'Pro Forma Entries'!L16</f>
        <v>69963.199999999997</v>
      </c>
      <c r="L27" s="31"/>
      <c r="M27" s="31">
        <f t="shared" si="1"/>
        <v>212191.90999999997</v>
      </c>
    </row>
    <row r="28" spans="1:15" x14ac:dyDescent="0.25">
      <c r="A28" s="35">
        <f t="shared" si="2"/>
        <v>20</v>
      </c>
      <c r="B28" s="3" t="s">
        <v>52</v>
      </c>
      <c r="C28" s="3"/>
      <c r="D28" s="3"/>
      <c r="E28" s="3" t="s">
        <v>53</v>
      </c>
      <c r="F28" s="3"/>
      <c r="G28" s="31">
        <f>+'Fiscal Period Ended 6-19'!R31</f>
        <v>70932</v>
      </c>
      <c r="H28" s="31"/>
      <c r="I28" s="31"/>
      <c r="J28" s="31"/>
      <c r="K28" s="31">
        <f>2800+138+3910</f>
        <v>6848</v>
      </c>
      <c r="L28" s="31"/>
      <c r="M28" s="31">
        <f t="shared" si="1"/>
        <v>77780</v>
      </c>
    </row>
    <row r="29" spans="1:15" x14ac:dyDescent="0.25">
      <c r="A29" s="35">
        <f t="shared" si="2"/>
        <v>21</v>
      </c>
      <c r="B29" s="3" t="s">
        <v>54</v>
      </c>
      <c r="C29" s="3"/>
      <c r="D29" s="3"/>
      <c r="E29" s="3" t="s">
        <v>55</v>
      </c>
      <c r="F29" s="3"/>
      <c r="G29" s="31">
        <f>+'Fiscal Period Ended 6-19'!R32</f>
        <v>14670.2</v>
      </c>
      <c r="H29" s="31"/>
      <c r="I29" s="31">
        <f>+'Restating Entries'!L32</f>
        <v>-14670</v>
      </c>
      <c r="J29" s="31"/>
      <c r="K29" s="31"/>
      <c r="L29" s="31"/>
      <c r="M29" s="31">
        <f t="shared" si="1"/>
        <v>0.2000000000007276</v>
      </c>
    </row>
    <row r="30" spans="1:15" x14ac:dyDescent="0.25">
      <c r="A30" s="35">
        <f t="shared" si="2"/>
        <v>22</v>
      </c>
      <c r="B30" s="3" t="s">
        <v>263</v>
      </c>
      <c r="C30" s="3"/>
      <c r="D30" s="3"/>
      <c r="E30" s="3" t="s">
        <v>264</v>
      </c>
      <c r="F30" s="3"/>
      <c r="G30" s="31">
        <f>+'Fiscal Period Ended 6-19'!R33+'Fiscal Period Ended 6-19'!R34+'Fiscal Period Ended 6-19'!R35+'Fiscal Period Ended 6-19'!R36</f>
        <v>163684</v>
      </c>
      <c r="H30" s="31"/>
      <c r="I30" s="31">
        <f>+'Restating Entries'!L36</f>
        <v>-6636</v>
      </c>
      <c r="J30" s="31"/>
      <c r="K30" s="31"/>
      <c r="L30" s="31"/>
      <c r="M30" s="31">
        <f t="shared" si="1"/>
        <v>157048</v>
      </c>
    </row>
    <row r="31" spans="1:15" x14ac:dyDescent="0.25">
      <c r="A31" s="35">
        <f t="shared" si="2"/>
        <v>23</v>
      </c>
      <c r="B31" s="3" t="s">
        <v>64</v>
      </c>
      <c r="C31" s="3"/>
      <c r="D31" s="3"/>
      <c r="E31" s="3" t="s">
        <v>65</v>
      </c>
      <c r="F31" s="3"/>
      <c r="G31" s="31">
        <f>+'Fiscal Period Ended 6-19'!R37</f>
        <v>1970.55</v>
      </c>
      <c r="H31" s="31"/>
      <c r="I31" s="31"/>
      <c r="J31" s="31"/>
      <c r="K31" s="31"/>
      <c r="L31" s="31"/>
      <c r="M31" s="31">
        <f t="shared" si="1"/>
        <v>1970.55</v>
      </c>
    </row>
    <row r="32" spans="1:15" x14ac:dyDescent="0.25">
      <c r="A32" s="35">
        <f t="shared" si="2"/>
        <v>24</v>
      </c>
      <c r="B32" s="3" t="s">
        <v>265</v>
      </c>
      <c r="C32" s="3"/>
      <c r="D32" s="3"/>
      <c r="E32" s="3" t="s">
        <v>266</v>
      </c>
      <c r="F32" s="3"/>
      <c r="G32" s="31">
        <f>+'Fiscal Period Ended 6-19'!R38+'Fiscal Period Ended 6-19'!R39</f>
        <v>265134.18</v>
      </c>
      <c r="H32" s="31"/>
      <c r="I32" s="31">
        <f>+'Restating Entries'!L40</f>
        <v>6230</v>
      </c>
      <c r="J32" s="31"/>
      <c r="K32" s="31">
        <f>+'[1]IBU Medical'!$H$32</f>
        <v>14437.965987179496</v>
      </c>
      <c r="L32" s="31"/>
      <c r="M32" s="31">
        <f t="shared" si="1"/>
        <v>285802.14598717948</v>
      </c>
      <c r="O32" s="34"/>
    </row>
    <row r="33" spans="1:15" x14ac:dyDescent="0.25">
      <c r="A33" s="35">
        <f t="shared" si="2"/>
        <v>25</v>
      </c>
      <c r="B33" s="3" t="s">
        <v>267</v>
      </c>
      <c r="C33" s="3"/>
      <c r="D33" s="3"/>
      <c r="E33" s="3" t="s">
        <v>268</v>
      </c>
      <c r="F33" s="3"/>
      <c r="G33" s="31">
        <f>+'Fiscal Period Ended 6-19'!R40+'Fiscal Period Ended 6-19'!R41+'Fiscal Period Ended 6-19'!R42</f>
        <v>154519.47</v>
      </c>
      <c r="H33" s="31"/>
      <c r="I33" s="31">
        <f>+'Restating Entries'!L45</f>
        <v>-28.020000000000437</v>
      </c>
      <c r="J33" s="31"/>
      <c r="K33" s="31"/>
      <c r="L33" s="31"/>
      <c r="M33" s="31">
        <f t="shared" si="1"/>
        <v>154491.45000000001</v>
      </c>
    </row>
    <row r="34" spans="1:15" x14ac:dyDescent="0.25">
      <c r="A34" s="35">
        <f t="shared" si="2"/>
        <v>26</v>
      </c>
      <c r="B34" s="3" t="s">
        <v>76</v>
      </c>
      <c r="C34" s="3"/>
      <c r="D34" s="3"/>
      <c r="E34" s="3" t="s">
        <v>269</v>
      </c>
      <c r="F34" s="3"/>
      <c r="G34" s="31">
        <f>+'Fiscal Period Ended 6-19'!R43</f>
        <v>339108</v>
      </c>
      <c r="H34" s="31"/>
      <c r="I34" s="31"/>
      <c r="J34" s="31"/>
      <c r="K34" s="31"/>
      <c r="L34" s="31"/>
      <c r="M34" s="31">
        <f t="shared" si="1"/>
        <v>339108</v>
      </c>
    </row>
    <row r="35" spans="1:15" x14ac:dyDescent="0.25">
      <c r="A35" s="35">
        <f t="shared" si="2"/>
        <v>27</v>
      </c>
      <c r="B35" s="3" t="s">
        <v>78</v>
      </c>
      <c r="C35" s="3"/>
      <c r="D35" s="3"/>
      <c r="E35" s="3" t="s">
        <v>79</v>
      </c>
      <c r="F35" s="3"/>
      <c r="G35" s="31">
        <f>+'Fiscal Period Ended 6-19'!R44</f>
        <v>345</v>
      </c>
      <c r="H35" s="31"/>
      <c r="I35" s="31">
        <f>+'Restating Entries'!L50</f>
        <v>-345</v>
      </c>
      <c r="J35" s="31"/>
      <c r="K35" s="31"/>
      <c r="L35" s="31"/>
      <c r="M35" s="31">
        <f t="shared" si="1"/>
        <v>0</v>
      </c>
    </row>
    <row r="36" spans="1:15" x14ac:dyDescent="0.25">
      <c r="A36" s="35">
        <f t="shared" si="2"/>
        <v>28</v>
      </c>
      <c r="B36" s="3" t="s">
        <v>270</v>
      </c>
      <c r="C36" s="3"/>
      <c r="D36" s="3"/>
      <c r="E36" s="3" t="s">
        <v>271</v>
      </c>
      <c r="F36" s="3"/>
      <c r="G36" s="31">
        <f>+'Fiscal Period Ended 6-19'!R45+'Fiscal Period Ended 6-19'!R46+'Fiscal Period Ended 6-19'!R47+'Fiscal Period Ended 6-19'!R48+'Fiscal Period Ended 6-19'!R49+'Fiscal Period Ended 6-19'!R50+'Fiscal Period Ended 6-19'!R51</f>
        <v>156201.00999999998</v>
      </c>
      <c r="H36" s="31"/>
      <c r="I36" s="31">
        <f>+'Restating Entries'!L54</f>
        <v>442879.42140476184</v>
      </c>
      <c r="J36" s="31"/>
      <c r="K36" s="31"/>
      <c r="L36" s="31"/>
      <c r="M36" s="31">
        <f t="shared" si="1"/>
        <v>599080.43140476185</v>
      </c>
    </row>
    <row r="37" spans="1:15" x14ac:dyDescent="0.25">
      <c r="A37" s="35">
        <f t="shared" si="2"/>
        <v>29</v>
      </c>
      <c r="B37" s="3" t="s">
        <v>94</v>
      </c>
      <c r="C37" s="3"/>
      <c r="D37" s="3"/>
      <c r="E37" s="3" t="s">
        <v>95</v>
      </c>
      <c r="F37" s="3"/>
      <c r="G37" s="31">
        <f>+'Fiscal Period Ended 6-19'!R52</f>
        <v>2302.5</v>
      </c>
      <c r="H37" s="31"/>
      <c r="I37" s="31"/>
      <c r="J37" s="31"/>
      <c r="K37" s="31"/>
      <c r="L37" s="31"/>
      <c r="M37" s="31">
        <f t="shared" si="1"/>
        <v>2302.5</v>
      </c>
    </row>
    <row r="38" spans="1:15" x14ac:dyDescent="0.25">
      <c r="A38" s="35">
        <f t="shared" si="2"/>
        <v>30</v>
      </c>
      <c r="B38" s="16" t="s">
        <v>96</v>
      </c>
      <c r="D38" s="3"/>
      <c r="E38" s="3" t="s">
        <v>97</v>
      </c>
      <c r="F38" s="3"/>
      <c r="G38" s="31">
        <f>+'Fiscal Period Ended 6-19'!R53</f>
        <v>1525.09</v>
      </c>
      <c r="H38" s="31"/>
      <c r="I38" s="31"/>
      <c r="J38" s="31"/>
      <c r="K38" s="31"/>
      <c r="L38" s="31"/>
      <c r="M38" s="31">
        <f t="shared" si="1"/>
        <v>1525.09</v>
      </c>
    </row>
    <row r="39" spans="1:15" x14ac:dyDescent="0.25">
      <c r="A39" s="35">
        <f t="shared" si="2"/>
        <v>31</v>
      </c>
      <c r="B39" s="3" t="s">
        <v>272</v>
      </c>
      <c r="C39" s="3"/>
      <c r="D39" s="3"/>
      <c r="E39" s="3" t="s">
        <v>273</v>
      </c>
      <c r="F39" s="3"/>
      <c r="G39" s="31">
        <f>+'Fiscal Period Ended 6-19'!R55</f>
        <v>83224.23</v>
      </c>
      <c r="H39" s="31"/>
      <c r="I39" s="31"/>
      <c r="J39" s="31"/>
      <c r="K39" s="31"/>
      <c r="L39" s="31"/>
      <c r="M39" s="31">
        <f t="shared" si="1"/>
        <v>83224.23</v>
      </c>
    </row>
    <row r="40" spans="1:15" x14ac:dyDescent="0.25">
      <c r="A40" s="35">
        <f t="shared" si="2"/>
        <v>32</v>
      </c>
      <c r="B40" s="3" t="s">
        <v>274</v>
      </c>
      <c r="C40" s="3"/>
      <c r="D40" s="3"/>
      <c r="E40" s="3" t="s">
        <v>275</v>
      </c>
      <c r="F40" s="3"/>
      <c r="G40" s="31">
        <f>+'Fiscal Period Ended 6-19'!R60+'Fiscal Period Ended 6-19'!R61+'Fiscal Period Ended 6-19'!R62+'Fiscal Period Ended 6-19'!R63</f>
        <v>292517.42</v>
      </c>
      <c r="H40" s="31"/>
      <c r="I40" s="31"/>
      <c r="J40" s="31"/>
      <c r="K40" s="31">
        <f>+'Pro Forma Entries'!L52+'Pro Forma Entries'!L60</f>
        <v>-12900</v>
      </c>
      <c r="L40" s="31"/>
      <c r="M40" s="31">
        <f t="shared" si="1"/>
        <v>279617.42</v>
      </c>
    </row>
    <row r="41" spans="1:15" x14ac:dyDescent="0.25">
      <c r="A41" s="35">
        <f t="shared" si="2"/>
        <v>33</v>
      </c>
      <c r="B41" s="3" t="s">
        <v>118</v>
      </c>
      <c r="C41" s="3"/>
      <c r="D41" s="3"/>
      <c r="E41" s="3" t="s">
        <v>276</v>
      </c>
      <c r="F41" s="3"/>
      <c r="G41" s="31">
        <f>+'Fiscal Period Ended 6-19'!R64</f>
        <v>1544615</v>
      </c>
      <c r="H41" s="31"/>
      <c r="I41" s="31">
        <f>+'Restating Entries'!L58+'Restating Entries'!L63</f>
        <v>22165.999999999971</v>
      </c>
      <c r="J41" s="31"/>
      <c r="K41" s="31">
        <f>+'Pro Forma Entries'!L28+'Pro Forma Entries'!L32</f>
        <v>144347.06</v>
      </c>
      <c r="L41" s="31"/>
      <c r="M41" s="31">
        <f t="shared" si="1"/>
        <v>1711128.06</v>
      </c>
      <c r="O41" s="34"/>
    </row>
    <row r="42" spans="1:15" x14ac:dyDescent="0.25">
      <c r="A42" s="35">
        <f t="shared" si="2"/>
        <v>34</v>
      </c>
      <c r="B42" s="3" t="s">
        <v>120</v>
      </c>
      <c r="C42" s="3"/>
      <c r="D42" s="3"/>
      <c r="E42" s="3" t="s">
        <v>121</v>
      </c>
      <c r="F42" s="3"/>
      <c r="G42" s="31">
        <f>+'Fiscal Period Ended 6-19'!R65</f>
        <v>6752.41</v>
      </c>
      <c r="H42" s="31"/>
      <c r="I42" s="31">
        <f>+'Restating Entries'!L68</f>
        <v>-6752</v>
      </c>
      <c r="J42" s="31"/>
      <c r="K42" s="31"/>
      <c r="L42" s="31"/>
      <c r="M42" s="31">
        <f t="shared" si="1"/>
        <v>0.40999999999985448</v>
      </c>
    </row>
    <row r="43" spans="1:15" x14ac:dyDescent="0.25">
      <c r="A43" s="35">
        <f t="shared" si="2"/>
        <v>35</v>
      </c>
      <c r="B43" s="3" t="s">
        <v>122</v>
      </c>
      <c r="C43" s="3"/>
      <c r="D43" s="3"/>
      <c r="E43" s="3" t="s">
        <v>123</v>
      </c>
      <c r="F43" s="3"/>
      <c r="G43" s="31">
        <f>+'Fiscal Period Ended 6-19'!R66</f>
        <v>17218.8</v>
      </c>
      <c r="H43" s="31"/>
      <c r="I43" s="31"/>
      <c r="J43" s="31"/>
      <c r="K43" s="31"/>
      <c r="L43" s="31"/>
      <c r="M43" s="31">
        <f t="shared" si="1"/>
        <v>17218.8</v>
      </c>
    </row>
    <row r="44" spans="1:15" x14ac:dyDescent="0.25">
      <c r="A44" s="35">
        <f t="shared" si="2"/>
        <v>36</v>
      </c>
      <c r="B44" s="3" t="s">
        <v>124</v>
      </c>
      <c r="C44" s="3"/>
      <c r="D44" s="3"/>
      <c r="E44" s="3" t="s">
        <v>125</v>
      </c>
      <c r="F44" s="3"/>
      <c r="G44" s="31">
        <f>+'Fiscal Period Ended 6-19'!R67</f>
        <v>332500</v>
      </c>
      <c r="H44" s="31"/>
      <c r="I44" s="31"/>
      <c r="J44" s="31"/>
      <c r="K44" s="31">
        <f>+'Pro Forma Entries'!L48+'Pro Forma Entries'!L56</f>
        <v>-19500</v>
      </c>
      <c r="L44" s="31"/>
      <c r="M44" s="31">
        <f t="shared" si="1"/>
        <v>313000</v>
      </c>
    </row>
    <row r="45" spans="1:15" x14ac:dyDescent="0.25">
      <c r="A45" s="35">
        <f t="shared" si="2"/>
        <v>37</v>
      </c>
      <c r="B45" s="3" t="s">
        <v>126</v>
      </c>
      <c r="C45" s="3"/>
      <c r="D45" s="3"/>
      <c r="E45" s="3" t="s">
        <v>127</v>
      </c>
      <c r="F45" s="3"/>
      <c r="G45" s="31">
        <f>+'Fiscal Period Ended 6-19'!R68</f>
        <v>75914.23</v>
      </c>
      <c r="H45" s="31"/>
      <c r="I45" s="31">
        <f>+'Restating Entries'!L72</f>
        <v>-75914</v>
      </c>
      <c r="J45" s="31"/>
      <c r="K45" s="31"/>
      <c r="L45" s="31"/>
      <c r="M45" s="31">
        <f t="shared" si="1"/>
        <v>0.22999999999592546</v>
      </c>
    </row>
    <row r="46" spans="1:15" x14ac:dyDescent="0.25">
      <c r="A46" s="35">
        <f t="shared" si="2"/>
        <v>38</v>
      </c>
      <c r="B46" s="3" t="s">
        <v>277</v>
      </c>
      <c r="C46" s="3"/>
      <c r="D46" s="3"/>
      <c r="E46" s="3" t="s">
        <v>278</v>
      </c>
      <c r="F46" s="3"/>
      <c r="G46" s="31">
        <f>+'Fiscal Period Ended 6-19'!R70+'Fiscal Period Ended 6-19'!R71</f>
        <v>292.19</v>
      </c>
      <c r="H46" s="31"/>
      <c r="I46" s="31"/>
      <c r="J46" s="31"/>
      <c r="K46" s="31"/>
      <c r="L46" s="31"/>
      <c r="M46" s="31">
        <f t="shared" si="1"/>
        <v>292.19</v>
      </c>
    </row>
    <row r="47" spans="1:15" x14ac:dyDescent="0.25">
      <c r="A47" s="35">
        <f t="shared" si="2"/>
        <v>39</v>
      </c>
      <c r="B47" s="3" t="s">
        <v>279</v>
      </c>
      <c r="C47" s="3"/>
      <c r="D47" s="3"/>
      <c r="E47" s="3" t="s">
        <v>280</v>
      </c>
      <c r="F47" s="3"/>
      <c r="G47" s="31">
        <f>+'Fiscal Period Ended 6-19'!R73</f>
        <v>4793276.8</v>
      </c>
      <c r="H47" s="31"/>
      <c r="I47" s="31">
        <f>+'Restating Entries'!L76</f>
        <v>167499</v>
      </c>
      <c r="J47" s="31"/>
      <c r="K47" s="31">
        <f>+'[1]Pilots Pension'!$G$26</f>
        <v>314467</v>
      </c>
      <c r="L47" s="31"/>
      <c r="M47" s="31">
        <f t="shared" si="1"/>
        <v>5275242.8</v>
      </c>
    </row>
    <row r="48" spans="1:15" x14ac:dyDescent="0.25">
      <c r="A48" s="35">
        <f t="shared" si="2"/>
        <v>40</v>
      </c>
      <c r="B48" s="3" t="s">
        <v>140</v>
      </c>
      <c r="C48" s="3"/>
      <c r="D48" s="3"/>
      <c r="E48" s="3" t="s">
        <v>307</v>
      </c>
      <c r="F48" s="3"/>
      <c r="G48" s="31">
        <f>+'Fiscal Period Ended 6-19'!R72+'Fiscal Period Ended 6-19'!R75</f>
        <v>76702.319999999992</v>
      </c>
      <c r="H48" s="31"/>
      <c r="I48" s="31"/>
      <c r="J48" s="31"/>
      <c r="K48" s="31"/>
      <c r="L48" s="31"/>
      <c r="M48" s="31">
        <f t="shared" si="1"/>
        <v>76702.319999999992</v>
      </c>
    </row>
    <row r="49" spans="1:16" x14ac:dyDescent="0.25">
      <c r="A49" s="35">
        <f t="shared" si="2"/>
        <v>41</v>
      </c>
      <c r="B49" s="3" t="s">
        <v>281</v>
      </c>
      <c r="C49" s="3"/>
      <c r="D49" s="3"/>
      <c r="E49" s="3" t="s">
        <v>282</v>
      </c>
      <c r="F49" s="3"/>
      <c r="G49" s="31">
        <f>+'Fiscal Period Ended 6-19'!R76+'Fiscal Period Ended 6-19'!R77+'Fiscal Period Ended 6-19'!R78</f>
        <v>1097.3400000000001</v>
      </c>
      <c r="H49" s="31"/>
      <c r="I49" s="31"/>
      <c r="J49" s="31"/>
      <c r="K49" s="31"/>
      <c r="L49" s="31"/>
      <c r="M49" s="31">
        <f t="shared" si="1"/>
        <v>1097.3400000000001</v>
      </c>
    </row>
    <row r="50" spans="1:16" x14ac:dyDescent="0.25">
      <c r="A50" s="35">
        <f t="shared" si="2"/>
        <v>42</v>
      </c>
      <c r="B50" s="3" t="s">
        <v>148</v>
      </c>
      <c r="C50" s="3"/>
      <c r="D50" s="3"/>
      <c r="E50" s="3" t="s">
        <v>149</v>
      </c>
      <c r="F50" s="3"/>
      <c r="G50" s="31">
        <f>+'Fiscal Period Ended 6-19'!R79</f>
        <v>2417.6899999999996</v>
      </c>
      <c r="H50" s="31"/>
      <c r="I50" s="31"/>
      <c r="J50" s="31"/>
      <c r="K50" s="31"/>
      <c r="L50" s="31"/>
      <c r="M50" s="31">
        <f t="shared" si="1"/>
        <v>2417.6899999999996</v>
      </c>
    </row>
    <row r="51" spans="1:16" x14ac:dyDescent="0.25">
      <c r="A51" s="35">
        <f t="shared" si="2"/>
        <v>43</v>
      </c>
      <c r="B51" s="3" t="s">
        <v>283</v>
      </c>
      <c r="C51" s="3"/>
      <c r="D51" s="3"/>
      <c r="E51" s="3" t="s">
        <v>284</v>
      </c>
      <c r="F51" s="3"/>
      <c r="G51" s="31">
        <f>+'Fiscal Period Ended 6-19'!R80+'Fiscal Period Ended 6-19'!R81+'Fiscal Period Ended 6-19'!R82+'Fiscal Period Ended 6-19'!R83</f>
        <v>478532.08999999997</v>
      </c>
      <c r="H51" s="31"/>
      <c r="I51" s="31"/>
      <c r="J51" s="31"/>
      <c r="K51" s="31"/>
      <c r="L51" s="31"/>
      <c r="M51" s="31">
        <f t="shared" si="1"/>
        <v>478532.08999999997</v>
      </c>
    </row>
    <row r="52" spans="1:16" x14ac:dyDescent="0.25">
      <c r="A52" s="35">
        <f t="shared" si="2"/>
        <v>44</v>
      </c>
      <c r="B52" s="3" t="s">
        <v>158</v>
      </c>
      <c r="C52" s="3"/>
      <c r="D52" s="3"/>
      <c r="E52" s="3" t="s">
        <v>159</v>
      </c>
      <c r="F52" s="3"/>
      <c r="G52" s="31">
        <f>+'Fiscal Period Ended 6-19'!R84</f>
        <v>17837.919999999998</v>
      </c>
      <c r="H52" s="31"/>
      <c r="I52" s="31"/>
      <c r="J52" s="31"/>
      <c r="K52" s="31"/>
      <c r="L52" s="31"/>
      <c r="M52" s="31">
        <f t="shared" si="1"/>
        <v>17837.919999999998</v>
      </c>
    </row>
    <row r="53" spans="1:16" x14ac:dyDescent="0.25">
      <c r="A53" s="35">
        <f t="shared" si="2"/>
        <v>45</v>
      </c>
      <c r="B53" s="3" t="s">
        <v>285</v>
      </c>
      <c r="C53" s="3"/>
      <c r="D53" s="3"/>
      <c r="E53" s="3" t="s">
        <v>286</v>
      </c>
      <c r="F53" s="3"/>
      <c r="G53" s="31">
        <f>+'Fiscal Period Ended 6-19'!R86+'Fiscal Period Ended 6-19'!R85</f>
        <v>153689.01</v>
      </c>
      <c r="H53" s="31"/>
      <c r="I53" s="31"/>
      <c r="J53" s="31"/>
      <c r="K53" s="31">
        <f>+'Pro Forma Entries'!L68</f>
        <v>42918.25</v>
      </c>
      <c r="L53" s="31"/>
      <c r="M53" s="31">
        <f t="shared" si="1"/>
        <v>196607.26</v>
      </c>
    </row>
    <row r="54" spans="1:16" x14ac:dyDescent="0.25">
      <c r="A54" s="35">
        <f t="shared" si="2"/>
        <v>46</v>
      </c>
      <c r="B54" s="3" t="s">
        <v>287</v>
      </c>
      <c r="C54" s="3"/>
      <c r="D54" s="3"/>
      <c r="E54" s="3" t="s">
        <v>288</v>
      </c>
      <c r="F54" s="3"/>
      <c r="G54" s="31">
        <f>+'Fiscal Period Ended 6-19'!R87+'Fiscal Period Ended 6-19'!R88</f>
        <v>15753.44</v>
      </c>
      <c r="H54" s="31"/>
      <c r="I54" s="31"/>
      <c r="J54" s="31"/>
      <c r="K54" s="31"/>
      <c r="L54" s="31"/>
      <c r="M54" s="31">
        <f t="shared" si="1"/>
        <v>15753.44</v>
      </c>
    </row>
    <row r="55" spans="1:16" x14ac:dyDescent="0.25">
      <c r="A55" s="35">
        <f t="shared" si="2"/>
        <v>47</v>
      </c>
      <c r="B55" s="3" t="s">
        <v>289</v>
      </c>
      <c r="C55" s="3"/>
      <c r="D55" s="3"/>
      <c r="E55" s="3" t="s">
        <v>290</v>
      </c>
      <c r="F55" s="3"/>
      <c r="G55" s="31">
        <f>+'Fiscal Period Ended 6-19'!R89+'Fiscal Period Ended 6-19'!R90+'Fiscal Period Ended 6-19'!R91+'Fiscal Period Ended 6-19'!R92</f>
        <v>1632675.71</v>
      </c>
      <c r="H55" s="31"/>
      <c r="I55" s="31">
        <f>+'Restating Entries'!L80</f>
        <v>18669.580000000002</v>
      </c>
      <c r="J55" s="31"/>
      <c r="K55" s="31">
        <f>+'Pro Forma Entries'!L40</f>
        <v>39373.656299999995</v>
      </c>
      <c r="L55" s="31"/>
      <c r="M55" s="31">
        <f t="shared" si="1"/>
        <v>1690718.9463</v>
      </c>
      <c r="O55" s="34"/>
    </row>
    <row r="56" spans="1:16" x14ac:dyDescent="0.25">
      <c r="A56" s="35">
        <f t="shared" si="2"/>
        <v>48</v>
      </c>
      <c r="B56" s="3" t="s">
        <v>291</v>
      </c>
      <c r="C56" s="3"/>
      <c r="D56" s="3"/>
      <c r="E56" s="3" t="s">
        <v>292</v>
      </c>
      <c r="F56" s="3"/>
      <c r="G56" s="31">
        <f>+'Fiscal Period Ended 6-19'!R93+'Fiscal Period Ended 6-19'!R94</f>
        <v>8785.9499999999989</v>
      </c>
      <c r="H56" s="31"/>
      <c r="I56" s="31"/>
      <c r="J56" s="31"/>
      <c r="K56" s="31"/>
      <c r="L56" s="31"/>
      <c r="M56" s="31">
        <f t="shared" si="1"/>
        <v>8785.9499999999989</v>
      </c>
      <c r="O56" s="34"/>
    </row>
    <row r="57" spans="1:16" x14ac:dyDescent="0.25">
      <c r="A57" s="35">
        <f t="shared" si="2"/>
        <v>49</v>
      </c>
      <c r="B57" s="3" t="s">
        <v>293</v>
      </c>
      <c r="C57" s="3"/>
      <c r="D57" s="3"/>
      <c r="E57" s="3" t="s">
        <v>294</v>
      </c>
      <c r="F57" s="3"/>
      <c r="G57" s="31">
        <f>+'Fiscal Period Ended 6-19'!R95+'Fiscal Period Ended 6-19'!R96</f>
        <v>34644.86</v>
      </c>
      <c r="H57" s="31"/>
      <c r="I57" s="31"/>
      <c r="J57" s="31"/>
      <c r="K57" s="31"/>
      <c r="L57" s="31"/>
      <c r="M57" s="31">
        <f t="shared" si="1"/>
        <v>34644.86</v>
      </c>
    </row>
    <row r="58" spans="1:16" x14ac:dyDescent="0.25">
      <c r="A58" s="35">
        <f t="shared" si="2"/>
        <v>50</v>
      </c>
      <c r="B58" s="3" t="s">
        <v>295</v>
      </c>
      <c r="C58" s="3"/>
      <c r="D58" s="3"/>
      <c r="E58" s="3" t="s">
        <v>296</v>
      </c>
      <c r="F58" s="3"/>
      <c r="G58" s="31">
        <f>+'Fiscal Period Ended 6-19'!R98+'Fiscal Period Ended 6-19'!R99+'Fiscal Period Ended 6-19'!R100+'Fiscal Period Ended 6-19'!R101+'Fiscal Period Ended 6-19'!R102+'Fiscal Period Ended 6-19'!R103+'Fiscal Period Ended 6-19'!R104</f>
        <v>115302.58</v>
      </c>
      <c r="H58" s="31"/>
      <c r="I58" s="31"/>
      <c r="J58" s="31"/>
      <c r="K58" s="31"/>
      <c r="L58" s="31"/>
      <c r="M58" s="31">
        <f t="shared" si="1"/>
        <v>115302.58</v>
      </c>
    </row>
    <row r="59" spans="1:16" x14ac:dyDescent="0.25">
      <c r="A59" s="35">
        <f t="shared" si="2"/>
        <v>51</v>
      </c>
      <c r="B59" s="3" t="s">
        <v>297</v>
      </c>
      <c r="C59" s="3"/>
      <c r="D59" s="3"/>
      <c r="E59" s="3" t="s">
        <v>298</v>
      </c>
      <c r="F59" s="3"/>
      <c r="G59" s="31">
        <f>+'Fiscal Period Ended 6-19'!R105+'Fiscal Period Ended 6-19'!R106+'Fiscal Period Ended 6-19'!R107</f>
        <v>18691.43</v>
      </c>
      <c r="H59" s="31"/>
      <c r="I59" s="31"/>
      <c r="J59" s="31"/>
      <c r="K59" s="31"/>
      <c r="L59" s="31"/>
      <c r="M59" s="31">
        <f t="shared" si="1"/>
        <v>18691.43</v>
      </c>
    </row>
    <row r="60" spans="1:16" x14ac:dyDescent="0.25">
      <c r="A60" s="35">
        <f t="shared" si="2"/>
        <v>52</v>
      </c>
      <c r="B60" s="3" t="s">
        <v>299</v>
      </c>
      <c r="C60" s="3"/>
      <c r="D60" s="3"/>
      <c r="E60" s="3" t="s">
        <v>300</v>
      </c>
      <c r="F60" s="3"/>
      <c r="G60" s="31">
        <f>+'Fiscal Period Ended 6-19'!R108+'Fiscal Period Ended 6-19'!R109</f>
        <v>494.73</v>
      </c>
      <c r="H60" s="31"/>
      <c r="I60" s="31"/>
      <c r="J60" s="31"/>
      <c r="K60" s="31"/>
      <c r="L60" s="31"/>
      <c r="M60" s="31">
        <f t="shared" si="1"/>
        <v>494.73</v>
      </c>
    </row>
    <row r="61" spans="1:16" x14ac:dyDescent="0.25">
      <c r="A61" s="35">
        <f t="shared" si="2"/>
        <v>53</v>
      </c>
      <c r="B61" s="3" t="s">
        <v>208</v>
      </c>
      <c r="C61" s="3"/>
      <c r="D61" s="3"/>
      <c r="E61" s="3" t="s">
        <v>209</v>
      </c>
      <c r="F61" s="3"/>
      <c r="G61" s="31">
        <f>+'Fiscal Period Ended 6-19'!R110</f>
        <v>555305.85000000009</v>
      </c>
      <c r="H61" s="31"/>
      <c r="I61" s="31"/>
      <c r="J61" s="31"/>
      <c r="K61" s="31"/>
      <c r="L61" s="31"/>
      <c r="M61" s="31">
        <f t="shared" si="1"/>
        <v>555305.85000000009</v>
      </c>
    </row>
    <row r="62" spans="1:16" x14ac:dyDescent="0.25">
      <c r="A62" s="35">
        <f t="shared" si="2"/>
        <v>54</v>
      </c>
      <c r="B62" s="3" t="s">
        <v>301</v>
      </c>
      <c r="C62" s="3"/>
      <c r="D62" s="3"/>
      <c r="E62" s="3" t="s">
        <v>302</v>
      </c>
      <c r="F62" s="3"/>
      <c r="G62" s="31">
        <f>+'Fiscal Period Ended 6-19'!R111+'Fiscal Period Ended 6-19'!R112</f>
        <v>49157.95</v>
      </c>
      <c r="H62" s="31"/>
      <c r="I62" s="31"/>
      <c r="J62" s="31"/>
      <c r="K62" s="31"/>
      <c r="L62" s="31"/>
      <c r="M62" s="31">
        <f t="shared" si="1"/>
        <v>49157.95</v>
      </c>
    </row>
    <row r="63" spans="1:16" x14ac:dyDescent="0.25">
      <c r="A63" s="35">
        <f t="shared" si="2"/>
        <v>55</v>
      </c>
      <c r="B63" s="3" t="s">
        <v>214</v>
      </c>
      <c r="C63" s="3"/>
      <c r="D63" s="3"/>
      <c r="E63" s="3" t="s">
        <v>303</v>
      </c>
      <c r="F63" s="3"/>
      <c r="G63" s="31">
        <f>+'Fiscal Period Ended 6-19'!R113</f>
        <v>16820.240000000002</v>
      </c>
      <c r="H63" s="31"/>
      <c r="I63" s="31"/>
      <c r="J63" s="31"/>
      <c r="K63" s="31"/>
      <c r="L63" s="31"/>
      <c r="M63" s="31">
        <f t="shared" si="1"/>
        <v>16820.240000000002</v>
      </c>
    </row>
    <row r="64" spans="1:16" x14ac:dyDescent="0.25">
      <c r="A64" s="35">
        <f t="shared" si="2"/>
        <v>56</v>
      </c>
      <c r="B64" s="3" t="s">
        <v>216</v>
      </c>
      <c r="C64" s="3"/>
      <c r="D64" s="3"/>
      <c r="E64" s="3" t="s">
        <v>217</v>
      </c>
      <c r="F64" s="3"/>
      <c r="G64" s="31">
        <f>+'Fiscal Period Ended 6-19'!R114</f>
        <v>184715.71999999997</v>
      </c>
      <c r="H64" s="31"/>
      <c r="I64" s="31"/>
      <c r="J64" s="31"/>
      <c r="K64" s="31">
        <f>+'Pro Forma Entries'!L44</f>
        <v>53880</v>
      </c>
      <c r="L64" s="31"/>
      <c r="M64" s="31">
        <f t="shared" si="1"/>
        <v>238595.71999999997</v>
      </c>
      <c r="P64" s="34"/>
    </row>
    <row r="65" spans="1:16" x14ac:dyDescent="0.25">
      <c r="A65" s="35">
        <f t="shared" si="2"/>
        <v>57</v>
      </c>
      <c r="B65" s="3" t="s">
        <v>304</v>
      </c>
      <c r="C65" s="3"/>
      <c r="D65" s="3"/>
      <c r="E65" s="3" t="s">
        <v>305</v>
      </c>
      <c r="F65" s="3"/>
      <c r="G65" s="31">
        <f>+'Fiscal Period Ended 6-19'!R115+'Fiscal Period Ended 6-19'!R116+'Fiscal Period Ended 6-19'!R117</f>
        <v>1229598.56</v>
      </c>
      <c r="H65" s="31"/>
      <c r="I65" s="31">
        <f>+'Restating Entries'!L84</f>
        <v>156809.36999999988</v>
      </c>
      <c r="J65" s="31"/>
      <c r="K65" s="31"/>
      <c r="L65" s="31"/>
      <c r="M65" s="31">
        <f t="shared" si="1"/>
        <v>1386407.93</v>
      </c>
    </row>
    <row r="66" spans="1:16" x14ac:dyDescent="0.25">
      <c r="A66" s="35">
        <f>+A65+1</f>
        <v>58</v>
      </c>
      <c r="B66" s="16" t="s">
        <v>224</v>
      </c>
      <c r="D66" s="3"/>
      <c r="E66" s="3" t="s">
        <v>308</v>
      </c>
      <c r="F66" s="3"/>
      <c r="G66" s="31">
        <f>+'Fiscal Period Ended 6-19'!R119+'Fiscal Period Ended 6-19'!R120+'Fiscal Period Ended 6-19'!R121+'Fiscal Period Ended 6-19'!R122+'Fiscal Period Ended 6-19'!R123</f>
        <v>102472.76</v>
      </c>
      <c r="H66" s="31"/>
      <c r="I66" s="31">
        <f>+'Restating Entries'!L90</f>
        <v>-31995.300000000003</v>
      </c>
      <c r="J66" s="31"/>
      <c r="K66" s="31"/>
      <c r="L66" s="31"/>
      <c r="M66" s="31">
        <f t="shared" si="1"/>
        <v>70477.459999999992</v>
      </c>
    </row>
    <row r="67" spans="1:16" x14ac:dyDescent="0.25">
      <c r="A67" s="35"/>
      <c r="B67" s="16"/>
      <c r="D67" s="3"/>
      <c r="E67" s="3" t="s">
        <v>404</v>
      </c>
      <c r="F67" s="3"/>
      <c r="G67" s="31"/>
      <c r="H67" s="31"/>
      <c r="I67" s="31"/>
      <c r="J67" s="31"/>
      <c r="K67" s="31">
        <f>+'Pro Forma Entries'!L64</f>
        <v>123333.33333333333</v>
      </c>
      <c r="L67" s="31"/>
      <c r="M67" s="31">
        <f t="shared" si="1"/>
        <v>123333.33333333333</v>
      </c>
    </row>
    <row r="68" spans="1:16" x14ac:dyDescent="0.25">
      <c r="A68" s="35">
        <f>+A66+1</f>
        <v>59</v>
      </c>
      <c r="B68" s="3" t="s">
        <v>234</v>
      </c>
      <c r="C68" s="3"/>
      <c r="D68" s="3"/>
      <c r="E68" s="3" t="s">
        <v>235</v>
      </c>
      <c r="F68" s="3"/>
      <c r="G68" s="32">
        <f>+'Fiscal Period Ended 6-19'!R124</f>
        <v>25365.63</v>
      </c>
      <c r="H68" s="31"/>
      <c r="I68" s="32"/>
      <c r="J68" s="31"/>
      <c r="K68" s="32"/>
      <c r="L68" s="31"/>
      <c r="M68" s="31">
        <f t="shared" si="1"/>
        <v>25365.63</v>
      </c>
    </row>
    <row r="69" spans="1:16" x14ac:dyDescent="0.25">
      <c r="B69" s="3" t="s">
        <v>243</v>
      </c>
      <c r="C69" s="3"/>
      <c r="D69" s="3"/>
      <c r="E69" s="3"/>
      <c r="F69" s="3"/>
      <c r="G69" s="33">
        <f>SUM(G19:G68)</f>
        <v>14002865.769999998</v>
      </c>
      <c r="H69" s="31"/>
      <c r="I69" s="33">
        <f>SUM(I19:I68)</f>
        <v>734101.29140476161</v>
      </c>
      <c r="J69" s="31"/>
      <c r="K69" s="33">
        <f>SUM(K19:K68)</f>
        <v>1015630.740620513</v>
      </c>
      <c r="L69" s="31"/>
      <c r="M69" s="33">
        <f>SUM(M19:M68)</f>
        <v>15752597.802025273</v>
      </c>
      <c r="O69" s="47">
        <f>+M69/G69-1</f>
        <v>0.12495528135204537</v>
      </c>
      <c r="P69" s="34"/>
    </row>
    <row r="70" spans="1:16" x14ac:dyDescent="0.25">
      <c r="B70" s="3" t="s">
        <v>323</v>
      </c>
      <c r="C70" s="3"/>
      <c r="D70" s="3"/>
      <c r="E70" s="3"/>
      <c r="F70" s="3"/>
      <c r="G70" s="31">
        <f>+G16-G69</f>
        <v>20076361.140000001</v>
      </c>
      <c r="H70" s="31"/>
      <c r="I70" s="31">
        <f>+I16-I69</f>
        <v>-694857.29140476161</v>
      </c>
      <c r="J70" s="31"/>
      <c r="K70" s="31">
        <f>+K16-K69</f>
        <v>11499715.259379487</v>
      </c>
      <c r="L70" s="31"/>
      <c r="M70" s="31">
        <f>+M16-M69</f>
        <v>30881219.107974723</v>
      </c>
    </row>
    <row r="71" spans="1:16" x14ac:dyDescent="0.25">
      <c r="C71" s="3"/>
      <c r="D71" s="3"/>
      <c r="E71" s="3"/>
      <c r="F71" s="3"/>
      <c r="G71" s="31"/>
      <c r="H71" s="31"/>
      <c r="I71" s="31"/>
      <c r="J71" s="31"/>
      <c r="K71" s="31"/>
      <c r="L71" s="31"/>
      <c r="M71" s="31"/>
    </row>
    <row r="72" spans="1:16" x14ac:dyDescent="0.25">
      <c r="G72" s="13"/>
      <c r="H72" s="13"/>
      <c r="I72" s="13"/>
      <c r="J72" s="13"/>
      <c r="K72" s="13"/>
      <c r="L72" s="13"/>
      <c r="M72" s="13"/>
    </row>
    <row r="73" spans="1:16" x14ac:dyDescent="0.25">
      <c r="G73" s="13"/>
      <c r="H73" s="13"/>
      <c r="I73" s="13"/>
      <c r="J73" s="13"/>
      <c r="K73" s="13"/>
      <c r="L73" s="13"/>
      <c r="M73" s="13"/>
    </row>
    <row r="74" spans="1:16" x14ac:dyDescent="0.25">
      <c r="G74" s="13"/>
      <c r="H74" s="13"/>
      <c r="I74" s="13"/>
      <c r="J74" s="13"/>
      <c r="K74" s="13"/>
      <c r="L74" s="13"/>
      <c r="M74" s="13"/>
    </row>
    <row r="75" spans="1:16" x14ac:dyDescent="0.25">
      <c r="G75" s="13"/>
      <c r="H75" s="13"/>
      <c r="I75" s="13"/>
      <c r="J75" s="13"/>
      <c r="K75" s="13"/>
      <c r="L75" s="13"/>
      <c r="M75" s="13"/>
    </row>
    <row r="76" spans="1:16" x14ac:dyDescent="0.25">
      <c r="G76" s="13"/>
      <c r="H76" s="13"/>
      <c r="I76" s="13"/>
      <c r="J76" s="13"/>
      <c r="K76" s="13"/>
      <c r="L76" s="13"/>
      <c r="M76" s="13"/>
    </row>
  </sheetData>
  <printOptions headings="1" gridLines="1"/>
  <pageMargins left="0.25" right="0.25" top="0.75" bottom="0.75" header="0.3" footer="0.3"/>
  <pageSetup scale="94" fitToHeight="0" orientation="landscape" horizontalDpi="4294967293" r:id="rId1"/>
  <headerFooter>
    <oddHeader xml:space="preserve">&amp;C&amp;"Calibri,Bold Italic"PRO FORMA YEAR 2 - INCREMENTAL INCREASE&amp;RExh. WTB-04    </oddHeader>
    <oddFooter>&amp;L&amp;D&amp;C&amp;"Calibri,Bold Italic"PRO FORMA YEAR 2 - INCREMENTAL INCREASE&amp;RPage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6"/>
  <sheetViews>
    <sheetView workbookViewId="0">
      <selection activeCell="L84" sqref="L84"/>
    </sheetView>
  </sheetViews>
  <sheetFormatPr defaultRowHeight="15" x14ac:dyDescent="0.25"/>
  <cols>
    <col min="11" max="11" width="10.7109375" bestFit="1" customWidth="1"/>
    <col min="12" max="12" width="11.5703125" bestFit="1" customWidth="1"/>
  </cols>
  <sheetData>
    <row r="1" spans="2:12" ht="18.75" x14ac:dyDescent="0.3"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18.75" x14ac:dyDescent="0.3">
      <c r="B2" s="1" t="s">
        <v>324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18.75" x14ac:dyDescent="0.3">
      <c r="B3" s="1" t="s">
        <v>248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5">
      <c r="K4" t="s">
        <v>328</v>
      </c>
      <c r="L4" t="s">
        <v>325</v>
      </c>
    </row>
    <row r="5" spans="2:12" x14ac:dyDescent="0.25">
      <c r="K5" t="s">
        <v>321</v>
      </c>
      <c r="L5" t="s">
        <v>326</v>
      </c>
    </row>
    <row r="7" spans="2:12" x14ac:dyDescent="0.25">
      <c r="B7" s="11" t="s">
        <v>327</v>
      </c>
      <c r="C7" s="11"/>
      <c r="D7" s="11"/>
      <c r="E7" s="11"/>
      <c r="F7" s="11"/>
      <c r="G7" s="11"/>
      <c r="H7" s="11"/>
      <c r="I7" s="11"/>
      <c r="J7" s="11"/>
      <c r="K7" s="38"/>
      <c r="L7" s="34"/>
    </row>
    <row r="8" spans="2:12" x14ac:dyDescent="0.25">
      <c r="B8" t="s">
        <v>26</v>
      </c>
      <c r="K8" t="s">
        <v>330</v>
      </c>
      <c r="L8" s="34">
        <v>39244</v>
      </c>
    </row>
    <row r="9" spans="2:12" x14ac:dyDescent="0.25">
      <c r="B9" s="39" t="s">
        <v>413</v>
      </c>
      <c r="C9" s="11"/>
      <c r="D9" s="11"/>
      <c r="E9" s="11"/>
      <c r="F9" s="11"/>
      <c r="G9" s="11"/>
      <c r="H9" s="11"/>
      <c r="I9" s="11"/>
      <c r="J9" s="11"/>
      <c r="L9" s="34"/>
    </row>
    <row r="10" spans="2:12" x14ac:dyDescent="0.25">
      <c r="B10" s="39" t="s">
        <v>414</v>
      </c>
      <c r="C10" s="11"/>
      <c r="D10" s="11"/>
      <c r="E10" s="11"/>
      <c r="F10" s="11"/>
      <c r="G10" s="11"/>
      <c r="H10" s="11"/>
      <c r="I10" s="11"/>
      <c r="J10" s="11"/>
      <c r="L10" s="34"/>
    </row>
    <row r="11" spans="2:12" x14ac:dyDescent="0.25">
      <c r="B11" s="39"/>
      <c r="C11" s="11"/>
      <c r="D11" s="11"/>
      <c r="E11" s="11"/>
      <c r="F11" s="11"/>
      <c r="G11" s="11"/>
      <c r="H11" s="11"/>
      <c r="I11" s="11"/>
      <c r="J11" s="11"/>
      <c r="L11" s="34"/>
    </row>
    <row r="12" spans="2:12" x14ac:dyDescent="0.25">
      <c r="L12" s="34"/>
    </row>
    <row r="13" spans="2:12" x14ac:dyDescent="0.25">
      <c r="B13" s="11" t="s">
        <v>329</v>
      </c>
      <c r="C13" s="11"/>
      <c r="D13" s="11"/>
      <c r="E13" s="11"/>
      <c r="F13" s="11"/>
      <c r="G13" s="11"/>
      <c r="H13" s="11"/>
      <c r="I13" s="11"/>
      <c r="J13" s="11"/>
      <c r="L13" s="34"/>
    </row>
    <row r="14" spans="2:12" x14ac:dyDescent="0.25">
      <c r="B14" s="39" t="s">
        <v>29</v>
      </c>
      <c r="K14" t="s">
        <v>331</v>
      </c>
      <c r="L14" s="34">
        <v>-12000</v>
      </c>
    </row>
    <row r="15" spans="2:12" x14ac:dyDescent="0.25">
      <c r="B15" s="39" t="s">
        <v>398</v>
      </c>
      <c r="C15" s="11"/>
      <c r="D15" s="11"/>
      <c r="E15" s="11"/>
      <c r="F15" s="11"/>
      <c r="G15" s="11"/>
      <c r="H15" s="11"/>
      <c r="I15" s="11"/>
      <c r="J15" s="11"/>
      <c r="L15" s="34"/>
    </row>
    <row r="16" spans="2:12" x14ac:dyDescent="0.25">
      <c r="B16" s="39" t="s">
        <v>415</v>
      </c>
      <c r="C16" s="11"/>
      <c r="D16" s="11"/>
      <c r="E16" s="11"/>
      <c r="F16" s="11"/>
      <c r="G16" s="11"/>
      <c r="H16" s="11"/>
      <c r="I16" s="11"/>
      <c r="J16" s="11"/>
      <c r="L16" s="34"/>
    </row>
    <row r="17" spans="2:12" x14ac:dyDescent="0.25">
      <c r="B17" s="39" t="s">
        <v>416</v>
      </c>
      <c r="C17" s="11"/>
      <c r="D17" s="11"/>
      <c r="E17" s="11"/>
      <c r="F17" s="11"/>
      <c r="G17" s="11"/>
      <c r="H17" s="11"/>
      <c r="I17" s="11"/>
      <c r="J17" s="11"/>
      <c r="L17" s="34"/>
    </row>
    <row r="18" spans="2:12" x14ac:dyDescent="0.25">
      <c r="B18" s="39" t="s">
        <v>332</v>
      </c>
      <c r="C18" s="11"/>
      <c r="D18" s="11"/>
      <c r="E18" s="11"/>
      <c r="F18" s="11"/>
      <c r="G18" s="11"/>
      <c r="H18" s="11"/>
      <c r="I18" s="11"/>
      <c r="J18" s="11"/>
      <c r="L18" s="34"/>
    </row>
    <row r="19" spans="2:12" x14ac:dyDescent="0.25">
      <c r="L19" s="34"/>
    </row>
    <row r="20" spans="2:12" x14ac:dyDescent="0.25">
      <c r="B20" s="11" t="s">
        <v>333</v>
      </c>
      <c r="C20" s="11"/>
      <c r="D20" s="11"/>
      <c r="E20" s="11"/>
      <c r="F20" s="11"/>
      <c r="G20" s="11"/>
      <c r="H20" s="11"/>
      <c r="I20" s="11"/>
      <c r="J20" s="11"/>
      <c r="K20" s="38"/>
      <c r="L20" s="40"/>
    </row>
    <row r="21" spans="2:12" x14ac:dyDescent="0.25">
      <c r="B21" s="3" t="s">
        <v>35</v>
      </c>
      <c r="K21" t="s">
        <v>334</v>
      </c>
      <c r="L21" s="34">
        <v>8622</v>
      </c>
    </row>
    <row r="22" spans="2:12" x14ac:dyDescent="0.25">
      <c r="B22" s="39" t="s">
        <v>417</v>
      </c>
      <c r="C22" s="11"/>
      <c r="D22" s="11"/>
      <c r="E22" s="11"/>
      <c r="F22" s="11"/>
      <c r="G22" s="11"/>
      <c r="H22" s="11"/>
      <c r="I22" s="11"/>
      <c r="J22" s="11"/>
      <c r="L22" s="34"/>
    </row>
    <row r="23" spans="2:12" x14ac:dyDescent="0.25">
      <c r="B23" s="39" t="s">
        <v>418</v>
      </c>
      <c r="C23" s="11"/>
      <c r="D23" s="11"/>
      <c r="E23" s="11"/>
      <c r="F23" s="11"/>
      <c r="G23" s="11"/>
      <c r="H23" s="11"/>
      <c r="I23" s="11"/>
      <c r="J23" s="11"/>
      <c r="L23" s="34"/>
    </row>
    <row r="24" spans="2:12" x14ac:dyDescent="0.25">
      <c r="L24" s="34"/>
    </row>
    <row r="25" spans="2:12" x14ac:dyDescent="0.25">
      <c r="B25" s="11" t="s">
        <v>335</v>
      </c>
      <c r="C25" s="11"/>
      <c r="D25" s="11"/>
      <c r="E25" s="11"/>
      <c r="F25" s="11"/>
      <c r="G25" s="11"/>
      <c r="H25" s="11"/>
      <c r="I25" s="11"/>
      <c r="J25" s="11"/>
      <c r="L25" s="34"/>
    </row>
    <row r="26" spans="2:12" x14ac:dyDescent="0.25">
      <c r="B26" s="41" t="s">
        <v>37</v>
      </c>
      <c r="K26" t="s">
        <v>338</v>
      </c>
      <c r="L26" s="34">
        <v>16568</v>
      </c>
    </row>
    <row r="27" spans="2:12" x14ac:dyDescent="0.25">
      <c r="B27" s="39" t="s">
        <v>399</v>
      </c>
      <c r="C27" s="11"/>
      <c r="D27" s="11"/>
      <c r="E27" s="11"/>
      <c r="F27" s="11"/>
      <c r="G27" s="11"/>
      <c r="H27" s="11"/>
      <c r="I27" s="11"/>
      <c r="J27" s="11"/>
      <c r="L27" s="34"/>
    </row>
    <row r="28" spans="2:12" x14ac:dyDescent="0.25">
      <c r="B28" s="39" t="s">
        <v>400</v>
      </c>
      <c r="C28" s="11"/>
      <c r="D28" s="11"/>
      <c r="E28" s="11"/>
      <c r="F28" s="11"/>
      <c r="G28" s="11"/>
      <c r="H28" s="11"/>
      <c r="I28" s="11"/>
      <c r="J28" s="11"/>
      <c r="L28" s="34"/>
    </row>
    <row r="29" spans="2:12" x14ac:dyDescent="0.25">
      <c r="B29" s="39" t="s">
        <v>401</v>
      </c>
      <c r="C29" s="11"/>
      <c r="D29" s="11"/>
      <c r="E29" s="11"/>
      <c r="F29" s="11"/>
      <c r="G29" s="11"/>
      <c r="H29" s="11"/>
      <c r="I29" s="11"/>
      <c r="J29" s="11"/>
      <c r="L29" s="34"/>
    </row>
    <row r="30" spans="2:12" x14ac:dyDescent="0.25">
      <c r="L30" s="34"/>
    </row>
    <row r="31" spans="2:12" x14ac:dyDescent="0.25">
      <c r="B31" s="11" t="s">
        <v>336</v>
      </c>
      <c r="C31" s="11"/>
      <c r="D31" s="11"/>
      <c r="E31" s="11"/>
      <c r="F31" s="11"/>
      <c r="G31" s="11"/>
      <c r="H31" s="11"/>
      <c r="I31" s="11"/>
      <c r="J31" s="11"/>
      <c r="L31" s="34"/>
    </row>
    <row r="32" spans="2:12" x14ac:dyDescent="0.25">
      <c r="B32" s="11" t="s">
        <v>55</v>
      </c>
      <c r="K32" t="s">
        <v>337</v>
      </c>
      <c r="L32" s="34">
        <v>-14670</v>
      </c>
    </row>
    <row r="33" spans="2:14" x14ac:dyDescent="0.25">
      <c r="B33" s="39" t="s">
        <v>419</v>
      </c>
      <c r="L33" s="34"/>
    </row>
    <row r="34" spans="2:14" x14ac:dyDescent="0.25">
      <c r="B34" s="39"/>
      <c r="L34" s="34"/>
    </row>
    <row r="35" spans="2:14" x14ac:dyDescent="0.25">
      <c r="B35" s="11" t="s">
        <v>339</v>
      </c>
      <c r="C35" s="11"/>
      <c r="D35" s="11"/>
      <c r="E35" s="11"/>
      <c r="F35" s="11"/>
      <c r="G35" s="11"/>
      <c r="H35" s="11"/>
      <c r="I35" s="11"/>
      <c r="J35" s="11"/>
      <c r="L35" s="34"/>
    </row>
    <row r="36" spans="2:14" x14ac:dyDescent="0.25">
      <c r="B36" s="39" t="s">
        <v>264</v>
      </c>
      <c r="K36" t="s">
        <v>340</v>
      </c>
      <c r="L36" s="34">
        <v>-6636</v>
      </c>
    </row>
    <row r="37" spans="2:14" x14ac:dyDescent="0.25">
      <c r="B37" s="39" t="s">
        <v>424</v>
      </c>
      <c r="L37" s="34"/>
    </row>
    <row r="38" spans="2:14" x14ac:dyDescent="0.25">
      <c r="B38" s="39"/>
      <c r="L38" s="34"/>
    </row>
    <row r="39" spans="2:14" x14ac:dyDescent="0.25">
      <c r="B39" s="11" t="s">
        <v>341</v>
      </c>
      <c r="C39" s="11"/>
      <c r="D39" s="11"/>
      <c r="E39" s="11"/>
      <c r="F39" s="11"/>
      <c r="G39" s="11"/>
      <c r="H39" s="11"/>
      <c r="I39" s="11"/>
      <c r="J39" s="11"/>
      <c r="L39" s="34"/>
    </row>
    <row r="40" spans="2:14" x14ac:dyDescent="0.25">
      <c r="B40" s="39" t="s">
        <v>266</v>
      </c>
      <c r="C40" s="11"/>
      <c r="D40" s="11"/>
      <c r="E40" s="11"/>
      <c r="F40" s="11"/>
      <c r="G40" s="11"/>
      <c r="H40" s="11"/>
      <c r="I40" s="11"/>
      <c r="J40" s="11"/>
      <c r="K40" t="s">
        <v>342</v>
      </c>
      <c r="L40" s="34">
        <f>+'[1]IBU Medical'!$H$22+'[1]IBU Medical'!$H$23+'[1]IBU Medical'!$H$26-'[1]IBU Medical'!$H$24</f>
        <v>6230</v>
      </c>
      <c r="N40" s="34"/>
    </row>
    <row r="41" spans="2:14" x14ac:dyDescent="0.25">
      <c r="B41" s="39" t="s">
        <v>420</v>
      </c>
      <c r="L41" s="34"/>
    </row>
    <row r="42" spans="2:14" x14ac:dyDescent="0.25">
      <c r="B42" s="39" t="s">
        <v>343</v>
      </c>
      <c r="L42" s="34"/>
    </row>
    <row r="43" spans="2:14" x14ac:dyDescent="0.25">
      <c r="L43" s="34"/>
    </row>
    <row r="44" spans="2:14" x14ac:dyDescent="0.25">
      <c r="B44" s="11" t="s">
        <v>344</v>
      </c>
      <c r="C44" s="11"/>
      <c r="D44" s="11"/>
      <c r="E44" s="11"/>
      <c r="F44" s="11"/>
      <c r="G44" s="11"/>
      <c r="H44" s="11"/>
      <c r="I44" s="11"/>
      <c r="J44" s="11"/>
      <c r="L44" s="34"/>
    </row>
    <row r="45" spans="2:14" x14ac:dyDescent="0.25">
      <c r="B45" s="39" t="s">
        <v>268</v>
      </c>
      <c r="K45" t="s">
        <v>345</v>
      </c>
      <c r="L45" s="34">
        <f>+'[1]IBU Pension'!$H$23+'[1]IBU Pension'!$H$22</f>
        <v>-28.020000000000437</v>
      </c>
    </row>
    <row r="46" spans="2:14" x14ac:dyDescent="0.25">
      <c r="B46" s="39" t="s">
        <v>421</v>
      </c>
      <c r="L46" s="34"/>
    </row>
    <row r="47" spans="2:14" x14ac:dyDescent="0.25">
      <c r="B47" s="39" t="s">
        <v>346</v>
      </c>
      <c r="L47" s="34"/>
    </row>
    <row r="48" spans="2:14" x14ac:dyDescent="0.25">
      <c r="L48" s="34"/>
    </row>
    <row r="49" spans="2:12" x14ac:dyDescent="0.25">
      <c r="B49" s="11" t="s">
        <v>347</v>
      </c>
      <c r="C49" s="11"/>
      <c r="D49" s="11"/>
      <c r="E49" s="11"/>
      <c r="F49" s="11"/>
      <c r="G49" s="11"/>
      <c r="H49" s="11"/>
      <c r="I49" s="11"/>
      <c r="J49" s="11"/>
      <c r="L49" s="34"/>
    </row>
    <row r="50" spans="2:12" x14ac:dyDescent="0.25">
      <c r="B50" s="39" t="s">
        <v>79</v>
      </c>
      <c r="K50" t="s">
        <v>348</v>
      </c>
      <c r="L50" s="34">
        <v>-345</v>
      </c>
    </row>
    <row r="51" spans="2:12" x14ac:dyDescent="0.25">
      <c r="B51" s="39" t="s">
        <v>422</v>
      </c>
      <c r="L51" s="34"/>
    </row>
    <row r="52" spans="2:12" x14ac:dyDescent="0.25">
      <c r="L52" s="34"/>
    </row>
    <row r="53" spans="2:12" x14ac:dyDescent="0.25">
      <c r="B53" s="11" t="s">
        <v>349</v>
      </c>
      <c r="C53" s="11"/>
      <c r="D53" s="11"/>
      <c r="E53" s="11"/>
      <c r="F53" s="11"/>
      <c r="G53" s="11"/>
      <c r="H53" s="11"/>
      <c r="I53" s="11"/>
      <c r="J53" s="11"/>
      <c r="L53" s="34"/>
    </row>
    <row r="54" spans="2:12" x14ac:dyDescent="0.25">
      <c r="B54" t="s">
        <v>271</v>
      </c>
      <c r="K54" t="s">
        <v>350</v>
      </c>
      <c r="L54" s="34">
        <f>+[2]Sheet1!$O$208-'Pro Forma'!G36</f>
        <v>442879.42140476184</v>
      </c>
    </row>
    <row r="55" spans="2:12" x14ac:dyDescent="0.25">
      <c r="B55" t="s">
        <v>351</v>
      </c>
      <c r="L55" s="34"/>
    </row>
    <row r="56" spans="2:12" x14ac:dyDescent="0.25">
      <c r="L56" s="34"/>
    </row>
    <row r="57" spans="2:12" x14ac:dyDescent="0.25">
      <c r="B57" s="11" t="s">
        <v>352</v>
      </c>
      <c r="C57" s="11"/>
      <c r="D57" s="11"/>
      <c r="E57" s="11"/>
      <c r="F57" s="11"/>
      <c r="G57" s="11"/>
      <c r="H57" s="11"/>
      <c r="I57" s="11"/>
      <c r="J57" s="11"/>
      <c r="L57" s="34"/>
    </row>
    <row r="58" spans="2:12" x14ac:dyDescent="0.25">
      <c r="B58" t="s">
        <v>276</v>
      </c>
      <c r="K58" t="s">
        <v>353</v>
      </c>
      <c r="L58" s="34">
        <f>+'[1]Pilots Medical'!$F$23</f>
        <v>18881</v>
      </c>
    </row>
    <row r="59" spans="2:12" x14ac:dyDescent="0.25">
      <c r="B59" t="s">
        <v>396</v>
      </c>
      <c r="L59" s="34"/>
    </row>
    <row r="60" spans="2:12" x14ac:dyDescent="0.25">
      <c r="B60" t="s">
        <v>423</v>
      </c>
      <c r="L60" s="34"/>
    </row>
    <row r="61" spans="2:12" x14ac:dyDescent="0.25">
      <c r="L61" s="34"/>
    </row>
    <row r="62" spans="2:12" x14ac:dyDescent="0.25">
      <c r="B62" s="11" t="s">
        <v>354</v>
      </c>
      <c r="C62" s="11"/>
      <c r="D62" s="11"/>
      <c r="E62" s="11"/>
      <c r="F62" s="11"/>
      <c r="G62" s="11"/>
      <c r="H62" s="11"/>
      <c r="I62" s="11"/>
      <c r="J62" s="11"/>
      <c r="L62" s="34"/>
    </row>
    <row r="63" spans="2:12" x14ac:dyDescent="0.25">
      <c r="B63" t="s">
        <v>276</v>
      </c>
      <c r="K63" t="s">
        <v>353</v>
      </c>
      <c r="L63" s="34">
        <f>+'[3]Pilots Medical'!$F$30</f>
        <v>3284.99999999997</v>
      </c>
    </row>
    <row r="64" spans="2:12" x14ac:dyDescent="0.25">
      <c r="B64" t="s">
        <v>379</v>
      </c>
      <c r="L64" s="34"/>
    </row>
    <row r="65" spans="2:14" x14ac:dyDescent="0.25">
      <c r="B65" t="s">
        <v>380</v>
      </c>
      <c r="L65" s="34"/>
    </row>
    <row r="66" spans="2:14" x14ac:dyDescent="0.25">
      <c r="L66" s="34"/>
    </row>
    <row r="67" spans="2:14" x14ac:dyDescent="0.25">
      <c r="B67" s="11" t="s">
        <v>357</v>
      </c>
      <c r="C67" s="11"/>
      <c r="D67" s="11"/>
      <c r="E67" s="11"/>
      <c r="F67" s="11"/>
      <c r="G67" s="11"/>
      <c r="H67" s="11"/>
      <c r="I67" s="11"/>
      <c r="J67" s="11"/>
      <c r="L67" s="34"/>
    </row>
    <row r="68" spans="2:14" x14ac:dyDescent="0.25">
      <c r="B68" t="s">
        <v>355</v>
      </c>
      <c r="K68" t="s">
        <v>356</v>
      </c>
      <c r="L68" s="34">
        <v>-6752</v>
      </c>
    </row>
    <row r="69" spans="2:14" x14ac:dyDescent="0.25">
      <c r="B69" t="s">
        <v>359</v>
      </c>
      <c r="L69" s="34"/>
    </row>
    <row r="70" spans="2:14" x14ac:dyDescent="0.25">
      <c r="L70" s="34"/>
    </row>
    <row r="71" spans="2:14" x14ac:dyDescent="0.25">
      <c r="B71" s="11" t="s">
        <v>361</v>
      </c>
      <c r="C71" s="11"/>
      <c r="D71" s="11"/>
      <c r="E71" s="11"/>
      <c r="F71" s="11"/>
      <c r="G71" s="11"/>
      <c r="H71" s="11"/>
      <c r="I71" s="11"/>
      <c r="J71" s="11"/>
      <c r="L71" s="34"/>
    </row>
    <row r="72" spans="2:14" x14ac:dyDescent="0.25">
      <c r="B72" t="s">
        <v>127</v>
      </c>
      <c r="K72" t="s">
        <v>358</v>
      </c>
      <c r="L72" s="34">
        <v>-75914</v>
      </c>
    </row>
    <row r="73" spans="2:14" x14ac:dyDescent="0.25">
      <c r="B73" t="s">
        <v>360</v>
      </c>
      <c r="L73" s="34"/>
    </row>
    <row r="74" spans="2:14" x14ac:dyDescent="0.25">
      <c r="L74" s="34"/>
    </row>
    <row r="75" spans="2:14" x14ac:dyDescent="0.25">
      <c r="B75" s="11" t="s">
        <v>364</v>
      </c>
      <c r="C75" s="11"/>
      <c r="D75" s="11"/>
      <c r="E75" s="11"/>
      <c r="F75" s="11"/>
      <c r="G75" s="11"/>
      <c r="H75" s="11"/>
      <c r="I75" s="11"/>
      <c r="J75" s="11"/>
      <c r="L75" s="34"/>
    </row>
    <row r="76" spans="2:14" x14ac:dyDescent="0.25">
      <c r="B76" t="s">
        <v>365</v>
      </c>
      <c r="K76" t="s">
        <v>366</v>
      </c>
      <c r="L76" s="34">
        <f>+'[1]Pilots Pension'!$G$22</f>
        <v>167499</v>
      </c>
    </row>
    <row r="77" spans="2:14" x14ac:dyDescent="0.25">
      <c r="B77" t="s">
        <v>367</v>
      </c>
      <c r="L77" s="34"/>
    </row>
    <row r="78" spans="2:14" x14ac:dyDescent="0.25">
      <c r="L78" s="34"/>
    </row>
    <row r="79" spans="2:14" x14ac:dyDescent="0.25">
      <c r="B79" s="11" t="s">
        <v>368</v>
      </c>
      <c r="C79" s="11"/>
      <c r="D79" s="11"/>
      <c r="E79" s="11"/>
      <c r="F79" s="11"/>
      <c r="G79" s="11"/>
      <c r="H79" s="11"/>
      <c r="I79" s="11"/>
      <c r="J79" s="11"/>
      <c r="L79" s="34"/>
    </row>
    <row r="80" spans="2:14" x14ac:dyDescent="0.25">
      <c r="B80" t="s">
        <v>290</v>
      </c>
      <c r="K80" t="s">
        <v>362</v>
      </c>
      <c r="L80" s="34">
        <f>+[4]Summary!$I$51</f>
        <v>18669.580000000002</v>
      </c>
      <c r="N80" s="34"/>
    </row>
    <row r="81" spans="2:14" x14ac:dyDescent="0.25">
      <c r="B81" t="s">
        <v>363</v>
      </c>
      <c r="L81" s="34"/>
      <c r="N81" s="34"/>
    </row>
    <row r="82" spans="2:14" x14ac:dyDescent="0.25">
      <c r="L82" s="34"/>
    </row>
    <row r="83" spans="2:14" x14ac:dyDescent="0.25">
      <c r="B83" s="11" t="s">
        <v>372</v>
      </c>
      <c r="C83" s="11"/>
      <c r="D83" s="11"/>
      <c r="E83" s="11"/>
      <c r="F83" s="11"/>
      <c r="G83" s="11"/>
      <c r="H83" s="11"/>
      <c r="I83" s="11"/>
      <c r="J83" s="11"/>
      <c r="L83" s="34"/>
    </row>
    <row r="84" spans="2:14" x14ac:dyDescent="0.25">
      <c r="B84" t="s">
        <v>305</v>
      </c>
      <c r="K84" t="s">
        <v>369</v>
      </c>
      <c r="L84" s="34">
        <f>198.37*6989-'Pro Forma'!G65</f>
        <v>156809.36999999988</v>
      </c>
    </row>
    <row r="85" spans="2:14" x14ac:dyDescent="0.25">
      <c r="B85" t="s">
        <v>397</v>
      </c>
      <c r="L85" s="34"/>
    </row>
    <row r="86" spans="2:14" x14ac:dyDescent="0.25">
      <c r="B86" t="s">
        <v>370</v>
      </c>
      <c r="L86" s="34"/>
    </row>
    <row r="87" spans="2:14" x14ac:dyDescent="0.25">
      <c r="B87" t="s">
        <v>371</v>
      </c>
      <c r="L87" s="34"/>
    </row>
    <row r="88" spans="2:14" x14ac:dyDescent="0.25">
      <c r="L88" s="34"/>
    </row>
    <row r="89" spans="2:14" x14ac:dyDescent="0.25">
      <c r="B89" s="11" t="s">
        <v>381</v>
      </c>
      <c r="C89" s="11"/>
      <c r="D89" s="11"/>
      <c r="E89" s="11"/>
      <c r="F89" s="11"/>
      <c r="G89" s="11"/>
      <c r="H89" s="11"/>
      <c r="I89" s="11"/>
      <c r="J89" s="11"/>
      <c r="L89" s="34"/>
    </row>
    <row r="90" spans="2:14" x14ac:dyDescent="0.25">
      <c r="B90" t="s">
        <v>308</v>
      </c>
      <c r="K90" t="s">
        <v>373</v>
      </c>
      <c r="L90" s="34">
        <f>-+'[5]Sponsorship &amp; Promotion '!$M$38</f>
        <v>-31995.300000000003</v>
      </c>
    </row>
    <row r="91" spans="2:14" x14ac:dyDescent="0.25">
      <c r="B91" t="s">
        <v>374</v>
      </c>
      <c r="L91" s="34"/>
    </row>
    <row r="92" spans="2:14" x14ac:dyDescent="0.25">
      <c r="L92" s="34"/>
    </row>
    <row r="93" spans="2:14" x14ac:dyDescent="0.25">
      <c r="B93" s="11" t="s">
        <v>405</v>
      </c>
      <c r="C93" s="11"/>
      <c r="D93" s="11"/>
      <c r="E93" s="11"/>
      <c r="F93" s="11"/>
      <c r="G93" s="11"/>
      <c r="H93" s="11"/>
      <c r="I93" s="11"/>
      <c r="J93" s="11"/>
      <c r="L93" s="34"/>
    </row>
    <row r="94" spans="2:14" x14ac:dyDescent="0.25">
      <c r="B94" t="s">
        <v>31</v>
      </c>
      <c r="K94" t="s">
        <v>375</v>
      </c>
      <c r="L94" s="34">
        <f>+'[6]Fiscal Period 6-19'!$J$21+'[6]Fiscal Period 6-19'!$J$22</f>
        <v>42998.239999999998</v>
      </c>
    </row>
    <row r="95" spans="2:14" x14ac:dyDescent="0.25">
      <c r="B95" t="s">
        <v>406</v>
      </c>
    </row>
    <row r="96" spans="2:14" x14ac:dyDescent="0.25">
      <c r="B96" t="s">
        <v>407</v>
      </c>
    </row>
  </sheetData>
  <printOptions headings="1" gridLines="1"/>
  <pageMargins left="0.45" right="0.2" top="0.75" bottom="0.75" header="0.3" footer="0.3"/>
  <pageSetup scale="84" fitToHeight="0" orientation="portrait" r:id="rId1"/>
  <headerFooter>
    <oddHeader>&amp;C&amp;"Calibri,Bold Italic"PRO FORMA YEAR 2 - INCREMENTAL INCREASE</oddHeader>
    <oddFooter>&amp;L&amp;D&amp;C&amp;"Calibri,Bold Italic"PRO FORMA YEAR 2 - INCREMENTAL INCREASE&amp;RPage &amp;P of &amp;N</oddFooter>
  </headerFooter>
  <rowBreaks count="1" manualBreakCount="1">
    <brk id="51" max="11" man="1"/>
  </rowBreaks>
  <colBreaks count="1" manualBreakCount="1">
    <brk id="1" min="6" max="9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8"/>
  <sheetViews>
    <sheetView topLeftCell="A55" workbookViewId="0">
      <selection activeCell="L74" sqref="L74"/>
    </sheetView>
  </sheetViews>
  <sheetFormatPr defaultRowHeight="15" x14ac:dyDescent="0.25"/>
  <cols>
    <col min="11" max="11" width="10.7109375" bestFit="1" customWidth="1"/>
    <col min="12" max="12" width="12.28515625" bestFit="1" customWidth="1"/>
    <col min="14" max="14" width="10.85546875" bestFit="1" customWidth="1"/>
  </cols>
  <sheetData>
    <row r="1" spans="2:12" ht="18.75" x14ac:dyDescent="0.3"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ht="18.75" x14ac:dyDescent="0.3">
      <c r="B2" s="1" t="s">
        <v>393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18.75" x14ac:dyDescent="0.3">
      <c r="B3" s="1" t="s">
        <v>248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5">
      <c r="K4" t="s">
        <v>328</v>
      </c>
      <c r="L4" t="s">
        <v>325</v>
      </c>
    </row>
    <row r="5" spans="2:12" x14ac:dyDescent="0.25">
      <c r="K5" t="s">
        <v>321</v>
      </c>
      <c r="L5" t="s">
        <v>326</v>
      </c>
    </row>
    <row r="6" spans="2:12" x14ac:dyDescent="0.25">
      <c r="L6" s="13"/>
    </row>
    <row r="7" spans="2:12" x14ac:dyDescent="0.25">
      <c r="B7" s="11">
        <v>1</v>
      </c>
      <c r="C7" s="11"/>
      <c r="D7" s="11"/>
      <c r="E7" s="11"/>
      <c r="F7" s="11"/>
      <c r="G7" s="11"/>
      <c r="H7" s="11"/>
      <c r="I7" s="11"/>
      <c r="J7" s="11"/>
      <c r="K7" s="38"/>
      <c r="L7" s="13"/>
    </row>
    <row r="8" spans="2:12" x14ac:dyDescent="0.25">
      <c r="B8" t="s">
        <v>31</v>
      </c>
      <c r="K8" t="s">
        <v>375</v>
      </c>
      <c r="L8" s="13">
        <f>+'[7]Summary of Legal Fees'!$H$10</f>
        <v>631284.58000000007</v>
      </c>
    </row>
    <row r="9" spans="2:12" x14ac:dyDescent="0.25">
      <c r="B9" t="s">
        <v>425</v>
      </c>
      <c r="L9" s="13"/>
    </row>
    <row r="10" spans="2:12" x14ac:dyDescent="0.25">
      <c r="L10" s="13"/>
    </row>
    <row r="11" spans="2:12" x14ac:dyDescent="0.25">
      <c r="B11" s="11">
        <f>+B7+1</f>
        <v>2</v>
      </c>
      <c r="C11" s="11"/>
      <c r="D11" s="11"/>
      <c r="E11" s="11"/>
      <c r="F11" s="11"/>
      <c r="G11" s="11"/>
      <c r="H11" s="11"/>
      <c r="I11" s="11"/>
      <c r="J11" s="11"/>
      <c r="L11" s="13"/>
    </row>
    <row r="12" spans="2:12" x14ac:dyDescent="0.25">
      <c r="B12" t="s">
        <v>31</v>
      </c>
      <c r="K12" t="s">
        <v>375</v>
      </c>
      <c r="L12" s="13">
        <f>-'[7]Summary of Legal Fees'!$H$12</f>
        <v>-392822.30499999999</v>
      </c>
    </row>
    <row r="13" spans="2:12" x14ac:dyDescent="0.25">
      <c r="B13" t="s">
        <v>426</v>
      </c>
      <c r="L13" s="13"/>
    </row>
    <row r="14" spans="2:12" x14ac:dyDescent="0.25">
      <c r="L14" s="13"/>
    </row>
    <row r="15" spans="2:12" x14ac:dyDescent="0.25">
      <c r="B15" s="11">
        <f>+B11+1</f>
        <v>3</v>
      </c>
      <c r="C15" s="11"/>
      <c r="D15" s="11"/>
      <c r="E15" s="11"/>
      <c r="F15" s="11"/>
      <c r="G15" s="11"/>
      <c r="H15" s="11"/>
      <c r="I15" s="11"/>
      <c r="J15" s="11"/>
      <c r="L15" s="13"/>
    </row>
    <row r="16" spans="2:12" x14ac:dyDescent="0.25">
      <c r="B16" t="s">
        <v>51</v>
      </c>
      <c r="K16" t="s">
        <v>376</v>
      </c>
      <c r="L16" s="13">
        <f>+'[8]Consulting Summary'!$G$8</f>
        <v>69963.199999999997</v>
      </c>
    </row>
    <row r="17" spans="2:14" x14ac:dyDescent="0.25">
      <c r="B17" t="s">
        <v>394</v>
      </c>
      <c r="L17" s="13"/>
    </row>
    <row r="18" spans="2:14" x14ac:dyDescent="0.25">
      <c r="L18" s="34"/>
    </row>
    <row r="19" spans="2:14" x14ac:dyDescent="0.25">
      <c r="B19" s="11">
        <f>+B15+1</f>
        <v>4</v>
      </c>
      <c r="C19" s="11"/>
      <c r="D19" s="11"/>
      <c r="E19" s="11"/>
      <c r="F19" s="11"/>
      <c r="G19" s="11"/>
      <c r="H19" s="11"/>
      <c r="I19" s="11"/>
      <c r="J19" s="11"/>
      <c r="L19" s="34"/>
    </row>
    <row r="20" spans="2:14" ht="15" customHeight="1" x14ac:dyDescent="0.25">
      <c r="B20" s="49" t="s">
        <v>53</v>
      </c>
      <c r="C20" s="50"/>
      <c r="D20" s="50"/>
      <c r="E20" s="50"/>
      <c r="F20" s="42"/>
      <c r="G20" s="42"/>
      <c r="H20" s="42"/>
      <c r="I20" s="42"/>
      <c r="J20" s="42"/>
      <c r="K20" s="43" t="s">
        <v>377</v>
      </c>
      <c r="L20" s="44">
        <f>+'[8]CPA Fees'!$H$9</f>
        <v>6848</v>
      </c>
      <c r="M20" s="15"/>
      <c r="N20" s="48"/>
    </row>
    <row r="21" spans="2:14" x14ac:dyDescent="0.25">
      <c r="B21" t="s">
        <v>395</v>
      </c>
      <c r="L21" s="34"/>
    </row>
    <row r="22" spans="2:14" x14ac:dyDescent="0.25">
      <c r="L22" s="34"/>
    </row>
    <row r="23" spans="2:14" x14ac:dyDescent="0.25">
      <c r="B23" s="11">
        <f>+B19+1</f>
        <v>5</v>
      </c>
      <c r="C23" s="11"/>
      <c r="D23" s="11"/>
      <c r="E23" s="11"/>
      <c r="F23" s="11"/>
      <c r="G23" s="11"/>
      <c r="H23" s="11"/>
      <c r="I23" s="11"/>
      <c r="J23" s="11"/>
    </row>
    <row r="24" spans="2:14" x14ac:dyDescent="0.25">
      <c r="B24" s="39" t="s">
        <v>266</v>
      </c>
      <c r="C24" s="11"/>
      <c r="D24" s="11"/>
      <c r="E24" s="11"/>
      <c r="F24" s="11"/>
      <c r="G24" s="11"/>
      <c r="H24" s="11"/>
      <c r="I24" s="11"/>
      <c r="J24" s="11"/>
      <c r="K24" t="s">
        <v>342</v>
      </c>
      <c r="L24" s="34">
        <f>+'[1]IBU Medical'!$H$32</f>
        <v>14437.965987179496</v>
      </c>
    </row>
    <row r="25" spans="2:14" x14ac:dyDescent="0.25">
      <c r="B25" s="39" t="s">
        <v>378</v>
      </c>
      <c r="L25" s="34"/>
    </row>
    <row r="26" spans="2:14" x14ac:dyDescent="0.25">
      <c r="B26" s="39"/>
      <c r="L26" s="34"/>
    </row>
    <row r="27" spans="2:14" x14ac:dyDescent="0.25">
      <c r="B27" s="11">
        <f>+B23+1</f>
        <v>6</v>
      </c>
      <c r="C27" s="11"/>
      <c r="D27" s="11"/>
      <c r="E27" s="11"/>
      <c r="F27" s="11"/>
      <c r="G27" s="11"/>
      <c r="H27" s="11"/>
      <c r="I27" s="11"/>
      <c r="J27" s="11"/>
      <c r="L27" s="34"/>
    </row>
    <row r="28" spans="2:14" x14ac:dyDescent="0.25">
      <c r="B28" t="s">
        <v>276</v>
      </c>
      <c r="K28" t="s">
        <v>353</v>
      </c>
      <c r="L28" s="34">
        <f>+'[1]Pilots Medical'!$F$32</f>
        <v>25239.059999999998</v>
      </c>
    </row>
    <row r="29" spans="2:14" x14ac:dyDescent="0.25">
      <c r="B29" s="39" t="s">
        <v>383</v>
      </c>
      <c r="L29" s="34"/>
    </row>
    <row r="30" spans="2:14" x14ac:dyDescent="0.25">
      <c r="L30" s="34"/>
    </row>
    <row r="31" spans="2:14" x14ac:dyDescent="0.25">
      <c r="B31" s="11">
        <f>+B27+1</f>
        <v>7</v>
      </c>
      <c r="C31" s="11"/>
      <c r="D31" s="11"/>
      <c r="E31" s="11"/>
      <c r="F31" s="11"/>
      <c r="G31" s="11"/>
      <c r="H31" s="11"/>
      <c r="I31" s="11"/>
      <c r="J31" s="11"/>
      <c r="L31" s="34"/>
    </row>
    <row r="32" spans="2:14" x14ac:dyDescent="0.25">
      <c r="B32" t="s">
        <v>276</v>
      </c>
      <c r="K32" t="s">
        <v>353</v>
      </c>
      <c r="L32" s="34">
        <f>+'[1]Pilots Medical'!$F$27</f>
        <v>119108</v>
      </c>
    </row>
    <row r="33" spans="2:12" x14ac:dyDescent="0.25">
      <c r="B33" s="39" t="s">
        <v>382</v>
      </c>
      <c r="L33" s="34"/>
    </row>
    <row r="34" spans="2:12" x14ac:dyDescent="0.25">
      <c r="L34" s="34"/>
    </row>
    <row r="35" spans="2:12" x14ac:dyDescent="0.25">
      <c r="B35" s="11">
        <f>+B31+1</f>
        <v>8</v>
      </c>
      <c r="C35" s="11"/>
      <c r="D35" s="11"/>
      <c r="E35" s="11"/>
      <c r="F35" s="11"/>
      <c r="G35" s="11"/>
      <c r="H35" s="11"/>
      <c r="I35" s="11"/>
      <c r="J35" s="11"/>
    </row>
    <row r="36" spans="2:12" x14ac:dyDescent="0.25">
      <c r="B36" t="s">
        <v>365</v>
      </c>
      <c r="K36" t="s">
        <v>366</v>
      </c>
      <c r="L36" s="13">
        <f>+'[1]Pilots Pension'!$G$26</f>
        <v>314467</v>
      </c>
    </row>
    <row r="37" spans="2:12" x14ac:dyDescent="0.25">
      <c r="B37" t="s">
        <v>384</v>
      </c>
    </row>
    <row r="38" spans="2:12" x14ac:dyDescent="0.25">
      <c r="L38" s="34"/>
    </row>
    <row r="39" spans="2:12" x14ac:dyDescent="0.25">
      <c r="B39" s="11">
        <f>+B35+1</f>
        <v>9</v>
      </c>
      <c r="C39" s="11"/>
      <c r="D39" s="11"/>
      <c r="E39" s="11"/>
      <c r="F39" s="11"/>
      <c r="G39" s="11"/>
      <c r="H39" s="11"/>
      <c r="I39" s="11"/>
      <c r="J39" s="11"/>
      <c r="L39" s="34"/>
    </row>
    <row r="40" spans="2:12" x14ac:dyDescent="0.25">
      <c r="B40" t="s">
        <v>290</v>
      </c>
      <c r="K40" t="s">
        <v>362</v>
      </c>
      <c r="L40" s="34">
        <f>+[4]Summary!$I$57</f>
        <v>39373.656299999995</v>
      </c>
    </row>
    <row r="41" spans="2:12" x14ac:dyDescent="0.25">
      <c r="B41" t="s">
        <v>385</v>
      </c>
      <c r="L41" s="34"/>
    </row>
    <row r="42" spans="2:12" x14ac:dyDescent="0.25">
      <c r="L42" s="34"/>
    </row>
    <row r="43" spans="2:12" x14ac:dyDescent="0.25">
      <c r="B43" s="11">
        <f>+B39+1</f>
        <v>10</v>
      </c>
      <c r="C43" s="11"/>
      <c r="D43" s="11"/>
      <c r="E43" s="11"/>
      <c r="F43" s="11"/>
      <c r="G43" s="11"/>
      <c r="H43" s="11"/>
      <c r="I43" s="11"/>
      <c r="J43" s="11"/>
      <c r="L43" s="34"/>
    </row>
    <row r="44" spans="2:12" x14ac:dyDescent="0.25">
      <c r="B44" s="3" t="s">
        <v>217</v>
      </c>
      <c r="K44" t="s">
        <v>386</v>
      </c>
      <c r="L44" s="34">
        <f>+'[9]Calculation Worksheet'!$D$19</f>
        <v>53880</v>
      </c>
    </row>
    <row r="45" spans="2:12" x14ac:dyDescent="0.25">
      <c r="B45" t="s">
        <v>389</v>
      </c>
    </row>
    <row r="47" spans="2:12" x14ac:dyDescent="0.25">
      <c r="B47" s="11">
        <f>+B43+1</f>
        <v>11</v>
      </c>
      <c r="C47" s="11"/>
      <c r="D47" s="11"/>
      <c r="E47" s="11"/>
      <c r="F47" s="11"/>
      <c r="G47" s="11"/>
      <c r="H47" s="11"/>
      <c r="I47" s="11"/>
      <c r="J47" s="11"/>
    </row>
    <row r="48" spans="2:12" x14ac:dyDescent="0.25">
      <c r="B48" s="3" t="s">
        <v>125</v>
      </c>
      <c r="K48" t="s">
        <v>387</v>
      </c>
      <c r="L48" s="34">
        <f>+'[9]Calculation Worksheet'!$D$25</f>
        <v>39000</v>
      </c>
    </row>
    <row r="49" spans="2:12" x14ac:dyDescent="0.25">
      <c r="B49" t="s">
        <v>388</v>
      </c>
    </row>
    <row r="51" spans="2:12" x14ac:dyDescent="0.25">
      <c r="B51" s="11">
        <f>+B47+1</f>
        <v>12</v>
      </c>
      <c r="C51" s="11"/>
      <c r="D51" s="11"/>
      <c r="E51" s="11"/>
      <c r="F51" s="11"/>
      <c r="G51" s="11"/>
      <c r="H51" s="11"/>
      <c r="I51" s="11"/>
      <c r="J51" s="11"/>
    </row>
    <row r="52" spans="2:12" x14ac:dyDescent="0.25">
      <c r="B52" s="3" t="s">
        <v>117</v>
      </c>
      <c r="K52" s="16" t="s">
        <v>390</v>
      </c>
      <c r="L52" s="34">
        <f>+'[9]Calculation Worksheet'!$D$29</f>
        <v>6450</v>
      </c>
    </row>
    <row r="53" spans="2:12" x14ac:dyDescent="0.25">
      <c r="B53" t="s">
        <v>391</v>
      </c>
    </row>
    <row r="55" spans="2:12" x14ac:dyDescent="0.25">
      <c r="B55" s="11">
        <f>+B51+1</f>
        <v>13</v>
      </c>
      <c r="C55" s="11"/>
      <c r="D55" s="11"/>
      <c r="E55" s="11"/>
      <c r="F55" s="11"/>
      <c r="G55" s="11"/>
      <c r="H55" s="11"/>
      <c r="I55" s="11"/>
      <c r="J55" s="11"/>
    </row>
    <row r="56" spans="2:12" x14ac:dyDescent="0.25">
      <c r="B56" s="3" t="s">
        <v>125</v>
      </c>
      <c r="K56" t="s">
        <v>387</v>
      </c>
      <c r="L56" s="34">
        <f>-'[9]Calculation Worksheet'!$D$61</f>
        <v>-58500</v>
      </c>
    </row>
    <row r="57" spans="2:12" x14ac:dyDescent="0.25">
      <c r="B57" t="s">
        <v>392</v>
      </c>
    </row>
    <row r="59" spans="2:12" x14ac:dyDescent="0.25">
      <c r="B59" s="11">
        <f>+B55+1</f>
        <v>14</v>
      </c>
      <c r="C59" s="11"/>
      <c r="D59" s="11"/>
      <c r="E59" s="11"/>
      <c r="F59" s="11"/>
      <c r="G59" s="11"/>
      <c r="H59" s="11"/>
      <c r="I59" s="11"/>
      <c r="J59" s="11"/>
    </row>
    <row r="60" spans="2:12" x14ac:dyDescent="0.25">
      <c r="B60" s="3" t="s">
        <v>117</v>
      </c>
      <c r="K60" s="16" t="s">
        <v>390</v>
      </c>
      <c r="L60" s="34">
        <f>-9*2150</f>
        <v>-19350</v>
      </c>
    </row>
    <row r="61" spans="2:12" x14ac:dyDescent="0.25">
      <c r="B61" t="s">
        <v>391</v>
      </c>
    </row>
    <row r="62" spans="2:12" x14ac:dyDescent="0.25">
      <c r="L62" s="13"/>
    </row>
    <row r="63" spans="2:12" x14ac:dyDescent="0.25">
      <c r="B63" s="11">
        <f>+B59+1</f>
        <v>15</v>
      </c>
      <c r="C63" s="11"/>
      <c r="D63" s="11"/>
      <c r="E63" s="11"/>
      <c r="F63" s="11"/>
      <c r="G63" s="11"/>
      <c r="H63" s="11"/>
      <c r="I63" s="11"/>
      <c r="J63" s="11"/>
      <c r="L63" s="13"/>
    </row>
    <row r="64" spans="2:12" x14ac:dyDescent="0.25">
      <c r="B64" s="3" t="s">
        <v>404</v>
      </c>
      <c r="L64" s="13">
        <f>370000/3</f>
        <v>123333.33333333333</v>
      </c>
    </row>
    <row r="65" spans="2:12" x14ac:dyDescent="0.25">
      <c r="B65" t="s">
        <v>427</v>
      </c>
      <c r="L65" s="13"/>
    </row>
    <row r="66" spans="2:12" x14ac:dyDescent="0.25">
      <c r="L66" s="13"/>
    </row>
    <row r="67" spans="2:12" x14ac:dyDescent="0.25">
      <c r="B67" s="11">
        <f>+B63+1</f>
        <v>16</v>
      </c>
      <c r="C67" s="11"/>
      <c r="D67" s="11"/>
      <c r="E67" s="11"/>
      <c r="F67" s="11"/>
      <c r="G67" s="11"/>
      <c r="H67" s="11"/>
      <c r="I67" s="11"/>
      <c r="J67" s="11"/>
      <c r="L67" s="13"/>
    </row>
    <row r="68" spans="2:12" x14ac:dyDescent="0.25">
      <c r="B68" s="3" t="s">
        <v>286</v>
      </c>
      <c r="K68" s="16" t="s">
        <v>410</v>
      </c>
      <c r="L68" s="13">
        <f>+'[10]Rent 2018'!$H$92-'[10]Rent 2018'!$H$87</f>
        <v>42918.25</v>
      </c>
    </row>
    <row r="69" spans="2:12" x14ac:dyDescent="0.25">
      <c r="B69" t="s">
        <v>411</v>
      </c>
      <c r="L69" s="13"/>
    </row>
    <row r="70" spans="2:12" x14ac:dyDescent="0.25">
      <c r="B70" t="s">
        <v>412</v>
      </c>
      <c r="L70" s="13"/>
    </row>
    <row r="71" spans="2:12" x14ac:dyDescent="0.25">
      <c r="L71" s="13"/>
    </row>
    <row r="72" spans="2:12" x14ac:dyDescent="0.25">
      <c r="B72" s="11">
        <f>+B67+1</f>
        <v>17</v>
      </c>
      <c r="C72" s="11"/>
      <c r="D72" s="11"/>
      <c r="E72" s="11"/>
      <c r="F72" s="11"/>
      <c r="G72" s="11"/>
      <c r="H72" s="11"/>
      <c r="I72" s="11"/>
      <c r="J72" s="11"/>
      <c r="L72" s="13"/>
    </row>
    <row r="73" spans="2:12" x14ac:dyDescent="0.25">
      <c r="B73" s="3" t="s">
        <v>20</v>
      </c>
      <c r="C73" s="3"/>
      <c r="D73" s="3"/>
      <c r="K73" s="3" t="s">
        <v>428</v>
      </c>
      <c r="L73" s="13">
        <f>12515346+29232</f>
        <v>12544578</v>
      </c>
    </row>
    <row r="74" spans="2:12" x14ac:dyDescent="0.25">
      <c r="B74" s="3" t="s">
        <v>22</v>
      </c>
      <c r="C74" s="3"/>
      <c r="D74" s="3"/>
      <c r="K74" s="3" t="s">
        <v>429</v>
      </c>
      <c r="L74" s="34">
        <v>-29232</v>
      </c>
    </row>
    <row r="75" spans="2:12" x14ac:dyDescent="0.25">
      <c r="B75" t="s">
        <v>430</v>
      </c>
      <c r="L75" s="13"/>
    </row>
    <row r="76" spans="2:12" x14ac:dyDescent="0.25">
      <c r="L76" s="13"/>
    </row>
    <row r="77" spans="2:12" x14ac:dyDescent="0.25">
      <c r="L77" s="13"/>
    </row>
    <row r="78" spans="2:12" x14ac:dyDescent="0.25">
      <c r="L78" s="13"/>
    </row>
    <row r="79" spans="2:12" x14ac:dyDescent="0.25">
      <c r="L79" s="13"/>
    </row>
    <row r="80" spans="2:12" x14ac:dyDescent="0.25">
      <c r="L80" s="13"/>
    </row>
    <row r="81" spans="12:12" x14ac:dyDescent="0.25">
      <c r="L81" s="13"/>
    </row>
    <row r="82" spans="12:12" x14ac:dyDescent="0.25">
      <c r="L82" s="13"/>
    </row>
    <row r="83" spans="12:12" x14ac:dyDescent="0.25">
      <c r="L83" s="13"/>
    </row>
    <row r="84" spans="12:12" x14ac:dyDescent="0.25">
      <c r="L84" s="13"/>
    </row>
    <row r="85" spans="12:12" x14ac:dyDescent="0.25">
      <c r="L85" s="13"/>
    </row>
    <row r="86" spans="12:12" x14ac:dyDescent="0.25">
      <c r="L86" s="13"/>
    </row>
    <row r="87" spans="12:12" x14ac:dyDescent="0.25">
      <c r="L87" s="13"/>
    </row>
    <row r="88" spans="12:12" x14ac:dyDescent="0.25">
      <c r="L88" s="13"/>
    </row>
    <row r="89" spans="12:12" x14ac:dyDescent="0.25">
      <c r="L89" s="13"/>
    </row>
    <row r="90" spans="12:12" x14ac:dyDescent="0.25">
      <c r="L90" s="13"/>
    </row>
    <row r="91" spans="12:12" x14ac:dyDescent="0.25">
      <c r="L91" s="13"/>
    </row>
    <row r="92" spans="12:12" x14ac:dyDescent="0.25">
      <c r="L92" s="13"/>
    </row>
    <row r="93" spans="12:12" x14ac:dyDescent="0.25">
      <c r="L93" s="13"/>
    </row>
    <row r="94" spans="12:12" x14ac:dyDescent="0.25">
      <c r="L94" s="13"/>
    </row>
    <row r="95" spans="12:12" x14ac:dyDescent="0.25">
      <c r="L95" s="13"/>
    </row>
    <row r="96" spans="12:12" x14ac:dyDescent="0.25">
      <c r="L96" s="13"/>
    </row>
    <row r="97" spans="12:12" x14ac:dyDescent="0.25">
      <c r="L97" s="13"/>
    </row>
    <row r="98" spans="12:12" x14ac:dyDescent="0.25">
      <c r="L98" s="13"/>
    </row>
  </sheetData>
  <mergeCells count="1">
    <mergeCell ref="B20:E20"/>
  </mergeCells>
  <printOptions headings="1" gridLines="1"/>
  <pageMargins left="0.45" right="0.2" top="0.75" bottom="0.75" header="0.3" footer="0.3"/>
  <pageSetup scale="84" fitToHeight="0" orientation="portrait" r:id="rId1"/>
  <headerFooter>
    <oddHeader>&amp;C&amp;"Calibri,Bold Italic"PRO FORMA YEAR 2 - INCREMENTAL INCREASE</oddHeader>
    <oddFooter>&amp;L&amp;D&amp;C&amp;"Calibri,Bold Italic"PRO FORMA YEAR 2 - INCREMENTAL INCREASE&amp;RPage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45DDC509B45C478FAB6DD6BD075772" ma:contentTypeVersion="56" ma:contentTypeDescription="" ma:contentTypeScope="" ma:versionID="de6c6aa20818f4e908147677790fea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2019-11-20T08:00:00+00:00</OpenedDate>
    <SignificantOrder xmlns="dc463f71-b30c-4ab2-9473-d307f9d35888">false</SignificantOrder>
    <Date1 xmlns="dc463f71-b30c-4ab2-9473-d307f9d35888">2019-11-20T08:00:00+00:00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190976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A1FEC0-21F1-4484-9E70-04320101F258}"/>
</file>

<file path=customXml/itemProps2.xml><?xml version="1.0" encoding="utf-8"?>
<ds:datastoreItem xmlns:ds="http://schemas.openxmlformats.org/officeDocument/2006/customXml" ds:itemID="{1A163CA7-1E8F-4ED7-B861-2DD383CD2728}"/>
</file>

<file path=customXml/itemProps3.xml><?xml version="1.0" encoding="utf-8"?>
<ds:datastoreItem xmlns:ds="http://schemas.openxmlformats.org/officeDocument/2006/customXml" ds:itemID="{BB6AB1AF-37B2-4758-8766-7B35F0EB38B5}"/>
</file>

<file path=customXml/itemProps4.xml><?xml version="1.0" encoding="utf-8"?>
<ds:datastoreItem xmlns:ds="http://schemas.openxmlformats.org/officeDocument/2006/customXml" ds:itemID="{F6F7EB20-D8F0-43FF-B2F7-25D61B47BF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Calendar Period Ended 12-18</vt:lpstr>
      <vt:lpstr>6 Month P-L 6-19</vt:lpstr>
      <vt:lpstr>Fiscal Period Ended 6-19</vt:lpstr>
      <vt:lpstr>Pro Forma</vt:lpstr>
      <vt:lpstr>Restating Entries</vt:lpstr>
      <vt:lpstr>Pro Forma Entries</vt:lpstr>
      <vt:lpstr>'6 Month P-L 6-19'!Print_Area</vt:lpstr>
      <vt:lpstr>'Calendar Period Ended 12-18'!Print_Area</vt:lpstr>
      <vt:lpstr>'Fiscal Period Ended 6-19'!Print_Area</vt:lpstr>
      <vt:lpstr>'Pro Forma'!Print_Area</vt:lpstr>
      <vt:lpstr>'Pro Forma Entries'!Print_Area</vt:lpstr>
      <vt:lpstr>'Restating Entries'!Print_Area</vt:lpstr>
      <vt:lpstr>'6 Month P-L 6-19'!Print_Titles</vt:lpstr>
      <vt:lpstr>'Calendar Period Ended 12-18'!Print_Titles</vt:lpstr>
      <vt:lpstr>'Fiscal Period Ended 6-19'!Print_Titles</vt:lpstr>
      <vt:lpstr>'Pro Forma'!Print_Titles</vt:lpstr>
      <vt:lpstr>'Pro Forma Entries'!Print_Titles</vt:lpstr>
      <vt:lpstr>'Restating Entries'!Print_Titles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Burton</dc:creator>
  <cp:lastModifiedBy>Paula Polet</cp:lastModifiedBy>
  <cp:lastPrinted>2019-11-17T01:34:02Z</cp:lastPrinted>
  <dcterms:created xsi:type="dcterms:W3CDTF">2019-09-01T20:45:42Z</dcterms:created>
  <dcterms:modified xsi:type="dcterms:W3CDTF">2019-11-20T00:40:06Z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0x0101006E56B4D1795A2E4DB2F0B01679ED314A000B45DDC509B45C478FAB6DD6BD075772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