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240" windowWidth="19200" windowHeight="6105"/>
  </bookViews>
  <sheets>
    <sheet name="Summary 2016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F6" i="4" l="1"/>
  <c r="B13" i="3" l="1"/>
  <c r="F30" i="4" l="1"/>
  <c r="F33" i="4" l="1"/>
  <c r="F7" i="4"/>
  <c r="E5" i="1" l="1"/>
  <c r="B4" i="3" l="1"/>
  <c r="B1" i="4" l="1"/>
  <c r="B35" i="4" l="1"/>
  <c r="B36" i="3" l="1"/>
  <c r="B7" i="3" l="1"/>
  <c r="C13" i="3"/>
  <c r="D13" i="3" s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D34" i="4" s="1"/>
  <c r="B36" i="4"/>
  <c r="B37" i="4"/>
  <c r="B38" i="4"/>
  <c r="D38" i="4" s="1"/>
  <c r="B39" i="4"/>
  <c r="B40" i="4"/>
  <c r="B41" i="4"/>
  <c r="B3" i="4"/>
  <c r="F34" i="3" l="1"/>
  <c r="D14" i="3"/>
  <c r="F42" i="4"/>
  <c r="B7" i="4"/>
  <c r="D36" i="4" l="1"/>
  <c r="D37" i="4"/>
  <c r="D39" i="4"/>
  <c r="D40" i="4"/>
  <c r="D41" i="4"/>
  <c r="D11" i="4"/>
  <c r="D12" i="4"/>
  <c r="D13" i="4"/>
  <c r="D14" i="4"/>
  <c r="D15" i="4"/>
  <c r="D16" i="4"/>
  <c r="D17" i="4"/>
  <c r="D18" i="4"/>
  <c r="D19" i="4"/>
  <c r="D20" i="4"/>
  <c r="C4" i="3"/>
  <c r="D4" i="3" s="1"/>
  <c r="C5" i="3"/>
  <c r="D5" i="3" s="1"/>
  <c r="D6" i="3"/>
  <c r="C8" i="3"/>
  <c r="D8" i="3" s="1"/>
  <c r="C9" i="3"/>
  <c r="D9" i="3" s="1"/>
  <c r="D22" i="4" l="1"/>
  <c r="D10" i="4"/>
  <c r="D9" i="4"/>
  <c r="D8" i="4"/>
  <c r="B42" i="4" l="1"/>
  <c r="E20" i="1" s="1"/>
  <c r="H12" i="1"/>
  <c r="H13" i="1"/>
  <c r="H14" i="1"/>
  <c r="H24" i="1" l="1"/>
  <c r="F14" i="1"/>
  <c r="F13" i="1"/>
  <c r="B3" i="3" l="1"/>
  <c r="B1" i="3"/>
  <c r="C2" i="4"/>
  <c r="E22" i="1"/>
  <c r="H11" i="1"/>
  <c r="H10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B38" i="3" s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D33" i="4"/>
  <c r="D32" i="4"/>
  <c r="D31" i="4"/>
  <c r="D30" i="4"/>
  <c r="D29" i="4"/>
  <c r="D28" i="4"/>
  <c r="D27" i="4"/>
  <c r="D26" i="4"/>
  <c r="D25" i="4"/>
  <c r="D24" i="4"/>
  <c r="D23" i="4"/>
  <c r="E21" i="1" l="1"/>
  <c r="D34" i="3"/>
  <c r="G21" i="1" s="1"/>
  <c r="F20" i="1" l="1"/>
  <c r="F21" i="1"/>
  <c r="D35" i="4"/>
  <c r="D4" i="4" l="1"/>
  <c r="D5" i="4" l="1"/>
  <c r="D7" i="4" l="1"/>
  <c r="D6" i="4"/>
  <c r="D42" i="4" l="1"/>
  <c r="G20" i="1" l="1"/>
  <c r="G22" i="1" s="1"/>
  <c r="H22" i="1" s="1"/>
</calcChain>
</file>

<file path=xl/comments1.xml><?xml version="1.0" encoding="utf-8"?>
<comments xmlns="http://schemas.openxmlformats.org/spreadsheetml/2006/main">
  <authors>
    <author>Author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<sst xmlns="http://schemas.openxmlformats.org/spreadsheetml/2006/main" count="222" uniqueCount="139">
  <si>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</si>
  <si>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</si>
  <si>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</si>
  <si>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</si>
  <si>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</si>
  <si>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</si>
  <si>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</si>
  <si>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</si>
  <si>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</si>
  <si>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</si>
  <si>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</si>
  <si>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</si>
  <si>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</si>
  <si>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</si>
  <si>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</si>
  <si>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</si>
  <si>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</si>
  <si>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</si>
  <si>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</si>
  <si>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</si>
  <si>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</si>
  <si>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</si>
  <si>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</si>
  <si>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</si>
  <si>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</si>
  <si>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</si>
  <si>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</si>
  <si>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</si>
  <si>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</si>
  <si>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</si>
  <si>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</si>
  <si>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</si>
  <si>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</si>
  <si>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</si>
  <si>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</si>
  <si>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</si>
  <si>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</si>
  <si>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</si>
  <si>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</si>
  <si>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</si>
  <si>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</si>
  <si>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</si>
  <si>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</si>
  <si>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</si>
  <si>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</si>
  <si>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</si>
  <si>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</si>
  <si>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</si>
  <si>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</si>
  <si>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</si>
  <si>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</si>
  <si>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</si>
  <si>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</si>
  <si>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</si>
  <si>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</si>
  <si>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</si>
  <si>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</si>
  <si>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</si>
  <si>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</si>
  <si>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</si>
  <si>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</si>
  <si>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</si>
  <si>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</si>
  <si>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</si>
  <si>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</si>
  <si>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</si>
  <si>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</si>
  <si>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</si>
  <si>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</si>
  <si>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</si>
  <si>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</si>
  <si>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</si>
  <si>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</si>
  <si>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</si>
  <si>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</si>
  <si>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</si>
  <si>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</si>
  <si>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</si>
  <si>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</si>
  <si>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</si>
  <si>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</si>
  <si>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</si>
  <si>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</si>
  <si>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</si>
  <si>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</si>
  <si>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</si>
  <si>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</si>
  <si>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</si>
  <si>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</si>
  <si>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</si>
  <si>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</si>
  <si>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</si>
  <si>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</si>
  <si>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</si>
  <si>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</si>
  <si>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</si>
  <si>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</si>
  <si>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</si>
  <si>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</si>
  <si>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</si>
  <si>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</si>
  <si>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</si>
  <si>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</si>
  <si>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</si>
  <si>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</si>
  <si>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</si>
  <si>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</si>
  <si>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</si>
  <si>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</si>
  <si>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</si>
  <si>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</si>
  <si>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</si>
  <si>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</si>
  <si>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</si>
  <si>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</si>
  <si>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</si>
  <si>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</si>
  <si>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</si>
  <si>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</si>
  <si>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</si>
  <si>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</si>
  <si>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</si>
  <si>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</si>
  <si>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</si>
  <si>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</si>
  <si>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</si>
  <si>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</si>
  <si>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</si>
  <si>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</si>
  <si>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</si>
  <si>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</si>
  <si>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Annual (Unallocated) MWh 2016</t>
  </si>
  <si>
    <t>Summary Energy and Emissions Intensity Report - 2016</t>
  </si>
  <si>
    <t>Updated 5/11/2017</t>
  </si>
  <si>
    <t>2016 Washington - WCA Allocation Factor</t>
  </si>
  <si>
    <t>short ton CO2 per MWh</t>
  </si>
  <si>
    <t>Other Firm Purchases (1)</t>
  </si>
  <si>
    <t>(1) Third party imbalance , transmission losses, misc exchanges. Per FERC accounting booked to purchase power</t>
  </si>
  <si>
    <t>EIM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</si>
</sst>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60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4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3" fontId="55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34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6" fillId="0" borderId="0" xfId="0" applyFont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32"/>
  <sheetViews>
    <sheetView tabSelected="1" workbookViewId="0">
      <selection activeCell="E29" sqref="E29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132</v>
      </c>
    </row>
    <row r="2" spans="2:8" ht="15.75" thickBot="1"/>
    <row r="3" spans="2:8">
      <c r="B3" s="41"/>
      <c r="C3" s="42" t="s">
        <v>14</v>
      </c>
      <c r="D3" s="43" t="s">
        <v>42</v>
      </c>
      <c r="E3" s="46"/>
      <c r="F3" s="44"/>
    </row>
    <row r="4" spans="2:8">
      <c r="B4" s="152" t="s">
        <v>15</v>
      </c>
      <c r="C4" s="154"/>
      <c r="D4" s="25">
        <v>2016</v>
      </c>
      <c r="E4" s="49" t="s">
        <v>38</v>
      </c>
      <c r="F4" s="45"/>
    </row>
    <row r="5" spans="2:8" ht="15.75" thickBot="1">
      <c r="B5" s="155" t="s">
        <v>20</v>
      </c>
      <c r="C5" s="156"/>
      <c r="D5" s="131">
        <v>301905</v>
      </c>
      <c r="E5" s="132">
        <f>+E15/D5</f>
        <v>14.680353091204189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35</v>
      </c>
      <c r="D7" s="14"/>
      <c r="F7" s="13"/>
    </row>
    <row r="8" spans="2:8">
      <c r="B8" s="28"/>
      <c r="C8" s="29"/>
      <c r="D8" s="29"/>
      <c r="E8" s="29"/>
      <c r="F8" s="29"/>
      <c r="G8" s="30" t="s">
        <v>19</v>
      </c>
      <c r="H8" s="59" t="s">
        <v>39</v>
      </c>
    </row>
    <row r="9" spans="2:8">
      <c r="B9" s="31"/>
      <c r="C9" s="9"/>
      <c r="D9" s="9"/>
      <c r="E9" s="11" t="s">
        <v>13</v>
      </c>
      <c r="F9" s="20" t="s">
        <v>27</v>
      </c>
      <c r="G9" s="16" t="s">
        <v>34</v>
      </c>
      <c r="H9" s="60" t="s">
        <v>19</v>
      </c>
    </row>
    <row r="10" spans="2:8">
      <c r="B10" s="152" t="s">
        <v>11</v>
      </c>
      <c r="C10" s="153"/>
      <c r="D10" s="154"/>
      <c r="E10" s="47">
        <v>1749590.0788588659</v>
      </c>
      <c r="F10" s="10">
        <f>+E10/E15</f>
        <v>0.39475669142082204</v>
      </c>
      <c r="G10" s="55">
        <v>108342.08333333299</v>
      </c>
      <c r="H10" s="148">
        <f>+E10/G10</f>
        <v>16.148757943632596</v>
      </c>
    </row>
    <row r="11" spans="2:8">
      <c r="B11" s="152" t="s">
        <v>16</v>
      </c>
      <c r="C11" s="153"/>
      <c r="D11" s="154"/>
      <c r="E11" s="47">
        <v>1612645.2623654904</v>
      </c>
      <c r="F11" s="10">
        <f>+E11/E15</f>
        <v>0.36385809218927179</v>
      </c>
      <c r="G11" s="56">
        <v>15765.166666666701</v>
      </c>
      <c r="H11" s="61">
        <f>+E11/G11</f>
        <v>102.29167229644386</v>
      </c>
    </row>
    <row r="12" spans="2:8">
      <c r="B12" s="152" t="s">
        <v>17</v>
      </c>
      <c r="C12" s="153"/>
      <c r="D12" s="154"/>
      <c r="E12" s="47">
        <v>868534.03721118195</v>
      </c>
      <c r="F12" s="10">
        <f>+E12/E15</f>
        <v>0.19596568765380656</v>
      </c>
      <c r="G12" s="57">
        <v>491.83333333333297</v>
      </c>
      <c r="H12" s="61">
        <f>+E12/G12</f>
        <v>1765.9112921948815</v>
      </c>
    </row>
    <row r="13" spans="2:8">
      <c r="B13" s="152" t="s">
        <v>40</v>
      </c>
      <c r="C13" s="153"/>
      <c r="D13" s="154"/>
      <c r="E13" s="51">
        <v>190139.3389133884</v>
      </c>
      <c r="F13" s="10">
        <f>+E13/E15</f>
        <v>4.2900778442540727E-2</v>
      </c>
      <c r="G13" s="57">
        <v>5058</v>
      </c>
      <c r="H13" s="61">
        <f>+E13/G13</f>
        <v>37.591802869392723</v>
      </c>
    </row>
    <row r="14" spans="2:8">
      <c r="B14" s="157" t="s">
        <v>41</v>
      </c>
      <c r="C14" s="158"/>
      <c r="D14" s="159"/>
      <c r="E14" s="51">
        <v>11163.28265107424</v>
      </c>
      <c r="F14" s="10">
        <f>+E14/E15</f>
        <v>2.5187502935589126E-3</v>
      </c>
      <c r="G14" s="57">
        <v>241</v>
      </c>
      <c r="H14" s="61">
        <f>+E14/G14</f>
        <v>46.320674900722985</v>
      </c>
    </row>
    <row r="15" spans="2:8" ht="15.75" thickBot="1">
      <c r="B15" s="33"/>
      <c r="C15" s="52" t="s">
        <v>12</v>
      </c>
      <c r="D15" s="53"/>
      <c r="E15" s="48">
        <f>SUM(E10:E14)</f>
        <v>4432072.0000000009</v>
      </c>
      <c r="F15" s="54"/>
      <c r="G15" s="58"/>
      <c r="H15" s="62"/>
    </row>
    <row r="17" spans="2:9" ht="19.5" thickBot="1">
      <c r="C17" s="40" t="s">
        <v>36</v>
      </c>
    </row>
    <row r="18" spans="2:9">
      <c r="B18" s="28"/>
      <c r="C18" s="29"/>
      <c r="D18" s="29"/>
      <c r="E18" s="29"/>
      <c r="F18" s="30" t="s">
        <v>28</v>
      </c>
      <c r="G18" s="35" t="s">
        <v>5</v>
      </c>
      <c r="H18" s="36"/>
    </row>
    <row r="19" spans="2:9" ht="18">
      <c r="B19" s="37"/>
      <c r="C19" s="5"/>
      <c r="D19" s="5"/>
      <c r="E19" s="20" t="s">
        <v>18</v>
      </c>
      <c r="F19" s="16" t="s">
        <v>29</v>
      </c>
      <c r="G19" s="12" t="s">
        <v>8</v>
      </c>
      <c r="H19" s="32"/>
    </row>
    <row r="20" spans="2:9" ht="15.75" thickBot="1">
      <c r="B20" s="152" t="s">
        <v>32</v>
      </c>
      <c r="C20" s="153"/>
      <c r="D20" s="154"/>
      <c r="E20" s="134">
        <f>+'Known Resources'!B42</f>
        <v>3448690.1641142471</v>
      </c>
      <c r="F20" s="10">
        <f>+E20/(E20+E21)</f>
        <v>0.80265382222283144</v>
      </c>
      <c r="G20" s="134">
        <f>+'Known Resources'!D42</f>
        <v>2326469.4310870236</v>
      </c>
      <c r="H20" s="133"/>
    </row>
    <row r="21" spans="2:9" ht="18">
      <c r="B21" s="152" t="s">
        <v>33</v>
      </c>
      <c r="C21" s="153"/>
      <c r="D21" s="154"/>
      <c r="E21" s="135">
        <f>+'Unknown Resources'!B34</f>
        <v>847919.4932890007</v>
      </c>
      <c r="F21" s="38">
        <f>+E21/(E20+E21)</f>
        <v>0.19734617777716859</v>
      </c>
      <c r="G21" s="136">
        <f>+'Unknown Resources'!D34</f>
        <v>455239.49675193161</v>
      </c>
      <c r="H21" s="50" t="s">
        <v>37</v>
      </c>
    </row>
    <row r="22" spans="2:9" ht="18.75" thickBot="1">
      <c r="B22" s="33"/>
      <c r="C22" s="34"/>
      <c r="D22" s="34"/>
      <c r="E22" s="52">
        <f>+D4</f>
        <v>2016</v>
      </c>
      <c r="F22" s="141" t="s">
        <v>4</v>
      </c>
      <c r="G22" s="142">
        <f>SUM(G20:G21)</f>
        <v>2781708.9278389551</v>
      </c>
      <c r="H22" s="150">
        <f>+G22/H24</f>
        <v>1.1594908243245761</v>
      </c>
    </row>
    <row r="24" spans="2:9" ht="18">
      <c r="G24" s="15" t="s">
        <v>26</v>
      </c>
      <c r="H24" s="21">
        <f>H30</f>
        <v>2399078</v>
      </c>
      <c r="I24" s="19"/>
    </row>
    <row r="26" spans="2:9">
      <c r="F26" s="19" t="s">
        <v>21</v>
      </c>
      <c r="G26" s="17"/>
      <c r="H26" s="17"/>
    </row>
    <row r="27" spans="2:9">
      <c r="F27" s="17"/>
      <c r="G27" s="17"/>
      <c r="H27" s="137" t="s">
        <v>25</v>
      </c>
    </row>
    <row r="28" spans="2:9" ht="18">
      <c r="F28" s="17"/>
      <c r="G28" s="17"/>
      <c r="H28" s="138" t="s">
        <v>3</v>
      </c>
    </row>
    <row r="29" spans="2:9">
      <c r="F29" s="17"/>
      <c r="G29" s="18" t="s">
        <v>22</v>
      </c>
      <c r="H29" s="139">
        <v>1131957</v>
      </c>
    </row>
    <row r="30" spans="2:9">
      <c r="F30" s="17"/>
      <c r="G30" s="18" t="s">
        <v>23</v>
      </c>
      <c r="H30" s="139">
        <v>2399078</v>
      </c>
    </row>
    <row r="31" spans="2:9">
      <c r="F31" s="17"/>
      <c r="G31" s="18" t="s">
        <v>24</v>
      </c>
      <c r="H31" s="139">
        <v>6946064</v>
      </c>
    </row>
    <row r="32" spans="2:9">
      <c r="H32" s="140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46"/>
  <sheetViews>
    <sheetView workbookViewId="0">
      <selection activeCell="F7" sqref="F7"/>
    </sheetView>
  </sheetViews>
  <sheetFormatPr defaultRowHeight="15"/>
  <cols>
    <col min="1" max="1" width="47.5703125" customWidth="1"/>
    <col min="2" max="4" width="14.85546875" customWidth="1"/>
    <col min="5" max="5" width="23.85546875" style="3" customWidth="1"/>
    <col min="6" max="6" width="31.42578125" style="3" customWidth="1"/>
    <col min="7" max="7" width="18.28515625" customWidth="1"/>
    <col min="8" max="8" width="9.7109375" customWidth="1"/>
    <col min="9" max="9" width="10.5703125" customWidth="1"/>
  </cols>
  <sheetData>
    <row r="1" spans="1:7" ht="18.75">
      <c r="A1" s="2" t="s">
        <v>10</v>
      </c>
      <c r="B1" s="24">
        <f>+'Summary 2016'!D4</f>
        <v>2016</v>
      </c>
      <c r="C1" s="1"/>
      <c r="D1" s="1"/>
      <c r="E1" s="71"/>
      <c r="F1" s="71"/>
    </row>
    <row r="2" spans="1:7" ht="18.75">
      <c r="A2" s="2"/>
      <c r="B2" s="7" t="s">
        <v>30</v>
      </c>
      <c r="C2" s="7">
        <f>+'Summary 2016'!D4</f>
        <v>2016</v>
      </c>
      <c r="D2" s="7" t="s">
        <v>5</v>
      </c>
      <c r="E2" s="71"/>
      <c r="F2" s="71" t="s">
        <v>133</v>
      </c>
    </row>
    <row r="3" spans="1:7" ht="19.5">
      <c r="A3" s="4" t="s">
        <v>0</v>
      </c>
      <c r="B3" s="8">
        <f>+'Summary 2016'!D4</f>
        <v>2016</v>
      </c>
      <c r="C3" s="8" t="s">
        <v>7</v>
      </c>
      <c r="D3" s="8" t="s">
        <v>8</v>
      </c>
      <c r="E3" s="6"/>
      <c r="F3" s="71" t="s">
        <v>131</v>
      </c>
    </row>
    <row r="4" spans="1:7">
      <c r="A4" s="67" t="s">
        <v>47</v>
      </c>
      <c r="B4" s="68">
        <f t="shared" ref="B4:B41" si="0">F4*$B$44</f>
        <v>110919.87076850767</v>
      </c>
      <c r="C4" s="68">
        <v>2156</v>
      </c>
      <c r="D4" s="90">
        <f>(+B4*C4)/2000</f>
        <v>119571.62068845126</v>
      </c>
      <c r="E4" s="71" t="s">
        <v>84</v>
      </c>
      <c r="F4" s="73">
        <v>487733.526084046</v>
      </c>
    </row>
    <row r="5" spans="1:7">
      <c r="A5" s="67" t="s">
        <v>46</v>
      </c>
      <c r="B5" s="68">
        <f t="shared" si="0"/>
        <v>1816892.540543739</v>
      </c>
      <c r="C5" s="68">
        <v>2134</v>
      </c>
      <c r="D5" s="90">
        <f t="shared" ref="D5:D20" si="1">(+B5*C5)/2000</f>
        <v>1938624.3407601696</v>
      </c>
      <c r="E5" s="71" t="s">
        <v>84</v>
      </c>
      <c r="F5" s="73">
        <v>7989185.3387084585</v>
      </c>
      <c r="G5" s="65"/>
    </row>
    <row r="6" spans="1:7">
      <c r="A6" s="67" t="s">
        <v>45</v>
      </c>
      <c r="B6" s="68">
        <f t="shared" si="0"/>
        <v>313217.36613000004</v>
      </c>
      <c r="C6" s="68">
        <v>916</v>
      </c>
      <c r="D6" s="90">
        <f t="shared" si="1"/>
        <v>143453.55368754003</v>
      </c>
      <c r="E6" s="71" t="s">
        <v>85</v>
      </c>
      <c r="F6" s="73">
        <f>1420028-42758</f>
        <v>1377270</v>
      </c>
      <c r="G6" s="63"/>
    </row>
    <row r="7" spans="1:7">
      <c r="A7" s="67" t="s">
        <v>83</v>
      </c>
      <c r="B7" s="68">
        <f t="shared" si="0"/>
        <v>307817.30197500001</v>
      </c>
      <c r="C7" s="68">
        <v>811</v>
      </c>
      <c r="D7" s="90">
        <f t="shared" si="1"/>
        <v>124819.9159508625</v>
      </c>
      <c r="E7" s="71" t="s">
        <v>85</v>
      </c>
      <c r="F7" s="73">
        <f>547251+1145656-339382</f>
        <v>1353525</v>
      </c>
    </row>
    <row r="8" spans="1:7">
      <c r="A8" s="67" t="s">
        <v>43</v>
      </c>
      <c r="B8" s="68">
        <f t="shared" si="0"/>
        <v>50918.886681000004</v>
      </c>
      <c r="C8" s="68">
        <v>0</v>
      </c>
      <c r="D8" s="90">
        <f t="shared" si="1"/>
        <v>0</v>
      </c>
      <c r="E8" s="86" t="s">
        <v>86</v>
      </c>
      <c r="F8" s="73">
        <v>223899</v>
      </c>
    </row>
    <row r="9" spans="1:7">
      <c r="A9" s="67" t="s">
        <v>44</v>
      </c>
      <c r="B9" s="68">
        <f t="shared" si="0"/>
        <v>46076.226495000003</v>
      </c>
      <c r="C9" s="68">
        <v>0</v>
      </c>
      <c r="D9" s="90">
        <f t="shared" si="1"/>
        <v>0</v>
      </c>
      <c r="E9" s="86" t="s">
        <v>86</v>
      </c>
      <c r="F9" s="73">
        <v>202605</v>
      </c>
      <c r="G9" s="130"/>
    </row>
    <row r="10" spans="1:7">
      <c r="A10" s="67" t="s">
        <v>48</v>
      </c>
      <c r="B10" s="68">
        <f t="shared" si="0"/>
        <v>119718.364818</v>
      </c>
      <c r="C10" s="68">
        <v>0</v>
      </c>
      <c r="D10" s="90">
        <f t="shared" si="1"/>
        <v>0</v>
      </c>
      <c r="E10" s="86" t="s">
        <v>86</v>
      </c>
      <c r="F10" s="73">
        <v>526422</v>
      </c>
      <c r="G10" s="130"/>
    </row>
    <row r="11" spans="1:7" s="64" customFormat="1">
      <c r="A11" s="67" t="s">
        <v>54</v>
      </c>
      <c r="B11" s="68">
        <f t="shared" si="0"/>
        <v>445.28640200000001</v>
      </c>
      <c r="C11" s="68">
        <v>0</v>
      </c>
      <c r="D11" s="90">
        <f t="shared" si="1"/>
        <v>0</v>
      </c>
      <c r="E11" s="86" t="s">
        <v>87</v>
      </c>
      <c r="F11" s="73">
        <v>1958</v>
      </c>
      <c r="G11" s="130"/>
    </row>
    <row r="12" spans="1:7" s="64" customFormat="1">
      <c r="A12" s="67" t="s">
        <v>55</v>
      </c>
      <c r="B12" s="68">
        <f t="shared" si="0"/>
        <v>9201.145321</v>
      </c>
      <c r="C12" s="68">
        <v>0</v>
      </c>
      <c r="D12" s="90">
        <f t="shared" si="1"/>
        <v>0</v>
      </c>
      <c r="E12" s="86" t="s">
        <v>87</v>
      </c>
      <c r="F12" s="73">
        <v>40459</v>
      </c>
    </row>
    <row r="13" spans="1:7" s="64" customFormat="1">
      <c r="A13" s="67" t="s">
        <v>56</v>
      </c>
      <c r="B13" s="68">
        <f t="shared" si="0"/>
        <v>10333.691941000001</v>
      </c>
      <c r="C13" s="68">
        <v>0</v>
      </c>
      <c r="D13" s="90">
        <f t="shared" si="1"/>
        <v>0</v>
      </c>
      <c r="E13" s="86" t="s">
        <v>87</v>
      </c>
      <c r="F13" s="73">
        <v>45439</v>
      </c>
    </row>
    <row r="14" spans="1:7" s="64" customFormat="1">
      <c r="A14" s="67" t="s">
        <v>57</v>
      </c>
      <c r="B14" s="68">
        <f t="shared" si="0"/>
        <v>18412.751916000001</v>
      </c>
      <c r="C14" s="68">
        <v>0</v>
      </c>
      <c r="D14" s="90">
        <f t="shared" si="1"/>
        <v>0</v>
      </c>
      <c r="E14" s="86" t="s">
        <v>87</v>
      </c>
      <c r="F14" s="73">
        <v>80964</v>
      </c>
    </row>
    <row r="15" spans="1:7" s="64" customFormat="1">
      <c r="A15" s="67" t="s">
        <v>58</v>
      </c>
      <c r="B15" s="68">
        <f t="shared" si="0"/>
        <v>23831.691848000002</v>
      </c>
      <c r="C15" s="68">
        <v>0</v>
      </c>
      <c r="D15" s="90">
        <f t="shared" si="1"/>
        <v>0</v>
      </c>
      <c r="E15" s="86" t="s">
        <v>87</v>
      </c>
      <c r="F15" s="73">
        <v>104792</v>
      </c>
    </row>
    <row r="16" spans="1:7" s="64" customFormat="1">
      <c r="A16" s="67" t="s">
        <v>59</v>
      </c>
      <c r="B16" s="68">
        <f t="shared" si="0"/>
        <v>4213.1643940000004</v>
      </c>
      <c r="C16" s="68">
        <v>0</v>
      </c>
      <c r="D16" s="90">
        <f t="shared" si="1"/>
        <v>0</v>
      </c>
      <c r="E16" s="86" t="s">
        <v>87</v>
      </c>
      <c r="F16" s="73">
        <v>18526</v>
      </c>
    </row>
    <row r="17" spans="1:6" s="64" customFormat="1">
      <c r="A17" s="67" t="s">
        <v>60</v>
      </c>
      <c r="B17" s="68">
        <f t="shared" si="0"/>
        <v>2307.3931740000003</v>
      </c>
      <c r="C17" s="68">
        <v>0</v>
      </c>
      <c r="D17" s="90">
        <f t="shared" si="1"/>
        <v>0</v>
      </c>
      <c r="E17" s="86" t="s">
        <v>87</v>
      </c>
      <c r="F17" s="73">
        <v>10146</v>
      </c>
    </row>
    <row r="18" spans="1:6" s="64" customFormat="1">
      <c r="A18" s="67" t="s">
        <v>61</v>
      </c>
      <c r="B18" s="68">
        <f t="shared" si="0"/>
        <v>7923.0505410000005</v>
      </c>
      <c r="C18" s="68">
        <v>0</v>
      </c>
      <c r="D18" s="90">
        <f t="shared" si="1"/>
        <v>0</v>
      </c>
      <c r="E18" s="86" t="s">
        <v>87</v>
      </c>
      <c r="F18" s="73">
        <v>34839</v>
      </c>
    </row>
    <row r="19" spans="1:6" s="64" customFormat="1">
      <c r="A19" s="67" t="s">
        <v>62</v>
      </c>
      <c r="B19" s="68">
        <f t="shared" si="0"/>
        <v>22912.919088000002</v>
      </c>
      <c r="C19" s="68">
        <v>0</v>
      </c>
      <c r="D19" s="90">
        <f t="shared" si="1"/>
        <v>0</v>
      </c>
      <c r="E19" s="86" t="s">
        <v>87</v>
      </c>
      <c r="F19" s="73">
        <v>100752</v>
      </c>
    </row>
    <row r="20" spans="1:6" s="64" customFormat="1">
      <c r="A20" s="67" t="s">
        <v>63</v>
      </c>
      <c r="B20" s="68">
        <f t="shared" si="0"/>
        <v>48844.143144000001</v>
      </c>
      <c r="C20" s="68">
        <v>0</v>
      </c>
      <c r="D20" s="90">
        <f t="shared" si="1"/>
        <v>0</v>
      </c>
      <c r="E20" s="86" t="s">
        <v>87</v>
      </c>
      <c r="F20" s="73">
        <v>214776</v>
      </c>
    </row>
    <row r="21" spans="1:6" s="64" customFormat="1">
      <c r="A21" s="67" t="s">
        <v>64</v>
      </c>
      <c r="B21" s="68">
        <f t="shared" si="0"/>
        <v>30489.383073000001</v>
      </c>
      <c r="C21" s="68">
        <v>0</v>
      </c>
      <c r="D21" s="90"/>
      <c r="E21" s="86" t="s">
        <v>87</v>
      </c>
      <c r="F21" s="73">
        <v>134067</v>
      </c>
    </row>
    <row r="22" spans="1:6">
      <c r="A22" s="67" t="s">
        <v>65</v>
      </c>
      <c r="B22" s="68">
        <f t="shared" si="0"/>
        <v>33354.407635000003</v>
      </c>
      <c r="C22" s="68">
        <v>0</v>
      </c>
      <c r="D22" s="90">
        <f t="shared" ref="D22:D35" si="2">(+B22*C22)/2000</f>
        <v>0</v>
      </c>
      <c r="E22" s="86" t="s">
        <v>87</v>
      </c>
      <c r="F22" s="73">
        <v>146665</v>
      </c>
    </row>
    <row r="23" spans="1:6">
      <c r="A23" s="67" t="s">
        <v>66</v>
      </c>
      <c r="B23" s="68">
        <f t="shared" si="0"/>
        <v>127381.020604</v>
      </c>
      <c r="C23" s="68">
        <v>0</v>
      </c>
      <c r="D23" s="90">
        <f t="shared" si="2"/>
        <v>0</v>
      </c>
      <c r="E23" s="86" t="s">
        <v>87</v>
      </c>
      <c r="F23" s="73">
        <v>560116</v>
      </c>
    </row>
    <row r="24" spans="1:6">
      <c r="A24" s="67" t="s">
        <v>67</v>
      </c>
      <c r="B24" s="68">
        <f t="shared" si="0"/>
        <v>0</v>
      </c>
      <c r="C24" s="68">
        <v>0</v>
      </c>
      <c r="D24" s="90">
        <f t="shared" si="2"/>
        <v>0</v>
      </c>
      <c r="E24" s="86" t="s">
        <v>87</v>
      </c>
      <c r="F24" s="73">
        <v>0</v>
      </c>
    </row>
    <row r="25" spans="1:6">
      <c r="A25" s="67" t="s">
        <v>77</v>
      </c>
      <c r="B25" s="68">
        <f t="shared" si="0"/>
        <v>54555.998748000005</v>
      </c>
      <c r="C25" s="68">
        <v>0</v>
      </c>
      <c r="D25" s="90">
        <f t="shared" si="2"/>
        <v>0</v>
      </c>
      <c r="E25" s="86" t="s">
        <v>87</v>
      </c>
      <c r="F25" s="73">
        <v>239892</v>
      </c>
    </row>
    <row r="26" spans="1:6">
      <c r="A26" s="67" t="s">
        <v>76</v>
      </c>
      <c r="B26" s="68">
        <f t="shared" si="0"/>
        <v>7504.1447430000007</v>
      </c>
      <c r="C26" s="68">
        <v>0</v>
      </c>
      <c r="D26" s="90">
        <f t="shared" si="2"/>
        <v>0</v>
      </c>
      <c r="E26" s="86" t="s">
        <v>87</v>
      </c>
      <c r="F26" s="73">
        <v>32997</v>
      </c>
    </row>
    <row r="27" spans="1:6">
      <c r="A27" s="67" t="s">
        <v>75</v>
      </c>
      <c r="B27" s="68">
        <f t="shared" si="0"/>
        <v>0</v>
      </c>
      <c r="C27" s="68">
        <v>0</v>
      </c>
      <c r="D27" s="90">
        <f t="shared" si="2"/>
        <v>0</v>
      </c>
      <c r="E27" s="86" t="s">
        <v>87</v>
      </c>
      <c r="F27" s="73">
        <v>0</v>
      </c>
    </row>
    <row r="28" spans="1:6">
      <c r="A28" s="67" t="s">
        <v>74</v>
      </c>
      <c r="B28" s="68">
        <f t="shared" si="0"/>
        <v>17198.561874999999</v>
      </c>
      <c r="C28" s="68">
        <v>0</v>
      </c>
      <c r="D28" s="90">
        <f t="shared" si="2"/>
        <v>0</v>
      </c>
      <c r="E28" s="86" t="s">
        <v>87</v>
      </c>
      <c r="F28" s="73">
        <v>75625</v>
      </c>
    </row>
    <row r="29" spans="1:6">
      <c r="A29" s="67" t="s">
        <v>73</v>
      </c>
      <c r="B29" s="68">
        <f t="shared" si="0"/>
        <v>13893.708967</v>
      </c>
      <c r="C29" s="68">
        <v>0</v>
      </c>
      <c r="D29" s="90">
        <f t="shared" si="2"/>
        <v>0</v>
      </c>
      <c r="E29" s="86" t="s">
        <v>87</v>
      </c>
      <c r="F29" s="73">
        <v>61093</v>
      </c>
    </row>
    <row r="30" spans="1:6">
      <c r="A30" s="67" t="s">
        <v>72</v>
      </c>
      <c r="B30" s="68">
        <f t="shared" si="0"/>
        <v>32632.579729000001</v>
      </c>
      <c r="C30" s="68">
        <v>0</v>
      </c>
      <c r="D30" s="90">
        <f t="shared" si="2"/>
        <v>0</v>
      </c>
      <c r="E30" s="86" t="s">
        <v>87</v>
      </c>
      <c r="F30" s="73">
        <f>761595-618104</f>
        <v>143491</v>
      </c>
    </row>
    <row r="31" spans="1:6">
      <c r="A31" s="67" t="s">
        <v>71</v>
      </c>
      <c r="B31" s="68">
        <f t="shared" si="0"/>
        <v>52947.691579999999</v>
      </c>
      <c r="C31" s="68">
        <v>0</v>
      </c>
      <c r="D31" s="90">
        <f t="shared" si="2"/>
        <v>0</v>
      </c>
      <c r="E31" s="86" t="s">
        <v>87</v>
      </c>
      <c r="F31" s="73">
        <v>232820</v>
      </c>
    </row>
    <row r="32" spans="1:6">
      <c r="A32" s="67" t="s">
        <v>70</v>
      </c>
      <c r="B32" s="68">
        <f t="shared" si="0"/>
        <v>986.99846000000002</v>
      </c>
      <c r="C32" s="68">
        <v>0</v>
      </c>
      <c r="D32" s="90">
        <f t="shared" si="2"/>
        <v>0</v>
      </c>
      <c r="E32" s="86" t="s">
        <v>87</v>
      </c>
      <c r="F32" s="73">
        <v>4340</v>
      </c>
    </row>
    <row r="33" spans="1:6">
      <c r="A33" s="67" t="s">
        <v>68</v>
      </c>
      <c r="B33" s="68">
        <f t="shared" si="0"/>
        <v>55284.876643000003</v>
      </c>
      <c r="C33" s="68">
        <v>0</v>
      </c>
      <c r="D33" s="90">
        <f t="shared" si="2"/>
        <v>0</v>
      </c>
      <c r="E33" s="86" t="s">
        <v>87</v>
      </c>
      <c r="F33" s="73">
        <f>645247-402150</f>
        <v>243097</v>
      </c>
    </row>
    <row r="34" spans="1:6" s="65" customFormat="1">
      <c r="A34" s="67" t="s">
        <v>82</v>
      </c>
      <c r="B34" s="68">
        <f t="shared" si="0"/>
        <v>1630.821649</v>
      </c>
      <c r="C34" s="68">
        <v>0</v>
      </c>
      <c r="D34" s="90">
        <f t="shared" si="2"/>
        <v>0</v>
      </c>
      <c r="E34" s="86" t="s">
        <v>87</v>
      </c>
      <c r="F34" s="73">
        <v>7171</v>
      </c>
    </row>
    <row r="35" spans="1:6" s="65" customFormat="1">
      <c r="A35" s="67" t="s">
        <v>78</v>
      </c>
      <c r="B35" s="68">
        <f t="shared" si="0"/>
        <v>222.643201</v>
      </c>
      <c r="C35" s="68">
        <v>0</v>
      </c>
      <c r="D35" s="90">
        <f t="shared" si="2"/>
        <v>0</v>
      </c>
      <c r="E35" s="86" t="s">
        <v>89</v>
      </c>
      <c r="F35" s="73">
        <v>979</v>
      </c>
    </row>
    <row r="36" spans="1:6" s="65" customFormat="1">
      <c r="A36" s="67" t="s">
        <v>79</v>
      </c>
      <c r="B36" s="68">
        <f t="shared" si="0"/>
        <v>56548.871445000004</v>
      </c>
      <c r="C36" s="68">
        <v>0</v>
      </c>
      <c r="D36" s="90">
        <f t="shared" ref="D36:D41" si="3">(+B36*C36)/2000</f>
        <v>0</v>
      </c>
      <c r="E36" s="86" t="s">
        <v>87</v>
      </c>
      <c r="F36" s="73">
        <v>248655</v>
      </c>
    </row>
    <row r="37" spans="1:6" s="65" customFormat="1">
      <c r="A37" s="67" t="s">
        <v>80</v>
      </c>
      <c r="B37" s="68">
        <f t="shared" si="0"/>
        <v>10411.469239</v>
      </c>
      <c r="C37" s="68">
        <v>0</v>
      </c>
      <c r="D37" s="90">
        <f t="shared" si="3"/>
        <v>0</v>
      </c>
      <c r="E37" s="86" t="s">
        <v>87</v>
      </c>
      <c r="F37" s="73">
        <v>45781</v>
      </c>
    </row>
    <row r="38" spans="1:6" s="69" customFormat="1">
      <c r="A38" s="67" t="s">
        <v>81</v>
      </c>
      <c r="B38" s="68">
        <f t="shared" si="0"/>
        <v>10391.456367000001</v>
      </c>
      <c r="C38" s="68">
        <v>0</v>
      </c>
      <c r="D38" s="90">
        <f t="shared" si="3"/>
        <v>0</v>
      </c>
      <c r="E38" s="86" t="s">
        <v>87</v>
      </c>
      <c r="F38" s="73">
        <v>45693</v>
      </c>
    </row>
    <row r="39" spans="1:6" s="65" customFormat="1">
      <c r="A39" s="67" t="s">
        <v>50</v>
      </c>
      <c r="B39" s="68">
        <f t="shared" si="0"/>
        <v>26554.124697000003</v>
      </c>
      <c r="C39" s="68">
        <v>0</v>
      </c>
      <c r="D39" s="90">
        <f t="shared" si="3"/>
        <v>0</v>
      </c>
      <c r="E39" s="86" t="s">
        <v>87</v>
      </c>
      <c r="F39" s="73">
        <v>116763</v>
      </c>
    </row>
    <row r="40" spans="1:6" s="65" customFormat="1">
      <c r="A40" s="67" t="s">
        <v>52</v>
      </c>
      <c r="B40" s="68">
        <f t="shared" si="0"/>
        <v>0</v>
      </c>
      <c r="C40" s="68">
        <v>0</v>
      </c>
      <c r="D40" s="90">
        <f t="shared" si="3"/>
        <v>0</v>
      </c>
      <c r="E40" s="86" t="s">
        <v>88</v>
      </c>
      <c r="F40" s="73">
        <v>0</v>
      </c>
    </row>
    <row r="41" spans="1:6" s="65" customFormat="1" ht="15.75" thickBot="1">
      <c r="A41" s="67" t="s">
        <v>53</v>
      </c>
      <c r="B41" s="68">
        <f t="shared" si="0"/>
        <v>2715.610279</v>
      </c>
      <c r="C41" s="68">
        <v>0</v>
      </c>
      <c r="D41" s="90">
        <f t="shared" si="3"/>
        <v>0</v>
      </c>
      <c r="E41" s="86" t="s">
        <v>87</v>
      </c>
      <c r="F41" s="143">
        <v>11941</v>
      </c>
    </row>
    <row r="42" spans="1:6" ht="16.5" thickTop="1" thickBot="1">
      <c r="A42" s="85"/>
      <c r="B42" s="87">
        <f>SUM(B4:B41)</f>
        <v>3448690.1641142471</v>
      </c>
      <c r="C42" s="85"/>
      <c r="D42" s="87">
        <f>SUM(D4:D41)</f>
        <v>2326469.4310870236</v>
      </c>
      <c r="E42" s="85"/>
      <c r="F42" s="144">
        <f>SUM(F4:F41)</f>
        <v>15164476.864792505</v>
      </c>
    </row>
    <row r="43" spans="1:6">
      <c r="A43" s="85"/>
      <c r="B43" s="85"/>
      <c r="C43" s="85"/>
      <c r="D43" s="85"/>
      <c r="E43" s="85"/>
      <c r="F43" s="85"/>
    </row>
    <row r="44" spans="1:6">
      <c r="A44" s="85" t="s">
        <v>134</v>
      </c>
      <c r="B44" s="96">
        <v>0.22741900000000001</v>
      </c>
      <c r="C44" s="85"/>
      <c r="D44" s="85"/>
      <c r="E44" s="85"/>
      <c r="F44" s="85"/>
    </row>
    <row r="45" spans="1:6">
      <c r="E45" s="70"/>
      <c r="F45" s="70"/>
    </row>
    <row r="46" spans="1:6">
      <c r="F46" s="7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0"/>
  <sheetViews>
    <sheetView topLeftCell="A25" workbookViewId="0">
      <selection activeCell="A43" sqref="A43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  <col min="9" max="9" width="9.5703125" bestFit="1" customWidth="1"/>
  </cols>
  <sheetData>
    <row r="1" spans="1:9" ht="19.5">
      <c r="A1" s="2" t="s">
        <v>31</v>
      </c>
      <c r="B1" s="74">
        <f>+'Summary 2016'!D4</f>
        <v>2016</v>
      </c>
      <c r="D1" s="75" t="s">
        <v>2</v>
      </c>
      <c r="H1" s="89">
        <v>1073.78</v>
      </c>
      <c r="I1" t="s">
        <v>6</v>
      </c>
    </row>
    <row r="2" spans="1:9" ht="18.75">
      <c r="A2" s="2"/>
      <c r="B2" s="7" t="s">
        <v>30</v>
      </c>
      <c r="C2" s="7" t="s">
        <v>1</v>
      </c>
      <c r="D2" s="7" t="s">
        <v>5</v>
      </c>
      <c r="E2" s="3"/>
      <c r="F2" s="26" t="s">
        <v>9</v>
      </c>
      <c r="G2" s="25">
        <f>'Summary 2016'!D4</f>
        <v>2016</v>
      </c>
      <c r="H2" s="27"/>
    </row>
    <row r="3" spans="1:9" ht="19.5">
      <c r="A3" s="91" t="s">
        <v>0</v>
      </c>
      <c r="B3" s="92">
        <f>+'Summary 2016'!D4</f>
        <v>2016</v>
      </c>
      <c r="C3" s="92" t="s">
        <v>96</v>
      </c>
      <c r="D3" s="92" t="s">
        <v>97</v>
      </c>
      <c r="E3" s="93"/>
      <c r="F3" s="94"/>
      <c r="H3" s="151">
        <v>0.53688999999999998</v>
      </c>
      <c r="I3" s="147" t="s">
        <v>135</v>
      </c>
    </row>
    <row r="4" spans="1:9">
      <c r="A4" s="67" t="s">
        <v>93</v>
      </c>
      <c r="B4" s="76">
        <f>F4*$B$36</f>
        <v>2159.5708239999999</v>
      </c>
      <c r="C4" s="129">
        <f t="shared" ref="C4:C33" si="0">IF(B4&lt;&gt;0,$H$1,0)</f>
        <v>1073.78</v>
      </c>
      <c r="D4" s="95">
        <f>(+B4*C4)/2000</f>
        <v>1159.45197969736</v>
      </c>
      <c r="E4" s="94"/>
      <c r="F4" s="68">
        <v>9496</v>
      </c>
    </row>
    <row r="5" spans="1:9">
      <c r="A5" s="67" t="s">
        <v>91</v>
      </c>
      <c r="B5" s="76">
        <f t="shared" ref="B5:B14" si="1">F5*$B$36</f>
        <v>1441.83646</v>
      </c>
      <c r="C5" s="129">
        <f t="shared" si="0"/>
        <v>1073.78</v>
      </c>
      <c r="D5" s="95">
        <f t="shared" ref="D5:D33" si="2">(+B5*C5)/2000</f>
        <v>774.10757700939996</v>
      </c>
      <c r="E5" s="94"/>
      <c r="F5" s="68">
        <v>6340</v>
      </c>
    </row>
    <row r="6" spans="1:9">
      <c r="A6" s="67" t="s">
        <v>92</v>
      </c>
      <c r="B6" s="76">
        <f t="shared" si="1"/>
        <v>1238448.4847932435</v>
      </c>
      <c r="C6" s="129">
        <f t="shared" si="0"/>
        <v>1073.78</v>
      </c>
      <c r="D6" s="95">
        <f t="shared" si="2"/>
        <v>664910.60700064444</v>
      </c>
      <c r="E6" s="94"/>
      <c r="F6" s="68">
        <v>5445668.5008431282</v>
      </c>
    </row>
    <row r="7" spans="1:9" s="89" customFormat="1">
      <c r="A7" s="67" t="s">
        <v>130</v>
      </c>
      <c r="B7" s="76">
        <f t="shared" si="1"/>
        <v>0</v>
      </c>
      <c r="C7" s="129">
        <f t="shared" ref="C7" si="3">IF(B7&lt;&gt;0,$H$1,0)</f>
        <v>0</v>
      </c>
      <c r="D7" s="95">
        <f t="shared" ref="D7" si="4">(+B7*C7)/2000</f>
        <v>0</v>
      </c>
      <c r="E7" s="94"/>
      <c r="F7" s="68">
        <v>0</v>
      </c>
      <c r="H7" s="147"/>
    </row>
    <row r="8" spans="1:9">
      <c r="A8" s="67" t="s">
        <v>94</v>
      </c>
      <c r="B8" s="76">
        <f t="shared" si="1"/>
        <v>13924.865370000001</v>
      </c>
      <c r="C8" s="129">
        <f t="shared" si="0"/>
        <v>1073.78</v>
      </c>
      <c r="D8" s="95">
        <f t="shared" si="2"/>
        <v>7476.1209684993</v>
      </c>
      <c r="E8" s="94"/>
      <c r="F8" s="68">
        <v>61230</v>
      </c>
    </row>
    <row r="9" spans="1:9">
      <c r="A9" s="67" t="s">
        <v>136</v>
      </c>
      <c r="B9" s="76">
        <f t="shared" si="1"/>
        <v>-6485.4261082989924</v>
      </c>
      <c r="C9" s="129">
        <f t="shared" si="0"/>
        <v>1073.78</v>
      </c>
      <c r="D9" s="95">
        <f t="shared" si="2"/>
        <v>-3481.9604232846459</v>
      </c>
      <c r="E9" s="94"/>
      <c r="F9" s="68">
        <v>-28517.520999999964</v>
      </c>
    </row>
    <row r="10" spans="1:9">
      <c r="A10" s="67" t="s">
        <v>51</v>
      </c>
      <c r="B10" s="76">
        <f t="shared" si="1"/>
        <v>14187.306896</v>
      </c>
      <c r="C10" s="129">
        <f t="shared" ref="C10" si="5">IF(B10&lt;&gt;0,$H$1,0)</f>
        <v>1073.78</v>
      </c>
      <c r="D10" s="95">
        <f t="shared" ref="D10" si="6">(+B10*C10)/2000</f>
        <v>7617.0231993934403</v>
      </c>
      <c r="E10" s="94"/>
      <c r="F10" s="68">
        <v>62384</v>
      </c>
    </row>
    <row r="11" spans="1:9">
      <c r="A11" s="67" t="s">
        <v>49</v>
      </c>
      <c r="B11" s="76">
        <f t="shared" si="1"/>
        <v>-599041.17999782669</v>
      </c>
      <c r="C11" s="129">
        <f>IF(B11&lt;&gt;0,$H$1,0)</f>
        <v>1073.78</v>
      </c>
      <c r="D11" s="95">
        <f>(+B11*C11)/2000</f>
        <v>-321619.21912903315</v>
      </c>
      <c r="E11" s="94"/>
      <c r="F11" s="68">
        <v>-2634085.8943088599</v>
      </c>
    </row>
    <row r="12" spans="1:9">
      <c r="A12" s="67" t="s">
        <v>90</v>
      </c>
      <c r="B12" s="76">
        <f t="shared" si="1"/>
        <v>0</v>
      </c>
      <c r="C12" s="129">
        <f t="shared" si="0"/>
        <v>0</v>
      </c>
      <c r="D12" s="95">
        <f t="shared" si="2"/>
        <v>0</v>
      </c>
      <c r="E12" s="94"/>
      <c r="F12" s="68">
        <v>0</v>
      </c>
    </row>
    <row r="13" spans="1:9" s="89" customFormat="1">
      <c r="A13" s="67" t="s">
        <v>138</v>
      </c>
      <c r="B13" s="76">
        <f>F13*$B$36</f>
        <v>189342.69166800001</v>
      </c>
      <c r="C13" s="129">
        <f t="shared" ref="C13" si="7">IF(B13&lt;&gt;0,$H$1,0)</f>
        <v>1073.78</v>
      </c>
      <c r="D13" s="95">
        <f t="shared" ref="D13" si="8">(+B13*C13)/2000</f>
        <v>101656.19772963252</v>
      </c>
      <c r="E13" s="94"/>
      <c r="F13" s="68">
        <v>832572</v>
      </c>
    </row>
    <row r="14" spans="1:9">
      <c r="A14" s="67" t="s">
        <v>95</v>
      </c>
      <c r="B14" s="76">
        <f t="shared" si="1"/>
        <v>-6058.6566161170012</v>
      </c>
      <c r="C14" s="129">
        <f t="shared" si="0"/>
        <v>1073.78</v>
      </c>
      <c r="D14" s="95">
        <f t="shared" si="2"/>
        <v>-3252.8321506270568</v>
      </c>
      <c r="E14" s="94"/>
      <c r="F14" s="68">
        <v>-26640.943000000003</v>
      </c>
    </row>
    <row r="15" spans="1:9">
      <c r="A15" s="22"/>
      <c r="B15" s="47"/>
      <c r="C15" s="77">
        <f t="shared" si="0"/>
        <v>0</v>
      </c>
      <c r="D15" s="78">
        <f t="shared" si="2"/>
        <v>0</v>
      </c>
      <c r="F15" s="68"/>
    </row>
    <row r="16" spans="1:9">
      <c r="A16" s="22"/>
      <c r="B16" s="47"/>
      <c r="C16" s="77">
        <f t="shared" si="0"/>
        <v>0</v>
      </c>
      <c r="D16" s="78">
        <f t="shared" si="2"/>
        <v>0</v>
      </c>
      <c r="F16" s="68"/>
    </row>
    <row r="17" spans="1:6">
      <c r="A17" s="22"/>
      <c r="B17" s="47"/>
      <c r="C17" s="77">
        <f t="shared" si="0"/>
        <v>0</v>
      </c>
      <c r="D17" s="78">
        <f t="shared" si="2"/>
        <v>0</v>
      </c>
      <c r="F17" s="68"/>
    </row>
    <row r="18" spans="1:6">
      <c r="A18" s="22"/>
      <c r="B18" s="47"/>
      <c r="C18" s="77">
        <f t="shared" si="0"/>
        <v>0</v>
      </c>
      <c r="D18" s="78">
        <f t="shared" si="2"/>
        <v>0</v>
      </c>
      <c r="F18" s="68"/>
    </row>
    <row r="19" spans="1:6">
      <c r="A19" s="22"/>
      <c r="B19" s="47"/>
      <c r="C19" s="77">
        <f t="shared" si="0"/>
        <v>0</v>
      </c>
      <c r="D19" s="78">
        <f t="shared" si="2"/>
        <v>0</v>
      </c>
      <c r="F19" s="68"/>
    </row>
    <row r="20" spans="1:6">
      <c r="A20" s="22"/>
      <c r="B20" s="47"/>
      <c r="C20" s="77">
        <f t="shared" si="0"/>
        <v>0</v>
      </c>
      <c r="D20" s="78">
        <f t="shared" si="2"/>
        <v>0</v>
      </c>
      <c r="F20" s="68"/>
    </row>
    <row r="21" spans="1:6">
      <c r="A21" s="22"/>
      <c r="B21" s="47"/>
      <c r="C21" s="77">
        <f t="shared" si="0"/>
        <v>0</v>
      </c>
      <c r="D21" s="78">
        <f t="shared" si="2"/>
        <v>0</v>
      </c>
      <c r="F21" s="68"/>
    </row>
    <row r="22" spans="1:6">
      <c r="A22" s="22"/>
      <c r="B22" s="47"/>
      <c r="C22" s="77">
        <f t="shared" si="0"/>
        <v>0</v>
      </c>
      <c r="D22" s="78">
        <f t="shared" si="2"/>
        <v>0</v>
      </c>
      <c r="F22" s="68"/>
    </row>
    <row r="23" spans="1:6">
      <c r="A23" s="22"/>
      <c r="B23" s="47"/>
      <c r="C23" s="77">
        <f t="shared" si="0"/>
        <v>0</v>
      </c>
      <c r="D23" s="78">
        <f t="shared" si="2"/>
        <v>0</v>
      </c>
      <c r="F23" s="68"/>
    </row>
    <row r="24" spans="1:6">
      <c r="A24" s="22"/>
      <c r="B24" s="47"/>
      <c r="C24" s="77">
        <f t="shared" si="0"/>
        <v>0</v>
      </c>
      <c r="D24" s="78">
        <f t="shared" si="2"/>
        <v>0</v>
      </c>
      <c r="F24" s="68"/>
    </row>
    <row r="25" spans="1:6">
      <c r="A25" s="22"/>
      <c r="B25" s="47"/>
      <c r="C25" s="77">
        <f t="shared" si="0"/>
        <v>0</v>
      </c>
      <c r="D25" s="78">
        <f t="shared" si="2"/>
        <v>0</v>
      </c>
      <c r="F25" s="68"/>
    </row>
    <row r="26" spans="1:6">
      <c r="A26" s="22"/>
      <c r="B26" s="47"/>
      <c r="C26" s="77">
        <f t="shared" si="0"/>
        <v>0</v>
      </c>
      <c r="D26" s="78">
        <f t="shared" si="2"/>
        <v>0</v>
      </c>
      <c r="F26" s="68"/>
    </row>
    <row r="27" spans="1:6">
      <c r="A27" s="22"/>
      <c r="B27" s="47"/>
      <c r="C27" s="77">
        <f t="shared" si="0"/>
        <v>0</v>
      </c>
      <c r="D27" s="78">
        <f t="shared" si="2"/>
        <v>0</v>
      </c>
      <c r="F27" s="68"/>
    </row>
    <row r="28" spans="1:6">
      <c r="A28" s="22"/>
      <c r="B28" s="47"/>
      <c r="C28" s="77">
        <f t="shared" si="0"/>
        <v>0</v>
      </c>
      <c r="D28" s="78">
        <f t="shared" si="2"/>
        <v>0</v>
      </c>
      <c r="F28" s="68"/>
    </row>
    <row r="29" spans="1:6">
      <c r="A29" s="22"/>
      <c r="B29" s="47"/>
      <c r="C29" s="77">
        <f t="shared" si="0"/>
        <v>0</v>
      </c>
      <c r="D29" s="78">
        <f t="shared" si="2"/>
        <v>0</v>
      </c>
      <c r="F29" s="68"/>
    </row>
    <row r="30" spans="1:6">
      <c r="A30" s="22"/>
      <c r="B30" s="47"/>
      <c r="C30" s="77">
        <f t="shared" si="0"/>
        <v>0</v>
      </c>
      <c r="D30" s="78">
        <f t="shared" si="2"/>
        <v>0</v>
      </c>
      <c r="F30" s="68"/>
    </row>
    <row r="31" spans="1:6">
      <c r="A31" s="22"/>
      <c r="B31" s="47"/>
      <c r="C31" s="77">
        <f t="shared" si="0"/>
        <v>0</v>
      </c>
      <c r="D31" s="78">
        <f t="shared" si="2"/>
        <v>0</v>
      </c>
      <c r="F31" s="68"/>
    </row>
    <row r="32" spans="1:6">
      <c r="A32" s="22"/>
      <c r="B32" s="47"/>
      <c r="C32" s="77">
        <f t="shared" si="0"/>
        <v>0</v>
      </c>
      <c r="D32" s="78">
        <f t="shared" si="2"/>
        <v>0</v>
      </c>
      <c r="F32" s="68"/>
    </row>
    <row r="33" spans="1:7" ht="15.75" thickBot="1">
      <c r="A33" s="23"/>
      <c r="B33" s="79"/>
      <c r="C33" s="80">
        <f t="shared" si="0"/>
        <v>0</v>
      </c>
      <c r="D33" s="81">
        <f t="shared" si="2"/>
        <v>0</v>
      </c>
      <c r="F33" s="145"/>
    </row>
    <row r="34" spans="1:7" ht="16.5" thickTop="1" thickBot="1">
      <c r="A34" s="66"/>
      <c r="B34" s="82">
        <f>SUM(B4:B33)</f>
        <v>847919.4932890007</v>
      </c>
      <c r="C34" s="83"/>
      <c r="D34" s="84">
        <f>SUM(D4:D33)</f>
        <v>455239.49675193161</v>
      </c>
      <c r="F34" s="146">
        <f>SUM(F4:F15)</f>
        <v>3728446.1425342686</v>
      </c>
      <c r="G34" s="5"/>
    </row>
    <row r="36" spans="1:7">
      <c r="A36" s="69" t="s">
        <v>134</v>
      </c>
      <c r="B36" s="96">
        <f>'Known Resources'!B44</f>
        <v>0.22741900000000001</v>
      </c>
    </row>
    <row r="38" spans="1:7">
      <c r="B38" s="149">
        <f>B34/'Summary 2016'!E15</f>
        <v>0.19131446720382714</v>
      </c>
    </row>
    <row r="40" spans="1:7">
      <c r="A40" t="s">
        <v>137</v>
      </c>
    </row>
  </sheetData>
  <hyperlinks>
    <hyperlink ref="D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9" customWidth="1"/>
    <col min="2" max="2" width="34.7109375" style="89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9" customWidth="1"/>
    <col min="8" max="8" width="13.42578125" style="89" customWidth="1"/>
    <col min="9" max="9" width="28.85546875" style="89" customWidth="1"/>
    <col min="11" max="16384" width="9.140625" style="89"/>
  </cols>
  <sheetData>
    <row r="2" spans="2:13">
      <c r="B2" s="97" t="s">
        <v>98</v>
      </c>
    </row>
    <row r="3" spans="2:13">
      <c r="B3" s="98" t="s">
        <v>121</v>
      </c>
      <c r="C3" s="99">
        <v>2013</v>
      </c>
      <c r="D3" s="99">
        <v>2014</v>
      </c>
      <c r="E3" s="99">
        <v>2015</v>
      </c>
      <c r="M3" s="88"/>
    </row>
    <row r="4" spans="2:13">
      <c r="B4" s="89" t="s">
        <v>99</v>
      </c>
      <c r="C4" s="100">
        <v>249411.34980000003</v>
      </c>
      <c r="D4" s="100">
        <v>588540.53559999994</v>
      </c>
      <c r="E4" s="100">
        <v>652575.45380000002</v>
      </c>
      <c r="F4" s="111" t="s">
        <v>122</v>
      </c>
      <c r="M4" s="88"/>
    </row>
    <row r="5" spans="2:13">
      <c r="B5" s="89" t="s">
        <v>46</v>
      </c>
      <c r="C5" s="100">
        <v>10737153.304823698</v>
      </c>
      <c r="D5" s="100">
        <v>9865275.1750967987</v>
      </c>
      <c r="E5" s="100">
        <v>9651660.6989069991</v>
      </c>
      <c r="F5" s="111" t="s">
        <v>122</v>
      </c>
      <c r="M5" s="88"/>
    </row>
    <row r="6" spans="2:13">
      <c r="B6" s="89" t="s">
        <v>45</v>
      </c>
      <c r="C6" s="100">
        <v>746836.73800000001</v>
      </c>
      <c r="D6" s="100">
        <v>1169354.4140000001</v>
      </c>
      <c r="E6" s="100">
        <v>489137.44500000001</v>
      </c>
      <c r="F6" s="111" t="s">
        <v>122</v>
      </c>
      <c r="M6" s="88"/>
    </row>
    <row r="7" spans="2:13">
      <c r="B7" s="89" t="s">
        <v>100</v>
      </c>
      <c r="C7" s="100">
        <v>1165015.3759999999</v>
      </c>
      <c r="D7" s="100">
        <v>1049272.4750000001</v>
      </c>
      <c r="E7" s="100">
        <v>1081686.5190000001</v>
      </c>
      <c r="F7" s="111" t="s">
        <v>122</v>
      </c>
      <c r="M7" s="88"/>
    </row>
    <row r="8" spans="2:13">
      <c r="B8" s="89" t="s">
        <v>101</v>
      </c>
      <c r="C8" s="110">
        <f>(C17*H47)</f>
        <v>6689.799422</v>
      </c>
      <c r="F8" s="111"/>
      <c r="M8" s="88"/>
    </row>
    <row r="9" spans="2:13">
      <c r="C9" s="100"/>
      <c r="D9" s="100"/>
      <c r="E9" s="100"/>
      <c r="F9" s="111"/>
      <c r="J9" s="89"/>
      <c r="M9" s="88"/>
    </row>
    <row r="10" spans="2:13">
      <c r="B10" s="98" t="s">
        <v>120</v>
      </c>
      <c r="C10" s="99">
        <v>2013</v>
      </c>
      <c r="D10" s="99">
        <v>2014</v>
      </c>
      <c r="E10" s="99">
        <v>2015</v>
      </c>
      <c r="F10" s="111"/>
      <c r="J10" s="89"/>
    </row>
    <row r="11" spans="2:13">
      <c r="B11" s="89" t="s">
        <v>99</v>
      </c>
      <c r="C11" s="106">
        <v>222792</v>
      </c>
      <c r="D11" s="106">
        <v>540252</v>
      </c>
      <c r="E11" s="106">
        <v>615241</v>
      </c>
      <c r="F11" s="111" t="s">
        <v>128</v>
      </c>
      <c r="J11" s="89"/>
    </row>
    <row r="12" spans="2:13">
      <c r="B12" s="89" t="s">
        <v>102</v>
      </c>
      <c r="C12" s="107">
        <v>9936388</v>
      </c>
      <c r="D12" s="107">
        <v>9364549</v>
      </c>
      <c r="E12" s="107">
        <v>9195773</v>
      </c>
      <c r="F12" s="111" t="s">
        <v>123</v>
      </c>
      <c r="J12" s="89"/>
    </row>
    <row r="13" spans="2:13">
      <c r="B13" s="89" t="s">
        <v>45</v>
      </c>
      <c r="C13" s="107">
        <v>1674194</v>
      </c>
      <c r="D13" s="107">
        <v>1558872</v>
      </c>
      <c r="E13" s="107">
        <v>698027</v>
      </c>
      <c r="F13" s="111" t="s">
        <v>123</v>
      </c>
      <c r="J13" s="89"/>
    </row>
    <row r="14" spans="2:13" hidden="1">
      <c r="B14" s="89" t="s">
        <v>103</v>
      </c>
      <c r="C14" s="107">
        <v>1293909</v>
      </c>
      <c r="D14" s="107">
        <v>1164903</v>
      </c>
      <c r="E14" s="107">
        <v>1202753</v>
      </c>
      <c r="F14" s="111" t="s">
        <v>104</v>
      </c>
      <c r="J14" s="89"/>
    </row>
    <row r="15" spans="2:13" hidden="1">
      <c r="B15" s="89" t="s">
        <v>105</v>
      </c>
      <c r="C15" s="107">
        <v>1293909</v>
      </c>
      <c r="D15" s="107">
        <v>1164903</v>
      </c>
      <c r="E15" s="107">
        <v>1202753</v>
      </c>
      <c r="F15" s="111" t="s">
        <v>104</v>
      </c>
      <c r="J15" s="89"/>
    </row>
    <row r="16" spans="2:13">
      <c r="B16" s="89" t="s">
        <v>100</v>
      </c>
      <c r="C16" s="107">
        <f>SUM(C14:C15)</f>
        <v>2587818</v>
      </c>
      <c r="D16" s="107">
        <f>SUM(D14:D15)</f>
        <v>2329806</v>
      </c>
      <c r="E16" s="107">
        <f>SUM(E14:E15)</f>
        <v>2405506</v>
      </c>
      <c r="F16" s="111" t="s">
        <v>125</v>
      </c>
      <c r="J16" s="89"/>
    </row>
    <row r="17" spans="2:10">
      <c r="B17" s="89" t="s">
        <v>101</v>
      </c>
      <c r="C17" s="107">
        <v>6124</v>
      </c>
      <c r="D17" s="107"/>
      <c r="E17" s="107"/>
      <c r="F17" s="111" t="s">
        <v>124</v>
      </c>
      <c r="J17" s="89"/>
    </row>
    <row r="18" spans="2:10">
      <c r="F18" s="111"/>
      <c r="J18" s="89"/>
    </row>
    <row r="19" spans="2:10" hidden="1">
      <c r="B19" s="89" t="s">
        <v>106</v>
      </c>
      <c r="F19" s="111"/>
      <c r="J19" s="89"/>
    </row>
    <row r="20" spans="2:10" hidden="1">
      <c r="B20" s="101"/>
      <c r="C20" s="108">
        <v>1157889</v>
      </c>
      <c r="D20" s="108">
        <v>1157889</v>
      </c>
      <c r="E20" s="108">
        <v>1157889</v>
      </c>
      <c r="F20" s="112"/>
      <c r="J20" s="89"/>
    </row>
    <row r="21" spans="2:10" hidden="1">
      <c r="B21" s="5"/>
      <c r="C21" s="109">
        <v>2377702</v>
      </c>
      <c r="D21" s="109">
        <v>2377702</v>
      </c>
      <c r="E21" s="109">
        <v>2377702</v>
      </c>
      <c r="F21" s="113"/>
      <c r="J21" s="89"/>
    </row>
    <row r="22" spans="2:10" hidden="1">
      <c r="B22" s="89" t="s">
        <v>107</v>
      </c>
      <c r="C22" s="100">
        <f t="shared" ref="C22:E22" si="0">SUM(C20:C21)</f>
        <v>3535591</v>
      </c>
      <c r="D22" s="100">
        <f t="shared" si="0"/>
        <v>3535591</v>
      </c>
      <c r="E22" s="100">
        <f t="shared" si="0"/>
        <v>3535591</v>
      </c>
      <c r="F22" s="111"/>
      <c r="J22" s="89"/>
    </row>
    <row r="23" spans="2:10" hidden="1">
      <c r="B23" s="89" t="s">
        <v>108</v>
      </c>
      <c r="F23" s="111"/>
      <c r="J23" s="89"/>
    </row>
    <row r="24" spans="2:10" hidden="1">
      <c r="B24" s="89" t="s">
        <v>109</v>
      </c>
      <c r="F24" s="111"/>
      <c r="J24" s="89"/>
    </row>
    <row r="25" spans="2:10" hidden="1">
      <c r="F25" s="111"/>
      <c r="J25" s="89"/>
    </row>
    <row r="26" spans="2:10" hidden="1">
      <c r="F26" s="111"/>
      <c r="J26" s="89"/>
    </row>
    <row r="27" spans="2:10" hidden="1">
      <c r="F27" s="111"/>
      <c r="J27" s="89"/>
    </row>
    <row r="28" spans="2:10" hidden="1">
      <c r="B28" s="89" t="s">
        <v>110</v>
      </c>
      <c r="C28" s="100">
        <v>2151957</v>
      </c>
      <c r="F28" s="111"/>
      <c r="J28" s="89"/>
    </row>
    <row r="29" spans="2:10" hidden="1">
      <c r="C29" s="106">
        <f>C28*$H46</f>
        <v>215195.7</v>
      </c>
      <c r="F29" s="111"/>
      <c r="J29" s="89"/>
    </row>
    <row r="30" spans="2:10" hidden="1">
      <c r="B30" s="89" t="s">
        <v>111</v>
      </c>
      <c r="C30" s="100">
        <v>2155070</v>
      </c>
      <c r="D30" s="100">
        <v>5055530</v>
      </c>
      <c r="F30" s="111"/>
      <c r="J30" s="89"/>
    </row>
    <row r="31" spans="2:10" hidden="1">
      <c r="C31" s="3">
        <f>C30*0.1</f>
        <v>215507</v>
      </c>
      <c r="D31" s="106">
        <f>D30*0.1</f>
        <v>505553</v>
      </c>
      <c r="F31" s="111"/>
      <c r="J31" s="89"/>
    </row>
    <row r="32" spans="2:10" hidden="1">
      <c r="F32" s="111"/>
      <c r="J32" s="89"/>
    </row>
    <row r="33" spans="2:10" hidden="1">
      <c r="F33" s="111"/>
      <c r="J33" s="89"/>
    </row>
    <row r="34" spans="2:10" hidden="1">
      <c r="F34" s="111"/>
      <c r="J34" s="89"/>
    </row>
    <row r="35" spans="2:10" hidden="1">
      <c r="F35" s="111"/>
      <c r="J35" s="89"/>
    </row>
    <row r="36" spans="2:10" s="103" customFormat="1">
      <c r="B36" s="102" t="s">
        <v>112</v>
      </c>
      <c r="C36" s="99">
        <v>2013</v>
      </c>
      <c r="D36" s="99">
        <v>2014</v>
      </c>
      <c r="E36" s="99">
        <v>2015</v>
      </c>
      <c r="F36" s="114"/>
    </row>
    <row r="37" spans="2:10" s="103" customFormat="1">
      <c r="B37" s="89" t="s">
        <v>99</v>
      </c>
      <c r="C37" s="115">
        <f>(C4*$H51)/C11</f>
        <v>2238.9614510395349</v>
      </c>
      <c r="D37" s="105">
        <f>(D4*$H51)/D11</f>
        <v>2178.7630054122887</v>
      </c>
      <c r="E37" s="105">
        <f>(E4*$H51)/E11</f>
        <v>2121.3652984765322</v>
      </c>
      <c r="F37" s="114"/>
    </row>
    <row r="38" spans="2:10">
      <c r="B38" s="89" t="s">
        <v>46</v>
      </c>
      <c r="C38" s="115">
        <f>(C5*$H51)/C12</f>
        <v>2161.1783486763397</v>
      </c>
      <c r="D38" s="105">
        <f>(D5*$H51)/D12</f>
        <v>2106.9407987713657</v>
      </c>
      <c r="E38" s="105">
        <f>(E5*$H51)/E12</f>
        <v>2099.1515773403712</v>
      </c>
      <c r="F38" s="111"/>
      <c r="J38" s="89"/>
    </row>
    <row r="39" spans="2:10">
      <c r="B39" s="89" t="s">
        <v>45</v>
      </c>
      <c r="C39" s="115">
        <f>(C6*$H51)/C13</f>
        <v>892.17466792976199</v>
      </c>
      <c r="D39" s="105">
        <f>(D6*$H51)/D13</f>
        <v>1500.2571269482037</v>
      </c>
      <c r="E39" s="105">
        <f>(E6*$H51)/E13</f>
        <v>1401.485744820759</v>
      </c>
      <c r="F39" s="111"/>
      <c r="J39" s="89"/>
    </row>
    <row r="40" spans="2:10">
      <c r="B40" s="89" t="s">
        <v>100</v>
      </c>
      <c r="C40" s="115">
        <f>(C7*$H51)/C16</f>
        <v>900.38432069024952</v>
      </c>
      <c r="D40" s="105">
        <f>(D7*$H51)/D16</f>
        <v>900.73806574452988</v>
      </c>
      <c r="E40" s="105">
        <f>(E7*$H51)/E16</f>
        <v>899.34219162205375</v>
      </c>
      <c r="F40" s="111"/>
      <c r="J40" s="89"/>
    </row>
    <row r="41" spans="2:10">
      <c r="B41" s="89" t="s">
        <v>101</v>
      </c>
      <c r="C41" s="115">
        <f>(C8*$H51)/C17</f>
        <v>2184.7809999999999</v>
      </c>
      <c r="D41" s="104"/>
      <c r="E41" s="104"/>
      <c r="F41" s="111"/>
      <c r="J41" s="89"/>
    </row>
    <row r="43" spans="2:10">
      <c r="B43" s="97" t="s">
        <v>117</v>
      </c>
      <c r="J43" s="89"/>
    </row>
    <row r="44" spans="2:10">
      <c r="B44" s="98" t="s">
        <v>119</v>
      </c>
      <c r="C44" s="99">
        <v>2013</v>
      </c>
      <c r="D44" s="99">
        <v>2014</v>
      </c>
      <c r="E44" s="99">
        <v>2015</v>
      </c>
      <c r="F44" s="89"/>
      <c r="G44" s="116" t="s">
        <v>113</v>
      </c>
      <c r="H44" s="117"/>
      <c r="I44"/>
      <c r="J44" s="88"/>
    </row>
    <row r="45" spans="2:10">
      <c r="B45" s="89" t="s">
        <v>118</v>
      </c>
      <c r="C45" s="107">
        <v>62089</v>
      </c>
      <c r="D45" s="107">
        <v>66234</v>
      </c>
      <c r="E45" s="107">
        <v>45774</v>
      </c>
      <c r="F45" s="89"/>
      <c r="G45" s="118" t="s">
        <v>46</v>
      </c>
      <c r="H45" s="119">
        <v>0.66669999999999996</v>
      </c>
      <c r="I45"/>
      <c r="J45" s="88"/>
    </row>
    <row r="46" spans="2:10">
      <c r="B46" s="89" t="s">
        <v>43</v>
      </c>
      <c r="C46" s="107">
        <v>227258</v>
      </c>
      <c r="D46" s="107">
        <v>216762</v>
      </c>
      <c r="E46" s="107">
        <v>186746</v>
      </c>
      <c r="F46" s="89"/>
      <c r="G46" s="118" t="s">
        <v>115</v>
      </c>
      <c r="H46" s="121">
        <v>0.1</v>
      </c>
      <c r="I46"/>
      <c r="J46" s="88"/>
    </row>
    <row r="47" spans="2:10">
      <c r="B47" s="89" t="s">
        <v>44</v>
      </c>
      <c r="C47" s="107">
        <v>206164</v>
      </c>
      <c r="D47" s="107">
        <v>215245</v>
      </c>
      <c r="E47" s="107">
        <v>188567</v>
      </c>
      <c r="F47" s="89"/>
      <c r="G47" s="122" t="s">
        <v>101</v>
      </c>
      <c r="H47" s="123">
        <v>1.0923905</v>
      </c>
      <c r="I47" s="124" t="s">
        <v>127</v>
      </c>
      <c r="J47" s="89"/>
    </row>
    <row r="48" spans="2:10">
      <c r="B48" s="89" t="s">
        <v>48</v>
      </c>
      <c r="C48" s="107">
        <v>485852</v>
      </c>
      <c r="D48" s="107">
        <v>542156</v>
      </c>
      <c r="E48" s="107">
        <v>436619</v>
      </c>
      <c r="F48" s="89"/>
      <c r="G48" s="125" t="s">
        <v>129</v>
      </c>
      <c r="H48" s="126"/>
      <c r="I48" s="5"/>
      <c r="J48" s="88"/>
    </row>
    <row r="49" spans="2:10">
      <c r="B49" s="89" t="s">
        <v>54</v>
      </c>
      <c r="C49" s="107">
        <v>1925</v>
      </c>
      <c r="D49" s="107">
        <v>2498</v>
      </c>
      <c r="E49" s="107">
        <v>2396</v>
      </c>
      <c r="F49" s="89"/>
      <c r="G49" s="118" t="s">
        <v>114</v>
      </c>
      <c r="H49" s="127">
        <v>0.90718500000000002</v>
      </c>
      <c r="I49" s="5"/>
      <c r="J49" s="88"/>
    </row>
    <row r="50" spans="2:10">
      <c r="B50" s="89" t="s">
        <v>55</v>
      </c>
      <c r="C50" s="107">
        <v>37778</v>
      </c>
      <c r="D50" s="107">
        <v>41246</v>
      </c>
      <c r="E50" s="107">
        <v>31575</v>
      </c>
      <c r="F50" s="89"/>
      <c r="G50" s="118" t="s">
        <v>126</v>
      </c>
      <c r="H50" s="127">
        <v>1.1023099999999999</v>
      </c>
      <c r="I50" s="5"/>
      <c r="J50" s="88"/>
    </row>
    <row r="51" spans="2:10">
      <c r="B51" s="89" t="s">
        <v>56</v>
      </c>
      <c r="C51" s="107">
        <v>39381</v>
      </c>
      <c r="D51" s="107">
        <v>44892</v>
      </c>
      <c r="E51" s="107">
        <v>32142</v>
      </c>
      <c r="G51" s="120" t="s">
        <v>116</v>
      </c>
      <c r="H51" s="128">
        <v>2000</v>
      </c>
      <c r="J51" s="89"/>
    </row>
    <row r="52" spans="2:10">
      <c r="B52" s="89" t="s">
        <v>57</v>
      </c>
      <c r="C52" s="107">
        <v>67577</v>
      </c>
      <c r="D52" s="107">
        <v>65390</v>
      </c>
      <c r="E52" s="107">
        <v>60539</v>
      </c>
      <c r="J52" s="89"/>
    </row>
    <row r="53" spans="2:10">
      <c r="B53" s="89" t="s">
        <v>58</v>
      </c>
      <c r="C53" s="107">
        <v>83609</v>
      </c>
      <c r="D53" s="107">
        <v>86439</v>
      </c>
      <c r="E53" s="107">
        <v>77098</v>
      </c>
      <c r="J53" s="89"/>
    </row>
    <row r="54" spans="2:10">
      <c r="B54" s="89" t="s">
        <v>59</v>
      </c>
      <c r="C54" s="107">
        <v>16334</v>
      </c>
      <c r="D54" s="107">
        <v>16187</v>
      </c>
      <c r="E54" s="107">
        <v>16857</v>
      </c>
      <c r="J54" s="89"/>
    </row>
    <row r="55" spans="2:10">
      <c r="B55" s="89" t="s">
        <v>60</v>
      </c>
      <c r="C55" s="107">
        <v>9864</v>
      </c>
      <c r="D55" s="107">
        <v>7396</v>
      </c>
      <c r="E55" s="107">
        <v>9699</v>
      </c>
      <c r="J55" s="89"/>
    </row>
    <row r="56" spans="2:10">
      <c r="B56" s="89" t="s">
        <v>61</v>
      </c>
      <c r="C56" s="107">
        <v>15766</v>
      </c>
      <c r="D56" s="107">
        <v>24132</v>
      </c>
      <c r="E56" s="107">
        <v>7941</v>
      </c>
      <c r="J56" s="89"/>
    </row>
    <row r="57" spans="2:10">
      <c r="B57" s="89" t="s">
        <v>62</v>
      </c>
      <c r="C57" s="107">
        <v>85349</v>
      </c>
      <c r="D57" s="107">
        <v>85550</v>
      </c>
      <c r="E57" s="107">
        <v>82043</v>
      </c>
      <c r="J57" s="89"/>
    </row>
    <row r="58" spans="2:10">
      <c r="B58" s="89" t="s">
        <v>63</v>
      </c>
      <c r="C58" s="107">
        <v>166834</v>
      </c>
      <c r="D58" s="107">
        <v>172588</v>
      </c>
      <c r="E58" s="107">
        <v>160121</v>
      </c>
      <c r="J58" s="89"/>
    </row>
    <row r="59" spans="2:10">
      <c r="B59" s="89" t="s">
        <v>64</v>
      </c>
      <c r="C59" s="107">
        <v>123888</v>
      </c>
      <c r="D59" s="107">
        <v>140861</v>
      </c>
      <c r="E59" s="107">
        <v>123550</v>
      </c>
      <c r="J59" s="89"/>
    </row>
    <row r="60" spans="2:10">
      <c r="B60" s="89" t="s">
        <v>65</v>
      </c>
      <c r="C60" s="107">
        <v>150001</v>
      </c>
      <c r="D60" s="107">
        <v>173729</v>
      </c>
      <c r="E60" s="107">
        <v>136640</v>
      </c>
      <c r="J60" s="89"/>
    </row>
    <row r="61" spans="2:10">
      <c r="B61" s="89" t="s">
        <v>66</v>
      </c>
      <c r="C61" s="107">
        <v>460852</v>
      </c>
      <c r="D61" s="107">
        <v>579582</v>
      </c>
      <c r="E61" s="107">
        <v>398837</v>
      </c>
      <c r="J61" s="89"/>
    </row>
    <row r="62" spans="2:10">
      <c r="B62" s="89" t="s">
        <v>67</v>
      </c>
      <c r="C62" s="107">
        <v>20789</v>
      </c>
      <c r="D62" s="107">
        <v>23728</v>
      </c>
      <c r="E62" s="107">
        <v>6378</v>
      </c>
      <c r="J62" s="89"/>
    </row>
    <row r="63" spans="2:10">
      <c r="B63" s="89" t="s">
        <v>77</v>
      </c>
      <c r="C63" s="107">
        <v>215139</v>
      </c>
      <c r="D63" s="107">
        <v>206474</v>
      </c>
      <c r="E63" s="107">
        <v>166763</v>
      </c>
      <c r="J63" s="89"/>
    </row>
    <row r="64" spans="2:10">
      <c r="B64" s="89" t="s">
        <v>76</v>
      </c>
      <c r="C64" s="107">
        <v>33745</v>
      </c>
      <c r="D64" s="107">
        <v>35937</v>
      </c>
      <c r="E64" s="107">
        <v>27781</v>
      </c>
      <c r="J64" s="89"/>
    </row>
    <row r="65" spans="2:10">
      <c r="B65" s="89" t="s">
        <v>75</v>
      </c>
      <c r="C65" s="107">
        <v>4178</v>
      </c>
      <c r="D65" s="107">
        <v>4567</v>
      </c>
      <c r="E65" s="107">
        <v>1219</v>
      </c>
      <c r="J65" s="89"/>
    </row>
    <row r="66" spans="2:10">
      <c r="B66" s="89" t="s">
        <v>74</v>
      </c>
      <c r="C66" s="107">
        <v>53119</v>
      </c>
      <c r="D66" s="107">
        <v>70420</v>
      </c>
      <c r="E66" s="107">
        <v>44735</v>
      </c>
      <c r="J66" s="89"/>
    </row>
    <row r="67" spans="2:10">
      <c r="B67" s="89" t="s">
        <v>73</v>
      </c>
      <c r="C67" s="107">
        <v>45782</v>
      </c>
      <c r="D67" s="107">
        <v>54071</v>
      </c>
      <c r="E67" s="107">
        <v>34278</v>
      </c>
      <c r="J67" s="89"/>
    </row>
    <row r="68" spans="2:10">
      <c r="B68" s="89" t="s">
        <v>72</v>
      </c>
      <c r="C68" s="107">
        <v>574493</v>
      </c>
      <c r="D68" s="107">
        <v>811753</v>
      </c>
      <c r="E68" s="107">
        <v>583525</v>
      </c>
      <c r="J68" s="89"/>
    </row>
    <row r="69" spans="2:10">
      <c r="B69" s="89" t="s">
        <v>71</v>
      </c>
      <c r="C69" s="107">
        <v>195898</v>
      </c>
      <c r="D69" s="107">
        <v>226366</v>
      </c>
      <c r="E69" s="107">
        <v>183992</v>
      </c>
      <c r="J69" s="89"/>
    </row>
    <row r="70" spans="2:10">
      <c r="B70" s="89" t="s">
        <v>70</v>
      </c>
      <c r="C70" s="107">
        <v>5340</v>
      </c>
      <c r="D70" s="107">
        <v>2354</v>
      </c>
      <c r="E70" s="107">
        <v>3490</v>
      </c>
      <c r="J70" s="89"/>
    </row>
    <row r="71" spans="2:10">
      <c r="B71" s="89" t="s">
        <v>69</v>
      </c>
      <c r="C71" s="107">
        <v>926</v>
      </c>
      <c r="D71" s="107">
        <v>55</v>
      </c>
      <c r="E71" s="107">
        <v>-21</v>
      </c>
      <c r="J71" s="89"/>
    </row>
    <row r="72" spans="2:10">
      <c r="B72" s="89" t="s">
        <v>68</v>
      </c>
      <c r="C72" s="107">
        <v>506285</v>
      </c>
      <c r="D72" s="107">
        <v>671963</v>
      </c>
      <c r="E72" s="107">
        <v>482067</v>
      </c>
      <c r="J72" s="89"/>
    </row>
    <row r="73" spans="2:10">
      <c r="J73" s="89"/>
    </row>
    <row r="74" spans="2:10">
      <c r="J74" s="89"/>
    </row>
    <row r="75" spans="2:10">
      <c r="J75" s="89"/>
    </row>
    <row r="76" spans="2:10">
      <c r="J76" s="89"/>
    </row>
    <row r="77" spans="2:10">
      <c r="J77" s="89"/>
    </row>
    <row r="78" spans="2:10">
      <c r="J78" s="89"/>
    </row>
    <row r="79" spans="2:10">
      <c r="J79" s="89"/>
    </row>
    <row r="80" spans="2:10">
      <c r="J80" s="89"/>
    </row>
    <row r="81" spans="10:10">
      <c r="J81" s="89"/>
    </row>
    <row r="82" spans="10:10">
      <c r="J82" s="89"/>
    </row>
    <row r="83" spans="10:10">
      <c r="J83" s="89"/>
    </row>
    <row r="84" spans="10:10">
      <c r="J84" s="89"/>
    </row>
    <row r="85" spans="10:10">
      <c r="J85" s="89"/>
    </row>
    <row r="86" spans="10:10">
      <c r="J86" s="89"/>
    </row>
    <row r="87" spans="10:10">
      <c r="J87" s="89"/>
    </row>
    <row r="88" spans="10:10">
      <c r="J88" s="89"/>
    </row>
    <row r="89" spans="10:10">
      <c r="J89" s="89"/>
    </row>
    <row r="90" spans="10:10">
      <c r="J90" s="89"/>
    </row>
    <row r="91" spans="10:10">
      <c r="J91" s="89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2017-07-19T07:00:00+00:00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170687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497EFA174D054C87A64FC335EAD38C" ma:contentTypeVersion="104" ma:contentTypeDescription="" ma:contentTypeScope="" ma:versionID="f119e4efb985100850fb45a7534913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2487CB-8DB9-405C-B232-60ACEA2016F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7A4542-F8C5-46AA-B842-AE9F2DD901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850C3-7F06-42AE-82F0-646E3FD1C4CF}"/>
</file>

<file path=customXml/itemProps4.xml><?xml version="1.0" encoding="utf-8"?>
<ds:datastoreItem xmlns:ds="http://schemas.openxmlformats.org/officeDocument/2006/customXml" ds:itemID="{7705D2E8-6734-42EF-BB58-39F27FB22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2016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2017-07-19T17:47:59Z</dcterms:created>
  <dcterms:modified xsi:type="dcterms:W3CDTF">2017-07-19T18:44:30Z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0x0101006E56B4D1795A2E4DB2F0B01679ED314A00F7497EFA174D054C87A64FC335EAD38C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