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8835" tabRatio="527" activeTab="3"/>
  </bookViews>
  <sheets>
    <sheet name="Gas Cost Bandwith" sheetId="1" r:id="rId1"/>
    <sheet name="Therms" sheetId="2" r:id="rId2"/>
    <sheet name="COSS" sheetId="3" r:id="rId3"/>
    <sheet name="Rate Design" sheetId="4" r:id="rId4"/>
  </sheets>
  <externalReferences>
    <externalReference r:id="rId7"/>
  </externalReferences>
  <definedNames>
    <definedName name="CASE">'[1]INPUTS'!$C$10</definedName>
    <definedName name="DISTPT_XDIR">'[1]INTERNAL'!#REF!</definedName>
    <definedName name="_xlnm.Print_Area" localSheetId="0">'Gas Cost Bandwith'!$A$1:$K$28</definedName>
    <definedName name="_xlnm.Print_Area" localSheetId="3">'Rate Design'!$A$1:$I$36</definedName>
    <definedName name="_xlnm.Print_Area" localSheetId="1">'Therms'!$A$1:$H$42</definedName>
  </definedNames>
  <calcPr fullCalcOnLoad="1"/>
</workbook>
</file>

<file path=xl/comments1.xml><?xml version="1.0" encoding="utf-8"?>
<comments xmlns="http://schemas.openxmlformats.org/spreadsheetml/2006/main">
  <authors>
    <author>Ellen Daniels</author>
  </authors>
  <commentList>
    <comment ref="G12" authorId="0">
      <text>
        <r>
          <rPr>
            <b/>
            <sz val="8"/>
            <rFont val="Tahoma"/>
            <family val="0"/>
          </rPr>
          <t>Are these numbers going to change?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Are these numbers going to change?</t>
        </r>
      </text>
    </comment>
  </commentList>
</comments>
</file>

<file path=xl/comments3.xml><?xml version="1.0" encoding="utf-8"?>
<comments xmlns="http://schemas.openxmlformats.org/spreadsheetml/2006/main">
  <authors>
    <author>Ellen Daniels</author>
  </authors>
  <commentList>
    <comment ref="E6" authorId="0">
      <text>
        <r>
          <rPr>
            <b/>
            <sz val="8"/>
            <rFont val="Tahoma"/>
            <family val="0"/>
          </rPr>
          <t>All blue cells should be hard entered from the COS Model results</t>
        </r>
        <r>
          <rPr>
            <sz val="8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0"/>
          </rPr>
          <t>Subtract out allocation to large mains.</t>
        </r>
      </text>
    </comment>
  </commentList>
</comments>
</file>

<file path=xl/sharedStrings.xml><?xml version="1.0" encoding="utf-8"?>
<sst xmlns="http://schemas.openxmlformats.org/spreadsheetml/2006/main" count="197" uniqueCount="135">
  <si>
    <t>Line No.</t>
  </si>
  <si>
    <t>Description</t>
  </si>
  <si>
    <t>Minimum</t>
  </si>
  <si>
    <t>Maximum</t>
  </si>
  <si>
    <t>Propane Fuel Cost Bandwidth ($/Gallon)</t>
  </si>
  <si>
    <t>Energy Content (BTU/Gallon)</t>
  </si>
  <si>
    <t>Equivalent Therms per Gallon</t>
  </si>
  <si>
    <t>Propane Fuel Cost per Equivalent Therm</t>
  </si>
  <si>
    <t>Margin Recovered Through Customer Charge</t>
  </si>
  <si>
    <t>Margin Recovered Through Commodity Charge</t>
  </si>
  <si>
    <t>Average Annual Use per Customer (Therms)</t>
  </si>
  <si>
    <t>Margin per Therm Recovered Through Commodity Charge</t>
  </si>
  <si>
    <t>Propane Fuel Cost Per Therm plus Required Margin Per Therm for Commodity Charge</t>
  </si>
  <si>
    <t>Proposed Commodity Charge per Therm</t>
  </si>
  <si>
    <t>Margin per Therm Available for Justifying Future Supply Main Extension Costs In FIA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</si>
  <si>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</si>
  <si>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</si>
  <si>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</si>
  <si>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</si>
  <si>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</si>
  <si>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</si>
  <si>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</si>
  <si>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</si>
  <si>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</si>
  <si>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</si>
  <si>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</si>
  <si>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</si>
  <si>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$/Gallon</t>
  </si>
  <si>
    <t>Notes</t>
  </si>
  <si>
    <t>High Propane Forcast</t>
  </si>
  <si>
    <t>Vendor quote</t>
  </si>
  <si>
    <t>Low Propane Forcast</t>
  </si>
  <si>
    <t>Average of High and Low Forcasts</t>
  </si>
  <si>
    <t xml:space="preserve">Historical Cost </t>
  </si>
  <si>
    <t>High Actual Propane Cost</t>
  </si>
  <si>
    <t>January 2001</t>
  </si>
  <si>
    <t>Low Actual Propane Cost</t>
  </si>
  <si>
    <t>June 2001</t>
  </si>
  <si>
    <t>Average of High and Low Historical Costs</t>
  </si>
  <si>
    <t>Recommended Propane Cost Bandwidth</t>
  </si>
  <si>
    <t>Maximum Cost</t>
  </si>
  <si>
    <t>Minimum Cost</t>
  </si>
  <si>
    <t>CALCULATION CHECK - not part of filed exhibit</t>
  </si>
  <si>
    <t>Recommended Propane WACOG</t>
  </si>
  <si>
    <t>$/therm</t>
  </si>
  <si>
    <t>high cost (calculated)</t>
  </si>
  <si>
    <t>low cost (calculated)</t>
  </si>
  <si>
    <t>maximum cost propane WACOG</t>
  </si>
  <si>
    <t>minimum cost propane WACOG</t>
  </si>
  <si>
    <t>current residential margin per therm</t>
  </si>
  <si>
    <t>high cost effective commodity rate</t>
  </si>
  <si>
    <t>low cost effective commodity rate</t>
  </si>
  <si>
    <t xml:space="preserve">Test Year Average (7/00 - 6/01) </t>
  </si>
  <si>
    <t>line 7 divided by 93,600/100,000 equivalent therms per gallon</t>
  </si>
  <si>
    <t>line 8 divided by 93,600/100,000 equivalent therms per gallon</t>
  </si>
  <si>
    <t>line 11 + line 13</t>
  </si>
  <si>
    <t>line 12 + line 13</t>
  </si>
  <si>
    <t>Proposed Residential Block Margin per Therm</t>
  </si>
  <si>
    <t xml:space="preserve">Annual Margin (Non-gas) Revenue Required per Customer  </t>
  </si>
  <si>
    <t>Average Number of Residential Customers</t>
  </si>
  <si>
    <t>Average Therms Per Residential Customer Per Year</t>
  </si>
  <si>
    <t>Number of Residential Bills</t>
  </si>
  <si>
    <t>Total Residential Therms</t>
  </si>
  <si>
    <t>Adjustments</t>
  </si>
  <si>
    <t>Propane Equivalent</t>
  </si>
  <si>
    <t>Rate Base</t>
  </si>
  <si>
    <t>Plant In Service</t>
  </si>
  <si>
    <t>Reserve For Depreciation</t>
  </si>
  <si>
    <t>Other Rate Base Adjustments</t>
  </si>
  <si>
    <t>Total Distribution Rate Base</t>
  </si>
  <si>
    <t>Expense</t>
  </si>
  <si>
    <t>Operating Expense</t>
  </si>
  <si>
    <t>Administrative and General</t>
  </si>
  <si>
    <t>Depreciation</t>
  </si>
  <si>
    <t>General Tax</t>
  </si>
  <si>
    <t>Total Revenue Requirement</t>
  </si>
  <si>
    <t>Return on Rate Base</t>
  </si>
  <si>
    <t>Adjusted Expense</t>
  </si>
  <si>
    <t>Per Therm Revenue Requirement</t>
  </si>
  <si>
    <t>Annual Sales Volumes</t>
  </si>
  <si>
    <t>Revenue Requirement Per Therm</t>
  </si>
  <si>
    <t>Minimum Margin Requirement Per Therm</t>
  </si>
  <si>
    <t>Rate of Return</t>
  </si>
  <si>
    <t>Tax Gross-up Factor</t>
  </si>
  <si>
    <t>Expense Gross-up Factor</t>
  </si>
  <si>
    <t>Forecast</t>
  </si>
  <si>
    <t>Sub-total</t>
  </si>
  <si>
    <t>Other Expenses</t>
  </si>
  <si>
    <t>PUGET SOUND ENERGY - GAS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</si>
  <si>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</si>
  <si>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</si>
  <si>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</si>
  <si>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</si>
  <si>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</si>
  <si>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</si>
  <si>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</si>
  <si>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</si>
  <si>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</si>
  <si>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</si>
  <si>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</si>
  <si>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</si>
  <si>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</si>
  <si>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</si>
  <si>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</si>
  <si>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</si>
  <si>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</si>
  <si>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</si>
  <si>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</si>
  <si>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</si>
  <si>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12 Months Ended June 30, 2001</t>
  </si>
  <si>
    <t>Total Distribution Expense*</t>
  </si>
  <si>
    <t>* Note: Excludes Franchise and Federal Income Tax</t>
  </si>
  <si>
    <t>Customer Accounts</t>
  </si>
  <si>
    <t>(a)</t>
  </si>
  <si>
    <t>(b)</t>
  </si>
  <si>
    <t>(c)</t>
  </si>
  <si>
    <t>(d)</t>
  </si>
  <si>
    <t>Residential Heating</t>
  </si>
  <si>
    <t>Propane Equivelant Cost of Service Study &amp; Minimum Margin Requirements</t>
  </si>
  <si>
    <t>Propane Cost Bandwidth</t>
  </si>
  <si>
    <t>Proposed Commodity Charge and Proposed Revenue Stream for FIA</t>
  </si>
  <si>
    <t>Derivation</t>
  </si>
  <si>
    <t xml:space="preserve"> = (2) / 100,000</t>
  </si>
  <si>
    <t>= (1) / (3)</t>
  </si>
  <si>
    <t>= ($7.50 per Month * 12 Months)</t>
  </si>
  <si>
    <t>= (7) / (8)</t>
  </si>
  <si>
    <t>= (4) + (9)</t>
  </si>
  <si>
    <t>= (5) - (6)</t>
  </si>
  <si>
    <t>= (4) + (11)</t>
  </si>
  <si>
    <t>= (11) - (9)</t>
  </si>
  <si>
    <t>Propane Statistics</t>
  </si>
  <si>
    <t>Month</t>
  </si>
  <si>
    <t>Number of Bills</t>
  </si>
  <si>
    <t>Total Therms</t>
  </si>
  <si>
    <t>= (1261 Therms * $0.36996 per Therm)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</si>
</sst>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\ ;\(&quot;$&quot;#,##0.00000\)"/>
    <numFmt numFmtId="165" formatCode="&quot;$&quot;#,##0.00\ ;\(&quot;$&quot;#,##0.00\)"/>
    <numFmt numFmtId="166" formatCode="#,##0.0"/>
    <numFmt numFmtId="167" formatCode="&quot;$&quot;#,##0\ ;\(&quot;$&quot;#,##0\)"/>
    <numFmt numFmtId="168" formatCode="#,##0.00000"/>
    <numFmt numFmtId="169" formatCode="_(* #,##0_);_(* \(#,##0\);_(* &quot;-&quot;??_);_(@_)"/>
    <numFmt numFmtId="170" formatCode="&quot;$&quot;#,##0;[Red]\-&quot;$&quot;#,##0"/>
    <numFmt numFmtId="171" formatCode="_(&quot;$&quot;* #,##0_);_(&quot;$&quot;* \(#,##0\);_(&quot;$&quot;* &quot;-&quot;??_);_(@_)"/>
    <numFmt numFmtId="172" formatCode="&quot;$&quot;#,##0.00"/>
    <numFmt numFmtId="173" formatCode="_(&quot;$&quot;* #,##0.0000_);_(&quot;$&quot;* \(#,##0.0000\);_(&quot;$&quot;* &quot;-&quot;????_);_(@_)"/>
    <numFmt numFmtId="174" formatCode="_(* #,##0.0_);_(* \(#,##0.0\);_(* &quot;-&quot;_);_(@_)"/>
    <numFmt numFmtId="175" formatCode="_(* #,##0.0000000000_);_(* \(#,##0.0000000000\);_(* &quot;-&quot;_);_(@_)"/>
    <numFmt numFmtId="176" formatCode="0.0%"/>
    <numFmt numFmtId="177" formatCode="_(* #,##0.0000000_);_(* \(#,##0.0000000\);_(* &quot;-&quot;???????_);_(@_)"/>
    <numFmt numFmtId="178" formatCode="0.0"/>
    <numFmt numFmtId="179" formatCode="_(* #,##0.0_);_(* \(#,##0.0\);_(* &quot;-&quot;??_);_(@_)"/>
    <numFmt numFmtId="180" formatCode="_(* #,##0.0_);_(* \(#,##0.0\);_(* &quot;-&quot;?_);_(@_)"/>
    <numFmt numFmtId="181" formatCode="_(* #,##0.0000_);_(* \(#,##0.0000\);_(* &quot;-&quot;????_);_(@_)"/>
    <numFmt numFmtId="182" formatCode="_(&quot;$&quot;* #,##0.0_);_(&quot;$&quot;* \(#,##0.0\);_(&quot;$&quot;* &quot;-&quot;??_);_(@_)"/>
    <numFmt numFmtId="183" formatCode="_(* #,##0.000000_);_(* \(#,##0.000000\);_(* &quot;-&quot;??????_);_(@_)"/>
    <numFmt numFmtId="184" formatCode="_(* #,##0.00000_);_(* \(#,##0.00000\);_(* &quot;-&quot;????_);_(@_)"/>
    <numFmt numFmtId="185" formatCode="_(* #,##0.000000_);_(* \(#,##0.000000\);_(* &quot;-&quot;????_);_(@_)"/>
    <numFmt numFmtId="186" formatCode="_(* #,##0.0000000_);_(* \(#,##0.0000000\);_(* &quot;-&quot;????_);_(@_)"/>
    <numFmt numFmtId="187" formatCode="_(* #,##0.00000000_);_(* \(#,##0.00000000\);_(* &quot;-&quot;????_);_(@_)"/>
    <numFmt numFmtId="188" formatCode="_(* #,##0.00000_);_(* \(#,##0.00000\);_(* &quot;-&quot;?????_);_(@_)"/>
    <numFmt numFmtId="189" formatCode="_(&quot;$&quot;* #,##0.000_);_(&quot;$&quot;* \(#,##0.000\);_(&quot;$&quot;* &quot;-&quot;????_);_(@_)"/>
    <numFmt numFmtId="190" formatCode="_(&quot;$&quot;* #,##0.00_);_(&quot;$&quot;* \(#,##0.00\);_(&quot;$&quot;* &quot;-&quot;????_);_(@_)"/>
    <numFmt numFmtId="191" formatCode="_(&quot;$&quot;* #,##0.0_);_(&quot;$&quot;* \(#,##0.0\);_(&quot;$&quot;* &quot;-&quot;????_);_(@_)"/>
    <numFmt numFmtId="192" formatCode="_(&quot;$&quot;* #,##0_);_(&quot;$&quot;* \(#,##0\);_(&quot;$&quot;* &quot;-&quot;????_);_(@_)"/>
    <numFmt numFmtId="193" formatCode="_(&quot;$&quot;* #,##0.000_);_(&quot;$&quot;* \(#,##0.000\);_(&quot;$&quot;* &quot;-&quot;??_);_(@_)"/>
    <numFmt numFmtId="194" formatCode="_(* #,##0.000_);_(* \(#,##0.000\);_(* &quot;-&quot;???_);_(@_)"/>
    <numFmt numFmtId="195" formatCode="_(* #,##0.0000_);_(* \(#,##0.0000\);_(* &quot;-&quot;???_);_(@_)"/>
    <numFmt numFmtId="196" formatCode="_(* #,##0.00000_);_(* \(#,##0.00000\);_(* &quot;-&quot;???_);_(@_)"/>
    <numFmt numFmtId="197" formatCode="_(* #,##0.00_);_(* \(#,##0.00\);_(* &quot;-&quot;???_);_(@_)"/>
    <numFmt numFmtId="198" formatCode="_(* #,##0.0_);_(* \(#,##0.0\);_(* &quot;-&quot;???_);_(@_)"/>
    <numFmt numFmtId="199" formatCode="_(* #,##0_);_(* \(#,##0\);_(* &quot;-&quot;???_);_(@_)"/>
    <numFmt numFmtId="200" formatCode="_(&quot;$&quot;* #,##0.0_);_(&quot;$&quot;* \(#,##0.0\);_(&quot;$&quot;* &quot;-&quot;_);_(@_)"/>
    <numFmt numFmtId="201" formatCode="_(&quot;$&quot;* #,##0.00_);_(&quot;$&quot;* \(#,##0.00\);_(&quot;$&quot;* &quot;-&quot;_);_(@_)"/>
    <numFmt numFmtId="202" formatCode="_(&quot;$&quot;* #,##0.000_);_(&quot;$&quot;* \(#,##0.000\);_(&quot;$&quot;* &quot;-&quot;_);_(@_)"/>
    <numFmt numFmtId="203" formatCode="_(&quot;$&quot;* #,##0.0000_);_(&quot;$&quot;* \(#,##0.0000\);_(&quot;$&quot;* &quot;-&quot;_);_(@_)"/>
    <numFmt numFmtId="204" formatCode="_(* #,##0.000_);_(* \(#,##0.000\);_(* &quot;-&quot;??_);_(@_)"/>
    <numFmt numFmtId="205" formatCode="_(* #,##0.0000_);_(* \(#,##0.0000\);_(* &quot;-&quot;??_);_(@_)"/>
    <numFmt numFmtId="206" formatCode="_(* #,##0.00000_);_(* \(#,##0.00000\);_(* &quot;-&quot;??_);_(@_)"/>
    <numFmt numFmtId="207" formatCode="_(* #,##0.000000_);_(* \(#,##0.000000\);_(* &quot;-&quot;??_);_(@_)"/>
    <numFmt numFmtId="208" formatCode="_(&quot;$&quot;* #,##0.00000_);_(&quot;$&quot;* \(#,##0.00000\);_(&quot;$&quot;* &quot;-&quot;_);_(@_)"/>
  </numFmts>
  <fonts count="16">
    <font>
      <sz val="10"/>
      <name val="Arial"/>
      <family val="0"/>
    </font>
    <font>
      <b/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1" fontId="0" fillId="3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6" fillId="4" borderId="1">
      <alignment horizontal="left"/>
      <protection locked="0"/>
    </xf>
    <xf numFmtId="10" fontId="6" fillId="4" borderId="1">
      <alignment horizontal="right"/>
      <protection locked="0"/>
    </xf>
    <xf numFmtId="9" fontId="0" fillId="0" borderId="0" applyFont="0" applyFill="0" applyBorder="0" applyAlignment="0" applyProtection="0"/>
    <xf numFmtId="41" fontId="0" fillId="0" borderId="1">
      <alignment/>
      <protection/>
    </xf>
    <xf numFmtId="42" fontId="0" fillId="2" borderId="0">
      <alignment/>
      <protection/>
    </xf>
    <xf numFmtId="42" fontId="7" fillId="4" borderId="2">
      <alignment vertical="center"/>
      <protection/>
    </xf>
    <xf numFmtId="0" fontId="8" fillId="2" borderId="3" applyNumberFormat="0">
      <alignment horizontal="center" vertical="center" wrapText="1"/>
      <protection/>
    </xf>
    <xf numFmtId="10" fontId="0" fillId="2" borderId="0">
      <alignment/>
      <protection/>
    </xf>
    <xf numFmtId="173" fontId="0" fillId="2" borderId="0">
      <alignment/>
      <protection/>
    </xf>
    <xf numFmtId="42" fontId="9" fillId="2" borderId="4">
      <alignment horizontal="left"/>
      <protection/>
    </xf>
    <xf numFmtId="173" fontId="9" fillId="2" borderId="4">
      <alignment horizontal="left"/>
      <protection/>
    </xf>
    <xf numFmtId="41" fontId="7" fillId="2" borderId="0">
      <alignment horizontal="left"/>
      <protection/>
    </xf>
    <xf numFmtId="172" fontId="10" fillId="0" borderId="0">
      <alignment horizontal="left" vertical="center"/>
      <protection/>
    </xf>
    <xf numFmtId="0" fontId="8" fillId="2" borderId="0">
      <alignment horizontal="left" wrapText="1"/>
      <protection/>
    </xf>
    <xf numFmtId="0" fontId="11" fillId="0" borderId="0">
      <alignment horizontal="left" vertical="center"/>
      <protection/>
    </xf>
    <xf numFmtId="41" fontId="8" fillId="2" borderId="0">
      <alignment horizontal="left"/>
      <protection/>
    </xf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8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Continuous"/>
    </xf>
    <xf numFmtId="42" fontId="0" fillId="0" borderId="0" xfId="0" applyNumberFormat="1" applyAlignment="1">
      <alignment/>
    </xf>
    <xf numFmtId="42" fontId="0" fillId="0" borderId="0" xfId="0" applyNumberFormat="1" applyFont="1" applyAlignment="1">
      <alignment/>
    </xf>
    <xf numFmtId="0" fontId="13" fillId="0" borderId="0" xfId="0" applyFont="1" applyAlignment="1">
      <alignment horizontal="centerContinuous"/>
    </xf>
    <xf numFmtId="42" fontId="13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42" fontId="0" fillId="0" borderId="0" xfId="0" applyNumberFormat="1" applyFont="1" applyAlignment="1">
      <alignment horizontal="centerContinuous"/>
    </xf>
    <xf numFmtId="0" fontId="0" fillId="0" borderId="0" xfId="0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42" fontId="8" fillId="0" borderId="0" xfId="0" applyNumberFormat="1" applyFont="1" applyAlignment="1">
      <alignment horizontal="centerContinuous"/>
    </xf>
    <xf numFmtId="0" fontId="0" fillId="0" borderId="9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2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4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2" fontId="0" fillId="0" borderId="0" xfId="0" applyNumberFormat="1" applyFont="1" applyBorder="1" applyAlignment="1">
      <alignment/>
    </xf>
    <xf numFmtId="42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2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42" fontId="0" fillId="0" borderId="0" xfId="0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Border="1" applyAlignment="1">
      <alignment/>
    </xf>
    <xf numFmtId="42" fontId="0" fillId="0" borderId="0" xfId="0" applyNumberFormat="1" applyFont="1" applyFill="1" applyBorder="1" applyAlignment="1">
      <alignment horizontal="left"/>
    </xf>
    <xf numFmtId="42" fontId="8" fillId="0" borderId="0" xfId="38" applyNumberFormat="1" applyFont="1" applyFill="1" applyBorder="1">
      <alignment horizontal="left"/>
      <protection/>
    </xf>
    <xf numFmtId="10" fontId="0" fillId="0" borderId="0" xfId="25" applyNumberFormat="1" applyFont="1" applyFill="1" applyBorder="1" applyAlignment="1">
      <alignment/>
    </xf>
    <xf numFmtId="206" fontId="0" fillId="0" borderId="0" xfId="17" applyNumberFormat="1" applyFont="1" applyFill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42" fontId="8" fillId="0" borderId="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42" fontId="8" fillId="0" borderId="0" xfId="0" applyNumberFormat="1" applyFont="1" applyBorder="1" applyAlignment="1">
      <alignment/>
    </xf>
    <xf numFmtId="42" fontId="8" fillId="0" borderId="4" xfId="0" applyNumberFormat="1" applyFont="1" applyFill="1" applyBorder="1" applyAlignment="1">
      <alignment horizontal="right"/>
    </xf>
    <xf numFmtId="42" fontId="8" fillId="0" borderId="4" xfId="0" applyNumberFormat="1" applyFont="1" applyBorder="1" applyAlignment="1">
      <alignment horizontal="right"/>
    </xf>
    <xf numFmtId="169" fontId="0" fillId="0" borderId="0" xfId="17" applyNumberFormat="1" applyFont="1" applyFill="1" applyBorder="1" applyAlignment="1">
      <alignment/>
    </xf>
    <xf numFmtId="169" fontId="0" fillId="0" borderId="0" xfId="17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/>
    </xf>
    <xf numFmtId="42" fontId="8" fillId="0" borderId="3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49" fontId="0" fillId="0" borderId="4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Font="1" applyBorder="1" applyAlignment="1">
      <alignment horizontal="left" vertical="center"/>
    </xf>
    <xf numFmtId="164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1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165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5" fontId="0" fillId="0" borderId="0" xfId="0" applyFont="1" applyBorder="1" applyAlignment="1">
      <alignment vertical="center"/>
    </xf>
    <xf numFmtId="166" fontId="0" fillId="0" borderId="0" xfId="0" applyFont="1" applyBorder="1" applyAlignment="1">
      <alignment vertical="center"/>
    </xf>
    <xf numFmtId="164" fontId="0" fillId="0" borderId="11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0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0" fillId="0" borderId="0" xfId="0" applyFont="1" applyBorder="1" applyAlignment="1">
      <alignment horizontal="center"/>
    </xf>
    <xf numFmtId="171" fontId="0" fillId="0" borderId="0" xfId="0" applyNumberFormat="1" applyFont="1" applyBorder="1" applyAlignment="1">
      <alignment horizontal="right"/>
    </xf>
    <xf numFmtId="164" fontId="0" fillId="0" borderId="12" xfId="0" applyFont="1" applyFill="1" applyBorder="1" applyAlignment="1">
      <alignment vertical="center"/>
    </xf>
  </cellXfs>
  <cellStyles count="25">
    <cellStyle name="Normal" xfId="0"/>
    <cellStyle name="Calculation" xfId="15"/>
    <cellStyle name="CheckCell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Input Cells" xfId="23"/>
    <cellStyle name="Input Cells Percent" xfId="24"/>
    <cellStyle name="Percent" xfId="25"/>
    <cellStyle name="Processing" xfId="26"/>
    <cellStyle name="Report" xfId="27"/>
    <cellStyle name="Report Bar" xfId="28"/>
    <cellStyle name="Report Heading" xfId="29"/>
    <cellStyle name="Report Percent" xfId="30"/>
    <cellStyle name="Report Unit Cost" xfId="31"/>
    <cellStyle name="Reports Total" xfId="32"/>
    <cellStyle name="Reports Unit Cost Total" xfId="33"/>
    <cellStyle name="Sub-total" xfId="34"/>
    <cellStyle name="Title: Major" xfId="35"/>
    <cellStyle name="Title: Minor" xfId="36"/>
    <cellStyle name="Title: Worksheet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S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REVENUE"/>
      <sheetName val="CLASS"/>
      <sheetName val="FUNCALLOC"/>
      <sheetName val="ACCOUNTALLOC"/>
      <sheetName val="CLASSALLOC"/>
      <sheetName val="ALLOC"/>
      <sheetName val="REV REQ"/>
      <sheetName val="REV REPORT"/>
      <sheetName val="REV REQ REPORT"/>
      <sheetName val="ErrorCheck"/>
    </sheetNames>
    <sheetDataSet>
      <sheetData sheetId="1">
        <row r="10">
          <cell r="C1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27">
      <selection activeCell="D2" sqref="D2"/>
    </sheetView>
  </sheetViews>
  <sheetFormatPr defaultColWidth="9.140625" defaultRowHeight="12.75"/>
  <cols>
    <col min="1" max="1" width="3.140625" style="30" customWidth="1"/>
    <col min="2" max="2" width="2.8515625" style="30" customWidth="1"/>
    <col min="3" max="3" width="9.140625" style="30" customWidth="1"/>
    <col min="4" max="4" width="3.140625" style="30" customWidth="1"/>
    <col min="5" max="5" width="38.7109375" style="30" bestFit="1" customWidth="1"/>
    <col min="6" max="6" width="2.140625" style="30" customWidth="1"/>
    <col min="7" max="7" width="18.8515625" style="30" customWidth="1"/>
    <col min="8" max="8" width="2.28125" style="30" customWidth="1"/>
    <col min="9" max="9" width="27.00390625" style="30" customWidth="1"/>
    <col min="10" max="10" width="2.7109375" style="30" customWidth="1"/>
    <col min="11" max="16384" width="9.140625" style="30" customWidth="1"/>
  </cols>
  <sheetData>
    <row r="1" spans="1:9" ht="15.75">
      <c r="A1" s="67"/>
      <c r="B1" s="67"/>
      <c r="C1" s="94"/>
      <c r="D1" s="21" t="s">
        <v>88</v>
      </c>
      <c r="E1" s="94"/>
      <c r="F1" s="94"/>
      <c r="G1" s="95"/>
      <c r="H1" s="94"/>
      <c r="I1" s="95"/>
    </row>
    <row r="2" spans="3:10" ht="12.75">
      <c r="C2" s="94"/>
      <c r="D2" s="26" t="s">
        <v>119</v>
      </c>
      <c r="E2" s="94"/>
      <c r="F2" s="94"/>
      <c r="G2" s="95"/>
      <c r="H2" s="94"/>
      <c r="I2" s="94"/>
      <c r="J2" s="31"/>
    </row>
    <row r="3" spans="1:10" ht="12.75">
      <c r="A3" s="94"/>
      <c r="B3" s="94"/>
      <c r="C3" s="95"/>
      <c r="D3" s="26" t="s">
        <v>109</v>
      </c>
      <c r="E3" s="94"/>
      <c r="F3" s="94"/>
      <c r="G3" s="95"/>
      <c r="H3" s="94"/>
      <c r="I3" s="94"/>
      <c r="J3" s="31"/>
    </row>
    <row r="4" spans="2:10" ht="12.75">
      <c r="B4" s="55"/>
      <c r="C4" s="55"/>
      <c r="D4" s="55"/>
      <c r="E4" s="55"/>
      <c r="F4" s="55"/>
      <c r="G4" s="111"/>
      <c r="H4" s="55"/>
      <c r="I4" s="55"/>
      <c r="J4" s="53"/>
    </row>
    <row r="5" spans="2:10" ht="12.75">
      <c r="B5" s="43"/>
      <c r="C5" s="75"/>
      <c r="G5" s="97"/>
      <c r="J5" s="42"/>
    </row>
    <row r="6" spans="2:10" s="144" customFormat="1" ht="25.5">
      <c r="B6" s="145"/>
      <c r="C6" s="116" t="s">
        <v>0</v>
      </c>
      <c r="D6" s="116"/>
      <c r="E6" s="116" t="s">
        <v>1</v>
      </c>
      <c r="F6" s="116"/>
      <c r="G6" s="146" t="s">
        <v>27</v>
      </c>
      <c r="H6" s="116"/>
      <c r="I6" s="116" t="s">
        <v>28</v>
      </c>
      <c r="J6" s="117"/>
    </row>
    <row r="7" spans="2:10" ht="12.75">
      <c r="B7" s="43"/>
      <c r="G7" s="88"/>
      <c r="J7" s="42"/>
    </row>
    <row r="8" spans="2:10" ht="12.75">
      <c r="B8" s="43"/>
      <c r="E8" s="75" t="s">
        <v>113</v>
      </c>
      <c r="F8" s="75"/>
      <c r="G8" s="97" t="s">
        <v>114</v>
      </c>
      <c r="H8" s="75"/>
      <c r="I8" s="75" t="s">
        <v>115</v>
      </c>
      <c r="J8" s="42"/>
    </row>
    <row r="9" spans="2:10" ht="12.75">
      <c r="B9" s="43"/>
      <c r="G9" s="88"/>
      <c r="J9" s="42"/>
    </row>
    <row r="10" spans="2:10" ht="12.75">
      <c r="B10" s="43"/>
      <c r="C10" s="75"/>
      <c r="E10" s="31" t="s">
        <v>85</v>
      </c>
      <c r="F10" s="90"/>
      <c r="G10" s="88"/>
      <c r="J10" s="42"/>
    </row>
    <row r="11" spans="2:10" ht="12.75">
      <c r="B11" s="43"/>
      <c r="C11" s="46" t="s">
        <v>89</v>
      </c>
      <c r="E11" s="28" t="s">
        <v>29</v>
      </c>
      <c r="F11" s="91"/>
      <c r="G11" s="92">
        <v>2</v>
      </c>
      <c r="I11" s="30" t="s">
        <v>30</v>
      </c>
      <c r="J11" s="42"/>
    </row>
    <row r="12" spans="2:10" ht="12.75">
      <c r="B12" s="43"/>
      <c r="C12" s="46" t="s">
        <v>90</v>
      </c>
      <c r="E12" s="28" t="s">
        <v>31</v>
      </c>
      <c r="F12" s="91"/>
      <c r="G12" s="92">
        <v>1</v>
      </c>
      <c r="I12" s="30" t="s">
        <v>30</v>
      </c>
      <c r="J12" s="42"/>
    </row>
    <row r="13" spans="2:10" ht="12.75">
      <c r="B13" s="43"/>
      <c r="C13" s="46"/>
      <c r="E13" s="28"/>
      <c r="F13" s="91"/>
      <c r="G13" s="88"/>
      <c r="J13" s="42"/>
    </row>
    <row r="14" spans="2:10" ht="12.75">
      <c r="B14" s="43"/>
      <c r="C14" s="46" t="s">
        <v>91</v>
      </c>
      <c r="E14" s="28" t="s">
        <v>32</v>
      </c>
      <c r="F14" s="91"/>
      <c r="G14" s="88">
        <f>AVERAGE(G11:G12)</f>
        <v>1.5</v>
      </c>
      <c r="J14" s="42"/>
    </row>
    <row r="15" spans="2:10" ht="12.75">
      <c r="B15" s="43"/>
      <c r="C15" s="46"/>
      <c r="E15" s="75"/>
      <c r="F15" s="75"/>
      <c r="G15" s="88"/>
      <c r="J15" s="42"/>
    </row>
    <row r="16" spans="2:10" ht="12.75">
      <c r="B16" s="43"/>
      <c r="C16" s="93"/>
      <c r="G16" s="88"/>
      <c r="J16" s="42"/>
    </row>
    <row r="17" spans="2:10" ht="12.75">
      <c r="B17" s="43"/>
      <c r="C17" s="46"/>
      <c r="E17" s="31" t="s">
        <v>33</v>
      </c>
      <c r="F17" s="90"/>
      <c r="G17" s="88"/>
      <c r="J17" s="42"/>
    </row>
    <row r="18" spans="2:10" ht="12.75">
      <c r="B18" s="43"/>
      <c r="C18" s="46" t="s">
        <v>92</v>
      </c>
      <c r="E18" s="28" t="s">
        <v>34</v>
      </c>
      <c r="F18" s="91"/>
      <c r="G18" s="92">
        <v>2.039</v>
      </c>
      <c r="I18" s="30" t="s">
        <v>35</v>
      </c>
      <c r="J18" s="42"/>
    </row>
    <row r="19" spans="2:10" ht="12.75">
      <c r="B19" s="43"/>
      <c r="C19" s="46" t="s">
        <v>93</v>
      </c>
      <c r="E19" s="28" t="s">
        <v>36</v>
      </c>
      <c r="F19" s="91"/>
      <c r="G19" s="92">
        <v>1.09902</v>
      </c>
      <c r="I19" s="30" t="s">
        <v>37</v>
      </c>
      <c r="J19" s="42"/>
    </row>
    <row r="20" spans="2:10" ht="12.75">
      <c r="B20" s="43"/>
      <c r="C20" s="46"/>
      <c r="E20" s="28"/>
      <c r="F20" s="91"/>
      <c r="G20" s="88"/>
      <c r="J20" s="42"/>
    </row>
    <row r="21" spans="2:10" ht="12.75">
      <c r="B21" s="43"/>
      <c r="C21" s="46" t="s">
        <v>94</v>
      </c>
      <c r="E21" s="28" t="s">
        <v>38</v>
      </c>
      <c r="F21" s="91"/>
      <c r="G21" s="88">
        <f>AVERAGE(G18:G19)</f>
        <v>1.56901</v>
      </c>
      <c r="I21" s="30" t="s">
        <v>52</v>
      </c>
      <c r="J21" s="42"/>
    </row>
    <row r="22" spans="2:10" ht="12.75">
      <c r="B22" s="43"/>
      <c r="C22" s="46"/>
      <c r="G22" s="88"/>
      <c r="J22" s="42"/>
    </row>
    <row r="23" spans="2:10" ht="12.75">
      <c r="B23" s="43"/>
      <c r="C23" s="93"/>
      <c r="G23" s="88"/>
      <c r="J23" s="42"/>
    </row>
    <row r="24" spans="2:10" ht="12.75">
      <c r="B24" s="43"/>
      <c r="C24" s="46"/>
      <c r="E24" s="31" t="s">
        <v>39</v>
      </c>
      <c r="F24" s="90"/>
      <c r="G24" s="88"/>
      <c r="J24" s="42"/>
    </row>
    <row r="25" spans="2:10" ht="12.75">
      <c r="B25" s="43"/>
      <c r="C25" s="46" t="s">
        <v>95</v>
      </c>
      <c r="E25" s="28" t="s">
        <v>40</v>
      </c>
      <c r="F25" s="91"/>
      <c r="G25" s="92">
        <v>2</v>
      </c>
      <c r="I25" s="30" t="s">
        <v>29</v>
      </c>
      <c r="J25" s="42"/>
    </row>
    <row r="26" spans="2:10" ht="12.75">
      <c r="B26" s="43"/>
      <c r="C26" s="46" t="s">
        <v>96</v>
      </c>
      <c r="E26" s="28" t="s">
        <v>41</v>
      </c>
      <c r="F26" s="91"/>
      <c r="G26" s="92">
        <v>1</v>
      </c>
      <c r="I26" s="30" t="s">
        <v>31</v>
      </c>
      <c r="J26" s="42"/>
    </row>
    <row r="27" spans="2:10" ht="12.75">
      <c r="B27" s="51"/>
      <c r="C27" s="86"/>
      <c r="D27" s="55"/>
      <c r="E27" s="55"/>
      <c r="F27" s="55"/>
      <c r="G27" s="87"/>
      <c r="H27" s="55"/>
      <c r="I27" s="55"/>
      <c r="J27" s="56"/>
    </row>
    <row r="28" spans="3:10" ht="12.75">
      <c r="C28" s="96"/>
      <c r="D28" s="96"/>
      <c r="E28" s="96"/>
      <c r="F28" s="96"/>
      <c r="G28" s="98"/>
      <c r="H28" s="96"/>
      <c r="I28" s="96"/>
      <c r="J28" s="96"/>
    </row>
    <row r="29" spans="3:10" ht="12.75">
      <c r="C29" s="96"/>
      <c r="D29" s="96"/>
      <c r="E29" s="96"/>
      <c r="F29" s="96"/>
      <c r="G29" s="98"/>
      <c r="H29" s="96"/>
      <c r="I29" s="96"/>
      <c r="J29" s="96"/>
    </row>
    <row r="30" spans="1:256" ht="12.75">
      <c r="A30" s="99" t="s">
        <v>42</v>
      </c>
      <c r="B30" s="99"/>
      <c r="C30" s="99"/>
      <c r="E30" s="99"/>
      <c r="F30" s="99"/>
      <c r="G30" s="100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3:256" ht="12.75">
      <c r="C31" s="101"/>
      <c r="D31" s="99"/>
      <c r="E31" s="102" t="s">
        <v>43</v>
      </c>
      <c r="F31" s="102"/>
      <c r="G31" s="103" t="s">
        <v>44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3:256" ht="12.75">
      <c r="C32" s="101">
        <v>9</v>
      </c>
      <c r="D32" s="99"/>
      <c r="E32" s="104" t="s">
        <v>45</v>
      </c>
      <c r="F32" s="104"/>
      <c r="G32" s="100">
        <f>ROUND(+G25/(93600/100000),5)</f>
        <v>2.13675</v>
      </c>
      <c r="H32" s="99"/>
      <c r="I32" s="99" t="s">
        <v>53</v>
      </c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3:256" ht="12.75">
      <c r="C33" s="101">
        <v>10</v>
      </c>
      <c r="D33" s="99"/>
      <c r="E33" s="104" t="s">
        <v>46</v>
      </c>
      <c r="F33" s="104"/>
      <c r="G33" s="100">
        <f>ROUND(+G26/(93600/100000),5)</f>
        <v>1.06838</v>
      </c>
      <c r="H33" s="99"/>
      <c r="I33" s="99" t="s">
        <v>54</v>
      </c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3:256" ht="12.75">
      <c r="C34" s="101"/>
      <c r="D34" s="99"/>
      <c r="E34" s="104"/>
      <c r="F34" s="104"/>
      <c r="G34" s="100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3:256" ht="12.75">
      <c r="C35" s="101">
        <v>11</v>
      </c>
      <c r="D35" s="99"/>
      <c r="E35" s="104" t="s">
        <v>47</v>
      </c>
      <c r="F35" s="104"/>
      <c r="G35" s="100">
        <f>G32</f>
        <v>2.13675</v>
      </c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3:256" ht="12.75">
      <c r="C36" s="101">
        <v>12</v>
      </c>
      <c r="D36" s="99"/>
      <c r="E36" s="104" t="s">
        <v>48</v>
      </c>
      <c r="F36" s="104"/>
      <c r="G36" s="100">
        <f>G33</f>
        <v>1.06838</v>
      </c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  <c r="IR36" s="99"/>
      <c r="IS36" s="99"/>
      <c r="IT36" s="99"/>
      <c r="IU36" s="99"/>
      <c r="IV36" s="99"/>
    </row>
    <row r="37" spans="3:256" ht="12.75">
      <c r="C37" s="101"/>
      <c r="D37" s="99"/>
      <c r="E37" s="99"/>
      <c r="F37" s="99"/>
      <c r="G37" s="100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  <c r="IR37" s="99"/>
      <c r="IS37" s="99"/>
      <c r="IT37" s="99"/>
      <c r="IU37" s="99"/>
      <c r="IV37" s="99"/>
    </row>
    <row r="38" spans="3:256" s="105" customFormat="1" ht="12.75">
      <c r="C38" s="106">
        <v>13</v>
      </c>
      <c r="D38" s="107"/>
      <c r="E38" s="108" t="s">
        <v>49</v>
      </c>
      <c r="F38" s="107"/>
      <c r="G38" s="109">
        <f>'Rate Design'!F30</f>
        <v>0.35901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  <c r="IU38" s="107"/>
      <c r="IV38" s="107"/>
    </row>
    <row r="39" spans="3:256" ht="12.75">
      <c r="C39" s="101"/>
      <c r="D39" s="99"/>
      <c r="E39" s="99"/>
      <c r="F39" s="99"/>
      <c r="G39" s="100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3:256" s="105" customFormat="1" ht="12.75">
      <c r="C40" s="106">
        <v>14</v>
      </c>
      <c r="D40" s="107"/>
      <c r="E40" s="108" t="s">
        <v>50</v>
      </c>
      <c r="F40" s="107"/>
      <c r="G40" s="109">
        <f>G35+G38</f>
        <v>2.49576</v>
      </c>
      <c r="H40" s="107"/>
      <c r="I40" s="107" t="s">
        <v>55</v>
      </c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  <c r="IU40" s="107"/>
      <c r="IV40" s="107"/>
    </row>
    <row r="41" spans="3:256" s="105" customFormat="1" ht="12.75">
      <c r="C41" s="106">
        <v>15</v>
      </c>
      <c r="D41" s="107"/>
      <c r="E41" s="108" t="s">
        <v>51</v>
      </c>
      <c r="F41" s="107"/>
      <c r="G41" s="109">
        <f>G36+G38</f>
        <v>1.4273900000000002</v>
      </c>
      <c r="H41" s="107"/>
      <c r="I41" s="107" t="s">
        <v>56</v>
      </c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7"/>
      <c r="IR41" s="107"/>
      <c r="IS41" s="107"/>
      <c r="IT41" s="107"/>
      <c r="IU41" s="107"/>
      <c r="IV41" s="107"/>
    </row>
    <row r="42" spans="3:256" ht="12.75">
      <c r="C42" s="101"/>
      <c r="D42" s="99"/>
      <c r="E42" s="99"/>
      <c r="F42" s="99"/>
      <c r="G42" s="100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3:256" ht="12.75">
      <c r="C43" s="99"/>
      <c r="D43" s="99"/>
      <c r="E43" s="99"/>
      <c r="F43" s="99"/>
      <c r="G43" s="100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  <c r="IR43" s="99"/>
      <c r="IS43" s="99"/>
      <c r="IT43" s="99"/>
      <c r="IU43" s="99"/>
      <c r="IV43" s="99"/>
    </row>
    <row r="44" ht="12.75">
      <c r="G44" s="88"/>
    </row>
    <row r="45" ht="12.75">
      <c r="G45" s="88"/>
    </row>
    <row r="46" ht="12.75">
      <c r="G46" s="88"/>
    </row>
    <row r="47" ht="12.75">
      <c r="G47" s="88"/>
    </row>
  </sheetData>
  <printOptions horizontalCentered="1"/>
  <pageMargins left="0.75" right="0.25" top="1.25" bottom="1" header="0.5" footer="0.5"/>
  <pageSetup horizontalDpi="600" verticalDpi="600" orientation="portrait" scale="70" r:id="rId3"/>
  <headerFooter alignWithMargins="0">
    <oddHeader>&amp;R&amp;12Docket No. __________
Exhibit No. _____(RJA-9)
Page &amp;P of &amp;N</oddHeader>
    <oddFooter>&amp;L&amp;F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U48"/>
  <sheetViews>
    <sheetView tabSelected="1" workbookViewId="0" topLeftCell="A13">
      <selection activeCell="D2" sqref="D2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9.57421875" style="0" customWidth="1"/>
    <col min="4" max="4" width="45.00390625" style="0" bestFit="1" customWidth="1"/>
    <col min="5" max="5" width="15.28125" style="0" customWidth="1"/>
    <col min="6" max="6" width="14.7109375" style="0" customWidth="1"/>
    <col min="7" max="7" width="2.7109375" style="0" customWidth="1"/>
    <col min="8" max="10" width="9.140625" style="11" customWidth="1"/>
  </cols>
  <sheetData>
    <row r="1" spans="3:5" ht="18">
      <c r="C1" s="21" t="s">
        <v>88</v>
      </c>
      <c r="D1" s="148"/>
      <c r="E1" s="2"/>
    </row>
    <row r="2" spans="3:5" ht="12.75">
      <c r="C2" s="26" t="s">
        <v>130</v>
      </c>
      <c r="D2" s="5"/>
      <c r="E2" s="3"/>
    </row>
    <row r="3" spans="3:5" ht="12.75">
      <c r="C3" s="26" t="s">
        <v>109</v>
      </c>
      <c r="D3" s="5"/>
      <c r="E3" s="3"/>
    </row>
    <row r="4" spans="3:5" ht="12.75">
      <c r="C4" s="11"/>
      <c r="D4" s="149"/>
      <c r="E4" s="11"/>
    </row>
    <row r="5" spans="2:7" ht="12.75">
      <c r="B5" s="150"/>
      <c r="C5" s="6"/>
      <c r="D5" s="151"/>
      <c r="E5" s="6"/>
      <c r="F5" s="6"/>
      <c r="G5" s="7"/>
    </row>
    <row r="6" spans="2:7" ht="12.75">
      <c r="B6" s="16"/>
      <c r="C6" s="116" t="s">
        <v>0</v>
      </c>
      <c r="D6" s="116" t="s">
        <v>131</v>
      </c>
      <c r="E6" s="116" t="s">
        <v>132</v>
      </c>
      <c r="F6" s="116" t="s">
        <v>133</v>
      </c>
      <c r="G6" s="8"/>
    </row>
    <row r="7" spans="2:255" s="19" customFormat="1" ht="12.75">
      <c r="B7" s="43"/>
      <c r="C7" s="30"/>
      <c r="D7" s="30"/>
      <c r="E7" s="162"/>
      <c r="F7" s="162"/>
      <c r="G7" s="163"/>
      <c r="H7" s="67"/>
      <c r="I7" s="67"/>
      <c r="J7" s="67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</row>
    <row r="8" spans="2:255" s="19" customFormat="1" ht="12.75">
      <c r="B8" s="43"/>
      <c r="C8" s="30"/>
      <c r="D8" s="75" t="s">
        <v>113</v>
      </c>
      <c r="E8" s="164" t="s">
        <v>114</v>
      </c>
      <c r="F8" s="164" t="s">
        <v>115</v>
      </c>
      <c r="G8" s="163"/>
      <c r="H8" s="67"/>
      <c r="I8" s="67"/>
      <c r="J8" s="67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</row>
    <row r="9" spans="2:255" s="19" customFormat="1" ht="12.75">
      <c r="B9" s="43"/>
      <c r="C9" s="30"/>
      <c r="D9" s="30"/>
      <c r="E9" s="162"/>
      <c r="F9" s="162"/>
      <c r="G9" s="163"/>
      <c r="H9" s="67"/>
      <c r="I9" s="67"/>
      <c r="J9" s="67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</row>
    <row r="10" spans="2:9" ht="12.75">
      <c r="B10" s="16"/>
      <c r="C10" s="154" t="s">
        <v>89</v>
      </c>
      <c r="D10" s="155" t="s">
        <v>15</v>
      </c>
      <c r="E10" s="156">
        <f>10-2</f>
        <v>8</v>
      </c>
      <c r="F10" s="157">
        <f>305-17.6</f>
        <v>287.4</v>
      </c>
      <c r="G10" s="8"/>
      <c r="H10" s="12"/>
      <c r="I10" s="13"/>
    </row>
    <row r="11" spans="2:10" ht="12.75">
      <c r="B11" s="16"/>
      <c r="C11" s="154"/>
      <c r="D11" s="155"/>
      <c r="E11" s="158"/>
      <c r="F11" s="158"/>
      <c r="G11" s="8"/>
      <c r="H11" s="12"/>
      <c r="I11" s="13"/>
      <c r="J11" s="14"/>
    </row>
    <row r="12" spans="2:9" ht="12.75">
      <c r="B12" s="16"/>
      <c r="C12" s="154" t="s">
        <v>90</v>
      </c>
      <c r="D12" s="155" t="s">
        <v>16</v>
      </c>
      <c r="E12" s="156">
        <f>10-2</f>
        <v>8</v>
      </c>
      <c r="F12" s="157">
        <f>330.1-15.1</f>
        <v>315</v>
      </c>
      <c r="G12" s="8"/>
      <c r="H12" s="12"/>
      <c r="I12" s="13"/>
    </row>
    <row r="13" spans="2:10" ht="12.75">
      <c r="B13" s="16"/>
      <c r="C13" s="154"/>
      <c r="D13" s="155"/>
      <c r="E13" s="158"/>
      <c r="F13" s="158"/>
      <c r="G13" s="8"/>
      <c r="H13" s="12"/>
      <c r="I13" s="13"/>
      <c r="J13" s="14"/>
    </row>
    <row r="14" spans="2:9" ht="12.75">
      <c r="B14" s="16"/>
      <c r="C14" s="154" t="s">
        <v>91</v>
      </c>
      <c r="D14" s="155" t="s">
        <v>17</v>
      </c>
      <c r="E14" s="156">
        <f>10-2</f>
        <v>8</v>
      </c>
      <c r="F14" s="157">
        <f>224.6+22.5</f>
        <v>247.1</v>
      </c>
      <c r="G14" s="8"/>
      <c r="H14" s="12"/>
      <c r="I14" s="13"/>
    </row>
    <row r="15" spans="2:10" ht="12.75">
      <c r="B15" s="16"/>
      <c r="C15" s="154"/>
      <c r="D15" s="155"/>
      <c r="E15" s="158"/>
      <c r="F15" s="158"/>
      <c r="G15" s="8"/>
      <c r="H15" s="12"/>
      <c r="I15" s="13"/>
      <c r="J15" s="14"/>
    </row>
    <row r="16" spans="2:9" ht="12.75">
      <c r="B16" s="16"/>
      <c r="C16" s="154" t="s">
        <v>92</v>
      </c>
      <c r="D16" s="155" t="s">
        <v>18</v>
      </c>
      <c r="E16" s="156">
        <f>10-2</f>
        <v>8</v>
      </c>
      <c r="F16" s="157">
        <f>521.9-10.1</f>
        <v>511.79999999999995</v>
      </c>
      <c r="G16" s="8"/>
      <c r="H16" s="12"/>
      <c r="I16" s="13"/>
    </row>
    <row r="17" spans="2:10" ht="12.75">
      <c r="B17" s="16"/>
      <c r="C17" s="154"/>
      <c r="D17" s="155"/>
      <c r="E17" s="158"/>
      <c r="F17" s="158"/>
      <c r="G17" s="8"/>
      <c r="H17" s="12"/>
      <c r="I17" s="13"/>
      <c r="J17" s="14"/>
    </row>
    <row r="18" spans="2:9" ht="12.75">
      <c r="B18" s="16"/>
      <c r="C18" s="154" t="s">
        <v>93</v>
      </c>
      <c r="D18" s="155" t="s">
        <v>19</v>
      </c>
      <c r="E18" s="156">
        <f>10-2</f>
        <v>8</v>
      </c>
      <c r="F18" s="157">
        <f>993.4-37.8</f>
        <v>955.6</v>
      </c>
      <c r="G18" s="8"/>
      <c r="H18" s="12"/>
      <c r="I18" s="13"/>
    </row>
    <row r="19" spans="2:10" ht="12.75">
      <c r="B19" s="16"/>
      <c r="C19" s="154"/>
      <c r="D19" s="155"/>
      <c r="E19" s="158"/>
      <c r="F19" s="158"/>
      <c r="G19" s="8"/>
      <c r="H19" s="12"/>
      <c r="I19" s="13"/>
      <c r="J19" s="14"/>
    </row>
    <row r="20" spans="2:9" ht="12.75">
      <c r="B20" s="16"/>
      <c r="C20" s="154" t="s">
        <v>94</v>
      </c>
      <c r="D20" s="155" t="s">
        <v>20</v>
      </c>
      <c r="E20" s="156">
        <f>10-2</f>
        <v>8</v>
      </c>
      <c r="F20" s="157">
        <f>1515.1-113.45</f>
        <v>1401.6499999999999</v>
      </c>
      <c r="G20" s="8"/>
      <c r="H20" s="12"/>
      <c r="I20" s="13"/>
    </row>
    <row r="21" spans="2:10" ht="12.75">
      <c r="B21" s="16"/>
      <c r="C21" s="154"/>
      <c r="D21" s="155"/>
      <c r="E21" s="158"/>
      <c r="F21" s="158"/>
      <c r="G21" s="8"/>
      <c r="H21" s="12"/>
      <c r="I21" s="13"/>
      <c r="J21" s="14"/>
    </row>
    <row r="22" spans="2:7" ht="12.75">
      <c r="B22" s="16"/>
      <c r="C22" s="154" t="s">
        <v>95</v>
      </c>
      <c r="D22" s="155" t="s">
        <v>21</v>
      </c>
      <c r="E22" s="156">
        <f>12-2</f>
        <v>10</v>
      </c>
      <c r="F22" s="157">
        <f>1953.7-118.49</f>
        <v>1835.21</v>
      </c>
      <c r="G22" s="8"/>
    </row>
    <row r="23" spans="2:7" ht="12.75">
      <c r="B23" s="16"/>
      <c r="C23" s="154"/>
      <c r="D23" s="155"/>
      <c r="E23" s="158"/>
      <c r="F23" s="158"/>
      <c r="G23" s="8"/>
    </row>
    <row r="24" spans="2:7" ht="12.75">
      <c r="B24" s="16"/>
      <c r="C24" s="154" t="s">
        <v>96</v>
      </c>
      <c r="D24" s="155" t="s">
        <v>22</v>
      </c>
      <c r="E24" s="156">
        <f>12-2</f>
        <v>10</v>
      </c>
      <c r="F24" s="157">
        <f>2057.1-95.8</f>
        <v>1961.3</v>
      </c>
      <c r="G24" s="8"/>
    </row>
    <row r="25" spans="2:9" ht="12.75">
      <c r="B25" s="16"/>
      <c r="C25" s="154"/>
      <c r="D25" s="155"/>
      <c r="E25" s="158"/>
      <c r="F25" s="158"/>
      <c r="G25" s="8"/>
      <c r="H25" s="12"/>
      <c r="I25" s="13"/>
    </row>
    <row r="26" spans="2:10" ht="12.75">
      <c r="B26" s="16"/>
      <c r="C26" s="154" t="s">
        <v>97</v>
      </c>
      <c r="D26" s="155" t="s">
        <v>23</v>
      </c>
      <c r="E26" s="156">
        <f>12-2</f>
        <v>10</v>
      </c>
      <c r="F26" s="157">
        <f>1517.6-294.96</f>
        <v>1222.6399999999999</v>
      </c>
      <c r="G26" s="8"/>
      <c r="H26" s="12"/>
      <c r="I26" s="13"/>
      <c r="J26" s="14"/>
    </row>
    <row r="27" spans="2:9" ht="12.75">
      <c r="B27" s="16"/>
      <c r="C27" s="154"/>
      <c r="D27" s="155"/>
      <c r="E27" s="158"/>
      <c r="F27" s="158"/>
      <c r="G27" s="8"/>
      <c r="H27" s="12"/>
      <c r="I27" s="13"/>
    </row>
    <row r="28" spans="2:10" ht="12.75">
      <c r="B28" s="16"/>
      <c r="C28" s="154" t="s">
        <v>98</v>
      </c>
      <c r="D28" s="155" t="s">
        <v>24</v>
      </c>
      <c r="E28" s="156">
        <f>12-2</f>
        <v>10</v>
      </c>
      <c r="F28" s="157">
        <f>1346.2-98.32</f>
        <v>1247.88</v>
      </c>
      <c r="G28" s="8"/>
      <c r="H28" s="12"/>
      <c r="I28" s="13"/>
      <c r="J28" s="14"/>
    </row>
    <row r="29" spans="2:9" ht="12.75">
      <c r="B29" s="16"/>
      <c r="C29" s="154"/>
      <c r="D29" s="155"/>
      <c r="E29" s="158"/>
      <c r="F29" s="158"/>
      <c r="G29" s="8"/>
      <c r="H29" s="12"/>
      <c r="I29" s="13"/>
    </row>
    <row r="30" spans="2:10" ht="12.75">
      <c r="B30" s="16"/>
      <c r="C30" s="154" t="s">
        <v>99</v>
      </c>
      <c r="D30" s="155" t="s">
        <v>25</v>
      </c>
      <c r="E30" s="156">
        <f>12-2</f>
        <v>10</v>
      </c>
      <c r="F30" s="157">
        <f>589.9+287.4</f>
        <v>877.3</v>
      </c>
      <c r="G30" s="8"/>
      <c r="H30" s="12"/>
      <c r="I30" s="13"/>
      <c r="J30" s="14"/>
    </row>
    <row r="31" spans="2:9" ht="12.75">
      <c r="B31" s="16"/>
      <c r="C31" s="154"/>
      <c r="D31" s="155"/>
      <c r="E31" s="158"/>
      <c r="F31" s="158"/>
      <c r="G31" s="8"/>
      <c r="H31" s="12"/>
      <c r="I31" s="13"/>
    </row>
    <row r="32" spans="2:10" ht="12.75">
      <c r="B32" s="16"/>
      <c r="C32" s="154" t="s">
        <v>100</v>
      </c>
      <c r="D32" s="155" t="s">
        <v>26</v>
      </c>
      <c r="E32" s="156">
        <f>12-2</f>
        <v>10</v>
      </c>
      <c r="F32" s="157">
        <f>489.1+0</f>
        <v>489.1</v>
      </c>
      <c r="G32" s="8"/>
      <c r="H32" s="12"/>
      <c r="I32" s="13"/>
      <c r="J32" s="14"/>
    </row>
    <row r="33" spans="2:9" ht="12.75">
      <c r="B33" s="16"/>
      <c r="C33" s="154"/>
      <c r="D33" s="159"/>
      <c r="E33" s="158"/>
      <c r="F33" s="158"/>
      <c r="G33" s="8"/>
      <c r="H33" s="12"/>
      <c r="I33" s="13"/>
    </row>
    <row r="34" spans="2:10" ht="12.75">
      <c r="B34" s="16"/>
      <c r="C34" s="154" t="s">
        <v>101</v>
      </c>
      <c r="D34" s="158" t="s">
        <v>61</v>
      </c>
      <c r="E34" s="160">
        <f>SUM(E32,E30,E28,E26,E24,E22,E20,E18,E16,E14,E12,E10)</f>
        <v>108</v>
      </c>
      <c r="F34" s="158"/>
      <c r="G34" s="8"/>
      <c r="H34" s="12"/>
      <c r="I34" s="13"/>
      <c r="J34" s="14"/>
    </row>
    <row r="35" spans="2:10" ht="12.75">
      <c r="B35" s="16"/>
      <c r="C35" s="154"/>
      <c r="D35" s="158"/>
      <c r="E35" s="160"/>
      <c r="F35" s="158"/>
      <c r="G35" s="8"/>
      <c r="H35" s="12"/>
      <c r="I35" s="13"/>
      <c r="J35" s="14"/>
    </row>
    <row r="36" spans="2:9" ht="12.75">
      <c r="B36" s="16"/>
      <c r="C36" s="154" t="s">
        <v>102</v>
      </c>
      <c r="D36" s="158" t="s">
        <v>62</v>
      </c>
      <c r="E36" s="158"/>
      <c r="F36" s="161">
        <f>SUM(F32,F30,F28,F26,F24,F22,F20,F18,F16,F14,F12,F10)</f>
        <v>11351.98</v>
      </c>
      <c r="G36" s="8"/>
      <c r="H36" s="12"/>
      <c r="I36" s="13"/>
    </row>
    <row r="37" spans="2:9" ht="12.75">
      <c r="B37" s="16"/>
      <c r="C37" s="154"/>
      <c r="D37" s="158"/>
      <c r="E37" s="158"/>
      <c r="F37" s="161"/>
      <c r="G37" s="8"/>
      <c r="H37" s="12"/>
      <c r="I37" s="13"/>
    </row>
    <row r="38" spans="2:10" ht="12.75">
      <c r="B38" s="16"/>
      <c r="C38" s="154" t="s">
        <v>103</v>
      </c>
      <c r="D38" s="158" t="s">
        <v>59</v>
      </c>
      <c r="E38" s="161">
        <f>E34/12</f>
        <v>9</v>
      </c>
      <c r="F38" s="158"/>
      <c r="G38" s="8"/>
      <c r="H38" s="12"/>
      <c r="I38" s="15"/>
      <c r="J38" s="14"/>
    </row>
    <row r="39" spans="2:10" ht="12.75">
      <c r="B39" s="16"/>
      <c r="C39" s="154"/>
      <c r="D39" s="158"/>
      <c r="E39" s="161"/>
      <c r="F39" s="158"/>
      <c r="G39" s="8"/>
      <c r="H39" s="12"/>
      <c r="I39" s="15"/>
      <c r="J39" s="14"/>
    </row>
    <row r="40" spans="2:7" ht="12.75">
      <c r="B40" s="16"/>
      <c r="C40" s="154" t="s">
        <v>104</v>
      </c>
      <c r="D40" s="158" t="s">
        <v>60</v>
      </c>
      <c r="E40" s="158"/>
      <c r="F40" s="161">
        <f>F36/E38</f>
        <v>1261.331111111111</v>
      </c>
      <c r="G40" s="8"/>
    </row>
    <row r="41" spans="2:7" ht="12.75">
      <c r="B41" s="152"/>
      <c r="C41" s="9"/>
      <c r="D41" s="153"/>
      <c r="E41" s="9"/>
      <c r="F41" s="9"/>
      <c r="G41" s="10"/>
    </row>
    <row r="42" ht="12.75">
      <c r="D42" s="4"/>
    </row>
    <row r="43" ht="12.75">
      <c r="D43" s="4"/>
    </row>
    <row r="44" ht="12.75">
      <c r="D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</sheetData>
  <printOptions horizontalCentered="1"/>
  <pageMargins left="0.75" right="0.25" top="1.25" bottom="1" header="0.5" footer="0.5"/>
  <pageSetup fitToHeight="1" fitToWidth="1" horizontalDpi="600" verticalDpi="600" orientation="portrait" scale="95" r:id="rId1"/>
  <headerFooter alignWithMargins="0">
    <oddHeader>&amp;R&amp;12Docket No. __________
Exhibit No. _____(RJA-9)
Page &amp;P of &amp;N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3"/>
  <sheetViews>
    <sheetView tabSelected="1" workbookViewId="0" topLeftCell="C30">
      <selection activeCell="D2" sqref="D2"/>
    </sheetView>
  </sheetViews>
  <sheetFormatPr defaultColWidth="9.140625" defaultRowHeight="12.75"/>
  <cols>
    <col min="1" max="1" width="3.140625" style="0" customWidth="1"/>
    <col min="2" max="2" width="2.8515625" style="0" customWidth="1"/>
    <col min="3" max="3" width="8.28125" style="1" customWidth="1"/>
    <col min="4" max="4" width="38.421875" style="1" bestFit="1" customWidth="1"/>
    <col min="5" max="5" width="14.8515625" style="22" customWidth="1"/>
    <col min="6" max="6" width="4.140625" style="0" customWidth="1"/>
    <col min="7" max="7" width="14.57421875" style="0" customWidth="1"/>
    <col min="8" max="10" width="0" style="0" hidden="1" customWidth="1"/>
    <col min="11" max="11" width="7.57421875" style="0" hidden="1" customWidth="1"/>
    <col min="12" max="12" width="3.28125" style="0" customWidth="1"/>
    <col min="13" max="13" width="19.140625" style="0" bestFit="1" customWidth="1"/>
    <col min="14" max="14" width="3.28125" style="0" customWidth="1"/>
  </cols>
  <sheetData>
    <row r="1" spans="3:13" s="20" customFormat="1" ht="15.75">
      <c r="C1" s="21" t="s">
        <v>88</v>
      </c>
      <c r="D1" s="24"/>
      <c r="E1" s="25"/>
      <c r="F1" s="21"/>
      <c r="G1" s="21"/>
      <c r="H1" s="21"/>
      <c r="I1" s="24"/>
      <c r="J1" s="24"/>
      <c r="K1" s="24"/>
      <c r="L1" s="24"/>
      <c r="M1" s="24"/>
    </row>
    <row r="2" spans="3:13" s="19" customFormat="1" ht="12.75">
      <c r="C2" s="26" t="s">
        <v>118</v>
      </c>
      <c r="D2" s="26"/>
      <c r="E2" s="27"/>
      <c r="F2" s="26"/>
      <c r="G2" s="26"/>
      <c r="H2" s="26"/>
      <c r="I2" s="26"/>
      <c r="J2" s="26"/>
      <c r="K2" s="26"/>
      <c r="L2" s="26"/>
      <c r="M2" s="26"/>
    </row>
    <row r="3" spans="3:13" s="19" customFormat="1" ht="12.75">
      <c r="C3" s="26" t="s">
        <v>109</v>
      </c>
      <c r="D3" s="34"/>
      <c r="E3" s="35"/>
      <c r="F3" s="34"/>
      <c r="G3" s="34"/>
      <c r="H3" s="34"/>
      <c r="I3" s="34"/>
      <c r="J3" s="34"/>
      <c r="K3" s="34"/>
      <c r="L3" s="26"/>
      <c r="M3" s="34"/>
    </row>
    <row r="4" spans="3:5" s="19" customFormat="1" ht="12.75">
      <c r="C4" s="17"/>
      <c r="D4" s="18"/>
      <c r="E4" s="23"/>
    </row>
    <row r="5" spans="2:14" s="19" customFormat="1" ht="12.75">
      <c r="B5" s="36"/>
      <c r="C5" s="37"/>
      <c r="D5" s="38"/>
      <c r="E5" s="39"/>
      <c r="F5" s="40"/>
      <c r="G5" s="40"/>
      <c r="H5" s="40"/>
      <c r="I5" s="40"/>
      <c r="J5" s="40"/>
      <c r="K5" s="40"/>
      <c r="L5" s="40"/>
      <c r="M5" s="40"/>
      <c r="N5" s="41"/>
    </row>
    <row r="6" spans="2:14" s="118" customFormat="1" ht="25.5">
      <c r="B6" s="143"/>
      <c r="C6" s="116" t="s">
        <v>0</v>
      </c>
      <c r="D6" s="116" t="s">
        <v>1</v>
      </c>
      <c r="E6" s="78" t="s">
        <v>117</v>
      </c>
      <c r="F6" s="116"/>
      <c r="G6" s="116" t="s">
        <v>63</v>
      </c>
      <c r="H6" s="116"/>
      <c r="I6" s="116"/>
      <c r="J6" s="116"/>
      <c r="K6" s="116"/>
      <c r="L6" s="116"/>
      <c r="M6" s="116" t="s">
        <v>64</v>
      </c>
      <c r="N6" s="117"/>
    </row>
    <row r="7" spans="2:14" s="19" customFormat="1" ht="12.75">
      <c r="B7" s="43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42"/>
    </row>
    <row r="8" spans="2:14" s="19" customFormat="1" ht="12.75">
      <c r="B8" s="43"/>
      <c r="C8" s="28"/>
      <c r="D8" s="75" t="s">
        <v>113</v>
      </c>
      <c r="E8" s="76" t="s">
        <v>114</v>
      </c>
      <c r="F8" s="75"/>
      <c r="G8" s="75" t="s">
        <v>115</v>
      </c>
      <c r="H8" s="75"/>
      <c r="I8" s="75"/>
      <c r="J8" s="75"/>
      <c r="K8" s="75"/>
      <c r="L8" s="75"/>
      <c r="M8" s="75" t="s">
        <v>116</v>
      </c>
      <c r="N8" s="42"/>
    </row>
    <row r="9" spans="2:14" s="19" customFormat="1" ht="12.75">
      <c r="B9" s="43"/>
      <c r="C9" s="28"/>
      <c r="D9" s="28"/>
      <c r="E9" s="29"/>
      <c r="F9" s="30"/>
      <c r="G9" s="30"/>
      <c r="H9" s="30"/>
      <c r="I9" s="30"/>
      <c r="J9" s="30"/>
      <c r="K9" s="30"/>
      <c r="L9" s="30"/>
      <c r="M9" s="30"/>
      <c r="N9" s="42"/>
    </row>
    <row r="10" spans="2:14" s="19" customFormat="1" ht="12.75">
      <c r="B10" s="43"/>
      <c r="C10" s="28"/>
      <c r="D10" s="31" t="s">
        <v>65</v>
      </c>
      <c r="E10" s="29"/>
      <c r="F10" s="30"/>
      <c r="G10" s="30"/>
      <c r="H10" s="30"/>
      <c r="I10" s="30"/>
      <c r="J10" s="30"/>
      <c r="K10" s="45"/>
      <c r="L10" s="30"/>
      <c r="M10" s="45"/>
      <c r="N10" s="42"/>
    </row>
    <row r="11" spans="2:14" s="19" customFormat="1" ht="12.75">
      <c r="B11" s="43"/>
      <c r="C11" s="46" t="s">
        <v>89</v>
      </c>
      <c r="D11" s="64" t="s">
        <v>66</v>
      </c>
      <c r="E11" s="57">
        <v>948589149.8495272</v>
      </c>
      <c r="F11" s="30"/>
      <c r="G11" s="58">
        <v>-194867815.88947958</v>
      </c>
      <c r="H11" s="29"/>
      <c r="I11" s="29"/>
      <c r="J11" s="29"/>
      <c r="K11" s="29"/>
      <c r="L11" s="29"/>
      <c r="M11" s="29">
        <f>E11+SUM(G11:K11)</f>
        <v>753721333.9600477</v>
      </c>
      <c r="N11" s="42"/>
    </row>
    <row r="12" spans="2:14" s="19" customFormat="1" ht="12.75">
      <c r="B12" s="43"/>
      <c r="C12" s="46" t="s">
        <v>90</v>
      </c>
      <c r="D12" s="65" t="s">
        <v>67</v>
      </c>
      <c r="E12" s="58">
        <v>264893735.73124075</v>
      </c>
      <c r="F12" s="55"/>
      <c r="G12" s="29">
        <f>G11/E11*E12</f>
        <v>-54416881.88499746</v>
      </c>
      <c r="H12" s="29"/>
      <c r="I12" s="29"/>
      <c r="J12" s="29"/>
      <c r="K12" s="29"/>
      <c r="L12" s="54"/>
      <c r="M12" s="29">
        <f>E12+SUM(G12:K12)</f>
        <v>210476853.8462433</v>
      </c>
      <c r="N12" s="42"/>
    </row>
    <row r="13" spans="2:14" s="19" customFormat="1" ht="12.75">
      <c r="B13" s="43"/>
      <c r="C13" s="46" t="s">
        <v>91</v>
      </c>
      <c r="D13" s="64" t="s">
        <v>86</v>
      </c>
      <c r="E13" s="39">
        <f>E11-E12</f>
        <v>683695414.1182865</v>
      </c>
      <c r="F13" s="30"/>
      <c r="G13" s="39">
        <f>G11-G12</f>
        <v>-140450934.00448212</v>
      </c>
      <c r="H13" s="39">
        <f>H11-H12</f>
        <v>0</v>
      </c>
      <c r="I13" s="39">
        <f>I11-I12</f>
        <v>0</v>
      </c>
      <c r="J13" s="39">
        <f>J11-J12</f>
        <v>0</v>
      </c>
      <c r="K13" s="39">
        <f>K11-K12</f>
        <v>0</v>
      </c>
      <c r="L13" s="29"/>
      <c r="M13" s="39">
        <f>M11-M12</f>
        <v>543244480.1138045</v>
      </c>
      <c r="N13" s="42"/>
    </row>
    <row r="14" spans="2:14" s="19" customFormat="1" ht="12.75">
      <c r="B14" s="43"/>
      <c r="C14" s="46"/>
      <c r="D14" s="47"/>
      <c r="E14" s="49"/>
      <c r="F14" s="30"/>
      <c r="G14" s="49"/>
      <c r="H14" s="49"/>
      <c r="I14" s="49"/>
      <c r="J14" s="49"/>
      <c r="K14" s="49"/>
      <c r="L14" s="29"/>
      <c r="M14" s="29"/>
      <c r="N14" s="42"/>
    </row>
    <row r="15" spans="2:14" s="19" customFormat="1" ht="12.75">
      <c r="B15" s="43"/>
      <c r="C15" s="46" t="s">
        <v>92</v>
      </c>
      <c r="D15" s="47" t="s">
        <v>68</v>
      </c>
      <c r="E15" s="59">
        <v>-71417922.2392706</v>
      </c>
      <c r="F15" s="30"/>
      <c r="G15" s="29"/>
      <c r="H15" s="29"/>
      <c r="I15" s="29"/>
      <c r="J15" s="29"/>
      <c r="K15" s="29"/>
      <c r="L15" s="29"/>
      <c r="M15" s="29">
        <f>E15+SUM(G15:K15)</f>
        <v>-71417922.2392706</v>
      </c>
      <c r="N15" s="42"/>
    </row>
    <row r="16" spans="2:14" s="19" customFormat="1" ht="12.75">
      <c r="B16" s="43"/>
      <c r="C16" s="46"/>
      <c r="D16" s="63"/>
      <c r="E16" s="49"/>
      <c r="F16" s="55"/>
      <c r="G16" s="29"/>
      <c r="H16" s="29"/>
      <c r="I16" s="29"/>
      <c r="J16" s="29"/>
      <c r="K16" s="29"/>
      <c r="L16" s="54"/>
      <c r="M16" s="29"/>
      <c r="N16" s="42"/>
    </row>
    <row r="17" spans="2:14" s="19" customFormat="1" ht="12.75">
      <c r="B17" s="43"/>
      <c r="C17" s="46" t="s">
        <v>93</v>
      </c>
      <c r="D17" s="48" t="s">
        <v>69</v>
      </c>
      <c r="E17" s="66">
        <f>E13+E15</f>
        <v>612277491.8790159</v>
      </c>
      <c r="F17" s="67"/>
      <c r="G17" s="66">
        <f>G13+G15</f>
        <v>-140450934.00448212</v>
      </c>
      <c r="H17" s="66">
        <f>H13+H15</f>
        <v>0</v>
      </c>
      <c r="I17" s="66">
        <f>I13+I15</f>
        <v>0</v>
      </c>
      <c r="J17" s="66">
        <f>J13+J15</f>
        <v>0</v>
      </c>
      <c r="K17" s="66">
        <f>K13+K15</f>
        <v>0</v>
      </c>
      <c r="L17" s="70"/>
      <c r="M17" s="66">
        <f>M13+M15</f>
        <v>471826557.8745339</v>
      </c>
      <c r="N17" s="42"/>
    </row>
    <row r="18" spans="2:14" s="19" customFormat="1" ht="12.75">
      <c r="B18" s="43"/>
      <c r="C18" s="46"/>
      <c r="D18" s="47"/>
      <c r="E18" s="29"/>
      <c r="F18" s="30"/>
      <c r="G18" s="29"/>
      <c r="H18" s="29"/>
      <c r="I18" s="29"/>
      <c r="J18" s="29"/>
      <c r="K18" s="29"/>
      <c r="L18" s="29"/>
      <c r="M18" s="29"/>
      <c r="N18" s="42"/>
    </row>
    <row r="19" spans="2:14" s="19" customFormat="1" ht="12.75">
      <c r="B19" s="43"/>
      <c r="C19" s="46"/>
      <c r="D19" s="28"/>
      <c r="E19" s="29"/>
      <c r="F19" s="30"/>
      <c r="G19" s="29"/>
      <c r="H19" s="29"/>
      <c r="I19" s="29"/>
      <c r="J19" s="29"/>
      <c r="K19" s="29"/>
      <c r="L19" s="29"/>
      <c r="M19" s="29"/>
      <c r="N19" s="42"/>
    </row>
    <row r="20" spans="2:14" s="19" customFormat="1" ht="12.75">
      <c r="B20" s="43"/>
      <c r="C20" s="46"/>
      <c r="D20" s="31" t="s">
        <v>70</v>
      </c>
      <c r="E20" s="29"/>
      <c r="F20" s="30"/>
      <c r="G20" s="29"/>
      <c r="H20" s="29"/>
      <c r="I20" s="29"/>
      <c r="J20" s="29"/>
      <c r="K20" s="29"/>
      <c r="L20" s="29"/>
      <c r="M20" s="29"/>
      <c r="N20" s="42"/>
    </row>
    <row r="21" spans="2:14" s="19" customFormat="1" ht="12.75">
      <c r="B21" s="43"/>
      <c r="C21" s="46" t="s">
        <v>94</v>
      </c>
      <c r="D21" s="68" t="s">
        <v>71</v>
      </c>
      <c r="E21" s="59">
        <v>10519757.838961333</v>
      </c>
      <c r="F21" s="30"/>
      <c r="G21" s="50">
        <f>-E21</f>
        <v>-10519757.838961333</v>
      </c>
      <c r="H21" s="29"/>
      <c r="I21" s="29"/>
      <c r="J21" s="29"/>
      <c r="K21" s="29"/>
      <c r="L21" s="29"/>
      <c r="M21" s="29">
        <f>E21+SUM(G21:K21)</f>
        <v>0</v>
      </c>
      <c r="N21" s="42"/>
    </row>
    <row r="22" spans="2:14" s="19" customFormat="1" ht="12.75">
      <c r="B22" s="43"/>
      <c r="C22" s="46" t="s">
        <v>95</v>
      </c>
      <c r="D22" s="68" t="s">
        <v>112</v>
      </c>
      <c r="E22" s="59">
        <v>29696608.73916076</v>
      </c>
      <c r="F22" s="30"/>
      <c r="G22" s="29"/>
      <c r="H22" s="29"/>
      <c r="I22" s="29"/>
      <c r="J22" s="29"/>
      <c r="K22" s="29"/>
      <c r="L22" s="29"/>
      <c r="M22" s="29">
        <f>E22+SUM(G22:K22)</f>
        <v>29696608.73916076</v>
      </c>
      <c r="N22" s="42"/>
    </row>
    <row r="23" spans="2:14" s="19" customFormat="1" ht="12.75">
      <c r="B23" s="43"/>
      <c r="C23" s="46" t="s">
        <v>96</v>
      </c>
      <c r="D23" s="68" t="s">
        <v>72</v>
      </c>
      <c r="E23" s="59">
        <v>19416334.37979945</v>
      </c>
      <c r="F23" s="30"/>
      <c r="G23" s="29"/>
      <c r="H23" s="29"/>
      <c r="I23" s="29"/>
      <c r="J23" s="29"/>
      <c r="K23" s="29"/>
      <c r="L23" s="29"/>
      <c r="M23" s="29">
        <f>E23+SUM(G23:K23)</f>
        <v>19416334.37979945</v>
      </c>
      <c r="N23" s="42"/>
    </row>
    <row r="24" spans="2:14" s="19" customFormat="1" ht="12.75">
      <c r="B24" s="43"/>
      <c r="C24" s="46" t="s">
        <v>97</v>
      </c>
      <c r="D24" s="68" t="s">
        <v>87</v>
      </c>
      <c r="E24" s="59">
        <v>5507426.659217306</v>
      </c>
      <c r="F24" s="30"/>
      <c r="G24" s="29"/>
      <c r="H24" s="29"/>
      <c r="I24" s="29"/>
      <c r="J24" s="29"/>
      <c r="K24" s="29"/>
      <c r="L24" s="29"/>
      <c r="M24" s="29">
        <f>E24+SUM(G24:K24)</f>
        <v>5507426.659217306</v>
      </c>
      <c r="N24" s="42"/>
    </row>
    <row r="25" spans="2:14" s="19" customFormat="1" ht="12.75">
      <c r="B25" s="43"/>
      <c r="C25" s="46" t="s">
        <v>98</v>
      </c>
      <c r="D25" s="68" t="s">
        <v>73</v>
      </c>
      <c r="E25" s="59">
        <v>27681434.279008143</v>
      </c>
      <c r="F25" s="30"/>
      <c r="G25" s="165">
        <f>E25*G11/E11</f>
        <v>-5686572.147166307</v>
      </c>
      <c r="H25" s="29"/>
      <c r="I25" s="29"/>
      <c r="J25" s="29"/>
      <c r="K25" s="29"/>
      <c r="L25" s="29"/>
      <c r="M25" s="29">
        <f>E25+SUM(G25:K25)</f>
        <v>21994862.131841835</v>
      </c>
      <c r="N25" s="42"/>
    </row>
    <row r="26" spans="2:14" s="19" customFormat="1" ht="12.75">
      <c r="B26" s="43"/>
      <c r="C26" s="46" t="s">
        <v>99</v>
      </c>
      <c r="D26" s="69" t="s">
        <v>74</v>
      </c>
      <c r="E26" s="59">
        <v>15590943.85002054</v>
      </c>
      <c r="F26" s="55"/>
      <c r="G26" s="29"/>
      <c r="H26" s="29"/>
      <c r="I26" s="29"/>
      <c r="J26" s="29"/>
      <c r="K26" s="29"/>
      <c r="L26" s="54"/>
      <c r="M26" s="29">
        <f>E26+SUM(G26:K26)</f>
        <v>15590943.85002054</v>
      </c>
      <c r="N26" s="42"/>
    </row>
    <row r="27" spans="2:14" s="19" customFormat="1" ht="12.75">
      <c r="B27" s="43"/>
      <c r="C27" s="46" t="s">
        <v>100</v>
      </c>
      <c r="D27" s="31" t="s">
        <v>110</v>
      </c>
      <c r="E27" s="71">
        <f>SUM(E21:E26)</f>
        <v>108412505.74616754</v>
      </c>
      <c r="F27" s="67"/>
      <c r="G27" s="72">
        <f>SUM(G21:G26)</f>
        <v>-16206329.986127641</v>
      </c>
      <c r="H27" s="72">
        <f>SUM(H21:H26)</f>
        <v>0</v>
      </c>
      <c r="I27" s="72">
        <f>SUM(I21:I26)</f>
        <v>0</v>
      </c>
      <c r="J27" s="72">
        <f>SUM(J21:J26)</f>
        <v>0</v>
      </c>
      <c r="K27" s="72">
        <f>SUM(K21:K26)</f>
        <v>0</v>
      </c>
      <c r="L27" s="70"/>
      <c r="M27" s="72">
        <f>SUM(M21:M26)</f>
        <v>92206175.7600399</v>
      </c>
      <c r="N27" s="42"/>
    </row>
    <row r="28" spans="2:14" s="19" customFormat="1" ht="12.75">
      <c r="B28" s="43"/>
      <c r="C28" s="46"/>
      <c r="D28" s="28"/>
      <c r="E28" s="60"/>
      <c r="F28" s="30"/>
      <c r="G28" s="29"/>
      <c r="H28" s="29"/>
      <c r="I28" s="29"/>
      <c r="J28" s="29"/>
      <c r="K28" s="29"/>
      <c r="L28" s="29"/>
      <c r="M28" s="29"/>
      <c r="N28" s="42"/>
    </row>
    <row r="29" spans="2:14" s="19" customFormat="1" ht="12.75">
      <c r="B29" s="43"/>
      <c r="C29" s="46"/>
      <c r="D29" s="28"/>
      <c r="E29" s="58"/>
      <c r="F29" s="30"/>
      <c r="G29" s="29"/>
      <c r="H29" s="29"/>
      <c r="I29" s="29"/>
      <c r="J29" s="29"/>
      <c r="K29" s="29"/>
      <c r="L29" s="29"/>
      <c r="M29" s="29"/>
      <c r="N29" s="42"/>
    </row>
    <row r="30" spans="2:14" s="19" customFormat="1" ht="12.75">
      <c r="B30" s="43"/>
      <c r="C30" s="46"/>
      <c r="D30" s="31" t="s">
        <v>75</v>
      </c>
      <c r="E30" s="29"/>
      <c r="F30" s="30"/>
      <c r="G30" s="29"/>
      <c r="H30" s="29"/>
      <c r="I30" s="29"/>
      <c r="J30" s="29"/>
      <c r="K30" s="29"/>
      <c r="L30" s="29"/>
      <c r="M30" s="29"/>
      <c r="N30" s="42"/>
    </row>
    <row r="31" spans="2:14" s="19" customFormat="1" ht="12.75">
      <c r="B31" s="43"/>
      <c r="C31" s="46" t="s">
        <v>101</v>
      </c>
      <c r="D31" s="68" t="s">
        <v>76</v>
      </c>
      <c r="E31" s="50">
        <f>E17*$E$40*$E$41</f>
        <v>101166979.79877488</v>
      </c>
      <c r="F31" s="30"/>
      <c r="G31" s="50">
        <f>G17*$E$40*$E$41</f>
        <v>-23206792.65792472</v>
      </c>
      <c r="H31" s="50">
        <f>H17*$E$40*$E$41</f>
        <v>0</v>
      </c>
      <c r="I31" s="50">
        <f>I17*$E$40*$E$41</f>
        <v>0</v>
      </c>
      <c r="J31" s="50">
        <f>J17*$E$40*$E$41</f>
        <v>0</v>
      </c>
      <c r="K31" s="50">
        <f>K17*$E$40*$E$41</f>
        <v>0</v>
      </c>
      <c r="L31" s="29"/>
      <c r="M31" s="50">
        <f>M17*$E$40*$E$41</f>
        <v>77960187.14085019</v>
      </c>
      <c r="N31" s="42"/>
    </row>
    <row r="32" spans="2:14" s="19" customFormat="1" ht="12.75">
      <c r="B32" s="43"/>
      <c r="C32" s="46" t="s">
        <v>102</v>
      </c>
      <c r="D32" s="69" t="s">
        <v>77</v>
      </c>
      <c r="E32" s="50">
        <f>E27*$E$42</f>
        <v>113241198.75210184</v>
      </c>
      <c r="F32" s="55"/>
      <c r="G32" s="50">
        <f>G27*$E$42</f>
        <v>-16928159.923709765</v>
      </c>
      <c r="H32" s="50">
        <f>H27*$E$42</f>
        <v>0</v>
      </c>
      <c r="I32" s="50">
        <f>I27*$E$42</f>
        <v>0</v>
      </c>
      <c r="J32" s="50">
        <f>J27*$E$42</f>
        <v>0</v>
      </c>
      <c r="K32" s="50">
        <f>K27*$E$42</f>
        <v>0</v>
      </c>
      <c r="L32" s="54"/>
      <c r="M32" s="50">
        <f>M27*$E$42</f>
        <v>96313038.82839207</v>
      </c>
      <c r="N32" s="42"/>
    </row>
    <row r="33" spans="2:14" s="19" customFormat="1" ht="12.75">
      <c r="B33" s="43"/>
      <c r="C33" s="46" t="s">
        <v>103</v>
      </c>
      <c r="D33" s="31" t="s">
        <v>75</v>
      </c>
      <c r="E33" s="66">
        <f>E31+E32</f>
        <v>214408178.55087674</v>
      </c>
      <c r="F33" s="67"/>
      <c r="G33" s="66">
        <f>G31+G32</f>
        <v>-40134952.581634484</v>
      </c>
      <c r="H33" s="66">
        <f>H31+H32</f>
        <v>0</v>
      </c>
      <c r="I33" s="66">
        <f>I31+I32</f>
        <v>0</v>
      </c>
      <c r="J33" s="66">
        <f>J31+J32</f>
        <v>0</v>
      </c>
      <c r="K33" s="66">
        <f>K31+K32</f>
        <v>0</v>
      </c>
      <c r="L33" s="70"/>
      <c r="M33" s="66">
        <f>M31+M32</f>
        <v>174273225.96924227</v>
      </c>
      <c r="N33" s="42"/>
    </row>
    <row r="34" spans="2:14" s="19" customFormat="1" ht="12.75">
      <c r="B34" s="43"/>
      <c r="C34" s="46"/>
      <c r="D34" s="28"/>
      <c r="E34" s="29"/>
      <c r="F34" s="30"/>
      <c r="G34" s="29"/>
      <c r="H34" s="29"/>
      <c r="I34" s="29"/>
      <c r="J34" s="29"/>
      <c r="K34" s="29"/>
      <c r="L34" s="29"/>
      <c r="M34" s="29"/>
      <c r="N34" s="42"/>
    </row>
    <row r="35" spans="2:14" s="19" customFormat="1" ht="12.75">
      <c r="B35" s="43"/>
      <c r="C35" s="46"/>
      <c r="D35" s="28"/>
      <c r="E35" s="29"/>
      <c r="F35" s="30"/>
      <c r="G35" s="29"/>
      <c r="H35" s="29"/>
      <c r="I35" s="29"/>
      <c r="J35" s="29"/>
      <c r="K35" s="29"/>
      <c r="L35" s="29"/>
      <c r="M35" s="29"/>
      <c r="N35" s="42"/>
    </row>
    <row r="36" spans="2:14" s="19" customFormat="1" ht="12.75">
      <c r="B36" s="43"/>
      <c r="C36" s="46"/>
      <c r="D36" s="44" t="s">
        <v>78</v>
      </c>
      <c r="E36" s="29"/>
      <c r="F36" s="30"/>
      <c r="G36" s="29"/>
      <c r="H36" s="29"/>
      <c r="I36" s="29"/>
      <c r="J36" s="29"/>
      <c r="K36" s="29"/>
      <c r="L36" s="29"/>
      <c r="M36" s="29"/>
      <c r="N36" s="42"/>
    </row>
    <row r="37" spans="2:14" s="19" customFormat="1" ht="12.75">
      <c r="B37" s="43"/>
      <c r="C37" s="46" t="s">
        <v>104</v>
      </c>
      <c r="D37" s="28" t="s">
        <v>79</v>
      </c>
      <c r="E37" s="73">
        <v>471059343.632169</v>
      </c>
      <c r="F37" s="30"/>
      <c r="G37" s="29"/>
      <c r="H37" s="29"/>
      <c r="I37" s="29"/>
      <c r="J37" s="29"/>
      <c r="K37" s="29"/>
      <c r="L37" s="29"/>
      <c r="M37" s="74">
        <f>E37+SUM(G37:K38)</f>
        <v>471059343.632169</v>
      </c>
      <c r="N37" s="42"/>
    </row>
    <row r="38" spans="2:14" s="19" customFormat="1" ht="40.5" customHeight="1">
      <c r="B38" s="43"/>
      <c r="C38" s="79" t="s">
        <v>105</v>
      </c>
      <c r="D38" s="80" t="s">
        <v>80</v>
      </c>
      <c r="E38" s="81">
        <f>E33/E37</f>
        <v>0.45516171465287675</v>
      </c>
      <c r="F38" s="82"/>
      <c r="G38" s="83" t="s">
        <v>81</v>
      </c>
      <c r="H38" s="83"/>
      <c r="I38" s="83"/>
      <c r="J38" s="83"/>
      <c r="K38" s="83"/>
      <c r="L38" s="83"/>
      <c r="M38" s="147">
        <f>ROUND(+M33/M37,5)</f>
        <v>0.36996</v>
      </c>
      <c r="N38" s="42"/>
    </row>
    <row r="39" spans="2:14" s="19" customFormat="1" ht="12.75">
      <c r="B39" s="43"/>
      <c r="C39" s="46"/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42"/>
    </row>
    <row r="40" spans="2:14" s="19" customFormat="1" ht="12.75">
      <c r="B40" s="43"/>
      <c r="C40" s="46" t="s">
        <v>106</v>
      </c>
      <c r="D40" s="28" t="s">
        <v>82</v>
      </c>
      <c r="E40" s="61">
        <v>0.1074</v>
      </c>
      <c r="F40" s="30"/>
      <c r="G40" s="30"/>
      <c r="H40" s="30"/>
      <c r="I40" s="30"/>
      <c r="J40" s="30"/>
      <c r="K40" s="30"/>
      <c r="L40" s="30"/>
      <c r="M40" s="30"/>
      <c r="N40" s="42"/>
    </row>
    <row r="41" spans="2:14" s="19" customFormat="1" ht="12.75">
      <c r="B41" s="43"/>
      <c r="C41" s="46" t="s">
        <v>107</v>
      </c>
      <c r="D41" s="28" t="s">
        <v>83</v>
      </c>
      <c r="E41" s="62">
        <v>1.53846</v>
      </c>
      <c r="F41" s="30"/>
      <c r="G41" s="30"/>
      <c r="H41" s="30"/>
      <c r="I41" s="30"/>
      <c r="J41" s="30"/>
      <c r="K41" s="30"/>
      <c r="L41" s="30"/>
      <c r="M41" s="30"/>
      <c r="N41" s="42"/>
    </row>
    <row r="42" spans="2:14" s="19" customFormat="1" ht="12.75">
      <c r="B42" s="43"/>
      <c r="C42" s="46" t="s">
        <v>108</v>
      </c>
      <c r="D42" s="28" t="s">
        <v>84</v>
      </c>
      <c r="E42" s="62">
        <v>1.04454</v>
      </c>
      <c r="F42" s="30"/>
      <c r="G42" s="30"/>
      <c r="H42" s="30"/>
      <c r="I42" s="30"/>
      <c r="J42" s="30"/>
      <c r="K42" s="30"/>
      <c r="L42" s="30"/>
      <c r="M42" s="30"/>
      <c r="N42" s="42"/>
    </row>
    <row r="43" spans="2:14" s="19" customFormat="1" ht="12.75">
      <c r="B43" s="43"/>
      <c r="C43" s="46"/>
      <c r="D43" s="28"/>
      <c r="E43" s="29"/>
      <c r="F43" s="30"/>
      <c r="G43" s="30"/>
      <c r="H43" s="30"/>
      <c r="I43" s="30"/>
      <c r="J43" s="30"/>
      <c r="K43" s="30"/>
      <c r="L43" s="30"/>
      <c r="M43" s="30"/>
      <c r="N43" s="42"/>
    </row>
    <row r="44" spans="2:14" s="19" customFormat="1" ht="12.75">
      <c r="B44" s="43"/>
      <c r="C44" s="46"/>
      <c r="D44" s="28"/>
      <c r="E44" s="29"/>
      <c r="F44" s="30"/>
      <c r="G44" s="30"/>
      <c r="H44" s="30"/>
      <c r="I44" s="30"/>
      <c r="J44" s="30"/>
      <c r="K44" s="30"/>
      <c r="L44" s="30"/>
      <c r="M44" s="30"/>
      <c r="N44" s="42"/>
    </row>
    <row r="45" spans="2:14" s="19" customFormat="1" ht="12.75">
      <c r="B45" s="43"/>
      <c r="C45" s="46"/>
      <c r="D45" s="77" t="s">
        <v>111</v>
      </c>
      <c r="E45" s="29"/>
      <c r="F45" s="30"/>
      <c r="G45" s="30"/>
      <c r="H45" s="30"/>
      <c r="I45" s="30"/>
      <c r="J45" s="30"/>
      <c r="K45" s="30"/>
      <c r="L45" s="30"/>
      <c r="M45" s="30"/>
      <c r="N45" s="42"/>
    </row>
    <row r="46" spans="2:14" s="19" customFormat="1" ht="12.75">
      <c r="B46" s="43"/>
      <c r="C46" s="46"/>
      <c r="D46" s="28"/>
      <c r="F46" s="30"/>
      <c r="G46" s="30"/>
      <c r="H46" s="30"/>
      <c r="I46" s="30"/>
      <c r="J46" s="30"/>
      <c r="K46" s="30"/>
      <c r="L46" s="30"/>
      <c r="M46" s="30"/>
      <c r="N46" s="42"/>
    </row>
    <row r="47" spans="2:14" s="19" customFormat="1" ht="12.75">
      <c r="B47" s="51"/>
      <c r="C47" s="52"/>
      <c r="D47" s="53"/>
      <c r="E47" s="54"/>
      <c r="F47" s="55"/>
      <c r="G47" s="55"/>
      <c r="H47" s="55"/>
      <c r="I47" s="55"/>
      <c r="J47" s="55"/>
      <c r="K47" s="55"/>
      <c r="L47" s="55"/>
      <c r="M47" s="55"/>
      <c r="N47" s="56"/>
    </row>
    <row r="48" spans="3:5" s="19" customFormat="1" ht="12.75">
      <c r="C48" s="32"/>
      <c r="D48" s="18"/>
      <c r="E48" s="23"/>
    </row>
    <row r="49" spans="3:5" s="19" customFormat="1" ht="12.75">
      <c r="C49" s="32"/>
      <c r="D49" s="18"/>
      <c r="E49" s="23"/>
    </row>
    <row r="50" spans="3:5" s="19" customFormat="1" ht="12.75">
      <c r="C50" s="32"/>
      <c r="D50" s="18"/>
      <c r="E50" s="23"/>
    </row>
    <row r="51" spans="3:5" s="19" customFormat="1" ht="12.75">
      <c r="C51" s="32"/>
      <c r="D51" s="18"/>
      <c r="E51" s="23"/>
    </row>
    <row r="52" spans="3:5" s="19" customFormat="1" ht="12.75">
      <c r="C52" s="32"/>
      <c r="D52" s="18"/>
      <c r="E52" s="23"/>
    </row>
    <row r="53" spans="3:5" s="19" customFormat="1" ht="12.75">
      <c r="C53" s="32"/>
      <c r="D53" s="18"/>
      <c r="E53" s="23"/>
    </row>
    <row r="54" spans="3:5" s="19" customFormat="1" ht="12.75">
      <c r="C54" s="33"/>
      <c r="D54" s="18"/>
      <c r="E54" s="23"/>
    </row>
    <row r="55" spans="3:5" s="19" customFormat="1" ht="12.75">
      <c r="C55" s="33"/>
      <c r="D55" s="18"/>
      <c r="E55" s="23"/>
    </row>
    <row r="56" spans="3:5" s="19" customFormat="1" ht="12.75">
      <c r="C56" s="33"/>
      <c r="D56" s="18"/>
      <c r="E56" s="23"/>
    </row>
    <row r="57" spans="3:5" s="19" customFormat="1" ht="12.75">
      <c r="C57" s="33"/>
      <c r="D57" s="18"/>
      <c r="E57" s="23"/>
    </row>
    <row r="58" spans="3:5" s="19" customFormat="1" ht="12.75">
      <c r="C58" s="33"/>
      <c r="D58" s="18"/>
      <c r="E58" s="23"/>
    </row>
    <row r="59" spans="3:5" s="19" customFormat="1" ht="12.75">
      <c r="C59" s="33"/>
      <c r="D59" s="18"/>
      <c r="E59" s="23"/>
    </row>
    <row r="60" spans="3:5" s="19" customFormat="1" ht="12.75">
      <c r="C60" s="33"/>
      <c r="D60" s="18"/>
      <c r="E60" s="23"/>
    </row>
    <row r="61" spans="3:5" s="19" customFormat="1" ht="12.75">
      <c r="C61" s="33"/>
      <c r="D61" s="18"/>
      <c r="E61" s="23"/>
    </row>
    <row r="62" spans="3:5" s="19" customFormat="1" ht="12.75">
      <c r="C62" s="33"/>
      <c r="D62" s="18"/>
      <c r="E62" s="23"/>
    </row>
    <row r="63" spans="3:5" s="19" customFormat="1" ht="12.75">
      <c r="C63" s="33"/>
      <c r="D63" s="18"/>
      <c r="E63" s="23"/>
    </row>
    <row r="64" spans="3:5" s="19" customFormat="1" ht="12.75">
      <c r="C64" s="33"/>
      <c r="D64" s="18"/>
      <c r="E64" s="23"/>
    </row>
    <row r="65" spans="3:5" s="19" customFormat="1" ht="12.75">
      <c r="C65" s="33"/>
      <c r="D65" s="18"/>
      <c r="E65" s="23"/>
    </row>
    <row r="66" spans="3:5" s="19" customFormat="1" ht="12.75">
      <c r="C66" s="33"/>
      <c r="D66" s="18"/>
      <c r="E66" s="23"/>
    </row>
    <row r="67" spans="3:5" s="19" customFormat="1" ht="12.75">
      <c r="C67" s="33"/>
      <c r="D67" s="18"/>
      <c r="E67" s="23"/>
    </row>
    <row r="68" spans="3:5" s="19" customFormat="1" ht="12.75">
      <c r="C68" s="33"/>
      <c r="D68" s="18"/>
      <c r="E68" s="23"/>
    </row>
    <row r="69" spans="3:5" s="19" customFormat="1" ht="12.75">
      <c r="C69" s="33"/>
      <c r="D69" s="18"/>
      <c r="E69" s="23"/>
    </row>
    <row r="70" spans="3:5" s="19" customFormat="1" ht="12.75">
      <c r="C70" s="33"/>
      <c r="D70" s="18"/>
      <c r="E70" s="23"/>
    </row>
    <row r="71" spans="3:5" s="19" customFormat="1" ht="12.75">
      <c r="C71" s="33"/>
      <c r="D71" s="18"/>
      <c r="E71" s="23"/>
    </row>
    <row r="72" spans="3:5" s="19" customFormat="1" ht="12.75">
      <c r="C72" s="33"/>
      <c r="D72" s="18"/>
      <c r="E72" s="23"/>
    </row>
    <row r="73" spans="3:5" s="19" customFormat="1" ht="12.75">
      <c r="C73" s="33"/>
      <c r="D73" s="18"/>
      <c r="E73" s="23"/>
    </row>
    <row r="74" spans="3:5" s="19" customFormat="1" ht="12.75">
      <c r="C74" s="33"/>
      <c r="D74" s="18"/>
      <c r="E74" s="23"/>
    </row>
    <row r="75" spans="3:5" s="19" customFormat="1" ht="12.75">
      <c r="C75" s="33"/>
      <c r="D75" s="18"/>
      <c r="E75" s="23"/>
    </row>
    <row r="76" spans="3:5" s="19" customFormat="1" ht="12.75">
      <c r="C76" s="33"/>
      <c r="D76" s="18"/>
      <c r="E76" s="23"/>
    </row>
    <row r="77" spans="3:5" s="19" customFormat="1" ht="12.75">
      <c r="C77" s="33"/>
      <c r="D77" s="18"/>
      <c r="E77" s="23"/>
    </row>
    <row r="78" spans="3:5" s="19" customFormat="1" ht="12.75">
      <c r="C78" s="33"/>
      <c r="D78" s="18"/>
      <c r="E78" s="23"/>
    </row>
    <row r="79" spans="3:5" s="19" customFormat="1" ht="12.75">
      <c r="C79" s="33"/>
      <c r="D79" s="18"/>
      <c r="E79" s="23"/>
    </row>
    <row r="80" spans="3:5" s="19" customFormat="1" ht="12.75">
      <c r="C80" s="33"/>
      <c r="D80" s="18"/>
      <c r="E80" s="23"/>
    </row>
    <row r="81" spans="3:5" s="19" customFormat="1" ht="12.75">
      <c r="C81" s="33"/>
      <c r="D81" s="18"/>
      <c r="E81" s="23"/>
    </row>
    <row r="82" spans="3:5" s="19" customFormat="1" ht="12.75">
      <c r="C82" s="33"/>
      <c r="D82" s="18"/>
      <c r="E82" s="23"/>
    </row>
    <row r="83" spans="3:5" s="19" customFormat="1" ht="12.75">
      <c r="C83" s="33"/>
      <c r="D83" s="18"/>
      <c r="E83" s="23"/>
    </row>
    <row r="84" spans="3:5" s="19" customFormat="1" ht="12.75">
      <c r="C84" s="33"/>
      <c r="D84" s="18"/>
      <c r="E84" s="23"/>
    </row>
    <row r="85" spans="3:5" s="19" customFormat="1" ht="12.75">
      <c r="C85" s="33"/>
      <c r="D85" s="18"/>
      <c r="E85" s="23"/>
    </row>
    <row r="86" spans="3:5" s="19" customFormat="1" ht="12.75">
      <c r="C86" s="33"/>
      <c r="D86" s="18"/>
      <c r="E86" s="23"/>
    </row>
    <row r="87" spans="3:5" s="19" customFormat="1" ht="12.75">
      <c r="C87" s="33"/>
      <c r="D87" s="18"/>
      <c r="E87" s="23"/>
    </row>
    <row r="88" spans="3:5" s="19" customFormat="1" ht="12.75">
      <c r="C88" s="33"/>
      <c r="D88" s="18"/>
      <c r="E88" s="23"/>
    </row>
    <row r="89" spans="3:5" s="19" customFormat="1" ht="12.75">
      <c r="C89" s="33"/>
      <c r="D89" s="18"/>
      <c r="E89" s="23"/>
    </row>
    <row r="90" spans="3:5" s="19" customFormat="1" ht="12.75">
      <c r="C90" s="33"/>
      <c r="D90" s="18"/>
      <c r="E90" s="23"/>
    </row>
    <row r="91" spans="3:5" s="19" customFormat="1" ht="12.75">
      <c r="C91" s="33"/>
      <c r="D91" s="18"/>
      <c r="E91" s="23"/>
    </row>
    <row r="92" spans="3:5" s="19" customFormat="1" ht="12.75">
      <c r="C92" s="33"/>
      <c r="D92" s="18"/>
      <c r="E92" s="23"/>
    </row>
    <row r="93" spans="3:5" s="19" customFormat="1" ht="12.75">
      <c r="C93" s="33"/>
      <c r="D93" s="18"/>
      <c r="E93" s="23"/>
    </row>
    <row r="94" spans="3:5" s="19" customFormat="1" ht="12.75">
      <c r="C94" s="33"/>
      <c r="D94" s="18"/>
      <c r="E94" s="23"/>
    </row>
    <row r="95" spans="3:5" s="19" customFormat="1" ht="12.75">
      <c r="C95" s="33"/>
      <c r="D95" s="18"/>
      <c r="E95" s="23"/>
    </row>
    <row r="96" spans="3:5" s="19" customFormat="1" ht="12.75">
      <c r="C96" s="33"/>
      <c r="D96" s="18"/>
      <c r="E96" s="23"/>
    </row>
    <row r="97" spans="3:5" s="19" customFormat="1" ht="12.75">
      <c r="C97" s="33"/>
      <c r="D97" s="18"/>
      <c r="E97" s="23"/>
    </row>
    <row r="98" spans="3:5" s="19" customFormat="1" ht="12.75">
      <c r="C98" s="33"/>
      <c r="D98" s="18"/>
      <c r="E98" s="23"/>
    </row>
    <row r="99" spans="3:5" s="19" customFormat="1" ht="12.75">
      <c r="C99" s="33"/>
      <c r="D99" s="18"/>
      <c r="E99" s="23"/>
    </row>
    <row r="100" spans="3:5" s="19" customFormat="1" ht="12.75">
      <c r="C100" s="33"/>
      <c r="D100" s="18"/>
      <c r="E100" s="23"/>
    </row>
    <row r="101" spans="3:5" s="19" customFormat="1" ht="12.75">
      <c r="C101" s="33"/>
      <c r="D101" s="18"/>
      <c r="E101" s="23"/>
    </row>
    <row r="102" spans="3:5" s="19" customFormat="1" ht="12.75">
      <c r="C102" s="33"/>
      <c r="D102" s="18"/>
      <c r="E102" s="23"/>
    </row>
    <row r="103" spans="3:5" s="19" customFormat="1" ht="12.75">
      <c r="C103" s="33"/>
      <c r="D103" s="18"/>
      <c r="E103" s="23"/>
    </row>
    <row r="104" spans="3:5" s="19" customFormat="1" ht="12.75">
      <c r="C104" s="33"/>
      <c r="D104" s="18"/>
      <c r="E104" s="23"/>
    </row>
    <row r="105" spans="3:5" s="19" customFormat="1" ht="12.75">
      <c r="C105" s="33"/>
      <c r="D105" s="18"/>
      <c r="E105" s="23"/>
    </row>
    <row r="106" spans="3:5" s="19" customFormat="1" ht="12.75">
      <c r="C106" s="33"/>
      <c r="D106" s="18"/>
      <c r="E106" s="23"/>
    </row>
    <row r="107" spans="3:5" s="19" customFormat="1" ht="12.75">
      <c r="C107" s="33"/>
      <c r="D107" s="18"/>
      <c r="E107" s="23"/>
    </row>
    <row r="108" spans="3:5" s="19" customFormat="1" ht="12.75">
      <c r="C108" s="33"/>
      <c r="D108" s="18"/>
      <c r="E108" s="23"/>
    </row>
    <row r="109" spans="3:5" s="19" customFormat="1" ht="12.75">
      <c r="C109" s="33"/>
      <c r="D109" s="18"/>
      <c r="E109" s="23"/>
    </row>
    <row r="110" spans="3:5" s="19" customFormat="1" ht="12.75">
      <c r="C110" s="33"/>
      <c r="D110" s="18"/>
      <c r="E110" s="23"/>
    </row>
    <row r="111" spans="3:5" s="19" customFormat="1" ht="12.75">
      <c r="C111" s="33"/>
      <c r="D111" s="18"/>
      <c r="E111" s="23"/>
    </row>
    <row r="112" spans="3:5" s="19" customFormat="1" ht="12.75">
      <c r="C112" s="33"/>
      <c r="D112" s="18"/>
      <c r="E112" s="23"/>
    </row>
    <row r="113" spans="3:5" s="19" customFormat="1" ht="12.75">
      <c r="C113" s="33"/>
      <c r="D113" s="18"/>
      <c r="E113" s="23"/>
    </row>
    <row r="114" spans="3:5" s="19" customFormat="1" ht="12.75">
      <c r="C114" s="33"/>
      <c r="D114" s="18"/>
      <c r="E114" s="23"/>
    </row>
    <row r="115" spans="3:5" s="19" customFormat="1" ht="12.75">
      <c r="C115" s="33"/>
      <c r="D115" s="18"/>
      <c r="E115" s="23"/>
    </row>
    <row r="116" spans="3:5" s="19" customFormat="1" ht="12.75">
      <c r="C116" s="33"/>
      <c r="D116" s="18"/>
      <c r="E116" s="23"/>
    </row>
    <row r="117" spans="3:5" s="19" customFormat="1" ht="12.75">
      <c r="C117" s="33"/>
      <c r="D117" s="18"/>
      <c r="E117" s="23"/>
    </row>
    <row r="118" spans="3:5" s="19" customFormat="1" ht="12.75">
      <c r="C118" s="33"/>
      <c r="D118" s="18"/>
      <c r="E118" s="23"/>
    </row>
    <row r="119" spans="3:5" s="19" customFormat="1" ht="12.75">
      <c r="C119" s="33"/>
      <c r="D119" s="18"/>
      <c r="E119" s="23"/>
    </row>
    <row r="120" spans="3:5" s="19" customFormat="1" ht="12.75">
      <c r="C120" s="33"/>
      <c r="D120" s="18"/>
      <c r="E120" s="23"/>
    </row>
    <row r="121" spans="3:5" s="19" customFormat="1" ht="12.75">
      <c r="C121" s="33"/>
      <c r="D121" s="18"/>
      <c r="E121" s="23"/>
    </row>
    <row r="122" spans="3:5" s="19" customFormat="1" ht="12.75">
      <c r="C122" s="33"/>
      <c r="D122" s="18"/>
      <c r="E122" s="23"/>
    </row>
    <row r="123" spans="3:5" s="19" customFormat="1" ht="12.75">
      <c r="C123" s="33"/>
      <c r="D123" s="18"/>
      <c r="E123" s="23"/>
    </row>
    <row r="124" spans="3:5" s="19" customFormat="1" ht="12.75">
      <c r="C124" s="33"/>
      <c r="D124" s="18"/>
      <c r="E124" s="23"/>
    </row>
    <row r="125" spans="3:5" s="19" customFormat="1" ht="12.75">
      <c r="C125" s="33"/>
      <c r="D125" s="18"/>
      <c r="E125" s="23"/>
    </row>
    <row r="126" spans="3:5" s="19" customFormat="1" ht="12.75">
      <c r="C126" s="33"/>
      <c r="D126" s="18"/>
      <c r="E126" s="23"/>
    </row>
    <row r="127" spans="3:5" s="19" customFormat="1" ht="12.75">
      <c r="C127" s="33"/>
      <c r="D127" s="18"/>
      <c r="E127" s="23"/>
    </row>
    <row r="128" spans="3:5" s="19" customFormat="1" ht="12.75">
      <c r="C128" s="33"/>
      <c r="D128" s="18"/>
      <c r="E128" s="23"/>
    </row>
    <row r="129" spans="3:5" s="19" customFormat="1" ht="12.75">
      <c r="C129" s="33"/>
      <c r="D129" s="18"/>
      <c r="E129" s="23"/>
    </row>
    <row r="130" spans="3:5" s="19" customFormat="1" ht="12.75">
      <c r="C130" s="33"/>
      <c r="D130" s="18"/>
      <c r="E130" s="23"/>
    </row>
    <row r="131" spans="3:5" s="19" customFormat="1" ht="12.75">
      <c r="C131" s="33"/>
      <c r="D131" s="18"/>
      <c r="E131" s="23"/>
    </row>
    <row r="132" spans="3:5" s="19" customFormat="1" ht="12.75">
      <c r="C132" s="33"/>
      <c r="D132" s="18"/>
      <c r="E132" s="23"/>
    </row>
    <row r="133" spans="3:5" s="19" customFormat="1" ht="12.75">
      <c r="C133" s="33"/>
      <c r="D133" s="18"/>
      <c r="E133" s="23"/>
    </row>
    <row r="134" spans="3:5" s="19" customFormat="1" ht="12.75">
      <c r="C134" s="33"/>
      <c r="D134" s="18"/>
      <c r="E134" s="23"/>
    </row>
    <row r="135" spans="3:5" s="19" customFormat="1" ht="12.75">
      <c r="C135" s="33"/>
      <c r="D135" s="18"/>
      <c r="E135" s="23"/>
    </row>
    <row r="136" spans="3:5" s="19" customFormat="1" ht="12.75">
      <c r="C136" s="33"/>
      <c r="D136" s="18"/>
      <c r="E136" s="23"/>
    </row>
    <row r="137" spans="3:5" s="19" customFormat="1" ht="12.75">
      <c r="C137" s="33"/>
      <c r="D137" s="18"/>
      <c r="E137" s="23"/>
    </row>
    <row r="138" spans="3:5" s="19" customFormat="1" ht="12.75">
      <c r="C138" s="33"/>
      <c r="D138" s="18"/>
      <c r="E138" s="23"/>
    </row>
    <row r="139" spans="3:5" s="19" customFormat="1" ht="12.75">
      <c r="C139" s="33"/>
      <c r="D139" s="18"/>
      <c r="E139" s="23"/>
    </row>
    <row r="140" spans="3:5" s="19" customFormat="1" ht="12.75">
      <c r="C140" s="33"/>
      <c r="D140" s="18"/>
      <c r="E140" s="23"/>
    </row>
    <row r="141" spans="3:5" s="19" customFormat="1" ht="12.75">
      <c r="C141" s="33"/>
      <c r="D141" s="18"/>
      <c r="E141" s="23"/>
    </row>
    <row r="142" spans="3:5" s="19" customFormat="1" ht="12.75">
      <c r="C142" s="33"/>
      <c r="D142" s="18"/>
      <c r="E142" s="23"/>
    </row>
    <row r="143" spans="3:5" s="19" customFormat="1" ht="12.75">
      <c r="C143" s="33"/>
      <c r="D143" s="18"/>
      <c r="E143" s="23"/>
    </row>
    <row r="144" spans="3:5" s="19" customFormat="1" ht="12.75">
      <c r="C144" s="33"/>
      <c r="D144" s="18"/>
      <c r="E144" s="23"/>
    </row>
    <row r="145" spans="3:5" s="19" customFormat="1" ht="12.75">
      <c r="C145" s="33"/>
      <c r="D145" s="18"/>
      <c r="E145" s="23"/>
    </row>
    <row r="146" spans="3:5" s="19" customFormat="1" ht="12.75">
      <c r="C146" s="33"/>
      <c r="D146" s="18"/>
      <c r="E146" s="23"/>
    </row>
    <row r="147" spans="3:5" s="19" customFormat="1" ht="12.75">
      <c r="C147" s="33"/>
      <c r="D147" s="18"/>
      <c r="E147" s="23"/>
    </row>
    <row r="148" spans="3:5" s="19" customFormat="1" ht="12.75">
      <c r="C148" s="33"/>
      <c r="D148" s="18"/>
      <c r="E148" s="23"/>
    </row>
    <row r="149" spans="3:5" s="19" customFormat="1" ht="12.75">
      <c r="C149" s="33"/>
      <c r="D149" s="18"/>
      <c r="E149" s="23"/>
    </row>
    <row r="150" spans="3:5" s="19" customFormat="1" ht="12.75">
      <c r="C150" s="33"/>
      <c r="D150" s="18"/>
      <c r="E150" s="23"/>
    </row>
    <row r="151" spans="3:5" s="19" customFormat="1" ht="12.75">
      <c r="C151" s="33"/>
      <c r="D151" s="18"/>
      <c r="E151" s="23"/>
    </row>
    <row r="152" spans="3:5" s="19" customFormat="1" ht="12.75">
      <c r="C152" s="33"/>
      <c r="D152" s="18"/>
      <c r="E152" s="23"/>
    </row>
    <row r="153" spans="3:5" s="19" customFormat="1" ht="12.75">
      <c r="C153" s="33"/>
      <c r="D153" s="18"/>
      <c r="E153" s="23"/>
    </row>
    <row r="154" spans="3:5" s="19" customFormat="1" ht="12.75">
      <c r="C154" s="33"/>
      <c r="D154" s="18"/>
      <c r="E154" s="23"/>
    </row>
    <row r="155" spans="3:5" s="19" customFormat="1" ht="12.75">
      <c r="C155" s="18"/>
      <c r="D155" s="18"/>
      <c r="E155" s="23"/>
    </row>
    <row r="156" spans="3:5" s="19" customFormat="1" ht="12.75">
      <c r="C156" s="18"/>
      <c r="D156" s="18"/>
      <c r="E156" s="23"/>
    </row>
    <row r="157" spans="3:5" s="19" customFormat="1" ht="12.75">
      <c r="C157" s="18"/>
      <c r="D157" s="18"/>
      <c r="E157" s="23"/>
    </row>
    <row r="158" spans="3:5" s="19" customFormat="1" ht="12.75">
      <c r="C158" s="18"/>
      <c r="D158" s="18"/>
      <c r="E158" s="23"/>
    </row>
    <row r="159" spans="3:5" s="19" customFormat="1" ht="12.75">
      <c r="C159" s="18"/>
      <c r="D159" s="18"/>
      <c r="E159" s="23"/>
    </row>
    <row r="160" spans="3:5" s="19" customFormat="1" ht="12.75">
      <c r="C160" s="18"/>
      <c r="D160" s="18"/>
      <c r="E160" s="23"/>
    </row>
    <row r="161" spans="3:5" s="19" customFormat="1" ht="12.75">
      <c r="C161" s="18"/>
      <c r="D161" s="18"/>
      <c r="E161" s="23"/>
    </row>
    <row r="162" spans="3:5" s="19" customFormat="1" ht="12.75">
      <c r="C162" s="18"/>
      <c r="D162" s="18"/>
      <c r="E162" s="23"/>
    </row>
    <row r="163" spans="3:5" s="19" customFormat="1" ht="12.75">
      <c r="C163" s="18"/>
      <c r="D163" s="18"/>
      <c r="E163" s="23"/>
    </row>
    <row r="164" spans="3:5" s="19" customFormat="1" ht="12.75">
      <c r="C164" s="18"/>
      <c r="D164" s="18"/>
      <c r="E164" s="23"/>
    </row>
    <row r="165" spans="3:5" s="19" customFormat="1" ht="12.75">
      <c r="C165" s="18"/>
      <c r="D165" s="18"/>
      <c r="E165" s="23"/>
    </row>
    <row r="166" spans="3:5" s="19" customFormat="1" ht="12.75">
      <c r="C166" s="18"/>
      <c r="D166" s="18"/>
      <c r="E166" s="23"/>
    </row>
    <row r="167" spans="3:5" s="19" customFormat="1" ht="12.75">
      <c r="C167" s="18"/>
      <c r="D167" s="18"/>
      <c r="E167" s="23"/>
    </row>
    <row r="168" spans="3:5" s="19" customFormat="1" ht="12.75">
      <c r="C168" s="18"/>
      <c r="D168" s="18"/>
      <c r="E168" s="23"/>
    </row>
    <row r="169" spans="3:5" s="19" customFormat="1" ht="12.75">
      <c r="C169" s="18"/>
      <c r="D169" s="18"/>
      <c r="E169" s="23"/>
    </row>
    <row r="170" spans="3:5" s="19" customFormat="1" ht="12.75">
      <c r="C170" s="18"/>
      <c r="D170" s="18"/>
      <c r="E170" s="23"/>
    </row>
    <row r="171" spans="3:5" s="19" customFormat="1" ht="12.75">
      <c r="C171" s="18"/>
      <c r="D171" s="18"/>
      <c r="E171" s="23"/>
    </row>
    <row r="172" spans="3:5" s="19" customFormat="1" ht="12.75">
      <c r="C172" s="18"/>
      <c r="D172" s="18"/>
      <c r="E172" s="23"/>
    </row>
    <row r="173" spans="3:5" s="19" customFormat="1" ht="12.75">
      <c r="C173" s="18"/>
      <c r="D173" s="18"/>
      <c r="E173" s="23"/>
    </row>
    <row r="174" spans="3:5" s="19" customFormat="1" ht="12.75">
      <c r="C174" s="18"/>
      <c r="D174" s="18"/>
      <c r="E174" s="23"/>
    </row>
    <row r="175" spans="3:5" s="19" customFormat="1" ht="12.75">
      <c r="C175" s="18"/>
      <c r="D175" s="18"/>
      <c r="E175" s="23"/>
    </row>
    <row r="176" spans="3:5" s="19" customFormat="1" ht="12.75">
      <c r="C176" s="18"/>
      <c r="D176" s="18"/>
      <c r="E176" s="23"/>
    </row>
    <row r="177" spans="3:5" s="19" customFormat="1" ht="12.75">
      <c r="C177" s="18"/>
      <c r="D177" s="18"/>
      <c r="E177" s="23"/>
    </row>
    <row r="178" spans="3:5" s="19" customFormat="1" ht="12.75">
      <c r="C178" s="18"/>
      <c r="D178" s="18"/>
      <c r="E178" s="23"/>
    </row>
    <row r="179" spans="3:5" s="19" customFormat="1" ht="12.75">
      <c r="C179" s="18"/>
      <c r="D179" s="18"/>
      <c r="E179" s="23"/>
    </row>
    <row r="180" spans="3:5" s="19" customFormat="1" ht="12.75">
      <c r="C180" s="18"/>
      <c r="D180" s="18"/>
      <c r="E180" s="23"/>
    </row>
    <row r="181" spans="3:5" s="19" customFormat="1" ht="12.75">
      <c r="C181" s="18"/>
      <c r="D181" s="18"/>
      <c r="E181" s="23"/>
    </row>
    <row r="182" spans="3:5" s="19" customFormat="1" ht="12.75">
      <c r="C182" s="18"/>
      <c r="D182" s="18"/>
      <c r="E182" s="23"/>
    </row>
    <row r="183" spans="3:5" s="19" customFormat="1" ht="12.75">
      <c r="C183" s="18"/>
      <c r="D183" s="18"/>
      <c r="E183" s="23"/>
    </row>
    <row r="184" spans="3:5" s="19" customFormat="1" ht="12.75">
      <c r="C184" s="18"/>
      <c r="D184" s="18"/>
      <c r="E184" s="23"/>
    </row>
    <row r="185" spans="3:5" s="19" customFormat="1" ht="12.75">
      <c r="C185" s="18"/>
      <c r="D185" s="18"/>
      <c r="E185" s="23"/>
    </row>
    <row r="186" spans="3:5" s="19" customFormat="1" ht="12.75">
      <c r="C186" s="18"/>
      <c r="D186" s="18"/>
      <c r="E186" s="23"/>
    </row>
    <row r="187" spans="3:5" s="19" customFormat="1" ht="12.75">
      <c r="C187" s="18"/>
      <c r="D187" s="18"/>
      <c r="E187" s="23"/>
    </row>
    <row r="188" spans="3:5" s="19" customFormat="1" ht="12.75">
      <c r="C188" s="18"/>
      <c r="D188" s="18"/>
      <c r="E188" s="23"/>
    </row>
    <row r="189" spans="3:5" s="19" customFormat="1" ht="12.75">
      <c r="C189" s="18"/>
      <c r="D189" s="18"/>
      <c r="E189" s="23"/>
    </row>
    <row r="190" spans="3:5" s="19" customFormat="1" ht="12.75">
      <c r="C190" s="18"/>
      <c r="D190" s="18"/>
      <c r="E190" s="23"/>
    </row>
    <row r="191" spans="3:5" s="19" customFormat="1" ht="12.75">
      <c r="C191" s="18"/>
      <c r="D191" s="18"/>
      <c r="E191" s="23"/>
    </row>
    <row r="192" spans="3:5" s="19" customFormat="1" ht="12.75">
      <c r="C192" s="18"/>
      <c r="D192" s="18"/>
      <c r="E192" s="23"/>
    </row>
    <row r="193" spans="3:5" s="19" customFormat="1" ht="12.75">
      <c r="C193" s="18"/>
      <c r="D193" s="18"/>
      <c r="E193" s="23"/>
    </row>
    <row r="194" spans="3:5" s="19" customFormat="1" ht="12.75">
      <c r="C194" s="18"/>
      <c r="D194" s="18"/>
      <c r="E194" s="23"/>
    </row>
    <row r="195" spans="3:5" s="19" customFormat="1" ht="12.75">
      <c r="C195" s="18"/>
      <c r="D195" s="18"/>
      <c r="E195" s="23"/>
    </row>
    <row r="196" spans="3:5" s="19" customFormat="1" ht="12.75">
      <c r="C196" s="18"/>
      <c r="D196" s="18"/>
      <c r="E196" s="23"/>
    </row>
    <row r="197" spans="3:5" s="19" customFormat="1" ht="12.75">
      <c r="C197" s="18"/>
      <c r="D197" s="18"/>
      <c r="E197" s="23"/>
    </row>
    <row r="198" spans="3:5" s="19" customFormat="1" ht="12.75">
      <c r="C198" s="18"/>
      <c r="D198" s="18"/>
      <c r="E198" s="23"/>
    </row>
    <row r="199" spans="3:5" s="19" customFormat="1" ht="12.75">
      <c r="C199" s="18"/>
      <c r="D199" s="18"/>
      <c r="E199" s="23"/>
    </row>
    <row r="200" spans="3:5" s="19" customFormat="1" ht="12.75">
      <c r="C200" s="18"/>
      <c r="D200" s="18"/>
      <c r="E200" s="23"/>
    </row>
    <row r="201" spans="3:5" s="19" customFormat="1" ht="12.75">
      <c r="C201" s="18"/>
      <c r="D201" s="18"/>
      <c r="E201" s="23"/>
    </row>
    <row r="202" spans="3:5" s="19" customFormat="1" ht="12.75">
      <c r="C202" s="18"/>
      <c r="D202" s="18"/>
      <c r="E202" s="23"/>
    </row>
    <row r="203" spans="3:5" s="19" customFormat="1" ht="12.75">
      <c r="C203" s="18"/>
      <c r="D203" s="18"/>
      <c r="E203" s="23"/>
    </row>
    <row r="204" spans="3:5" s="19" customFormat="1" ht="12.75">
      <c r="C204" s="18"/>
      <c r="D204" s="18"/>
      <c r="E204" s="23"/>
    </row>
    <row r="205" spans="3:5" s="19" customFormat="1" ht="12.75">
      <c r="C205" s="18"/>
      <c r="D205" s="18"/>
      <c r="E205" s="23"/>
    </row>
    <row r="206" spans="3:5" s="19" customFormat="1" ht="12.75">
      <c r="C206" s="18"/>
      <c r="D206" s="18"/>
      <c r="E206" s="23"/>
    </row>
    <row r="207" spans="3:5" s="19" customFormat="1" ht="12.75">
      <c r="C207" s="18"/>
      <c r="D207" s="18"/>
      <c r="E207" s="23"/>
    </row>
    <row r="208" spans="3:5" s="19" customFormat="1" ht="12.75">
      <c r="C208" s="18"/>
      <c r="D208" s="18"/>
      <c r="E208" s="23"/>
    </row>
    <row r="209" spans="3:5" s="19" customFormat="1" ht="12.75">
      <c r="C209" s="18"/>
      <c r="D209" s="18"/>
      <c r="E209" s="23"/>
    </row>
    <row r="210" spans="3:5" s="19" customFormat="1" ht="12.75">
      <c r="C210" s="18"/>
      <c r="D210" s="18"/>
      <c r="E210" s="23"/>
    </row>
    <row r="211" spans="3:5" s="19" customFormat="1" ht="12.75">
      <c r="C211" s="18"/>
      <c r="D211" s="18"/>
      <c r="E211" s="23"/>
    </row>
    <row r="212" spans="3:5" s="19" customFormat="1" ht="12.75">
      <c r="C212" s="18"/>
      <c r="D212" s="18"/>
      <c r="E212" s="23"/>
    </row>
    <row r="213" spans="3:5" s="19" customFormat="1" ht="12.75">
      <c r="C213" s="18"/>
      <c r="D213" s="18"/>
      <c r="E213" s="23"/>
    </row>
    <row r="214" spans="3:5" s="19" customFormat="1" ht="12.75">
      <c r="C214" s="18"/>
      <c r="D214" s="18"/>
      <c r="E214" s="23"/>
    </row>
    <row r="215" spans="3:5" s="19" customFormat="1" ht="12.75">
      <c r="C215" s="18"/>
      <c r="D215" s="18"/>
      <c r="E215" s="23"/>
    </row>
    <row r="216" spans="3:5" s="19" customFormat="1" ht="12.75">
      <c r="C216" s="18"/>
      <c r="D216" s="18"/>
      <c r="E216" s="23"/>
    </row>
    <row r="217" spans="3:5" s="19" customFormat="1" ht="12.75">
      <c r="C217" s="18"/>
      <c r="D217" s="18"/>
      <c r="E217" s="23"/>
    </row>
    <row r="218" spans="3:5" s="19" customFormat="1" ht="12.75">
      <c r="C218" s="18"/>
      <c r="D218" s="18"/>
      <c r="E218" s="23"/>
    </row>
    <row r="219" spans="3:5" s="19" customFormat="1" ht="12.75">
      <c r="C219" s="18"/>
      <c r="D219" s="18"/>
      <c r="E219" s="23"/>
    </row>
    <row r="220" spans="3:5" s="19" customFormat="1" ht="12.75">
      <c r="C220" s="18"/>
      <c r="D220" s="18"/>
      <c r="E220" s="23"/>
    </row>
    <row r="221" spans="3:5" s="19" customFormat="1" ht="12.75">
      <c r="C221" s="18"/>
      <c r="D221" s="18"/>
      <c r="E221" s="23"/>
    </row>
    <row r="222" spans="3:5" s="19" customFormat="1" ht="12.75">
      <c r="C222" s="18"/>
      <c r="D222" s="18"/>
      <c r="E222" s="23"/>
    </row>
    <row r="223" spans="3:5" s="19" customFormat="1" ht="12.75">
      <c r="C223" s="18"/>
      <c r="D223" s="18"/>
      <c r="E223" s="23"/>
    </row>
    <row r="224" spans="3:5" s="19" customFormat="1" ht="12.75">
      <c r="C224" s="18"/>
      <c r="D224" s="18"/>
      <c r="E224" s="23"/>
    </row>
    <row r="225" spans="3:5" s="19" customFormat="1" ht="12.75">
      <c r="C225" s="18"/>
      <c r="D225" s="18"/>
      <c r="E225" s="23"/>
    </row>
    <row r="226" spans="3:5" s="19" customFormat="1" ht="12.75">
      <c r="C226" s="18"/>
      <c r="D226" s="18"/>
      <c r="E226" s="23"/>
    </row>
    <row r="227" spans="3:5" s="19" customFormat="1" ht="12.75">
      <c r="C227" s="18"/>
      <c r="D227" s="18"/>
      <c r="E227" s="23"/>
    </row>
    <row r="228" spans="3:5" s="19" customFormat="1" ht="12.75">
      <c r="C228" s="18"/>
      <c r="D228" s="18"/>
      <c r="E228" s="23"/>
    </row>
    <row r="229" spans="3:5" s="19" customFormat="1" ht="12.75">
      <c r="C229" s="18"/>
      <c r="D229" s="18"/>
      <c r="E229" s="23"/>
    </row>
    <row r="230" spans="3:5" s="19" customFormat="1" ht="12.75">
      <c r="C230" s="18"/>
      <c r="D230" s="18"/>
      <c r="E230" s="23"/>
    </row>
    <row r="231" spans="3:5" s="19" customFormat="1" ht="12.75">
      <c r="C231" s="18"/>
      <c r="D231" s="18"/>
      <c r="E231" s="23"/>
    </row>
    <row r="232" spans="3:5" s="19" customFormat="1" ht="12.75">
      <c r="C232" s="18"/>
      <c r="D232" s="18"/>
      <c r="E232" s="23"/>
    </row>
    <row r="233" spans="3:5" s="19" customFormat="1" ht="12.75">
      <c r="C233" s="18"/>
      <c r="D233" s="18"/>
      <c r="E233" s="23"/>
    </row>
    <row r="234" spans="3:5" s="19" customFormat="1" ht="12.75">
      <c r="C234" s="18"/>
      <c r="D234" s="18"/>
      <c r="E234" s="23"/>
    </row>
    <row r="235" spans="3:5" s="19" customFormat="1" ht="12.75">
      <c r="C235" s="18"/>
      <c r="D235" s="18"/>
      <c r="E235" s="23"/>
    </row>
    <row r="236" spans="3:5" s="19" customFormat="1" ht="12.75">
      <c r="C236" s="18"/>
      <c r="D236" s="18"/>
      <c r="E236" s="23"/>
    </row>
    <row r="237" spans="3:5" s="19" customFormat="1" ht="12.75">
      <c r="C237" s="18"/>
      <c r="D237" s="18"/>
      <c r="E237" s="23"/>
    </row>
    <row r="238" spans="3:5" s="19" customFormat="1" ht="12.75">
      <c r="C238" s="18"/>
      <c r="D238" s="18"/>
      <c r="E238" s="23"/>
    </row>
    <row r="239" spans="3:5" s="19" customFormat="1" ht="12.75">
      <c r="C239" s="18"/>
      <c r="D239" s="18"/>
      <c r="E239" s="23"/>
    </row>
    <row r="240" spans="3:5" s="19" customFormat="1" ht="12.75">
      <c r="C240" s="18"/>
      <c r="D240" s="18"/>
      <c r="E240" s="23"/>
    </row>
    <row r="241" spans="3:5" s="19" customFormat="1" ht="12.75">
      <c r="C241" s="18"/>
      <c r="D241" s="18"/>
      <c r="E241" s="23"/>
    </row>
    <row r="242" spans="3:5" s="19" customFormat="1" ht="12.75">
      <c r="C242" s="18"/>
      <c r="D242" s="18"/>
      <c r="E242" s="23"/>
    </row>
    <row r="243" spans="3:5" s="19" customFormat="1" ht="12.75">
      <c r="C243" s="18"/>
      <c r="D243" s="18"/>
      <c r="E243" s="23"/>
    </row>
    <row r="244" spans="3:5" s="19" customFormat="1" ht="12.75">
      <c r="C244" s="18"/>
      <c r="D244" s="18"/>
      <c r="E244" s="23"/>
    </row>
    <row r="245" spans="3:5" s="19" customFormat="1" ht="12.75">
      <c r="C245" s="18"/>
      <c r="D245" s="18"/>
      <c r="E245" s="23"/>
    </row>
    <row r="246" spans="3:5" s="19" customFormat="1" ht="12.75">
      <c r="C246" s="18"/>
      <c r="D246" s="18"/>
      <c r="E246" s="23"/>
    </row>
    <row r="247" spans="3:5" s="19" customFormat="1" ht="12.75">
      <c r="C247" s="18"/>
      <c r="D247" s="18"/>
      <c r="E247" s="23"/>
    </row>
    <row r="248" spans="3:5" s="19" customFormat="1" ht="12.75">
      <c r="C248" s="18"/>
      <c r="D248" s="18"/>
      <c r="E248" s="23"/>
    </row>
    <row r="249" spans="3:5" s="19" customFormat="1" ht="12.75">
      <c r="C249" s="18"/>
      <c r="D249" s="18"/>
      <c r="E249" s="23"/>
    </row>
    <row r="250" spans="3:5" s="19" customFormat="1" ht="12.75">
      <c r="C250" s="18"/>
      <c r="D250" s="18"/>
      <c r="E250" s="23"/>
    </row>
    <row r="251" spans="3:5" s="19" customFormat="1" ht="12.75">
      <c r="C251" s="18"/>
      <c r="D251" s="18"/>
      <c r="E251" s="23"/>
    </row>
    <row r="252" spans="3:5" s="19" customFormat="1" ht="12.75">
      <c r="C252" s="18"/>
      <c r="D252" s="18"/>
      <c r="E252" s="23"/>
    </row>
    <row r="253" spans="3:5" s="19" customFormat="1" ht="12.75">
      <c r="C253" s="18"/>
      <c r="D253" s="18"/>
      <c r="E253" s="23"/>
    </row>
    <row r="254" spans="3:5" s="19" customFormat="1" ht="12.75">
      <c r="C254" s="18"/>
      <c r="D254" s="18"/>
      <c r="E254" s="23"/>
    </row>
    <row r="255" spans="3:5" s="19" customFormat="1" ht="12.75">
      <c r="C255" s="18"/>
      <c r="D255" s="18"/>
      <c r="E255" s="23"/>
    </row>
    <row r="256" spans="3:5" s="19" customFormat="1" ht="12.75">
      <c r="C256" s="18"/>
      <c r="D256" s="18"/>
      <c r="E256" s="23"/>
    </row>
    <row r="257" spans="3:5" s="19" customFormat="1" ht="12.75">
      <c r="C257" s="18"/>
      <c r="D257" s="18"/>
      <c r="E257" s="23"/>
    </row>
    <row r="258" spans="3:5" s="19" customFormat="1" ht="12.75">
      <c r="C258" s="18"/>
      <c r="D258" s="18"/>
      <c r="E258" s="23"/>
    </row>
    <row r="259" spans="3:5" s="19" customFormat="1" ht="12.75">
      <c r="C259" s="18"/>
      <c r="D259" s="18"/>
      <c r="E259" s="23"/>
    </row>
    <row r="260" spans="3:5" s="19" customFormat="1" ht="12.75">
      <c r="C260" s="18"/>
      <c r="D260" s="18"/>
      <c r="E260" s="23"/>
    </row>
    <row r="261" spans="3:5" s="19" customFormat="1" ht="12.75">
      <c r="C261" s="18"/>
      <c r="D261" s="18"/>
      <c r="E261" s="23"/>
    </row>
    <row r="262" spans="3:5" s="19" customFormat="1" ht="12.75">
      <c r="C262" s="18"/>
      <c r="D262" s="18"/>
      <c r="E262" s="23"/>
    </row>
    <row r="263" spans="3:5" s="19" customFormat="1" ht="12.75">
      <c r="C263" s="18"/>
      <c r="D263" s="18"/>
      <c r="E263" s="23"/>
    </row>
    <row r="264" spans="3:5" s="19" customFormat="1" ht="12.75">
      <c r="C264" s="18"/>
      <c r="D264" s="18"/>
      <c r="E264" s="23"/>
    </row>
    <row r="265" spans="3:5" s="19" customFormat="1" ht="12.75">
      <c r="C265" s="18"/>
      <c r="D265" s="18"/>
      <c r="E265" s="23"/>
    </row>
    <row r="266" spans="3:5" s="19" customFormat="1" ht="12.75">
      <c r="C266" s="18"/>
      <c r="D266" s="18"/>
      <c r="E266" s="23"/>
    </row>
    <row r="267" spans="3:5" s="19" customFormat="1" ht="12.75">
      <c r="C267" s="18"/>
      <c r="D267" s="18"/>
      <c r="E267" s="23"/>
    </row>
    <row r="268" spans="3:5" s="19" customFormat="1" ht="12.75">
      <c r="C268" s="18"/>
      <c r="D268" s="18"/>
      <c r="E268" s="23"/>
    </row>
    <row r="269" spans="3:5" s="19" customFormat="1" ht="12.75">
      <c r="C269" s="18"/>
      <c r="D269" s="18"/>
      <c r="E269" s="23"/>
    </row>
    <row r="270" spans="3:5" s="19" customFormat="1" ht="12.75">
      <c r="C270" s="18"/>
      <c r="D270" s="18"/>
      <c r="E270" s="23"/>
    </row>
    <row r="271" spans="3:5" s="19" customFormat="1" ht="12.75">
      <c r="C271" s="18"/>
      <c r="D271" s="18"/>
      <c r="E271" s="23"/>
    </row>
    <row r="272" spans="3:5" s="19" customFormat="1" ht="12.75">
      <c r="C272" s="18"/>
      <c r="D272" s="18"/>
      <c r="E272" s="23"/>
    </row>
    <row r="273" spans="3:5" s="19" customFormat="1" ht="12.75">
      <c r="C273" s="18"/>
      <c r="D273" s="18"/>
      <c r="E273" s="23"/>
    </row>
    <row r="274" spans="3:5" s="19" customFormat="1" ht="12.75">
      <c r="C274" s="18"/>
      <c r="D274" s="18"/>
      <c r="E274" s="23"/>
    </row>
    <row r="275" spans="3:5" s="19" customFormat="1" ht="12.75">
      <c r="C275" s="18"/>
      <c r="D275" s="18"/>
      <c r="E275" s="23"/>
    </row>
    <row r="276" spans="3:5" s="19" customFormat="1" ht="12.75">
      <c r="C276" s="18"/>
      <c r="D276" s="18"/>
      <c r="E276" s="23"/>
    </row>
    <row r="277" spans="3:5" s="19" customFormat="1" ht="12.75">
      <c r="C277" s="18"/>
      <c r="D277" s="18"/>
      <c r="E277" s="23"/>
    </row>
    <row r="278" spans="3:5" s="19" customFormat="1" ht="12.75">
      <c r="C278" s="18"/>
      <c r="D278" s="18"/>
      <c r="E278" s="23"/>
    </row>
    <row r="279" spans="3:5" s="19" customFormat="1" ht="12.75">
      <c r="C279" s="18"/>
      <c r="D279" s="18"/>
      <c r="E279" s="23"/>
    </row>
    <row r="280" spans="3:5" s="19" customFormat="1" ht="12.75">
      <c r="C280" s="18"/>
      <c r="D280" s="18"/>
      <c r="E280" s="23"/>
    </row>
    <row r="281" spans="3:5" s="19" customFormat="1" ht="12.75">
      <c r="C281" s="18"/>
      <c r="D281" s="18"/>
      <c r="E281" s="23"/>
    </row>
    <row r="282" spans="3:5" s="19" customFormat="1" ht="12.75">
      <c r="C282" s="18"/>
      <c r="D282" s="18"/>
      <c r="E282" s="23"/>
    </row>
    <row r="283" spans="3:5" s="19" customFormat="1" ht="12.75">
      <c r="C283" s="18"/>
      <c r="D283" s="18"/>
      <c r="E283" s="23"/>
    </row>
    <row r="284" spans="3:5" s="19" customFormat="1" ht="12.75">
      <c r="C284" s="18"/>
      <c r="D284" s="18"/>
      <c r="E284" s="23"/>
    </row>
    <row r="285" spans="3:5" s="19" customFormat="1" ht="12.75">
      <c r="C285" s="18"/>
      <c r="D285" s="18"/>
      <c r="E285" s="23"/>
    </row>
    <row r="286" spans="3:5" s="19" customFormat="1" ht="12.75">
      <c r="C286" s="18"/>
      <c r="D286" s="18"/>
      <c r="E286" s="23"/>
    </row>
    <row r="287" spans="3:5" s="19" customFormat="1" ht="12.75">
      <c r="C287" s="18"/>
      <c r="D287" s="18"/>
      <c r="E287" s="23"/>
    </row>
    <row r="288" spans="3:5" s="19" customFormat="1" ht="12.75">
      <c r="C288" s="18"/>
      <c r="D288" s="18"/>
      <c r="E288" s="23"/>
    </row>
    <row r="289" spans="3:5" s="19" customFormat="1" ht="12.75">
      <c r="C289" s="18"/>
      <c r="D289" s="18"/>
      <c r="E289" s="23"/>
    </row>
    <row r="290" spans="3:5" s="19" customFormat="1" ht="12.75">
      <c r="C290" s="18"/>
      <c r="D290" s="18"/>
      <c r="E290" s="23"/>
    </row>
    <row r="291" spans="3:5" s="19" customFormat="1" ht="12.75">
      <c r="C291" s="18"/>
      <c r="D291" s="18"/>
      <c r="E291" s="23"/>
    </row>
    <row r="292" spans="3:5" s="19" customFormat="1" ht="12.75">
      <c r="C292" s="18"/>
      <c r="D292" s="18"/>
      <c r="E292" s="23"/>
    </row>
    <row r="293" spans="3:5" s="19" customFormat="1" ht="12.75">
      <c r="C293" s="18"/>
      <c r="D293" s="18"/>
      <c r="E293" s="23"/>
    </row>
    <row r="294" spans="3:5" s="19" customFormat="1" ht="12.75">
      <c r="C294" s="18"/>
      <c r="D294" s="18"/>
      <c r="E294" s="23"/>
    </row>
    <row r="295" spans="3:5" s="19" customFormat="1" ht="12.75">
      <c r="C295" s="18"/>
      <c r="D295" s="18"/>
      <c r="E295" s="23"/>
    </row>
    <row r="296" spans="3:5" s="19" customFormat="1" ht="12.75">
      <c r="C296" s="18"/>
      <c r="D296" s="18"/>
      <c r="E296" s="23"/>
    </row>
    <row r="297" spans="3:5" s="19" customFormat="1" ht="12.75">
      <c r="C297" s="18"/>
      <c r="D297" s="18"/>
      <c r="E297" s="23"/>
    </row>
    <row r="298" spans="3:5" s="19" customFormat="1" ht="12.75">
      <c r="C298" s="18"/>
      <c r="D298" s="18"/>
      <c r="E298" s="23"/>
    </row>
    <row r="299" spans="3:5" s="19" customFormat="1" ht="12.75">
      <c r="C299" s="18"/>
      <c r="D299" s="18"/>
      <c r="E299" s="23"/>
    </row>
    <row r="300" spans="3:5" s="19" customFormat="1" ht="12.75">
      <c r="C300" s="18"/>
      <c r="D300" s="18"/>
      <c r="E300" s="23"/>
    </row>
    <row r="301" spans="3:5" s="19" customFormat="1" ht="12.75">
      <c r="C301" s="18"/>
      <c r="D301" s="18"/>
      <c r="E301" s="23"/>
    </row>
    <row r="302" spans="3:5" s="19" customFormat="1" ht="12.75">
      <c r="C302" s="18"/>
      <c r="D302" s="18"/>
      <c r="E302" s="23"/>
    </row>
    <row r="303" spans="3:5" s="19" customFormat="1" ht="12.75">
      <c r="C303" s="18"/>
      <c r="D303" s="18"/>
      <c r="E303" s="23"/>
    </row>
    <row r="304" spans="3:5" s="19" customFormat="1" ht="12.75">
      <c r="C304" s="18"/>
      <c r="D304" s="18"/>
      <c r="E304" s="23"/>
    </row>
    <row r="305" spans="3:5" s="19" customFormat="1" ht="12.75">
      <c r="C305" s="18"/>
      <c r="D305" s="18"/>
      <c r="E305" s="23"/>
    </row>
    <row r="306" spans="3:5" s="19" customFormat="1" ht="12.75">
      <c r="C306" s="18"/>
      <c r="D306" s="18"/>
      <c r="E306" s="23"/>
    </row>
    <row r="307" spans="3:5" s="19" customFormat="1" ht="12.75">
      <c r="C307" s="18"/>
      <c r="D307" s="18"/>
      <c r="E307" s="23"/>
    </row>
    <row r="308" spans="3:5" s="19" customFormat="1" ht="12.75">
      <c r="C308" s="18"/>
      <c r="D308" s="18"/>
      <c r="E308" s="23"/>
    </row>
    <row r="309" spans="3:5" s="19" customFormat="1" ht="12.75">
      <c r="C309" s="18"/>
      <c r="D309" s="18"/>
      <c r="E309" s="23"/>
    </row>
    <row r="310" spans="3:5" s="19" customFormat="1" ht="12.75">
      <c r="C310" s="18"/>
      <c r="D310" s="18"/>
      <c r="E310" s="23"/>
    </row>
    <row r="311" spans="3:5" s="19" customFormat="1" ht="12.75">
      <c r="C311" s="18"/>
      <c r="D311" s="18"/>
      <c r="E311" s="23"/>
    </row>
    <row r="312" spans="3:5" s="19" customFormat="1" ht="12.75">
      <c r="C312" s="18"/>
      <c r="D312" s="18"/>
      <c r="E312" s="23"/>
    </row>
    <row r="313" spans="3:5" s="19" customFormat="1" ht="12.75">
      <c r="C313" s="18"/>
      <c r="D313" s="18"/>
      <c r="E313" s="23"/>
    </row>
    <row r="314" spans="3:5" s="19" customFormat="1" ht="12.75">
      <c r="C314" s="18"/>
      <c r="D314" s="18"/>
      <c r="E314" s="23"/>
    </row>
    <row r="315" spans="3:5" s="19" customFormat="1" ht="12.75">
      <c r="C315" s="18"/>
      <c r="D315" s="18"/>
      <c r="E315" s="23"/>
    </row>
    <row r="316" spans="3:5" s="19" customFormat="1" ht="12.75">
      <c r="C316" s="18"/>
      <c r="D316" s="18"/>
      <c r="E316" s="23"/>
    </row>
    <row r="317" spans="3:5" s="19" customFormat="1" ht="12.75">
      <c r="C317" s="18"/>
      <c r="D317" s="18"/>
      <c r="E317" s="23"/>
    </row>
    <row r="318" spans="3:5" s="19" customFormat="1" ht="12.75">
      <c r="C318" s="18"/>
      <c r="D318" s="18"/>
      <c r="E318" s="23"/>
    </row>
    <row r="319" spans="3:5" s="19" customFormat="1" ht="12.75">
      <c r="C319" s="18"/>
      <c r="D319" s="18"/>
      <c r="E319" s="23"/>
    </row>
    <row r="320" spans="3:5" s="19" customFormat="1" ht="12.75">
      <c r="C320" s="18"/>
      <c r="D320" s="18"/>
      <c r="E320" s="23"/>
    </row>
    <row r="321" spans="3:5" s="19" customFormat="1" ht="12.75">
      <c r="C321" s="18"/>
      <c r="D321" s="18"/>
      <c r="E321" s="23"/>
    </row>
    <row r="322" spans="3:5" s="19" customFormat="1" ht="12.75">
      <c r="C322" s="18"/>
      <c r="D322" s="18"/>
      <c r="E322" s="23"/>
    </row>
    <row r="323" spans="3:5" s="19" customFormat="1" ht="12.75">
      <c r="C323" s="18"/>
      <c r="D323" s="18"/>
      <c r="E323" s="23"/>
    </row>
  </sheetData>
  <printOptions horizontalCentered="1"/>
  <pageMargins left="0.75" right="0.5" top="1.25" bottom="0.5" header="0.5" footer="0.25"/>
  <pageSetup fitToHeight="1" fitToWidth="1" horizontalDpi="600" verticalDpi="600" orientation="portrait" scale="84" r:id="rId3"/>
  <headerFooter alignWithMargins="0">
    <oddHeader>&amp;R&amp;12Docket No. __________
Exhibit No. _____(RJA-9)
Page &amp;P of &amp;N</oddHeader>
    <oddFooter>&amp;L&amp;F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G70"/>
  <sheetViews>
    <sheetView tabSelected="1" workbookViewId="0" topLeftCell="A1">
      <selection activeCell="D2" sqref="D2"/>
    </sheetView>
  </sheetViews>
  <sheetFormatPr defaultColWidth="9.140625" defaultRowHeight="12.75"/>
  <cols>
    <col min="1" max="1" width="3.140625" style="19" customWidth="1"/>
    <col min="2" max="2" width="2.8515625" style="19" customWidth="1"/>
    <col min="3" max="3" width="6.7109375" style="19" customWidth="1"/>
    <col min="4" max="4" width="35.28125" style="89" customWidth="1"/>
    <col min="5" max="5" width="48.7109375" style="19" customWidth="1"/>
    <col min="6" max="6" width="13.57421875" style="19" bestFit="1" customWidth="1"/>
    <col min="7" max="7" width="2.8515625" style="19" customWidth="1"/>
    <col min="8" max="8" width="14.28125" style="19" bestFit="1" customWidth="1"/>
    <col min="9" max="9" width="3.00390625" style="19" customWidth="1"/>
    <col min="10" max="16384" width="9.140625" style="19" customWidth="1"/>
  </cols>
  <sheetData>
    <row r="1" spans="3:8" ht="15.75">
      <c r="C1" s="21" t="s">
        <v>88</v>
      </c>
      <c r="D1" s="124"/>
      <c r="E1" s="26"/>
      <c r="F1" s="34"/>
      <c r="G1" s="26"/>
      <c r="H1" s="34"/>
    </row>
    <row r="2" spans="3:8" ht="12.75">
      <c r="C2" s="26" t="s">
        <v>120</v>
      </c>
      <c r="D2" s="120"/>
      <c r="E2" s="26"/>
      <c r="F2" s="34"/>
      <c r="G2" s="26"/>
      <c r="H2" s="34"/>
    </row>
    <row r="3" spans="3:8" ht="12.75">
      <c r="C3" s="26" t="s">
        <v>109</v>
      </c>
      <c r="D3" s="125"/>
      <c r="E3" s="26"/>
      <c r="F3" s="34"/>
      <c r="G3" s="26"/>
      <c r="H3" s="34"/>
    </row>
    <row r="4" spans="3:10" ht="12.75">
      <c r="C4" s="75"/>
      <c r="D4" s="46"/>
      <c r="E4" s="30"/>
      <c r="F4" s="67"/>
      <c r="G4" s="30"/>
      <c r="H4" s="67"/>
      <c r="I4" s="30"/>
      <c r="J4" s="30"/>
    </row>
    <row r="5" spans="2:10" ht="12.75">
      <c r="B5" s="36"/>
      <c r="C5" s="112"/>
      <c r="D5" s="121"/>
      <c r="E5" s="40"/>
      <c r="F5" s="40"/>
      <c r="G5" s="40"/>
      <c r="H5" s="110"/>
      <c r="I5" s="41"/>
      <c r="J5" s="30"/>
    </row>
    <row r="6" spans="2:215" s="114" customFormat="1" ht="25.5">
      <c r="B6" s="115"/>
      <c r="C6" s="116" t="s">
        <v>0</v>
      </c>
      <c r="D6" s="142" t="s">
        <v>121</v>
      </c>
      <c r="E6" s="116" t="s">
        <v>1</v>
      </c>
      <c r="F6" s="116" t="s">
        <v>2</v>
      </c>
      <c r="G6" s="116"/>
      <c r="H6" s="116" t="s">
        <v>3</v>
      </c>
      <c r="I6" s="117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</row>
    <row r="7" spans="2:9" ht="12.75">
      <c r="B7" s="43"/>
      <c r="C7" s="28"/>
      <c r="D7" s="119"/>
      <c r="E7" s="30"/>
      <c r="F7" s="67"/>
      <c r="G7" s="30"/>
      <c r="H7" s="67"/>
      <c r="I7" s="42"/>
    </row>
    <row r="8" spans="2:9" ht="12.75">
      <c r="B8" s="43"/>
      <c r="C8" s="28"/>
      <c r="D8" s="46" t="s">
        <v>113</v>
      </c>
      <c r="E8" s="75" t="s">
        <v>114</v>
      </c>
      <c r="F8" s="75" t="s">
        <v>115</v>
      </c>
      <c r="G8" s="75"/>
      <c r="H8" s="75" t="s">
        <v>116</v>
      </c>
      <c r="I8" s="42"/>
    </row>
    <row r="9" spans="2:9" ht="12.75">
      <c r="B9" s="43"/>
      <c r="C9" s="28"/>
      <c r="D9" s="46"/>
      <c r="E9" s="75"/>
      <c r="F9" s="75"/>
      <c r="G9" s="75"/>
      <c r="H9" s="75"/>
      <c r="I9" s="42"/>
    </row>
    <row r="10" spans="2:15" ht="12.75">
      <c r="B10" s="43"/>
      <c r="C10" s="79" t="s">
        <v>89</v>
      </c>
      <c r="D10" s="126"/>
      <c r="E10" s="83" t="s">
        <v>4</v>
      </c>
      <c r="F10" s="127">
        <f>'Gas Cost Bandwith'!G26</f>
        <v>1</v>
      </c>
      <c r="G10" s="82"/>
      <c r="H10" s="127">
        <f>'Gas Cost Bandwith'!G25</f>
        <v>2</v>
      </c>
      <c r="I10" s="128"/>
      <c r="J10" s="129"/>
      <c r="K10" s="129"/>
      <c r="L10" s="129"/>
      <c r="M10" s="129"/>
      <c r="N10" s="129"/>
      <c r="O10" s="129"/>
    </row>
    <row r="11" spans="2:15" ht="12.75">
      <c r="B11" s="43"/>
      <c r="C11" s="79"/>
      <c r="D11" s="126"/>
      <c r="E11" s="83"/>
      <c r="F11" s="82"/>
      <c r="G11" s="82"/>
      <c r="H11" s="82"/>
      <c r="I11" s="128"/>
      <c r="J11" s="129"/>
      <c r="K11" s="129"/>
      <c r="L11" s="129"/>
      <c r="M11" s="129"/>
      <c r="N11" s="129"/>
      <c r="O11" s="129"/>
    </row>
    <row r="12" spans="2:15" ht="12.75">
      <c r="B12" s="43"/>
      <c r="C12" s="79" t="s">
        <v>90</v>
      </c>
      <c r="D12" s="126"/>
      <c r="E12" s="83" t="s">
        <v>5</v>
      </c>
      <c r="F12" s="130">
        <v>93600</v>
      </c>
      <c r="G12" s="131"/>
      <c r="H12" s="130">
        <v>93600</v>
      </c>
      <c r="I12" s="128"/>
      <c r="J12" s="129"/>
      <c r="K12" s="129"/>
      <c r="L12" s="129"/>
      <c r="M12" s="129"/>
      <c r="N12" s="129"/>
      <c r="O12" s="129"/>
    </row>
    <row r="13" spans="2:15" ht="12.75">
      <c r="B13" s="43"/>
      <c r="C13" s="79"/>
      <c r="D13" s="126"/>
      <c r="E13" s="83"/>
      <c r="F13" s="82"/>
      <c r="G13" s="82"/>
      <c r="H13" s="82"/>
      <c r="I13" s="128"/>
      <c r="J13" s="129"/>
      <c r="K13" s="129"/>
      <c r="L13" s="129"/>
      <c r="M13" s="129"/>
      <c r="N13" s="129"/>
      <c r="O13" s="129"/>
    </row>
    <row r="14" spans="2:15" ht="12.75">
      <c r="B14" s="43"/>
      <c r="C14" s="79" t="s">
        <v>91</v>
      </c>
      <c r="D14" s="126" t="s">
        <v>122</v>
      </c>
      <c r="E14" s="83" t="s">
        <v>6</v>
      </c>
      <c r="F14" s="82">
        <f>F12/100000</f>
        <v>0.936</v>
      </c>
      <c r="G14" s="82"/>
      <c r="H14" s="82">
        <f>H12/100000</f>
        <v>0.936</v>
      </c>
      <c r="I14" s="128"/>
      <c r="J14" s="129"/>
      <c r="K14" s="129"/>
      <c r="L14" s="129"/>
      <c r="M14" s="129"/>
      <c r="N14" s="129"/>
      <c r="O14" s="129"/>
    </row>
    <row r="15" spans="2:15" ht="12.75">
      <c r="B15" s="43"/>
      <c r="C15" s="79"/>
      <c r="D15" s="126"/>
      <c r="E15" s="83"/>
      <c r="F15" s="82"/>
      <c r="G15" s="82"/>
      <c r="H15" s="82"/>
      <c r="I15" s="128"/>
      <c r="J15" s="129"/>
      <c r="K15" s="129"/>
      <c r="L15" s="129"/>
      <c r="M15" s="129"/>
      <c r="N15" s="129"/>
      <c r="O15" s="129"/>
    </row>
    <row r="16" spans="2:15" ht="12.75">
      <c r="B16" s="43"/>
      <c r="C16" s="79" t="s">
        <v>92</v>
      </c>
      <c r="D16" s="126" t="s">
        <v>123</v>
      </c>
      <c r="E16" s="83" t="s">
        <v>7</v>
      </c>
      <c r="F16" s="132">
        <f>ROUND(F10/F14,5)</f>
        <v>1.06838</v>
      </c>
      <c r="G16" s="82"/>
      <c r="H16" s="132">
        <f>ROUND(H10/H14,5)</f>
        <v>2.13675</v>
      </c>
      <c r="I16" s="128"/>
      <c r="J16" s="129"/>
      <c r="K16" s="129"/>
      <c r="L16" s="129"/>
      <c r="M16" s="129"/>
      <c r="N16" s="129"/>
      <c r="O16" s="129"/>
    </row>
    <row r="17" spans="2:15" ht="12.75">
      <c r="B17" s="43"/>
      <c r="C17" s="79"/>
      <c r="D17" s="126"/>
      <c r="E17" s="83"/>
      <c r="F17" s="82"/>
      <c r="G17" s="82"/>
      <c r="H17" s="82"/>
      <c r="I17" s="128"/>
      <c r="J17" s="129"/>
      <c r="K17" s="129"/>
      <c r="L17" s="129"/>
      <c r="M17" s="129"/>
      <c r="N17" s="129"/>
      <c r="O17" s="129"/>
    </row>
    <row r="18" spans="2:15" s="85" customFormat="1" ht="12.75">
      <c r="B18" s="113"/>
      <c r="C18" s="133" t="s">
        <v>93</v>
      </c>
      <c r="D18" s="134" t="s">
        <v>134</v>
      </c>
      <c r="E18" s="135" t="s">
        <v>58</v>
      </c>
      <c r="F18" s="136">
        <f>COSS!$M$38*Therms!$F$40</f>
        <v>466.6420578666667</v>
      </c>
      <c r="G18" s="131"/>
      <c r="H18" s="136">
        <f>COSS!$M$38*Therms!$F$40</f>
        <v>466.6420578666667</v>
      </c>
      <c r="I18" s="137"/>
      <c r="J18" s="138"/>
      <c r="K18" s="138"/>
      <c r="L18" s="138"/>
      <c r="M18" s="138"/>
      <c r="N18" s="138"/>
      <c r="O18" s="138"/>
    </row>
    <row r="19" spans="2:15" s="85" customFormat="1" ht="12.75">
      <c r="B19" s="113"/>
      <c r="C19" s="133"/>
      <c r="D19" s="134"/>
      <c r="E19" s="135"/>
      <c r="F19" s="131"/>
      <c r="G19" s="131"/>
      <c r="H19" s="131"/>
      <c r="I19" s="137"/>
      <c r="J19" s="138"/>
      <c r="K19" s="138"/>
      <c r="L19" s="138"/>
      <c r="M19" s="138"/>
      <c r="N19" s="138"/>
      <c r="O19" s="138"/>
    </row>
    <row r="20" spans="2:15" s="85" customFormat="1" ht="12.75">
      <c r="B20" s="113"/>
      <c r="C20" s="133" t="s">
        <v>94</v>
      </c>
      <c r="D20" s="134" t="s">
        <v>124</v>
      </c>
      <c r="E20" s="135" t="s">
        <v>8</v>
      </c>
      <c r="F20" s="136">
        <f>7.5*12</f>
        <v>90</v>
      </c>
      <c r="G20" s="131"/>
      <c r="H20" s="136">
        <f>7.5*12</f>
        <v>90</v>
      </c>
      <c r="I20" s="137"/>
      <c r="J20" s="138"/>
      <c r="K20" s="138"/>
      <c r="L20" s="138"/>
      <c r="M20" s="138"/>
      <c r="N20" s="138"/>
      <c r="O20" s="138"/>
    </row>
    <row r="21" spans="2:15" ht="12.75">
      <c r="B21" s="43"/>
      <c r="C21" s="79"/>
      <c r="D21" s="126"/>
      <c r="E21" s="83"/>
      <c r="F21" s="82"/>
      <c r="G21" s="82"/>
      <c r="H21" s="82"/>
      <c r="I21" s="128"/>
      <c r="J21" s="129"/>
      <c r="K21" s="129"/>
      <c r="L21" s="129"/>
      <c r="M21" s="129"/>
      <c r="N21" s="129"/>
      <c r="O21" s="129"/>
    </row>
    <row r="22" spans="2:15" ht="12.75">
      <c r="B22" s="43"/>
      <c r="C22" s="79" t="s">
        <v>95</v>
      </c>
      <c r="D22" s="126" t="s">
        <v>127</v>
      </c>
      <c r="E22" s="83" t="s">
        <v>9</v>
      </c>
      <c r="F22" s="139">
        <f>F18-F20</f>
        <v>376.6420578666667</v>
      </c>
      <c r="G22" s="82"/>
      <c r="H22" s="139">
        <f>H18-H20</f>
        <v>376.6420578666667</v>
      </c>
      <c r="I22" s="128"/>
      <c r="J22" s="129"/>
      <c r="K22" s="129"/>
      <c r="L22" s="129"/>
      <c r="M22" s="129"/>
      <c r="N22" s="129"/>
      <c r="O22" s="129"/>
    </row>
    <row r="23" spans="2:15" ht="12.75">
      <c r="B23" s="43"/>
      <c r="C23" s="79"/>
      <c r="D23" s="126"/>
      <c r="E23" s="83"/>
      <c r="F23" s="82"/>
      <c r="G23" s="82"/>
      <c r="H23" s="82"/>
      <c r="I23" s="128"/>
      <c r="J23" s="129"/>
      <c r="K23" s="129"/>
      <c r="L23" s="129"/>
      <c r="M23" s="129"/>
      <c r="N23" s="129"/>
      <c r="O23" s="129"/>
    </row>
    <row r="24" spans="2:15" ht="12.75">
      <c r="B24" s="43"/>
      <c r="C24" s="79" t="s">
        <v>96</v>
      </c>
      <c r="D24" s="126"/>
      <c r="E24" s="83" t="s">
        <v>10</v>
      </c>
      <c r="F24" s="140">
        <f>Therms!F40</f>
        <v>1261.331111111111</v>
      </c>
      <c r="G24" s="82"/>
      <c r="H24" s="140">
        <f>F24</f>
        <v>1261.331111111111</v>
      </c>
      <c r="I24" s="128"/>
      <c r="J24" s="129"/>
      <c r="K24" s="129"/>
      <c r="L24" s="129"/>
      <c r="M24" s="129"/>
      <c r="N24" s="129"/>
      <c r="O24" s="129"/>
    </row>
    <row r="25" spans="2:15" ht="12.75">
      <c r="B25" s="43"/>
      <c r="C25" s="79"/>
      <c r="D25" s="126"/>
      <c r="E25" s="83"/>
      <c r="F25" s="82"/>
      <c r="G25" s="82"/>
      <c r="H25" s="82"/>
      <c r="I25" s="128"/>
      <c r="J25" s="129"/>
      <c r="K25" s="129"/>
      <c r="L25" s="129"/>
      <c r="M25" s="129"/>
      <c r="N25" s="129"/>
      <c r="O25" s="129"/>
    </row>
    <row r="26" spans="2:15" ht="12.75">
      <c r="B26" s="43"/>
      <c r="C26" s="79" t="s">
        <v>97</v>
      </c>
      <c r="D26" s="126" t="s">
        <v>125</v>
      </c>
      <c r="E26" s="83" t="s">
        <v>11</v>
      </c>
      <c r="F26" s="132">
        <f>ROUND(F22/F24,5)</f>
        <v>0.29861</v>
      </c>
      <c r="G26" s="82"/>
      <c r="H26" s="132">
        <f>ROUND(H22/H24,5)</f>
        <v>0.29861</v>
      </c>
      <c r="I26" s="128"/>
      <c r="J26" s="129"/>
      <c r="K26" s="129"/>
      <c r="L26" s="129"/>
      <c r="M26" s="129"/>
      <c r="N26" s="129"/>
      <c r="O26" s="129"/>
    </row>
    <row r="27" spans="2:15" ht="12.75">
      <c r="B27" s="43"/>
      <c r="C27" s="79"/>
      <c r="D27" s="126"/>
      <c r="E27" s="83"/>
      <c r="F27" s="82"/>
      <c r="G27" s="82"/>
      <c r="H27" s="82"/>
      <c r="I27" s="128"/>
      <c r="J27" s="129"/>
      <c r="K27" s="129"/>
      <c r="L27" s="129"/>
      <c r="M27" s="129"/>
      <c r="N27" s="129"/>
      <c r="O27" s="129"/>
    </row>
    <row r="28" spans="2:15" ht="25.5">
      <c r="B28" s="43"/>
      <c r="C28" s="79" t="s">
        <v>98</v>
      </c>
      <c r="D28" s="126" t="s">
        <v>126</v>
      </c>
      <c r="E28" s="83" t="s">
        <v>12</v>
      </c>
      <c r="F28" s="132">
        <f>ROUND(F26+F16,5)</f>
        <v>1.36699</v>
      </c>
      <c r="G28" s="82"/>
      <c r="H28" s="132">
        <f>ROUND(H26+H16,5)</f>
        <v>2.43536</v>
      </c>
      <c r="I28" s="128"/>
      <c r="J28" s="129"/>
      <c r="K28" s="129"/>
      <c r="L28" s="129"/>
      <c r="M28" s="129"/>
      <c r="N28" s="129"/>
      <c r="O28" s="129"/>
    </row>
    <row r="29" spans="2:15" ht="12.75">
      <c r="B29" s="43"/>
      <c r="C29" s="79"/>
      <c r="D29" s="126"/>
      <c r="E29" s="83"/>
      <c r="F29" s="82"/>
      <c r="G29" s="82"/>
      <c r="H29" s="82"/>
      <c r="I29" s="128"/>
      <c r="J29" s="129"/>
      <c r="K29" s="129"/>
      <c r="L29" s="129"/>
      <c r="M29" s="129"/>
      <c r="N29" s="129"/>
      <c r="O29" s="129"/>
    </row>
    <row r="30" spans="2:15" ht="12.75">
      <c r="B30" s="43"/>
      <c r="C30" s="79" t="s">
        <v>99</v>
      </c>
      <c r="D30" s="126"/>
      <c r="E30" s="83" t="s">
        <v>57</v>
      </c>
      <c r="F30" s="127">
        <v>0.35901</v>
      </c>
      <c r="G30" s="82"/>
      <c r="H30" s="127">
        <v>0.35901</v>
      </c>
      <c r="I30" s="128"/>
      <c r="J30" s="129"/>
      <c r="K30" s="129"/>
      <c r="L30" s="129"/>
      <c r="M30" s="129"/>
      <c r="N30" s="129"/>
      <c r="O30" s="129"/>
    </row>
    <row r="31" spans="2:15" ht="12.75">
      <c r="B31" s="43"/>
      <c r="C31" s="79"/>
      <c r="D31" s="126"/>
      <c r="E31" s="83"/>
      <c r="F31" s="82"/>
      <c r="G31" s="82"/>
      <c r="H31" s="82"/>
      <c r="I31" s="128"/>
      <c r="J31" s="129"/>
      <c r="K31" s="129"/>
      <c r="L31" s="129"/>
      <c r="M31" s="129"/>
      <c r="N31" s="129"/>
      <c r="O31" s="129"/>
    </row>
    <row r="32" spans="2:15" s="85" customFormat="1" ht="12.75">
      <c r="B32" s="113"/>
      <c r="C32" s="133" t="s">
        <v>100</v>
      </c>
      <c r="D32" s="134" t="s">
        <v>128</v>
      </c>
      <c r="E32" s="135" t="s">
        <v>13</v>
      </c>
      <c r="F32" s="141">
        <f>F30+F16</f>
        <v>1.4273900000000002</v>
      </c>
      <c r="G32" s="131"/>
      <c r="H32" s="141">
        <f>H30+H16</f>
        <v>2.49576</v>
      </c>
      <c r="I32" s="137"/>
      <c r="J32" s="138"/>
      <c r="K32" s="138"/>
      <c r="L32" s="138"/>
      <c r="M32" s="138"/>
      <c r="N32" s="138"/>
      <c r="O32" s="138"/>
    </row>
    <row r="33" spans="2:15" ht="13.5" thickBot="1">
      <c r="B33" s="43"/>
      <c r="C33" s="79"/>
      <c r="D33" s="126"/>
      <c r="E33" s="83"/>
      <c r="F33" s="82"/>
      <c r="G33" s="82"/>
      <c r="H33" s="82"/>
      <c r="I33" s="128"/>
      <c r="J33" s="129"/>
      <c r="K33" s="129"/>
      <c r="L33" s="129"/>
      <c r="M33" s="129"/>
      <c r="N33" s="129"/>
      <c r="O33" s="129"/>
    </row>
    <row r="34" spans="2:15" s="85" customFormat="1" ht="26.25" thickBot="1">
      <c r="B34" s="113"/>
      <c r="C34" s="133" t="s">
        <v>101</v>
      </c>
      <c r="D34" s="134" t="s">
        <v>129</v>
      </c>
      <c r="E34" s="135" t="s">
        <v>14</v>
      </c>
      <c r="F34" s="166">
        <f>F30-F26</f>
        <v>0.06040000000000001</v>
      </c>
      <c r="G34" s="131"/>
      <c r="H34" s="166">
        <f>H30-H26</f>
        <v>0.06040000000000001</v>
      </c>
      <c r="I34" s="137"/>
      <c r="J34" s="138"/>
      <c r="K34" s="138"/>
      <c r="L34" s="138"/>
      <c r="M34" s="138"/>
      <c r="N34" s="138"/>
      <c r="O34" s="138"/>
    </row>
    <row r="35" spans="2:15" ht="12.75">
      <c r="B35" s="43"/>
      <c r="C35" s="80"/>
      <c r="D35" s="126"/>
      <c r="E35" s="82"/>
      <c r="F35" s="82"/>
      <c r="G35" s="82"/>
      <c r="H35" s="82"/>
      <c r="I35" s="128"/>
      <c r="J35" s="129"/>
      <c r="K35" s="129"/>
      <c r="L35" s="129"/>
      <c r="M35" s="129"/>
      <c r="N35" s="129"/>
      <c r="O35" s="129"/>
    </row>
    <row r="36" spans="2:9" ht="12.75">
      <c r="B36" s="51"/>
      <c r="C36" s="53"/>
      <c r="D36" s="122"/>
      <c r="E36" s="55"/>
      <c r="F36" s="55"/>
      <c r="G36" s="55"/>
      <c r="H36" s="55"/>
      <c r="I36" s="56"/>
    </row>
    <row r="37" spans="3:4" ht="12.75">
      <c r="C37" s="18"/>
      <c r="D37" s="123"/>
    </row>
    <row r="38" spans="3:4" ht="12.75">
      <c r="C38" s="18"/>
      <c r="D38" s="123"/>
    </row>
    <row r="39" spans="3:4" ht="12.75">
      <c r="C39" s="18"/>
      <c r="D39" s="123"/>
    </row>
    <row r="40" spans="3:4" ht="12.75">
      <c r="C40" s="18"/>
      <c r="D40" s="123"/>
    </row>
    <row r="41" spans="3:4" ht="12.75">
      <c r="C41" s="18"/>
      <c r="D41" s="123"/>
    </row>
    <row r="42" spans="3:4" ht="12.75">
      <c r="C42" s="18"/>
      <c r="D42" s="123"/>
    </row>
    <row r="43" spans="3:4" ht="12.75">
      <c r="C43" s="18"/>
      <c r="D43" s="123"/>
    </row>
    <row r="44" spans="3:4" ht="12.75">
      <c r="C44" s="18"/>
      <c r="D44" s="123"/>
    </row>
    <row r="45" spans="3:4" ht="12.75">
      <c r="C45" s="18"/>
      <c r="D45" s="123"/>
    </row>
    <row r="46" spans="3:4" ht="12.75">
      <c r="C46" s="18"/>
      <c r="D46" s="123"/>
    </row>
    <row r="47" spans="3:4" ht="12.75">
      <c r="C47" s="18"/>
      <c r="D47" s="123"/>
    </row>
    <row r="48" spans="3:4" ht="12.75">
      <c r="C48" s="18"/>
      <c r="D48" s="123"/>
    </row>
    <row r="49" spans="3:4" ht="12.75">
      <c r="C49" s="18"/>
      <c r="D49" s="123"/>
    </row>
    <row r="50" spans="3:4" ht="12.75">
      <c r="C50" s="18"/>
      <c r="D50" s="123"/>
    </row>
    <row r="51" spans="3:4" ht="12.75">
      <c r="C51" s="18"/>
      <c r="D51" s="123"/>
    </row>
    <row r="52" spans="3:4" ht="12.75">
      <c r="C52" s="18"/>
      <c r="D52" s="123"/>
    </row>
    <row r="53" spans="3:4" ht="12.75">
      <c r="C53" s="18"/>
      <c r="D53" s="123"/>
    </row>
    <row r="54" spans="3:4" ht="12.75">
      <c r="C54" s="18"/>
      <c r="D54" s="123"/>
    </row>
    <row r="55" spans="3:4" ht="12.75">
      <c r="C55" s="18"/>
      <c r="D55" s="123"/>
    </row>
    <row r="56" spans="3:4" ht="12.75">
      <c r="C56" s="18"/>
      <c r="D56" s="123"/>
    </row>
    <row r="57" spans="3:4" ht="12.75">
      <c r="C57" s="18"/>
      <c r="D57" s="123"/>
    </row>
    <row r="58" spans="3:4" ht="12.75">
      <c r="C58" s="18"/>
      <c r="D58" s="123"/>
    </row>
    <row r="59" spans="3:4" ht="12.75">
      <c r="C59" s="18"/>
      <c r="D59" s="123"/>
    </row>
    <row r="60" spans="3:4" ht="12.75">
      <c r="C60" s="18"/>
      <c r="D60" s="123"/>
    </row>
    <row r="61" spans="3:4" ht="12.75">
      <c r="C61" s="18"/>
      <c r="D61" s="123"/>
    </row>
    <row r="62" spans="3:4" ht="12.75">
      <c r="C62" s="18"/>
      <c r="D62" s="123"/>
    </row>
    <row r="63" spans="3:4" ht="12.75">
      <c r="C63" s="18"/>
      <c r="D63" s="123"/>
    </row>
    <row r="64" spans="3:4" ht="12.75">
      <c r="C64" s="18"/>
      <c r="D64" s="123"/>
    </row>
    <row r="65" spans="3:4" ht="12.75">
      <c r="C65" s="18"/>
      <c r="D65" s="123"/>
    </row>
    <row r="66" spans="3:4" ht="12.75">
      <c r="C66" s="18"/>
      <c r="D66" s="123"/>
    </row>
    <row r="67" spans="3:4" ht="12.75">
      <c r="C67" s="18"/>
      <c r="D67" s="123"/>
    </row>
    <row r="68" spans="3:4" ht="12.75">
      <c r="C68" s="18"/>
      <c r="D68" s="123"/>
    </row>
    <row r="69" spans="3:4" ht="12.75">
      <c r="C69" s="18"/>
      <c r="D69" s="123"/>
    </row>
    <row r="70" spans="3:4" ht="12.75">
      <c r="C70" s="18"/>
      <c r="D70" s="123"/>
    </row>
  </sheetData>
  <printOptions/>
  <pageMargins left="0.75" right="0.75" top="1" bottom="1" header="0.5" footer="0.5"/>
  <pageSetup fitToHeight="1" fitToWidth="1" horizontalDpi="600" verticalDpi="600" orientation="portrait" scale="69" r:id="rId1"/>
  <headerFooter alignWithMargins="0">
    <oddHeader>&amp;R&amp;12Docket No. __________
Exhibit No. _____(RJA-9)
Page &amp;P of &amp;N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jwalta</dc:creator>
  <cp:keywords/>
  <dc:description/>
  <cp:lastModifiedBy>PSE</cp:lastModifiedBy>
  <cp:lastPrinted>2001-11-22T11:05:59Z</cp:lastPrinted>
  <dcterms:created xsi:type="dcterms:W3CDTF">2001-10-26T17:54:37Z</dcterms:created>
  <dcterms:modified xsi:type="dcterms:W3CDTF">2001-11-21T11:50:20Z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011570</vt:lpwstr>
  </property>
  <property fmtid="{D5CDD505-2E9C-101B-9397-08002B2CF9AE}" pid="5" name="IsConfidential">
    <vt:lpwstr>0</vt:lpwstr>
  </property>
  <property fmtid="{D5CDD505-2E9C-101B-9397-08002B2CF9AE}" pid="6" name="Date1">
    <vt:lpwstr>2001-11-26T00:00:00Z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2001-11-26T00:00:00Z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