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Regulatory_Affairs\Wyman\Rate Case\2018 UG 181053 Washington\Rate Spread Rate Design\Testimony &amp; Exhibits\Workpapers\FILED WORKPAPERS\"/>
    </mc:Choice>
  </mc:AlternateContent>
  <bookViews>
    <workbookView xWindow="1728" yWindow="-72" windowWidth="17004" windowHeight="10056" tabRatio="845"/>
  </bookViews>
  <sheets>
    <sheet name="Index" sheetId="30" r:id="rId1"/>
    <sheet name="2015Summary METER to CASH (Base" sheetId="4" r:id="rId2"/>
    <sheet name="2016 Summary Proj. From Inputs" sheetId="25" r:id="rId3"/>
    <sheet name="Meter Reading" sheetId="5" r:id="rId4"/>
    <sheet name="Billing" sheetId="6" r:id="rId5"/>
    <sheet name="Payment Processing" sheetId="7" r:id="rId6"/>
    <sheet name="Collections" sheetId="8" r:id="rId7"/>
    <sheet name="FTE Alloc OR &amp; WA" sheetId="15" state="hidden" r:id="rId8"/>
    <sheet name="FTE Alloc OREGON" sheetId="22" state="hidden" r:id="rId9"/>
    <sheet name="Meter Read #'s" sheetId="16" state="hidden" r:id="rId10"/>
    <sheet name="Projection Inputs" sheetId="23" r:id="rId11"/>
    <sheet name="BI DATA  Download For Forecasti" sheetId="27" r:id="rId12"/>
    <sheet name="Base 2015 actual for Cost Cente" sheetId="12" r:id="rId13"/>
    <sheet name="2015 - 2016 Customers" sheetId="28" r:id="rId14"/>
    <sheet name="ADDED INPUT DeepDive Bill Print" sheetId="26" r:id="rId15"/>
  </sheets>
  <externalReferences>
    <externalReference r:id="rId16"/>
  </externalReferences>
  <definedNames>
    <definedName name="_AtRisk_FitDataRange_FIT_36E1E_42B43" hidden="1">#REF!</definedName>
    <definedName name="_AtRisk_FitDataRange_FIT_95FD2_942D2"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'2015Summary METER to CASH (Base'!$A$9:$R$31</definedName>
    <definedName name="_xlnm._FilterDatabase" localSheetId="2" hidden="1">'2016 Summary Proj. From Inputs'!$A$9:$R$31</definedName>
    <definedName name="_xlnm._FilterDatabase" localSheetId="12" hidden="1">'Base 2015 actual for Cost Cente'!$A$2:$F$374</definedName>
    <definedName name="_xlnm._FilterDatabase" localSheetId="11" hidden="1">'BI DATA  Download For Forecasti'!$B$33:$R$306</definedName>
    <definedName name="_xlnm._FilterDatabase" localSheetId="4" hidden="1">Billing!$A$6:$AV$271</definedName>
    <definedName name="_xlnm._FilterDatabase" localSheetId="6" hidden="1">Collections!$A$6:$AU$272</definedName>
    <definedName name="_xlnm._FilterDatabase" localSheetId="3" hidden="1">'Meter Reading'!$A$6:$AU$183</definedName>
    <definedName name="_xlnm._FilterDatabase" localSheetId="5" hidden="1">'Payment Processing'!$A$6:$AU$6</definedName>
    <definedName name="Pal_Workbook_GUID" hidden="1">"27J7X3C4APY7PEEA18A4VDG5"</definedName>
    <definedName name="_xlnm.Print_Area" localSheetId="1">'2015Summary METER to CASH (Base'!$A$1:$W$42</definedName>
    <definedName name="_xlnm.Print_Area" localSheetId="2">'2016 Summary Proj. From Inputs'!$A$1:$W$45</definedName>
    <definedName name="_xlnm.Print_Area" localSheetId="14">'ADDED INPUT DeepDive Bill Print'!$A$1:$L$32</definedName>
    <definedName name="_xlnm.Print_Area" localSheetId="4">Billing!$A$3:$AL$264</definedName>
    <definedName name="_xlnm.Print_Area" localSheetId="6">Collections!$A$3:$AL$267</definedName>
    <definedName name="_xlnm.Print_Area" localSheetId="7">'FTE Alloc OR &amp; WA'!$A$25:$R$48</definedName>
    <definedName name="_xlnm.Print_Area" localSheetId="8">'FTE Alloc OREGON'!$A$25:$R$48</definedName>
    <definedName name="_xlnm.Print_Area" localSheetId="3">'Meter Reading'!$A$3:$AL$178</definedName>
    <definedName name="_xlnm.Print_Area" localSheetId="5">'Payment Processing'!$A$3:$AL$134</definedName>
    <definedName name="_xlnm.Print_Area" localSheetId="10">'Projection Inputs'!$A$1:$K$35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52511"/>
</workbook>
</file>

<file path=xl/calcChain.xml><?xml version="1.0" encoding="utf-8"?>
<calcChain xmlns="http://schemas.openxmlformats.org/spreadsheetml/2006/main">
  <c r="AJ141" i="7" l="1"/>
  <c r="AJ67" i="8"/>
  <c r="AJ65" i="8"/>
  <c r="AJ41" i="7"/>
  <c r="AJ64" i="5"/>
  <c r="AJ17" i="5"/>
  <c r="AJ230" i="6"/>
  <c r="AJ229" i="6"/>
  <c r="AJ202" i="6"/>
  <c r="AJ201" i="6"/>
  <c r="AJ200" i="6"/>
  <c r="AJ195" i="6"/>
  <c r="AJ164" i="6"/>
  <c r="AJ160" i="6"/>
  <c r="AJ159" i="6"/>
  <c r="AJ158" i="6"/>
  <c r="AJ157" i="6"/>
  <c r="AJ146" i="6"/>
  <c r="AJ145" i="6"/>
  <c r="AJ144" i="6"/>
  <c r="AJ67" i="6"/>
  <c r="AJ65" i="6"/>
  <c r="B98" i="8" l="1"/>
  <c r="D98" i="8"/>
  <c r="B99" i="8"/>
  <c r="J99" i="8"/>
  <c r="I99" i="8" s="1"/>
  <c r="AD99" i="8"/>
  <c r="AC99" i="8" s="1"/>
  <c r="B100" i="8"/>
  <c r="B50" i="8"/>
  <c r="D50" i="8"/>
  <c r="B51" i="8"/>
  <c r="L51" i="8"/>
  <c r="V51" i="8"/>
  <c r="AF51" i="8"/>
  <c r="B52" i="8"/>
  <c r="L52" i="8"/>
  <c r="V52" i="8"/>
  <c r="AF52" i="8"/>
  <c r="B50" i="6"/>
  <c r="D50" i="6"/>
  <c r="B51" i="6"/>
  <c r="L51" i="6"/>
  <c r="V51" i="6"/>
  <c r="AF51" i="6"/>
  <c r="B52" i="6"/>
  <c r="L52" i="6"/>
  <c r="V52" i="6"/>
  <c r="AF52" i="6"/>
  <c r="B112" i="8"/>
  <c r="B65" i="7"/>
  <c r="B195" i="6"/>
  <c r="AG99" i="8" l="1"/>
  <c r="M99" i="8"/>
  <c r="O2" i="7"/>
  <c r="A387" i="12"/>
  <c r="A386" i="12"/>
  <c r="AD131" i="6"/>
  <c r="AC131" i="6" s="1"/>
  <c r="AC132" i="6"/>
  <c r="AC133" i="6"/>
  <c r="AJ133" i="6" s="1"/>
  <c r="M153" i="5"/>
  <c r="AG153" i="5"/>
  <c r="AG152" i="5"/>
  <c r="AC152" i="5"/>
  <c r="W153" i="5"/>
  <c r="W152" i="5"/>
  <c r="M152" i="5"/>
  <c r="AC153" i="5" l="1"/>
  <c r="AD110" i="8"/>
  <c r="T109" i="6"/>
  <c r="Y23" i="28" l="1"/>
  <c r="V7" i="25" s="1"/>
  <c r="L23" i="28"/>
  <c r="V7" i="4" s="1"/>
  <c r="Y22" i="28"/>
  <c r="U7" i="25" s="1"/>
  <c r="L22" i="28"/>
  <c r="U7" i="4" s="1"/>
  <c r="Y21" i="28"/>
  <c r="Y24" i="28" s="1"/>
  <c r="L21" i="28"/>
  <c r="T7" i="4" s="1"/>
  <c r="T7" i="25" l="1"/>
  <c r="L24" i="28"/>
  <c r="W7" i="4"/>
  <c r="U6" i="25"/>
  <c r="T6" i="25"/>
  <c r="R8" i="25" l="1"/>
  <c r="H28" i="23"/>
  <c r="I28" i="23"/>
  <c r="G28" i="23"/>
  <c r="AC6" i="7"/>
  <c r="S6" i="7"/>
  <c r="I6" i="7"/>
  <c r="AC6" i="6"/>
  <c r="S6" i="6"/>
  <c r="I6" i="6"/>
  <c r="AC6" i="5"/>
  <c r="S6" i="5"/>
  <c r="I6" i="5"/>
  <c r="E6" i="4"/>
  <c r="F6" i="4"/>
  <c r="E7" i="4"/>
  <c r="F7" i="4"/>
  <c r="D7" i="4"/>
  <c r="D6" i="4"/>
  <c r="M6" i="4"/>
  <c r="N6" i="4"/>
  <c r="M7" i="4"/>
  <c r="N7" i="4"/>
  <c r="L7" i="4"/>
  <c r="L6" i="4"/>
  <c r="I6" i="4"/>
  <c r="J6" i="4"/>
  <c r="I7" i="4"/>
  <c r="J7" i="4"/>
  <c r="H7" i="4"/>
  <c r="H6" i="4"/>
  <c r="N6" i="25"/>
  <c r="N7" i="25"/>
  <c r="L7" i="25"/>
  <c r="L6" i="25"/>
  <c r="I6" i="25"/>
  <c r="J6" i="25"/>
  <c r="I7" i="25"/>
  <c r="J7" i="25"/>
  <c r="H7" i="25"/>
  <c r="H6" i="25"/>
  <c r="E6" i="25"/>
  <c r="F6" i="25"/>
  <c r="E7" i="25"/>
  <c r="F7" i="25"/>
  <c r="D7" i="25"/>
  <c r="D6" i="25"/>
  <c r="N8" i="28"/>
  <c r="O8" i="28"/>
  <c r="R6" i="25" s="1"/>
  <c r="N9" i="28"/>
  <c r="Q7" i="25" s="1"/>
  <c r="O9" i="28"/>
  <c r="R7" i="25" s="1"/>
  <c r="M9" i="28"/>
  <c r="P7" i="25" s="1"/>
  <c r="M8" i="28"/>
  <c r="P6" i="25" s="1"/>
  <c r="P8" i="25" s="1"/>
  <c r="M4" i="28"/>
  <c r="I6" i="8" s="1"/>
  <c r="M3" i="28"/>
  <c r="P6" i="4" s="1"/>
  <c r="D5" i="28"/>
  <c r="N3" i="28"/>
  <c r="Q6" i="4" s="1"/>
  <c r="Q8" i="4" s="1"/>
  <c r="O3" i="28"/>
  <c r="N4" i="28"/>
  <c r="Q7" i="4" s="1"/>
  <c r="O4" i="28"/>
  <c r="R7" i="4" s="1"/>
  <c r="V6" i="28"/>
  <c r="U6" i="28"/>
  <c r="T6" i="28"/>
  <c r="N5" i="28" l="1"/>
  <c r="M5" i="28"/>
  <c r="P7" i="4"/>
  <c r="P8" i="4" s="1"/>
  <c r="S6" i="8"/>
  <c r="O5" i="28"/>
  <c r="R6" i="4"/>
  <c r="R8" i="4" s="1"/>
  <c r="O10" i="28"/>
  <c r="N10" i="28"/>
  <c r="Q6" i="25"/>
  <c r="Q8" i="25" s="1"/>
  <c r="AC6" i="8"/>
  <c r="AD51" i="8" s="1"/>
  <c r="AD52" i="8"/>
  <c r="J51" i="8"/>
  <c r="T52" i="8"/>
  <c r="T52" i="6"/>
  <c r="T51" i="6"/>
  <c r="AD52" i="6"/>
  <c r="AD51" i="6"/>
  <c r="J52" i="6"/>
  <c r="J51" i="6"/>
  <c r="J147" i="5"/>
  <c r="W7" i="25"/>
  <c r="J28" i="23"/>
  <c r="M10" i="28"/>
  <c r="K9" i="28"/>
  <c r="M7" i="25" s="1"/>
  <c r="K8" i="28"/>
  <c r="M6" i="25" s="1"/>
  <c r="M80" i="28"/>
  <c r="M79" i="28"/>
  <c r="J52" i="8" l="1"/>
  <c r="T51" i="8"/>
  <c r="S52" i="8"/>
  <c r="W52" i="8"/>
  <c r="AC52" i="8"/>
  <c r="AG52" i="8"/>
  <c r="M51" i="8"/>
  <c r="I51" i="8"/>
  <c r="I52" i="8"/>
  <c r="M52" i="8"/>
  <c r="W51" i="8"/>
  <c r="S51" i="8"/>
  <c r="AG51" i="8"/>
  <c r="AC51" i="8"/>
  <c r="AG51" i="6"/>
  <c r="AC51" i="6"/>
  <c r="AG52" i="6"/>
  <c r="AC52" i="6"/>
  <c r="M51" i="6"/>
  <c r="I51" i="6"/>
  <c r="AJ51" i="6" s="1"/>
  <c r="W51" i="6"/>
  <c r="S51" i="6"/>
  <c r="I52" i="6"/>
  <c r="AJ52" i="6" s="1"/>
  <c r="M52" i="6"/>
  <c r="S52" i="6"/>
  <c r="W52" i="6"/>
  <c r="E10" i="28"/>
  <c r="F10" i="28"/>
  <c r="G10" i="28"/>
  <c r="H10" i="28"/>
  <c r="I10" i="28"/>
  <c r="J10" i="28"/>
  <c r="K10" i="28"/>
  <c r="L10" i="28"/>
  <c r="D10" i="28"/>
  <c r="L5" i="28"/>
  <c r="K5" i="28"/>
  <c r="J5" i="28"/>
  <c r="I5" i="28"/>
  <c r="H5" i="28"/>
  <c r="G5" i="28"/>
  <c r="F5" i="28"/>
  <c r="E5" i="28"/>
  <c r="AJ51" i="8" l="1"/>
  <c r="AJ52" i="8"/>
  <c r="D8" i="25"/>
  <c r="O39" i="23" l="1"/>
  <c r="N39" i="23"/>
  <c r="L39" i="23"/>
  <c r="K39" i="23"/>
  <c r="J39" i="23"/>
  <c r="G39" i="23"/>
  <c r="H39" i="23"/>
  <c r="F39" i="23"/>
  <c r="C39" i="23"/>
  <c r="D39" i="23"/>
  <c r="B39" i="23"/>
  <c r="A307" i="27" l="1"/>
  <c r="A308" i="27"/>
  <c r="A309" i="27"/>
  <c r="A310" i="27"/>
  <c r="A311" i="27"/>
  <c r="A312" i="27"/>
  <c r="A313" i="27"/>
  <c r="A314" i="27"/>
  <c r="A315" i="27"/>
  <c r="A316" i="27"/>
  <c r="A317" i="27"/>
  <c r="A318" i="27"/>
  <c r="A319" i="27"/>
  <c r="A320" i="27"/>
  <c r="A321" i="27"/>
  <c r="A322" i="27"/>
  <c r="A323" i="27"/>
  <c r="A324" i="27"/>
  <c r="A325" i="27"/>
  <c r="A326" i="27"/>
  <c r="A327" i="27"/>
  <c r="A328" i="27"/>
  <c r="A329" i="27"/>
  <c r="A330" i="27"/>
  <c r="A331" i="27"/>
  <c r="A332" i="27"/>
  <c r="A333" i="27"/>
  <c r="A334" i="27"/>
  <c r="A335" i="27"/>
  <c r="A336" i="27"/>
  <c r="A337" i="27"/>
  <c r="A338" i="27"/>
  <c r="A339" i="27"/>
  <c r="A340" i="27"/>
  <c r="A341" i="27"/>
  <c r="A342" i="27"/>
  <c r="A343" i="27"/>
  <c r="A344" i="27"/>
  <c r="A345" i="27"/>
  <c r="A346" i="27"/>
  <c r="A347" i="27"/>
  <c r="A348" i="27"/>
  <c r="A349" i="27"/>
  <c r="A350" i="27"/>
  <c r="A351" i="27"/>
  <c r="A352" i="27"/>
  <c r="F391" i="12" l="1"/>
  <c r="F390" i="12"/>
  <c r="E391" i="12"/>
  <c r="E390" i="12"/>
  <c r="B29" i="23" l="1"/>
  <c r="H28" i="27"/>
  <c r="H9" i="23" s="1"/>
  <c r="H27" i="27"/>
  <c r="H8" i="23" s="1"/>
  <c r="N42" i="23" l="1"/>
  <c r="J42" i="23"/>
  <c r="F42" i="23"/>
  <c r="B42" i="23"/>
  <c r="H22" i="23"/>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75" i="27"/>
  <c r="A24" i="27"/>
  <c r="A3" i="27"/>
  <c r="A4" i="27"/>
  <c r="A25" i="27"/>
  <c r="A26" i="27"/>
  <c r="A23" i="27"/>
  <c r="A34" i="27"/>
  <c r="A35" i="27"/>
  <c r="A36" i="27"/>
  <c r="A37" i="27"/>
  <c r="A38" i="27"/>
  <c r="A39" i="27"/>
  <c r="A7" i="27" l="1"/>
  <c r="A8" i="27"/>
  <c r="A9" i="27"/>
  <c r="A10" i="27"/>
  <c r="A11" i="27"/>
  <c r="A12" i="27"/>
  <c r="A13" i="27"/>
  <c r="A14" i="27"/>
  <c r="A15" i="27"/>
  <c r="A16" i="27"/>
  <c r="A17" i="27"/>
  <c r="F17" i="27" s="1"/>
  <c r="F20" i="23" s="1"/>
  <c r="K20" i="23" s="1"/>
  <c r="A18"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210" i="27"/>
  <c r="A211" i="27"/>
  <c r="A212" i="27"/>
  <c r="A213" i="27"/>
  <c r="A214" i="27"/>
  <c r="A215" i="27"/>
  <c r="A216" i="27"/>
  <c r="A217" i="27"/>
  <c r="A218" i="27"/>
  <c r="A219" i="27"/>
  <c r="A220" i="27"/>
  <c r="A221" i="27"/>
  <c r="A222" i="27"/>
  <c r="A223" i="27"/>
  <c r="A224" i="27"/>
  <c r="A225" i="27"/>
  <c r="A226" i="27"/>
  <c r="A227" i="27"/>
  <c r="A228" i="27"/>
  <c r="A229" i="27"/>
  <c r="A230" i="27"/>
  <c r="A231" i="27"/>
  <c r="A232" i="27"/>
  <c r="A233" i="27"/>
  <c r="A234" i="27"/>
  <c r="A235" i="27"/>
  <c r="A236" i="27"/>
  <c r="A237" i="27"/>
  <c r="A238" i="27"/>
  <c r="A239" i="27"/>
  <c r="A240" i="27"/>
  <c r="A241" i="27"/>
  <c r="A242" i="27"/>
  <c r="A243" i="27"/>
  <c r="A244" i="27"/>
  <c r="A245" i="27"/>
  <c r="A246" i="27"/>
  <c r="A247" i="27"/>
  <c r="A248" i="27"/>
  <c r="A249" i="27"/>
  <c r="A250" i="27"/>
  <c r="A251" i="27"/>
  <c r="A252" i="27"/>
  <c r="A253" i="27"/>
  <c r="A254" i="27"/>
  <c r="A255" i="27"/>
  <c r="A256" i="27"/>
  <c r="A257" i="27"/>
  <c r="A258" i="27"/>
  <c r="A259" i="27"/>
  <c r="A260" i="27"/>
  <c r="A261" i="27"/>
  <c r="A262" i="27"/>
  <c r="A263" i="27"/>
  <c r="A264" i="27"/>
  <c r="A265" i="27"/>
  <c r="A266" i="27"/>
  <c r="A267" i="27"/>
  <c r="A268" i="27"/>
  <c r="A269" i="27"/>
  <c r="K30" i="26"/>
  <c r="K27" i="26"/>
  <c r="K29" i="26"/>
  <c r="K28" i="26"/>
  <c r="F4" i="27" l="1"/>
  <c r="F7" i="23" s="1"/>
  <c r="K7" i="23" s="1"/>
  <c r="F16" i="27"/>
  <c r="F19" i="23" s="1"/>
  <c r="K19" i="23" s="1"/>
  <c r="F12" i="27"/>
  <c r="F15" i="23" s="1"/>
  <c r="K15" i="23" s="1"/>
  <c r="F8" i="27"/>
  <c r="F11" i="23" s="1"/>
  <c r="K11" i="23" s="1"/>
  <c r="F26" i="27"/>
  <c r="F15" i="27"/>
  <c r="F18" i="23" s="1"/>
  <c r="K18" i="23" s="1"/>
  <c r="F11" i="27"/>
  <c r="F14" i="23" s="1"/>
  <c r="K14" i="23" s="1"/>
  <c r="F7" i="27"/>
  <c r="F10" i="23" s="1"/>
  <c r="K10" i="23" s="1"/>
  <c r="F3" i="27"/>
  <c r="F6" i="23" s="1"/>
  <c r="F18" i="27"/>
  <c r="F21" i="23" s="1"/>
  <c r="F14" i="27"/>
  <c r="F17" i="23" s="1"/>
  <c r="K17" i="23" s="1"/>
  <c r="F10" i="27"/>
  <c r="F13" i="23" s="1"/>
  <c r="K13" i="23" s="1"/>
  <c r="F25" i="27"/>
  <c r="F23" i="27"/>
  <c r="F13" i="27"/>
  <c r="F16" i="23" s="1"/>
  <c r="K16" i="23" s="1"/>
  <c r="F9" i="27"/>
  <c r="F12" i="23" s="1"/>
  <c r="K12" i="23" s="1"/>
  <c r="F24" i="27"/>
  <c r="I7" i="23" l="1"/>
  <c r="I21" i="23"/>
  <c r="K21" i="23"/>
  <c r="I6" i="23"/>
  <c r="K6" i="23"/>
  <c r="F28" i="27"/>
  <c r="F6" i="27" s="1"/>
  <c r="F9" i="23" s="1"/>
  <c r="K9" i="23" s="1"/>
  <c r="F27" i="27"/>
  <c r="F5" i="27" l="1"/>
  <c r="F8" i="23" s="1"/>
  <c r="O2" i="8"/>
  <c r="O2" i="6"/>
  <c r="O2" i="5"/>
  <c r="K8" i="23" l="1"/>
  <c r="K22" i="23" s="1"/>
  <c r="F22" i="23"/>
  <c r="F19" i="27"/>
  <c r="A19" i="23"/>
  <c r="A20" i="23"/>
  <c r="A21" i="23"/>
  <c r="A18" i="23"/>
  <c r="I20" i="23"/>
  <c r="I19" i="23"/>
  <c r="I18" i="23"/>
  <c r="N8" i="25"/>
  <c r="M8" i="25"/>
  <c r="L8" i="25"/>
  <c r="J8" i="25"/>
  <c r="I8" i="25"/>
  <c r="H8" i="25"/>
  <c r="F8" i="25"/>
  <c r="E8" i="25"/>
  <c r="C29" i="23" l="1"/>
  <c r="D29" i="23"/>
  <c r="E27" i="23"/>
  <c r="E29" i="23" s="1"/>
  <c r="I8" i="23"/>
  <c r="I9" i="23"/>
  <c r="I10" i="23"/>
  <c r="I11" i="23"/>
  <c r="I12" i="23"/>
  <c r="I13" i="23"/>
  <c r="I14" i="23"/>
  <c r="I15" i="23"/>
  <c r="I16" i="23"/>
  <c r="I17" i="23"/>
  <c r="C42" i="23" l="1"/>
  <c r="O42" i="23"/>
  <c r="K42" i="23"/>
  <c r="G42" i="23"/>
  <c r="H42" i="23"/>
  <c r="D42" i="23"/>
  <c r="P42" i="23"/>
  <c r="L42" i="23"/>
  <c r="T146" i="5"/>
  <c r="U193" i="6"/>
  <c r="J193" i="6"/>
  <c r="AQ193" i="6"/>
  <c r="AS195" i="6" s="1"/>
  <c r="AU195" i="6" s="1"/>
  <c r="AD146" i="5" l="1"/>
  <c r="AC146" i="5" s="1"/>
  <c r="S146" i="5"/>
  <c r="I146" i="5"/>
  <c r="AC152" i="6"/>
  <c r="T152" i="6"/>
  <c r="S152" i="6" s="1"/>
  <c r="J152" i="6"/>
  <c r="I152" i="6" s="1"/>
  <c r="AJ152" i="6" s="1"/>
  <c r="T143" i="6"/>
  <c r="W143" i="6" s="1"/>
  <c r="J143" i="6"/>
  <c r="M143" i="6" s="1"/>
  <c r="AC143" i="6"/>
  <c r="AJ146" i="5" l="1"/>
  <c r="I143" i="6"/>
  <c r="AJ143" i="6" s="1"/>
  <c r="M146" i="5"/>
  <c r="AG146" i="5"/>
  <c r="W146" i="5"/>
  <c r="S143" i="6"/>
  <c r="M152" i="6"/>
  <c r="AG143" i="6"/>
  <c r="E40" i="12" l="1"/>
  <c r="E53" i="12"/>
  <c r="F53" i="12"/>
  <c r="F40" i="12"/>
  <c r="AG203" i="8" l="1"/>
  <c r="AG202" i="8"/>
  <c r="AG201" i="8"/>
  <c r="AG200" i="8"/>
  <c r="W203" i="8"/>
  <c r="W202" i="8"/>
  <c r="W201" i="8"/>
  <c r="W200" i="8"/>
  <c r="AG217" i="8"/>
  <c r="W217" i="8"/>
  <c r="M217" i="8"/>
  <c r="AG217" i="6"/>
  <c r="W217" i="6"/>
  <c r="M217" i="6"/>
  <c r="AG169" i="5"/>
  <c r="W169" i="5"/>
  <c r="M169" i="5"/>
  <c r="M160" i="5"/>
  <c r="I160" i="5"/>
  <c r="M159" i="5"/>
  <c r="M155" i="5"/>
  <c r="M154" i="5"/>
  <c r="AD109" i="8" l="1"/>
  <c r="AC109" i="8" s="1"/>
  <c r="T109" i="8"/>
  <c r="W109" i="8" s="1"/>
  <c r="AD62" i="7"/>
  <c r="AG62" i="7" s="1"/>
  <c r="T62" i="7"/>
  <c r="W62" i="7" s="1"/>
  <c r="AD109" i="6"/>
  <c r="AG109" i="6" s="1"/>
  <c r="W109" i="6"/>
  <c r="J109" i="6"/>
  <c r="I109" i="6" s="1"/>
  <c r="S109" i="8" l="1"/>
  <c r="M109" i="6"/>
  <c r="J61" i="5" l="1"/>
  <c r="C45" i="15"/>
  <c r="C46" i="15"/>
  <c r="C47" i="15"/>
  <c r="C44" i="15"/>
  <c r="P20" i="15"/>
  <c r="P21" i="15"/>
  <c r="P22" i="15"/>
  <c r="P16" i="15"/>
  <c r="P17" i="15"/>
  <c r="P11" i="15"/>
  <c r="O54" i="15"/>
  <c r="O55" i="15" s="1"/>
  <c r="N54" i="15"/>
  <c r="N55" i="15" s="1"/>
  <c r="N20" i="15" s="1"/>
  <c r="M54" i="15"/>
  <c r="M55" i="15" s="1"/>
  <c r="L54" i="15"/>
  <c r="L55" i="15" s="1"/>
  <c r="L23" i="15" s="1"/>
  <c r="K54" i="15"/>
  <c r="K55" i="15" s="1"/>
  <c r="K23" i="15" s="1"/>
  <c r="J54" i="15"/>
  <c r="J55" i="15" s="1"/>
  <c r="J23" i="15" s="1"/>
  <c r="I54" i="15"/>
  <c r="I55" i="15" s="1"/>
  <c r="I16" i="15" s="1"/>
  <c r="H54" i="15"/>
  <c r="H55" i="15" s="1"/>
  <c r="H20" i="15" s="1"/>
  <c r="G54" i="15"/>
  <c r="G55" i="15" s="1"/>
  <c r="E54" i="15"/>
  <c r="E55" i="15" s="1"/>
  <c r="E16" i="15" s="1"/>
  <c r="F54" i="15"/>
  <c r="F55" i="15" s="1"/>
  <c r="D54" i="15"/>
  <c r="D55" i="15" s="1"/>
  <c r="D21" i="15" s="1"/>
  <c r="M47" i="22"/>
  <c r="L47" i="22"/>
  <c r="K47" i="22"/>
  <c r="J47" i="22"/>
  <c r="G47" i="22"/>
  <c r="E47" i="22"/>
  <c r="E47" i="15" s="1"/>
  <c r="D47" i="22"/>
  <c r="C47" i="22"/>
  <c r="P46" i="22"/>
  <c r="O46" i="22"/>
  <c r="N46" i="22"/>
  <c r="M46" i="22"/>
  <c r="L46" i="22"/>
  <c r="K46" i="22"/>
  <c r="J46" i="22"/>
  <c r="I46" i="22"/>
  <c r="H46" i="22"/>
  <c r="G46" i="22"/>
  <c r="F46" i="22"/>
  <c r="F46" i="15" s="1"/>
  <c r="E46" i="22"/>
  <c r="D46" i="22"/>
  <c r="C46" i="22"/>
  <c r="P45" i="22"/>
  <c r="O45" i="22"/>
  <c r="N45" i="22"/>
  <c r="M45" i="22"/>
  <c r="L45" i="22"/>
  <c r="K45" i="22"/>
  <c r="J45" i="22"/>
  <c r="I45" i="22"/>
  <c r="H45" i="22"/>
  <c r="G45" i="22"/>
  <c r="F45" i="22"/>
  <c r="E45" i="22"/>
  <c r="D45" i="22"/>
  <c r="C45" i="22"/>
  <c r="P44" i="22"/>
  <c r="O44" i="22"/>
  <c r="N44" i="22"/>
  <c r="M44" i="22"/>
  <c r="L44" i="22"/>
  <c r="K44" i="22"/>
  <c r="J44" i="22"/>
  <c r="I44" i="22"/>
  <c r="H44" i="22"/>
  <c r="G44" i="22"/>
  <c r="F44" i="22"/>
  <c r="F44" i="15" s="1"/>
  <c r="E44" i="22"/>
  <c r="D44" i="22"/>
  <c r="C44" i="22"/>
  <c r="P41" i="22"/>
  <c r="O41" i="22"/>
  <c r="N41" i="22"/>
  <c r="M41" i="22"/>
  <c r="L41" i="22"/>
  <c r="K41" i="22"/>
  <c r="J41" i="22"/>
  <c r="I41" i="22"/>
  <c r="H41" i="22"/>
  <c r="G41" i="22"/>
  <c r="F41" i="22"/>
  <c r="E41" i="22"/>
  <c r="E41" i="15" s="1"/>
  <c r="D41" i="22"/>
  <c r="C41" i="22"/>
  <c r="P40" i="22"/>
  <c r="O40" i="22"/>
  <c r="N40" i="22"/>
  <c r="M40" i="22"/>
  <c r="L40" i="22"/>
  <c r="K40" i="22"/>
  <c r="J40" i="22"/>
  <c r="I40" i="22"/>
  <c r="H40" i="22"/>
  <c r="G40" i="22"/>
  <c r="F40" i="22"/>
  <c r="F40" i="15" s="1"/>
  <c r="E40" i="22"/>
  <c r="D40" i="22"/>
  <c r="C40" i="22"/>
  <c r="P37" i="22"/>
  <c r="O37" i="22"/>
  <c r="N37" i="22"/>
  <c r="M37" i="22"/>
  <c r="L37" i="22"/>
  <c r="K37" i="22"/>
  <c r="J37" i="22"/>
  <c r="I37" i="22"/>
  <c r="H37" i="22"/>
  <c r="G37" i="22"/>
  <c r="F37" i="22"/>
  <c r="E37" i="22"/>
  <c r="D37" i="22"/>
  <c r="C37" i="22"/>
  <c r="P35" i="22"/>
  <c r="O35" i="22"/>
  <c r="N35" i="22"/>
  <c r="M35" i="22"/>
  <c r="L35" i="22"/>
  <c r="K35" i="22"/>
  <c r="J35" i="22"/>
  <c r="I35" i="22"/>
  <c r="H35" i="22"/>
  <c r="G35" i="22"/>
  <c r="F35" i="22"/>
  <c r="F35" i="15" s="1"/>
  <c r="E35" i="22"/>
  <c r="D35" i="22"/>
  <c r="C35" i="22"/>
  <c r="P33" i="22"/>
  <c r="P33" i="15" s="1"/>
  <c r="O33" i="22"/>
  <c r="N33" i="22"/>
  <c r="M33" i="22"/>
  <c r="L33" i="22"/>
  <c r="K33" i="22"/>
  <c r="J33" i="22"/>
  <c r="I33" i="22"/>
  <c r="H33" i="22"/>
  <c r="G33" i="22"/>
  <c r="F33" i="22"/>
  <c r="E33" i="22"/>
  <c r="E33" i="15" s="1"/>
  <c r="D33" i="22"/>
  <c r="C33" i="22"/>
  <c r="P32" i="22"/>
  <c r="P32" i="15" s="1"/>
  <c r="O32" i="22"/>
  <c r="N32" i="22"/>
  <c r="M32" i="22"/>
  <c r="L32" i="22"/>
  <c r="K32" i="22"/>
  <c r="J32" i="22"/>
  <c r="I32" i="22"/>
  <c r="H32" i="22"/>
  <c r="G32" i="22"/>
  <c r="F32" i="22"/>
  <c r="E32" i="22"/>
  <c r="D32" i="22"/>
  <c r="C32" i="22"/>
  <c r="P31" i="22"/>
  <c r="P31" i="15" s="1"/>
  <c r="O31" i="22"/>
  <c r="N31" i="22"/>
  <c r="M31" i="22"/>
  <c r="L31" i="22"/>
  <c r="K31" i="22"/>
  <c r="J31" i="22"/>
  <c r="I31" i="22"/>
  <c r="H31" i="22"/>
  <c r="G31" i="22"/>
  <c r="F31" i="22"/>
  <c r="E31" i="22"/>
  <c r="E31" i="15" s="1"/>
  <c r="D31" i="22"/>
  <c r="C31" i="22"/>
  <c r="P23" i="22"/>
  <c r="P47" i="22" s="1"/>
  <c r="O23" i="22"/>
  <c r="O47" i="22" s="1"/>
  <c r="N23" i="22"/>
  <c r="N47" i="22" s="1"/>
  <c r="I23" i="22"/>
  <c r="H23" i="22"/>
  <c r="H47" i="22" s="1"/>
  <c r="F23" i="22"/>
  <c r="Q22" i="22"/>
  <c r="Q21" i="22"/>
  <c r="Q20" i="22"/>
  <c r="Q17" i="22"/>
  <c r="Q16" i="22"/>
  <c r="Q13" i="22"/>
  <c r="Q11" i="22"/>
  <c r="Q9" i="22"/>
  <c r="Q8" i="22"/>
  <c r="Q7" i="22"/>
  <c r="J8" i="5"/>
  <c r="T8" i="5"/>
  <c r="N31" i="15" l="1"/>
  <c r="N33" i="15"/>
  <c r="N37" i="15"/>
  <c r="N41" i="15"/>
  <c r="T100" i="8" s="1"/>
  <c r="N45" i="15"/>
  <c r="N47" i="15"/>
  <c r="N32" i="15"/>
  <c r="J35" i="15"/>
  <c r="N35" i="15"/>
  <c r="N40" i="15"/>
  <c r="T99" i="8" s="1"/>
  <c r="N44" i="15"/>
  <c r="N46" i="15"/>
  <c r="K31" i="15"/>
  <c r="K33" i="15"/>
  <c r="K37" i="15"/>
  <c r="K41" i="15"/>
  <c r="K45" i="15"/>
  <c r="K47" i="15"/>
  <c r="K32" i="15"/>
  <c r="K35" i="15"/>
  <c r="K40" i="15"/>
  <c r="K44" i="15"/>
  <c r="K46" i="15"/>
  <c r="F37" i="15"/>
  <c r="M47" i="15"/>
  <c r="I23" i="15"/>
  <c r="Q32" i="22"/>
  <c r="R32" i="22" s="1"/>
  <c r="I32" i="15"/>
  <c r="Q35" i="22"/>
  <c r="R35" i="22" s="1"/>
  <c r="I35" i="15"/>
  <c r="Q40" i="22"/>
  <c r="R40" i="22" s="1"/>
  <c r="I40" i="15"/>
  <c r="Q44" i="22"/>
  <c r="R44" i="22" s="1"/>
  <c r="I44" i="15"/>
  <c r="Q46" i="22"/>
  <c r="R46" i="22" s="1"/>
  <c r="I46" i="15"/>
  <c r="F23" i="15"/>
  <c r="I31" i="15"/>
  <c r="I33" i="15"/>
  <c r="M33" i="15"/>
  <c r="M37" i="15"/>
  <c r="I41" i="15"/>
  <c r="M41" i="15"/>
  <c r="M45" i="15"/>
  <c r="H47" i="15"/>
  <c r="D32" i="15"/>
  <c r="H32" i="15"/>
  <c r="L32" i="15"/>
  <c r="D35" i="15"/>
  <c r="H35" i="15"/>
  <c r="L35" i="15"/>
  <c r="D40" i="15"/>
  <c r="H40" i="15"/>
  <c r="L40" i="15"/>
  <c r="D44" i="15"/>
  <c r="H44" i="15"/>
  <c r="L44" i="15"/>
  <c r="D46" i="15"/>
  <c r="H46" i="15"/>
  <c r="L46" i="15"/>
  <c r="D31" i="15"/>
  <c r="H31" i="15"/>
  <c r="L31" i="15"/>
  <c r="D33" i="15"/>
  <c r="H33" i="15"/>
  <c r="L33" i="15"/>
  <c r="D37" i="15"/>
  <c r="H37" i="15"/>
  <c r="L37" i="15"/>
  <c r="D41" i="15"/>
  <c r="H41" i="15"/>
  <c r="L41" i="15"/>
  <c r="D45" i="15"/>
  <c r="H45" i="15"/>
  <c r="T110" i="6" s="1"/>
  <c r="L45" i="15"/>
  <c r="D47" i="15"/>
  <c r="L47" i="15"/>
  <c r="E11" i="15"/>
  <c r="H16" i="15"/>
  <c r="E23" i="15"/>
  <c r="L21" i="15"/>
  <c r="K11" i="15"/>
  <c r="L17" i="15"/>
  <c r="D20" i="15"/>
  <c r="P23" i="15"/>
  <c r="L22" i="15"/>
  <c r="L20" i="15"/>
  <c r="N13" i="15"/>
  <c r="L16" i="15"/>
  <c r="F8" i="15"/>
  <c r="F33" i="15"/>
  <c r="F41" i="15"/>
  <c r="F32" i="15"/>
  <c r="F20" i="15"/>
  <c r="F21" i="15"/>
  <c r="F22" i="15"/>
  <c r="F16" i="15"/>
  <c r="F11" i="15"/>
  <c r="F31" i="15"/>
  <c r="F17" i="15"/>
  <c r="F45" i="15"/>
  <c r="M32" i="15"/>
  <c r="I37" i="15"/>
  <c r="E40" i="15"/>
  <c r="I47" i="22"/>
  <c r="I47" i="15" s="1"/>
  <c r="J45" i="15"/>
  <c r="L11" i="15"/>
  <c r="D17" i="15"/>
  <c r="K17" i="15"/>
  <c r="E17" i="15"/>
  <c r="K16" i="15"/>
  <c r="D23" i="15"/>
  <c r="N23" i="15"/>
  <c r="K22" i="15"/>
  <c r="E22" i="15"/>
  <c r="K21" i="15"/>
  <c r="E21" i="15"/>
  <c r="K20" i="15"/>
  <c r="E20" i="15"/>
  <c r="E32" i="15"/>
  <c r="I45" i="15"/>
  <c r="Q31" i="22"/>
  <c r="R31" i="22" s="1"/>
  <c r="Q33" i="22"/>
  <c r="R33" i="22" s="1"/>
  <c r="Q37" i="22"/>
  <c r="R37" i="22" s="1"/>
  <c r="Q41" i="22"/>
  <c r="R41" i="22" s="1"/>
  <c r="Q45" i="22"/>
  <c r="R45" i="22" s="1"/>
  <c r="G35" i="15"/>
  <c r="H11" i="15"/>
  <c r="N11" i="15"/>
  <c r="I17" i="15"/>
  <c r="J16" i="15"/>
  <c r="D22" i="15"/>
  <c r="H23" i="15"/>
  <c r="N22" i="15"/>
  <c r="I22" i="15"/>
  <c r="I21" i="15"/>
  <c r="I20" i="15"/>
  <c r="E35" i="15"/>
  <c r="E44" i="15"/>
  <c r="F47" i="22"/>
  <c r="F47" i="15" s="1"/>
  <c r="I11" i="15"/>
  <c r="N17" i="15"/>
  <c r="H17" i="15"/>
  <c r="N16" i="15"/>
  <c r="D16" i="15"/>
  <c r="M22" i="15"/>
  <c r="H22" i="15"/>
  <c r="N21" i="15"/>
  <c r="H21" i="15"/>
  <c r="E37" i="15"/>
  <c r="E46" i="15"/>
  <c r="E45" i="15"/>
  <c r="G20" i="15"/>
  <c r="G31" i="15"/>
  <c r="G44" i="15"/>
  <c r="M13" i="15"/>
  <c r="J17" i="15"/>
  <c r="M16" i="15"/>
  <c r="M23" i="15"/>
  <c r="G21" i="15"/>
  <c r="J20" i="15"/>
  <c r="G32" i="15"/>
  <c r="J31" i="15"/>
  <c r="M35" i="15"/>
  <c r="J40" i="15"/>
  <c r="J46" i="15"/>
  <c r="J44" i="15"/>
  <c r="G40" i="15"/>
  <c r="G46" i="15"/>
  <c r="M11" i="15"/>
  <c r="M17" i="15"/>
  <c r="G22" i="15"/>
  <c r="J21" i="15"/>
  <c r="M20" i="15"/>
  <c r="G33" i="15"/>
  <c r="J32" i="15"/>
  <c r="M31" i="15"/>
  <c r="G37" i="15"/>
  <c r="G41" i="15"/>
  <c r="M40" i="15"/>
  <c r="J100" i="8" s="1"/>
  <c r="G47" i="15"/>
  <c r="M46" i="15"/>
  <c r="G45" i="15"/>
  <c r="M44" i="15"/>
  <c r="G11" i="15"/>
  <c r="G17" i="15"/>
  <c r="J11" i="15"/>
  <c r="G16" i="15"/>
  <c r="G23" i="15"/>
  <c r="J22" i="15"/>
  <c r="M21" i="15"/>
  <c r="J33" i="15"/>
  <c r="J37" i="15"/>
  <c r="J41" i="15"/>
  <c r="J47" i="15"/>
  <c r="E8" i="15"/>
  <c r="E7" i="15"/>
  <c r="E9" i="15"/>
  <c r="J8" i="15"/>
  <c r="J7" i="15"/>
  <c r="J9" i="15"/>
  <c r="N8" i="15"/>
  <c r="N7" i="15"/>
  <c r="N9" i="15"/>
  <c r="I8" i="15"/>
  <c r="I7" i="15"/>
  <c r="I9" i="15"/>
  <c r="G7" i="15"/>
  <c r="G9" i="15"/>
  <c r="G8" i="15"/>
  <c r="M8" i="15"/>
  <c r="M7" i="15"/>
  <c r="M9" i="15"/>
  <c r="K7" i="15"/>
  <c r="K9" i="15"/>
  <c r="K8" i="15"/>
  <c r="D11" i="15"/>
  <c r="D9" i="15"/>
  <c r="D7" i="15"/>
  <c r="D8" i="15"/>
  <c r="H7" i="15"/>
  <c r="H9" i="15"/>
  <c r="H8" i="15"/>
  <c r="L7" i="15"/>
  <c r="L9" i="15"/>
  <c r="L8" i="15"/>
  <c r="F9" i="15"/>
  <c r="F7" i="15"/>
  <c r="Q23" i="22"/>
  <c r="B19" i="5"/>
  <c r="S62" i="5"/>
  <c r="W62" i="5"/>
  <c r="B63" i="5"/>
  <c r="S17" i="8"/>
  <c r="AC17" i="8"/>
  <c r="AC17" i="7"/>
  <c r="S17" i="7"/>
  <c r="I17" i="7"/>
  <c r="AC17" i="6"/>
  <c r="S17" i="6"/>
  <c r="I17" i="6"/>
  <c r="J109" i="8"/>
  <c r="I109" i="8" s="1"/>
  <c r="AJ109" i="8" s="1"/>
  <c r="D7" i="6"/>
  <c r="AJ17" i="6" l="1"/>
  <c r="I100" i="8"/>
  <c r="M100" i="8"/>
  <c r="S100" i="8"/>
  <c r="W100" i="8"/>
  <c r="AJ17" i="7"/>
  <c r="AJ17" i="8"/>
  <c r="W99" i="8"/>
  <c r="S99" i="8"/>
  <c r="AJ99" i="8" s="1"/>
  <c r="AD62" i="5"/>
  <c r="Q47" i="22"/>
  <c r="R47" i="22" s="1"/>
  <c r="G5" i="5"/>
  <c r="F5" i="5"/>
  <c r="E5" i="5"/>
  <c r="Q17" i="15"/>
  <c r="Q16" i="15"/>
  <c r="Q13" i="15"/>
  <c r="Q11" i="15"/>
  <c r="Q9" i="15"/>
  <c r="Q8" i="15"/>
  <c r="Q7" i="15"/>
  <c r="P46" i="15"/>
  <c r="P45" i="15"/>
  <c r="P44" i="15"/>
  <c r="T18" i="6"/>
  <c r="J18" i="6"/>
  <c r="P41" i="15"/>
  <c r="O41" i="15"/>
  <c r="T53" i="7"/>
  <c r="AD100" i="6"/>
  <c r="T100" i="6"/>
  <c r="AD52" i="5"/>
  <c r="C41" i="15"/>
  <c r="P40" i="15"/>
  <c r="O40" i="15"/>
  <c r="AD100" i="8" s="1"/>
  <c r="AD99" i="6"/>
  <c r="T99" i="6"/>
  <c r="AD51" i="5"/>
  <c r="C40" i="15"/>
  <c r="P37" i="15"/>
  <c r="T9" i="8"/>
  <c r="J9" i="8"/>
  <c r="J9" i="7"/>
  <c r="C37" i="15"/>
  <c r="P35" i="15"/>
  <c r="C35" i="15"/>
  <c r="J11" i="7"/>
  <c r="T11" i="6"/>
  <c r="S11" i="6" s="1"/>
  <c r="J11" i="6"/>
  <c r="I11" i="6" s="1"/>
  <c r="T11" i="5"/>
  <c r="S11" i="5" s="1"/>
  <c r="J11" i="5"/>
  <c r="C33" i="15"/>
  <c r="J11" i="8"/>
  <c r="AD10" i="7"/>
  <c r="T10" i="7"/>
  <c r="J10" i="7"/>
  <c r="T10" i="6"/>
  <c r="J10" i="6"/>
  <c r="AD11" i="5"/>
  <c r="AC11" i="5" s="1"/>
  <c r="T10" i="5"/>
  <c r="C32" i="15"/>
  <c r="T18" i="5"/>
  <c r="J8" i="7"/>
  <c r="T8" i="6"/>
  <c r="J8" i="6"/>
  <c r="C31" i="15"/>
  <c r="P47" i="15"/>
  <c r="Q22" i="15"/>
  <c r="Q21" i="15"/>
  <c r="Q20" i="15"/>
  <c r="AJ100" i="8" l="1"/>
  <c r="AC100" i="8"/>
  <c r="AG100" i="8"/>
  <c r="J63" i="7"/>
  <c r="T110" i="8"/>
  <c r="J10" i="5"/>
  <c r="Q45" i="15"/>
  <c r="R45" i="15" s="1"/>
  <c r="AD110" i="6"/>
  <c r="J8" i="8"/>
  <c r="J10" i="8"/>
  <c r="Q44" i="15"/>
  <c r="R44" i="15" s="1"/>
  <c r="Q46" i="15"/>
  <c r="R46" i="15" s="1"/>
  <c r="Q31" i="15"/>
  <c r="R31" i="15" s="1"/>
  <c r="Q33" i="15"/>
  <c r="R33" i="15" s="1"/>
  <c r="Q41" i="15"/>
  <c r="R41" i="15" s="1"/>
  <c r="Q37" i="15"/>
  <c r="R37" i="15" s="1"/>
  <c r="Q32" i="15"/>
  <c r="R32" i="15" s="1"/>
  <c r="Q35" i="15"/>
  <c r="R35" i="15" s="1"/>
  <c r="Q40" i="15"/>
  <c r="R40" i="15" s="1"/>
  <c r="Q47" i="15"/>
  <c r="R47" i="15" s="1"/>
  <c r="Q23" i="15"/>
  <c r="AC62" i="5" l="1"/>
  <c r="AG62" i="5"/>
  <c r="P39" i="23" l="1"/>
  <c r="U7" i="16"/>
  <c r="S7" i="16"/>
  <c r="Q7" i="16"/>
  <c r="P7" i="16"/>
  <c r="N7" i="16"/>
  <c r="L7" i="16"/>
  <c r="K7" i="16"/>
  <c r="I7" i="16"/>
  <c r="G7" i="16"/>
  <c r="F7" i="16"/>
  <c r="D7" i="16"/>
  <c r="B7" i="16"/>
  <c r="U6" i="16"/>
  <c r="S6" i="16"/>
  <c r="Q6" i="16"/>
  <c r="P6" i="16"/>
  <c r="N6" i="16"/>
  <c r="L6" i="16"/>
  <c r="K6" i="16"/>
  <c r="I6" i="16"/>
  <c r="G6" i="16"/>
  <c r="F6" i="16"/>
  <c r="D6" i="16"/>
  <c r="B6" i="16"/>
  <c r="J84" i="8" l="1"/>
  <c r="B72" i="8"/>
  <c r="B71" i="8"/>
  <c r="B70" i="8"/>
  <c r="B69" i="8"/>
  <c r="B68" i="8"/>
  <c r="B66" i="8"/>
  <c r="B65" i="8"/>
  <c r="B64" i="8"/>
  <c r="B63" i="8"/>
  <c r="B62" i="8"/>
  <c r="B61" i="8"/>
  <c r="B60" i="8"/>
  <c r="B59" i="8"/>
  <c r="B58" i="8"/>
  <c r="B57" i="8"/>
  <c r="B56" i="8"/>
  <c r="B55" i="8"/>
  <c r="B54" i="8"/>
  <c r="B53" i="8"/>
  <c r="B53" i="6"/>
  <c r="B61" i="6"/>
  <c r="B62" i="6"/>
  <c r="B63" i="6"/>
  <c r="B64" i="6"/>
  <c r="B65" i="6"/>
  <c r="AC123" i="7" l="1"/>
  <c r="S123" i="7"/>
  <c r="I123" i="7"/>
  <c r="AJ123" i="7" s="1"/>
  <c r="B193" i="6"/>
  <c r="B194" i="8"/>
  <c r="AD195" i="8"/>
  <c r="AG195" i="8" s="1"/>
  <c r="AD194" i="8"/>
  <c r="AC194" i="8" s="1"/>
  <c r="T194" i="8"/>
  <c r="W194" i="8" s="1"/>
  <c r="J194" i="8"/>
  <c r="I194" i="8" s="1"/>
  <c r="AD193" i="6"/>
  <c r="AC193" i="6" s="1"/>
  <c r="W193" i="6"/>
  <c r="I193" i="6"/>
  <c r="AD194" i="6"/>
  <c r="AG194" i="6" s="1"/>
  <c r="AD147" i="5"/>
  <c r="AG147" i="5" s="1"/>
  <c r="T147" i="5"/>
  <c r="S147" i="5" s="1"/>
  <c r="S148" i="5" s="1"/>
  <c r="S149" i="5" s="1"/>
  <c r="M147" i="5"/>
  <c r="B108" i="8"/>
  <c r="B109" i="8"/>
  <c r="B61" i="7"/>
  <c r="B62" i="7"/>
  <c r="J62" i="7"/>
  <c r="M62" i="7" s="1"/>
  <c r="B108" i="6"/>
  <c r="B109" i="6"/>
  <c r="M61" i="5"/>
  <c r="W147" i="5" l="1"/>
  <c r="AC147" i="5"/>
  <c r="AC109" i="6"/>
  <c r="S194" i="8"/>
  <c r="AJ194" i="8" s="1"/>
  <c r="AC195" i="8"/>
  <c r="AC196" i="8" s="1"/>
  <c r="AC197" i="8" s="1"/>
  <c r="I62" i="7"/>
  <c r="AJ62" i="7" s="1"/>
  <c r="AC62" i="7"/>
  <c r="S62" i="7"/>
  <c r="AC194" i="6"/>
  <c r="AC196" i="6" s="1"/>
  <c r="AC197" i="6" s="1"/>
  <c r="S193" i="6"/>
  <c r="AJ193" i="6" s="1"/>
  <c r="M193" i="6"/>
  <c r="AG193" i="6"/>
  <c r="AG194" i="8"/>
  <c r="M194" i="8"/>
  <c r="I61" i="5"/>
  <c r="S109" i="6"/>
  <c r="AJ109" i="6" s="1"/>
  <c r="B61" i="5"/>
  <c r="J108" i="8" l="1"/>
  <c r="M108" i="8" s="1"/>
  <c r="J108" i="6"/>
  <c r="I108" i="6" s="1"/>
  <c r="J60" i="5"/>
  <c r="I60" i="5" s="1"/>
  <c r="AD60" i="5"/>
  <c r="AC60" i="5" l="1"/>
  <c r="AG60" i="5"/>
  <c r="I108" i="8"/>
  <c r="M108" i="6"/>
  <c r="AD53" i="5" l="1"/>
  <c r="AD61" i="5" s="1"/>
  <c r="T53" i="5"/>
  <c r="T185" i="8"/>
  <c r="W185" i="8" s="1"/>
  <c r="J185" i="8"/>
  <c r="J195" i="8" s="1"/>
  <c r="J184" i="6"/>
  <c r="T184" i="6"/>
  <c r="AD137" i="5"/>
  <c r="AC137" i="5" s="1"/>
  <c r="T137" i="5"/>
  <c r="S137" i="5" s="1"/>
  <c r="J137" i="5"/>
  <c r="I137" i="5" s="1"/>
  <c r="AC184" i="6"/>
  <c r="AG185" i="8"/>
  <c r="AC185" i="8"/>
  <c r="AG184" i="6"/>
  <c r="AJ137" i="5" l="1"/>
  <c r="W53" i="5"/>
  <c r="T61" i="5"/>
  <c r="S61" i="5" s="1"/>
  <c r="AG53" i="5"/>
  <c r="M195" i="8"/>
  <c r="I195" i="8"/>
  <c r="S185" i="8"/>
  <c r="T195" i="8"/>
  <c r="M185" i="8"/>
  <c r="M184" i="6"/>
  <c r="J194" i="6"/>
  <c r="W184" i="6"/>
  <c r="T194" i="6"/>
  <c r="M137" i="5"/>
  <c r="W137" i="5"/>
  <c r="AG137" i="5"/>
  <c r="S184" i="6"/>
  <c r="I196" i="8" l="1"/>
  <c r="I197" i="8"/>
  <c r="AG61" i="5"/>
  <c r="AC61" i="5"/>
  <c r="AC63" i="5" s="1"/>
  <c r="W61" i="5"/>
  <c r="M194" i="6"/>
  <c r="AQ194" i="6"/>
  <c r="AS193" i="6" s="1"/>
  <c r="AU193" i="6" s="1"/>
  <c r="S195" i="8"/>
  <c r="S196" i="8" s="1"/>
  <c r="S197" i="8" s="1"/>
  <c r="W195" i="8"/>
  <c r="S194" i="6"/>
  <c r="S196" i="6" s="1"/>
  <c r="S197" i="6" s="1"/>
  <c r="W194" i="6"/>
  <c r="AJ195" i="8" l="1"/>
  <c r="AJ61" i="5"/>
  <c r="AJ196" i="8"/>
  <c r="AJ197" i="8"/>
  <c r="M17" i="8"/>
  <c r="AG17" i="8"/>
  <c r="W17" i="8"/>
  <c r="AG17" i="7"/>
  <c r="W17" i="7"/>
  <c r="M17" i="7"/>
  <c r="AG17" i="6"/>
  <c r="W17" i="6"/>
  <c r="M17" i="6"/>
  <c r="B60" i="5"/>
  <c r="M60" i="5"/>
  <c r="M17" i="5"/>
  <c r="W17" i="5"/>
  <c r="AG17" i="5"/>
  <c r="AD18" i="5"/>
  <c r="AC18" i="5" s="1"/>
  <c r="AC19" i="5" s="1"/>
  <c r="AC20" i="5" s="1"/>
  <c r="AC21" i="5" s="1"/>
  <c r="B17" i="5"/>
  <c r="S18" i="5" l="1"/>
  <c r="S19" i="5" s="1"/>
  <c r="S20" i="5" s="1"/>
  <c r="S21" i="5" s="1"/>
  <c r="I194" i="6"/>
  <c r="AJ194" i="6" s="1"/>
  <c r="I147" i="5"/>
  <c r="I148" i="5" l="1"/>
  <c r="I149" i="5" s="1"/>
  <c r="AJ147" i="5"/>
  <c r="I196" i="6"/>
  <c r="S236" i="8"/>
  <c r="I236" i="8"/>
  <c r="S227" i="8"/>
  <c r="AJ236" i="8" l="1"/>
  <c r="I197" i="6"/>
  <c r="AJ197" i="6" s="1"/>
  <c r="AJ196" i="6"/>
  <c r="F38" i="23"/>
  <c r="I110" i="6"/>
  <c r="I62" i="5"/>
  <c r="I110" i="8"/>
  <c r="AC236" i="8"/>
  <c r="AC258" i="8"/>
  <c r="AC257" i="8"/>
  <c r="AC256" i="8"/>
  <c r="AC255" i="8"/>
  <c r="AC254" i="8"/>
  <c r="AC253" i="8"/>
  <c r="S258" i="8"/>
  <c r="S257" i="8"/>
  <c r="S256" i="8"/>
  <c r="S255" i="8"/>
  <c r="S254" i="8"/>
  <c r="S253" i="8"/>
  <c r="I258" i="8"/>
  <c r="I257" i="8"/>
  <c r="I256" i="8"/>
  <c r="I255" i="8"/>
  <c r="I254" i="8"/>
  <c r="I253" i="8"/>
  <c r="AC258" i="6"/>
  <c r="AC257" i="6"/>
  <c r="AC256" i="6"/>
  <c r="AC255" i="6"/>
  <c r="AC254" i="6"/>
  <c r="AC253" i="6"/>
  <c r="S258" i="6"/>
  <c r="S257" i="6"/>
  <c r="S256" i="6"/>
  <c r="S255" i="6"/>
  <c r="S254" i="6"/>
  <c r="S253" i="6"/>
  <c r="I256" i="6"/>
  <c r="I257" i="6"/>
  <c r="I258" i="6"/>
  <c r="I255" i="6"/>
  <c r="AJ255" i="6" s="1"/>
  <c r="I254" i="6"/>
  <c r="AJ254" i="6" s="1"/>
  <c r="I253" i="6"/>
  <c r="I248" i="6"/>
  <c r="AC248" i="6"/>
  <c r="AC249" i="6" s="1"/>
  <c r="AC243" i="8"/>
  <c r="AC242" i="8"/>
  <c r="AC241" i="8"/>
  <c r="S243" i="8"/>
  <c r="S242" i="8"/>
  <c r="S241" i="8"/>
  <c r="I243" i="8"/>
  <c r="I242" i="8"/>
  <c r="I241" i="8"/>
  <c r="AJ241" i="8" s="1"/>
  <c r="AC243" i="6"/>
  <c r="AC242" i="6"/>
  <c r="AC241" i="6"/>
  <c r="S243" i="6"/>
  <c r="S242" i="6"/>
  <c r="S241" i="6"/>
  <c r="I242" i="6"/>
  <c r="AJ242" i="6" s="1"/>
  <c r="I243" i="6"/>
  <c r="AJ243" i="6" s="1"/>
  <c r="I241" i="6"/>
  <c r="AC236" i="6"/>
  <c r="S236" i="6"/>
  <c r="I236" i="6"/>
  <c r="AJ236" i="6" s="1"/>
  <c r="AC228" i="8"/>
  <c r="AC227" i="8"/>
  <c r="AC228" i="6"/>
  <c r="AC227" i="6"/>
  <c r="S228" i="8"/>
  <c r="S228" i="6"/>
  <c r="S227" i="6"/>
  <c r="AF106" i="7"/>
  <c r="V106" i="7"/>
  <c r="L106" i="7"/>
  <c r="I97" i="7"/>
  <c r="AC97" i="7"/>
  <c r="S97" i="7"/>
  <c r="J144" i="8"/>
  <c r="I144" i="8" s="1"/>
  <c r="J153" i="8"/>
  <c r="I153" i="8" s="1"/>
  <c r="T144" i="8"/>
  <c r="S144" i="8" s="1"/>
  <c r="S148" i="8" s="1"/>
  <c r="AD153" i="8"/>
  <c r="AC153" i="8" s="1"/>
  <c r="AD144" i="8"/>
  <c r="AC144" i="8" s="1"/>
  <c r="AC148" i="8" s="1"/>
  <c r="T153" i="8"/>
  <c r="S153" i="8" s="1"/>
  <c r="AD105" i="5"/>
  <c r="AC105" i="5" s="1"/>
  <c r="AD96" i="5"/>
  <c r="AC96" i="5" s="1"/>
  <c r="AC100" i="5" s="1"/>
  <c r="T105" i="5"/>
  <c r="S105" i="5" s="1"/>
  <c r="T96" i="5"/>
  <c r="S96" i="5" s="1"/>
  <c r="S100" i="5" s="1"/>
  <c r="J105" i="5"/>
  <c r="I105" i="5" s="1"/>
  <c r="AJ105" i="5" s="1"/>
  <c r="J96" i="5"/>
  <c r="I96" i="5" s="1"/>
  <c r="AJ241" i="6" l="1"/>
  <c r="AJ253" i="6"/>
  <c r="AJ257" i="6"/>
  <c r="AJ153" i="8"/>
  <c r="AJ97" i="7"/>
  <c r="AJ242" i="8"/>
  <c r="AJ256" i="6"/>
  <c r="I111" i="8"/>
  <c r="I148" i="8"/>
  <c r="AJ148" i="8" s="1"/>
  <c r="AJ144" i="8"/>
  <c r="AJ243" i="8"/>
  <c r="I249" i="6"/>
  <c r="AJ258" i="6"/>
  <c r="I111" i="6"/>
  <c r="I100" i="5"/>
  <c r="AJ100" i="5" s="1"/>
  <c r="AJ96" i="5"/>
  <c r="I63" i="5"/>
  <c r="AJ62" i="5"/>
  <c r="N38" i="23"/>
  <c r="O38" i="23"/>
  <c r="P38" i="23"/>
  <c r="N8" i="4"/>
  <c r="L38" i="23"/>
  <c r="L8" i="4"/>
  <c r="J38" i="23"/>
  <c r="I8" i="4"/>
  <c r="G38" i="23"/>
  <c r="J8" i="4"/>
  <c r="H38" i="23"/>
  <c r="F8" i="4"/>
  <c r="D38" i="23"/>
  <c r="D40" i="23" s="1"/>
  <c r="D41" i="23" s="1"/>
  <c r="E8" i="4"/>
  <c r="C38" i="23"/>
  <c r="C40" i="23" s="1"/>
  <c r="C41" i="23" s="1"/>
  <c r="D8" i="4"/>
  <c r="B38" i="23"/>
  <c r="H8" i="4"/>
  <c r="AC106" i="7"/>
  <c r="I106" i="7"/>
  <c r="S106" i="7"/>
  <c r="I245" i="6"/>
  <c r="AC149" i="8"/>
  <c r="AC150" i="8" s="1"/>
  <c r="S149" i="8"/>
  <c r="S150" i="8" s="1"/>
  <c r="I149" i="8"/>
  <c r="AC101" i="5"/>
  <c r="AC102" i="5" s="1"/>
  <c r="S101" i="5"/>
  <c r="S102" i="5" s="1"/>
  <c r="I101" i="5"/>
  <c r="AJ106" i="7" l="1"/>
  <c r="I65" i="5"/>
  <c r="I66" i="5" s="1"/>
  <c r="I150" i="8"/>
  <c r="AJ150" i="8" s="1"/>
  <c r="AJ149" i="8"/>
  <c r="I102" i="5"/>
  <c r="AJ102" i="5" s="1"/>
  <c r="AJ101" i="5"/>
  <c r="AF63" i="8"/>
  <c r="AD63" i="8" s="1"/>
  <c r="AC63" i="8" s="1"/>
  <c r="AF63" i="6"/>
  <c r="AD63" i="6" s="1"/>
  <c r="AC63" i="6" s="1"/>
  <c r="V63" i="8"/>
  <c r="T63" i="8" s="1"/>
  <c r="S63" i="8" s="1"/>
  <c r="V63" i="6"/>
  <c r="T63" i="6" s="1"/>
  <c r="S63" i="6" s="1"/>
  <c r="AF79" i="8"/>
  <c r="AD79" i="8" s="1"/>
  <c r="AG79" i="8" s="1"/>
  <c r="AF79" i="6"/>
  <c r="AD79" i="6" s="1"/>
  <c r="AG79" i="6" s="1"/>
  <c r="V79" i="8"/>
  <c r="T79" i="8" s="1"/>
  <c r="W79" i="8" s="1"/>
  <c r="V79" i="6"/>
  <c r="T79" i="6" s="1"/>
  <c r="W79" i="6" s="1"/>
  <c r="L79" i="8"/>
  <c r="J79" i="8" s="1"/>
  <c r="M79" i="8" s="1"/>
  <c r="L79" i="6"/>
  <c r="J79" i="6" s="1"/>
  <c r="I79" i="6" s="1"/>
  <c r="AF84" i="8"/>
  <c r="AD84" i="8"/>
  <c r="V84" i="8"/>
  <c r="T84" i="8"/>
  <c r="L84" i="8"/>
  <c r="AF84" i="6"/>
  <c r="AD84" i="6"/>
  <c r="V84" i="6"/>
  <c r="T84" i="6"/>
  <c r="L84" i="6"/>
  <c r="J84" i="6"/>
  <c r="AD72" i="8"/>
  <c r="T72" i="8"/>
  <c r="J72" i="8"/>
  <c r="L72" i="8"/>
  <c r="L72" i="6"/>
  <c r="J72" i="6"/>
  <c r="AF72" i="8"/>
  <c r="AF72" i="6"/>
  <c r="AD72" i="6"/>
  <c r="V72" i="8"/>
  <c r="S72" i="8" s="1"/>
  <c r="V72" i="6"/>
  <c r="T72" i="6"/>
  <c r="AF64" i="6"/>
  <c r="AD64" i="6" s="1"/>
  <c r="AG64" i="6" s="1"/>
  <c r="AF62" i="6"/>
  <c r="AD62" i="6" s="1"/>
  <c r="AC62" i="6" s="1"/>
  <c r="AF61" i="6"/>
  <c r="AD61" i="6" s="1"/>
  <c r="AF64" i="8"/>
  <c r="AF62" i="8"/>
  <c r="AD62" i="8" s="1"/>
  <c r="AG62" i="8" s="1"/>
  <c r="AF61" i="8"/>
  <c r="AD61" i="8" s="1"/>
  <c r="AC61" i="8" s="1"/>
  <c r="V64" i="6"/>
  <c r="T64" i="6" s="1"/>
  <c r="W64" i="6" s="1"/>
  <c r="V62" i="6"/>
  <c r="T62" i="6" s="1"/>
  <c r="V61" i="6"/>
  <c r="T61" i="6" s="1"/>
  <c r="V64" i="8"/>
  <c r="T64" i="8" s="1"/>
  <c r="W64" i="8" s="1"/>
  <c r="V62" i="8"/>
  <c r="T62" i="8" s="1"/>
  <c r="W62" i="8" s="1"/>
  <c r="V61" i="8"/>
  <c r="T61" i="8" s="1"/>
  <c r="S61" i="8" s="1"/>
  <c r="L64" i="6"/>
  <c r="J64" i="6" s="1"/>
  <c r="M64" i="6" s="1"/>
  <c r="L63" i="6"/>
  <c r="J63" i="6" s="1"/>
  <c r="I63" i="6" s="1"/>
  <c r="L62" i="6"/>
  <c r="J62" i="6" s="1"/>
  <c r="M62" i="6" s="1"/>
  <c r="L61" i="6"/>
  <c r="J61" i="6" s="1"/>
  <c r="L64" i="8"/>
  <c r="L63" i="8"/>
  <c r="J63" i="8" s="1"/>
  <c r="M63" i="8" s="1"/>
  <c r="L62" i="8"/>
  <c r="J62" i="8" s="1"/>
  <c r="L61" i="8"/>
  <c r="J61" i="8" s="1"/>
  <c r="AF55" i="6"/>
  <c r="AD55" i="6" s="1"/>
  <c r="AC55" i="6" s="1"/>
  <c r="AF54" i="6"/>
  <c r="AD54" i="6" s="1"/>
  <c r="AC54" i="6" s="1"/>
  <c r="AF53" i="6"/>
  <c r="AD53" i="6" s="1"/>
  <c r="AC53" i="6" s="1"/>
  <c r="AF55" i="8"/>
  <c r="AD55" i="8" s="1"/>
  <c r="AC55" i="8" s="1"/>
  <c r="AF54" i="8"/>
  <c r="AD54" i="8" s="1"/>
  <c r="AC54" i="8" s="1"/>
  <c r="AF53" i="8"/>
  <c r="AD53" i="8" s="1"/>
  <c r="AC53" i="8" s="1"/>
  <c r="V55" i="6"/>
  <c r="T55" i="6" s="1"/>
  <c r="S55" i="6" s="1"/>
  <c r="V54" i="6"/>
  <c r="T54" i="6" s="1"/>
  <c r="S54" i="6" s="1"/>
  <c r="V53" i="6"/>
  <c r="T53" i="6" s="1"/>
  <c r="S53" i="6" s="1"/>
  <c r="V55" i="8"/>
  <c r="T55" i="8" s="1"/>
  <c r="S55" i="8" s="1"/>
  <c r="V54" i="8"/>
  <c r="T54" i="8" s="1"/>
  <c r="S54" i="8" s="1"/>
  <c r="V53" i="8"/>
  <c r="T53" i="8" s="1"/>
  <c r="S53" i="8" s="1"/>
  <c r="L53" i="6"/>
  <c r="J53" i="6" s="1"/>
  <c r="I53" i="6" s="1"/>
  <c r="L54" i="6"/>
  <c r="J54" i="6" s="1"/>
  <c r="I54" i="6" s="1"/>
  <c r="L55" i="6"/>
  <c r="J55" i="6" s="1"/>
  <c r="M55" i="6" s="1"/>
  <c r="L53" i="8"/>
  <c r="J53" i="8" s="1"/>
  <c r="I53" i="8" s="1"/>
  <c r="AJ53" i="8" s="1"/>
  <c r="L54" i="8"/>
  <c r="J54" i="8" s="1"/>
  <c r="I54" i="8" s="1"/>
  <c r="AJ54" i="8" s="1"/>
  <c r="L55" i="8"/>
  <c r="J55" i="8" s="1"/>
  <c r="I55" i="8" s="1"/>
  <c r="B55" i="6"/>
  <c r="AG68" i="6"/>
  <c r="AG68" i="8"/>
  <c r="W68" i="6"/>
  <c r="W68" i="8"/>
  <c r="M68" i="6"/>
  <c r="M68" i="8"/>
  <c r="B8" i="8"/>
  <c r="B9" i="8"/>
  <c r="B10" i="8"/>
  <c r="B11" i="8"/>
  <c r="B12" i="8"/>
  <c r="B13" i="8"/>
  <c r="B14" i="8"/>
  <c r="B15" i="8"/>
  <c r="B16" i="8"/>
  <c r="B18" i="8"/>
  <c r="B20" i="8"/>
  <c r="B21" i="8"/>
  <c r="B22" i="8"/>
  <c r="B23" i="8"/>
  <c r="B24" i="8"/>
  <c r="B25" i="8"/>
  <c r="B26" i="8"/>
  <c r="B27" i="8"/>
  <c r="B28" i="8"/>
  <c r="B29" i="8"/>
  <c r="B30" i="8"/>
  <c r="B31" i="8"/>
  <c r="B32" i="8"/>
  <c r="B33" i="8"/>
  <c r="B34" i="8"/>
  <c r="B35" i="8"/>
  <c r="B36" i="8"/>
  <c r="B37" i="8"/>
  <c r="B38" i="8"/>
  <c r="B39" i="8"/>
  <c r="B40" i="8"/>
  <c r="B41" i="8"/>
  <c r="B42" i="8"/>
  <c r="B43" i="8"/>
  <c r="B44" i="8"/>
  <c r="B45" i="8"/>
  <c r="B46" i="8"/>
  <c r="B67" i="8"/>
  <c r="B73" i="8"/>
  <c r="B74" i="8"/>
  <c r="B75" i="8"/>
  <c r="B76" i="8"/>
  <c r="B77" i="8"/>
  <c r="B78" i="8"/>
  <c r="B79" i="8"/>
  <c r="B80" i="8"/>
  <c r="B81" i="8"/>
  <c r="B82" i="8"/>
  <c r="B83" i="8"/>
  <c r="B84" i="8"/>
  <c r="B85" i="8"/>
  <c r="B86" i="8"/>
  <c r="B87" i="8"/>
  <c r="B88" i="8"/>
  <c r="B89" i="8"/>
  <c r="B90" i="8"/>
  <c r="B91" i="8"/>
  <c r="B92" i="8"/>
  <c r="B93" i="8"/>
  <c r="B94" i="8"/>
  <c r="B101" i="8"/>
  <c r="B102" i="8"/>
  <c r="B103" i="8"/>
  <c r="B104" i="8"/>
  <c r="B105" i="8"/>
  <c r="B106" i="8"/>
  <c r="B107" i="8"/>
  <c r="B110"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4" i="8"/>
  <c r="B185" i="8"/>
  <c r="B186" i="8"/>
  <c r="B187" i="8"/>
  <c r="B188" i="8"/>
  <c r="B189" i="8"/>
  <c r="B190" i="8"/>
  <c r="B191" i="8"/>
  <c r="B192" i="8"/>
  <c r="B193"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8" i="7"/>
  <c r="B9" i="7"/>
  <c r="B10" i="7"/>
  <c r="B11" i="7"/>
  <c r="B12" i="7"/>
  <c r="B13" i="7"/>
  <c r="B14" i="7"/>
  <c r="B15" i="7"/>
  <c r="B16" i="7"/>
  <c r="B18" i="7"/>
  <c r="B20" i="7"/>
  <c r="B21" i="7"/>
  <c r="B22" i="7"/>
  <c r="B23" i="7"/>
  <c r="B24" i="7"/>
  <c r="B25" i="7"/>
  <c r="B26" i="7"/>
  <c r="B27" i="7"/>
  <c r="B28" i="7"/>
  <c r="B29" i="7"/>
  <c r="B30" i="7"/>
  <c r="B31" i="7"/>
  <c r="B32" i="7"/>
  <c r="B33" i="7"/>
  <c r="B34" i="7"/>
  <c r="B35" i="7"/>
  <c r="B36" i="7"/>
  <c r="B37" i="7"/>
  <c r="B38" i="7"/>
  <c r="B39" i="7"/>
  <c r="B40" i="7"/>
  <c r="B41" i="7"/>
  <c r="B42" i="7"/>
  <c r="B43" i="7"/>
  <c r="B44" i="7"/>
  <c r="B46" i="7"/>
  <c r="B47" i="7"/>
  <c r="B51" i="7"/>
  <c r="B52" i="7"/>
  <c r="B53" i="7"/>
  <c r="B54" i="7"/>
  <c r="B55" i="7"/>
  <c r="B56" i="7"/>
  <c r="B57" i="7"/>
  <c r="B58" i="7"/>
  <c r="B59" i="7"/>
  <c r="B60" i="7"/>
  <c r="B63" i="7"/>
  <c r="B66" i="7"/>
  <c r="B67" i="7"/>
  <c r="B68" i="7"/>
  <c r="B69" i="7"/>
  <c r="B70" i="7"/>
  <c r="B71" i="7"/>
  <c r="B72" i="7"/>
  <c r="B73" i="7"/>
  <c r="B74" i="7"/>
  <c r="B75" i="7"/>
  <c r="B76" i="7"/>
  <c r="B77" i="7"/>
  <c r="B78" i="7"/>
  <c r="B79" i="7"/>
  <c r="B80" i="7"/>
  <c r="B81" i="7"/>
  <c r="B82" i="7"/>
  <c r="B83" i="7"/>
  <c r="B84" i="7"/>
  <c r="B85" i="7"/>
  <c r="B86" i="7"/>
  <c r="B87" i="7"/>
  <c r="B88" i="7"/>
  <c r="B89" i="7"/>
  <c r="B90" i="7"/>
  <c r="B91" i="7"/>
  <c r="B92"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8" i="6"/>
  <c r="B9" i="6"/>
  <c r="B10" i="6"/>
  <c r="B11" i="6"/>
  <c r="B12" i="6"/>
  <c r="B13" i="6"/>
  <c r="B14" i="6"/>
  <c r="B15" i="6"/>
  <c r="B16" i="6"/>
  <c r="B18" i="6"/>
  <c r="B20" i="6"/>
  <c r="B21" i="6"/>
  <c r="B22" i="6"/>
  <c r="B23" i="6"/>
  <c r="B24" i="6"/>
  <c r="B25" i="6"/>
  <c r="B26" i="6"/>
  <c r="B27" i="6"/>
  <c r="B28" i="6"/>
  <c r="B29" i="6"/>
  <c r="B30" i="6"/>
  <c r="B31" i="6"/>
  <c r="B32" i="6"/>
  <c r="B33" i="6"/>
  <c r="B34" i="6"/>
  <c r="B35" i="6"/>
  <c r="B36" i="6"/>
  <c r="B37" i="6"/>
  <c r="B38" i="6"/>
  <c r="B39" i="6"/>
  <c r="B40" i="6"/>
  <c r="B41" i="6"/>
  <c r="B42" i="6"/>
  <c r="B43" i="6"/>
  <c r="B44" i="6"/>
  <c r="B45" i="6"/>
  <c r="B46" i="6"/>
  <c r="B54" i="6"/>
  <c r="B56" i="6"/>
  <c r="B57" i="6"/>
  <c r="B58" i="6"/>
  <c r="B59" i="6"/>
  <c r="B60"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8" i="6"/>
  <c r="B99" i="6"/>
  <c r="B100" i="6"/>
  <c r="B101" i="6"/>
  <c r="B102" i="6"/>
  <c r="B103" i="6"/>
  <c r="B104" i="6"/>
  <c r="B105" i="6"/>
  <c r="B106" i="6"/>
  <c r="B107" i="6"/>
  <c r="B110"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3" i="6"/>
  <c r="B184" i="6"/>
  <c r="B185" i="6"/>
  <c r="B186" i="6"/>
  <c r="B187" i="6"/>
  <c r="B188" i="6"/>
  <c r="B189" i="6"/>
  <c r="B190" i="6"/>
  <c r="B191" i="6"/>
  <c r="B192" i="6"/>
  <c r="B194"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7" i="8"/>
  <c r="B7" i="7"/>
  <c r="B7" i="6"/>
  <c r="AJ53" i="6" l="1"/>
  <c r="AJ55" i="8"/>
  <c r="AJ54" i="6"/>
  <c r="AJ63" i="6"/>
  <c r="S84" i="6"/>
  <c r="I72" i="6"/>
  <c r="AJ72" i="6" s="1"/>
  <c r="S84" i="8"/>
  <c r="I72" i="8"/>
  <c r="AC84" i="6"/>
  <c r="AC84" i="8"/>
  <c r="AC72" i="6"/>
  <c r="W62" i="6"/>
  <c r="S62" i="6"/>
  <c r="S72" i="6"/>
  <c r="I84" i="6"/>
  <c r="M62" i="8"/>
  <c r="I62" i="8"/>
  <c r="S64" i="8"/>
  <c r="I84" i="8"/>
  <c r="J64" i="8"/>
  <c r="M64" i="8" s="1"/>
  <c r="AD64" i="8"/>
  <c r="AG64" i="8" s="1"/>
  <c r="W55" i="8"/>
  <c r="I63" i="8"/>
  <c r="AJ63" i="8" s="1"/>
  <c r="M54" i="8"/>
  <c r="AG54" i="8"/>
  <c r="I62" i="6"/>
  <c r="AJ62" i="6" s="1"/>
  <c r="S64" i="6"/>
  <c r="M53" i="6"/>
  <c r="W53" i="6"/>
  <c r="AG55" i="6"/>
  <c r="W63" i="6"/>
  <c r="M79" i="6"/>
  <c r="AC62" i="8"/>
  <c r="AC79" i="8"/>
  <c r="M53" i="8"/>
  <c r="AG53" i="8"/>
  <c r="AG63" i="8"/>
  <c r="I79" i="8"/>
  <c r="AJ79" i="8" s="1"/>
  <c r="W53" i="8"/>
  <c r="W63" i="8"/>
  <c r="S62" i="8"/>
  <c r="S79" i="8"/>
  <c r="M55" i="8"/>
  <c r="W54" i="8"/>
  <c r="AG55" i="8"/>
  <c r="AG62" i="6"/>
  <c r="I55" i="6"/>
  <c r="AJ55" i="6" s="1"/>
  <c r="W55" i="6"/>
  <c r="AG53" i="6"/>
  <c r="W54" i="6"/>
  <c r="AC64" i="6"/>
  <c r="M54" i="6"/>
  <c r="AG54" i="6"/>
  <c r="AG63" i="6"/>
  <c r="M63" i="6"/>
  <c r="AC79" i="6"/>
  <c r="S79" i="6"/>
  <c r="AJ79" i="6" s="1"/>
  <c r="I64" i="6"/>
  <c r="AJ64" i="6" s="1"/>
  <c r="AC72" i="8"/>
  <c r="AG61" i="6"/>
  <c r="I61" i="8"/>
  <c r="AJ61" i="8" s="1"/>
  <c r="W61" i="8"/>
  <c r="AC61" i="6"/>
  <c r="AG61" i="8"/>
  <c r="W61" i="6"/>
  <c r="S61" i="6"/>
  <c r="M61" i="8"/>
  <c r="M61" i="6"/>
  <c r="I61" i="6"/>
  <c r="B28" i="5"/>
  <c r="B29" i="5"/>
  <c r="B8" i="5"/>
  <c r="B9" i="5"/>
  <c r="B10" i="5"/>
  <c r="B11" i="5"/>
  <c r="B12" i="5"/>
  <c r="B13" i="5"/>
  <c r="B14" i="5"/>
  <c r="B15" i="5"/>
  <c r="B16" i="5"/>
  <c r="B18" i="5"/>
  <c r="B20" i="5"/>
  <c r="B21" i="5"/>
  <c r="B22" i="5"/>
  <c r="B23" i="5"/>
  <c r="B24" i="5"/>
  <c r="B25" i="5"/>
  <c r="B26" i="5"/>
  <c r="B27" i="5"/>
  <c r="B30" i="5"/>
  <c r="B31" i="5"/>
  <c r="B32" i="5"/>
  <c r="B33" i="5"/>
  <c r="B34" i="5"/>
  <c r="B35" i="5"/>
  <c r="B36" i="5"/>
  <c r="B37" i="5"/>
  <c r="B38" i="5"/>
  <c r="B39" i="5"/>
  <c r="B40" i="5"/>
  <c r="B41" i="5"/>
  <c r="B42" i="5"/>
  <c r="B43" i="5"/>
  <c r="B44" i="5"/>
  <c r="B45" i="5"/>
  <c r="B46" i="5"/>
  <c r="B50" i="5"/>
  <c r="B51" i="5"/>
  <c r="B52" i="5"/>
  <c r="B53" i="5"/>
  <c r="B54" i="5"/>
  <c r="B55" i="5"/>
  <c r="B56" i="5"/>
  <c r="B57" i="5"/>
  <c r="B58" i="5"/>
  <c r="B59" i="5"/>
  <c r="B62"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6" i="5"/>
  <c r="B137" i="5"/>
  <c r="B138" i="5"/>
  <c r="B139" i="5"/>
  <c r="B140" i="5"/>
  <c r="B141" i="5"/>
  <c r="B142" i="5"/>
  <c r="B143" i="5"/>
  <c r="B144" i="5"/>
  <c r="B145"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7" i="5"/>
  <c r="AJ84" i="8" l="1"/>
  <c r="AJ84" i="6"/>
  <c r="AJ61" i="6"/>
  <c r="AJ62" i="8"/>
  <c r="AJ72" i="8"/>
  <c r="S66" i="8"/>
  <c r="S68" i="8" s="1"/>
  <c r="S69" i="8" s="1"/>
  <c r="I64" i="8"/>
  <c r="S66" i="6"/>
  <c r="S68" i="6" s="1"/>
  <c r="S69" i="6" s="1"/>
  <c r="AC64" i="8"/>
  <c r="AC66" i="8" s="1"/>
  <c r="AC68" i="8" s="1"/>
  <c r="AC69" i="8" s="1"/>
  <c r="AC66" i="6"/>
  <c r="AC68" i="6" s="1"/>
  <c r="AC69" i="6" s="1"/>
  <c r="I66" i="6"/>
  <c r="I68" i="6" l="1"/>
  <c r="AJ66" i="6"/>
  <c r="I66" i="8"/>
  <c r="AJ64" i="8"/>
  <c r="I69" i="6"/>
  <c r="AJ69" i="6" s="1"/>
  <c r="AJ68" i="6"/>
  <c r="M8" i="4"/>
  <c r="K38" i="23"/>
  <c r="I18" i="8"/>
  <c r="AD63" i="7"/>
  <c r="T63" i="7"/>
  <c r="AD18" i="8"/>
  <c r="AC18" i="8" s="1"/>
  <c r="AC19" i="8" s="1"/>
  <c r="AC20" i="8" s="1"/>
  <c r="AC21" i="8" s="1"/>
  <c r="P40" i="23" s="1"/>
  <c r="P41" i="23" s="1"/>
  <c r="S18" i="8"/>
  <c r="S19" i="8" s="1"/>
  <c r="S20" i="8" s="1"/>
  <c r="S21" i="8" s="1"/>
  <c r="O40" i="23" s="1"/>
  <c r="O41" i="23" s="1"/>
  <c r="AD18" i="7"/>
  <c r="AC18" i="7" s="1"/>
  <c r="AC19" i="7" s="1"/>
  <c r="AC20" i="7" s="1"/>
  <c r="AC21" i="7" s="1"/>
  <c r="L40" i="23" s="1"/>
  <c r="L41" i="23" s="1"/>
  <c r="S18" i="7"/>
  <c r="S19" i="7" s="1"/>
  <c r="S20" i="7" s="1"/>
  <c r="S21" i="7" s="1"/>
  <c r="I18" i="7"/>
  <c r="AD18" i="6"/>
  <c r="AC18" i="6" s="1"/>
  <c r="AC19" i="6" s="1"/>
  <c r="AC20" i="6" s="1"/>
  <c r="AC21" i="6" s="1"/>
  <c r="H40" i="23" s="1"/>
  <c r="H41" i="23" s="1"/>
  <c r="S18" i="6"/>
  <c r="S19" i="6" s="1"/>
  <c r="S20" i="6" s="1"/>
  <c r="S21" i="6" s="1"/>
  <c r="G40" i="23" s="1"/>
  <c r="G41" i="23" s="1"/>
  <c r="I18" i="6"/>
  <c r="I18" i="5"/>
  <c r="AC41" i="5"/>
  <c r="AC40" i="5"/>
  <c r="AC39" i="5"/>
  <c r="AC38" i="5"/>
  <c r="AC37" i="5"/>
  <c r="AC36" i="5"/>
  <c r="S41" i="5"/>
  <c r="S40" i="5"/>
  <c r="S39" i="5"/>
  <c r="S38" i="5"/>
  <c r="S37" i="5"/>
  <c r="S36" i="5"/>
  <c r="I41" i="5"/>
  <c r="AD38" i="6"/>
  <c r="AD37" i="6"/>
  <c r="T38" i="6"/>
  <c r="T37" i="6"/>
  <c r="J38" i="6"/>
  <c r="J37" i="6"/>
  <c r="AD53" i="7"/>
  <c r="AD52" i="7"/>
  <c r="T52" i="7"/>
  <c r="J52" i="7"/>
  <c r="J100" i="6"/>
  <c r="J99" i="6"/>
  <c r="AD10" i="8"/>
  <c r="T10" i="8"/>
  <c r="AD10" i="6"/>
  <c r="AD10" i="5"/>
  <c r="AD9" i="8"/>
  <c r="AD9" i="7"/>
  <c r="T9" i="7"/>
  <c r="AD9" i="6"/>
  <c r="T9" i="6"/>
  <c r="S9" i="6" s="1"/>
  <c r="J9" i="6"/>
  <c r="AD9" i="5"/>
  <c r="T9" i="5"/>
  <c r="J9" i="5"/>
  <c r="AD11" i="8"/>
  <c r="AC11" i="8" s="1"/>
  <c r="AD8" i="8"/>
  <c r="T11" i="8"/>
  <c r="S11" i="8" s="1"/>
  <c r="T8" i="8"/>
  <c r="I11" i="8"/>
  <c r="AD11" i="7"/>
  <c r="AD8" i="7"/>
  <c r="T11" i="7"/>
  <c r="T8" i="7"/>
  <c r="I11" i="7"/>
  <c r="AD11" i="6"/>
  <c r="AC11" i="6" s="1"/>
  <c r="AJ11" i="6" s="1"/>
  <c r="AD8" i="6"/>
  <c r="AD8" i="5"/>
  <c r="I11" i="5"/>
  <c r="AJ11" i="5" s="1"/>
  <c r="I68" i="8" l="1"/>
  <c r="AJ66" i="8"/>
  <c r="I19" i="7"/>
  <c r="AJ18" i="7"/>
  <c r="I19" i="8"/>
  <c r="AJ18" i="8"/>
  <c r="AJ11" i="8"/>
  <c r="I19" i="6"/>
  <c r="AJ18" i="6"/>
  <c r="I19" i="5"/>
  <c r="AJ18" i="5"/>
  <c r="K40" i="23"/>
  <c r="K41" i="23" s="1"/>
  <c r="S9" i="5"/>
  <c r="S110" i="8"/>
  <c r="T108" i="8"/>
  <c r="AC110" i="8"/>
  <c r="AD108" i="8"/>
  <c r="AC63" i="7"/>
  <c r="AD61" i="7"/>
  <c r="I63" i="7"/>
  <c r="AJ63" i="7" s="1"/>
  <c r="J61" i="7"/>
  <c r="S63" i="7"/>
  <c r="T61" i="7"/>
  <c r="S110" i="6"/>
  <c r="AC110" i="6"/>
  <c r="AD108" i="6"/>
  <c r="T60" i="5"/>
  <c r="AJ110" i="6" l="1"/>
  <c r="AJ110" i="8"/>
  <c r="I20" i="7"/>
  <c r="AJ19" i="7"/>
  <c r="I20" i="6"/>
  <c r="AJ19" i="6"/>
  <c r="I20" i="8"/>
  <c r="AJ20" i="8" s="1"/>
  <c r="AJ19" i="8"/>
  <c r="I69" i="8"/>
  <c r="AJ69" i="8" s="1"/>
  <c r="AJ68" i="8"/>
  <c r="I20" i="5"/>
  <c r="AJ20" i="5" s="1"/>
  <c r="AJ19" i="5"/>
  <c r="J40" i="23"/>
  <c r="J41" i="23" s="1"/>
  <c r="F40" i="23"/>
  <c r="F41" i="23" s="1"/>
  <c r="W108" i="8"/>
  <c r="S108" i="8"/>
  <c r="AC108" i="8"/>
  <c r="AC111" i="8" s="1"/>
  <c r="AG108" i="8"/>
  <c r="M61" i="7"/>
  <c r="I61" i="7"/>
  <c r="W61" i="7"/>
  <c r="S61" i="7"/>
  <c r="S64" i="7" s="1"/>
  <c r="AG61" i="7"/>
  <c r="AC61" i="7"/>
  <c r="AC64" i="7" s="1"/>
  <c r="S108" i="6"/>
  <c r="W108" i="6"/>
  <c r="AG108" i="6"/>
  <c r="AC108" i="6"/>
  <c r="AC111" i="6" s="1"/>
  <c r="S60" i="5"/>
  <c r="W60" i="5"/>
  <c r="S36" i="6"/>
  <c r="S37" i="6"/>
  <c r="S38" i="6"/>
  <c r="S39" i="6"/>
  <c r="S40" i="6"/>
  <c r="S41" i="6"/>
  <c r="H3" i="6"/>
  <c r="H3" i="8"/>
  <c r="H3" i="5"/>
  <c r="AC72" i="5"/>
  <c r="AC71" i="5"/>
  <c r="AC70" i="5"/>
  <c r="AC69" i="5"/>
  <c r="I86" i="5"/>
  <c r="I85" i="5"/>
  <c r="I84" i="5"/>
  <c r="S131" i="6"/>
  <c r="I131" i="6"/>
  <c r="AC87" i="7"/>
  <c r="AC86" i="7"/>
  <c r="AC85" i="7"/>
  <c r="S87" i="7"/>
  <c r="S86" i="7"/>
  <c r="S85" i="7"/>
  <c r="I87" i="7"/>
  <c r="I86" i="7"/>
  <c r="I85" i="7"/>
  <c r="AC41" i="8"/>
  <c r="AC40" i="8"/>
  <c r="AC39" i="8"/>
  <c r="AC38" i="8"/>
  <c r="AC37" i="8"/>
  <c r="AC36" i="8"/>
  <c r="S41" i="8"/>
  <c r="S40" i="8"/>
  <c r="S39" i="8"/>
  <c r="S38" i="8"/>
  <c r="S37" i="8"/>
  <c r="S36" i="8"/>
  <c r="I41" i="8"/>
  <c r="I40" i="8"/>
  <c r="I39" i="8"/>
  <c r="I38" i="8"/>
  <c r="I37" i="8"/>
  <c r="I36" i="8"/>
  <c r="AC134" i="8"/>
  <c r="AC133" i="8"/>
  <c r="AC132" i="8"/>
  <c r="S134" i="8"/>
  <c r="S133" i="8"/>
  <c r="S132" i="8"/>
  <c r="I134" i="8"/>
  <c r="I133" i="8"/>
  <c r="I132" i="8"/>
  <c r="AC120" i="8"/>
  <c r="AC119" i="8"/>
  <c r="AC118" i="8"/>
  <c r="AC117" i="8"/>
  <c r="S120" i="8"/>
  <c r="S119" i="8"/>
  <c r="S118" i="8"/>
  <c r="S117" i="8"/>
  <c r="I120" i="8"/>
  <c r="AJ120" i="8" s="1"/>
  <c r="I119" i="8"/>
  <c r="AJ119" i="8" s="1"/>
  <c r="I118" i="8"/>
  <c r="AJ118" i="8" s="1"/>
  <c r="I117" i="8"/>
  <c r="AJ117" i="8" s="1"/>
  <c r="AC27" i="8"/>
  <c r="AC26" i="8"/>
  <c r="AC25" i="8"/>
  <c r="AC24" i="8"/>
  <c r="S27" i="8"/>
  <c r="S26" i="8"/>
  <c r="S25" i="8"/>
  <c r="S24" i="8"/>
  <c r="I27" i="8"/>
  <c r="I26" i="8"/>
  <c r="I25" i="8"/>
  <c r="I24" i="8"/>
  <c r="AC119" i="6"/>
  <c r="AC118" i="6"/>
  <c r="AC117" i="6"/>
  <c r="AC116" i="6"/>
  <c r="S119" i="6"/>
  <c r="S118" i="6"/>
  <c r="S117" i="6"/>
  <c r="S116" i="6"/>
  <c r="I119" i="6"/>
  <c r="AJ119" i="6" s="1"/>
  <c r="I118" i="6"/>
  <c r="AJ118" i="6" s="1"/>
  <c r="I117" i="6"/>
  <c r="AJ117" i="6" s="1"/>
  <c r="I116" i="6"/>
  <c r="AJ116" i="6" s="1"/>
  <c r="S72" i="5"/>
  <c r="S71" i="5"/>
  <c r="S70" i="5"/>
  <c r="S69" i="5"/>
  <c r="I72" i="5"/>
  <c r="AJ72" i="5" s="1"/>
  <c r="I71" i="5"/>
  <c r="I70" i="5"/>
  <c r="I69" i="5"/>
  <c r="AJ69" i="5" s="1"/>
  <c r="AC73" i="7"/>
  <c r="AC72" i="7"/>
  <c r="AC71" i="7"/>
  <c r="AC70" i="7"/>
  <c r="S73" i="7"/>
  <c r="S72" i="7"/>
  <c r="S71" i="7"/>
  <c r="S70" i="7"/>
  <c r="I73" i="7"/>
  <c r="I72" i="7"/>
  <c r="I71" i="7"/>
  <c r="I70" i="7"/>
  <c r="AC27" i="7"/>
  <c r="AC26" i="7"/>
  <c r="AC25" i="7"/>
  <c r="AC24" i="7"/>
  <c r="S27" i="7"/>
  <c r="S26" i="7"/>
  <c r="S25" i="7"/>
  <c r="S24" i="7"/>
  <c r="I27" i="7"/>
  <c r="I26" i="7"/>
  <c r="I25" i="7"/>
  <c r="I24" i="7"/>
  <c r="AC41" i="6"/>
  <c r="I41" i="6"/>
  <c r="AC27" i="6"/>
  <c r="AC26" i="6"/>
  <c r="AC25" i="6"/>
  <c r="AC24" i="6"/>
  <c r="S27" i="6"/>
  <c r="S26" i="6"/>
  <c r="S25" i="6"/>
  <c r="S24" i="6"/>
  <c r="I27" i="6"/>
  <c r="AJ27" i="6" s="1"/>
  <c r="I26" i="6"/>
  <c r="AJ26" i="6" s="1"/>
  <c r="I25" i="6"/>
  <c r="I24" i="6"/>
  <c r="AJ24" i="6" s="1"/>
  <c r="AC27" i="5"/>
  <c r="AC26" i="5"/>
  <c r="AC25" i="5"/>
  <c r="AC24" i="5"/>
  <c r="S27" i="5"/>
  <c r="S26" i="5"/>
  <c r="S25" i="5"/>
  <c r="AJ25" i="5" s="1"/>
  <c r="S24" i="5"/>
  <c r="I27" i="5"/>
  <c r="AJ27" i="5" s="1"/>
  <c r="I26" i="5"/>
  <c r="AJ26" i="5" s="1"/>
  <c r="I24" i="5"/>
  <c r="AJ25" i="6" l="1"/>
  <c r="AJ41" i="6"/>
  <c r="AJ71" i="5"/>
  <c r="I21" i="7"/>
  <c r="AJ21" i="7" s="1"/>
  <c r="AJ20" i="7"/>
  <c r="AJ131" i="6"/>
  <c r="I64" i="7"/>
  <c r="AJ64" i="7" s="1"/>
  <c r="AJ61" i="7"/>
  <c r="S111" i="8"/>
  <c r="AJ111" i="8" s="1"/>
  <c r="AJ108" i="8"/>
  <c r="S111" i="6"/>
  <c r="AJ111" i="6" s="1"/>
  <c r="AJ108" i="6"/>
  <c r="AJ20" i="6"/>
  <c r="I21" i="6"/>
  <c r="AJ21" i="6" s="1"/>
  <c r="AJ24" i="5"/>
  <c r="AJ70" i="5"/>
  <c r="S63" i="5"/>
  <c r="AJ63" i="5" s="1"/>
  <c r="AJ60" i="5"/>
  <c r="AC40" i="7"/>
  <c r="AC39" i="7"/>
  <c r="AC38" i="7"/>
  <c r="AC37" i="7"/>
  <c r="AC36" i="7"/>
  <c r="S40" i="7"/>
  <c r="S39" i="7"/>
  <c r="S38" i="7"/>
  <c r="S37" i="7"/>
  <c r="S36" i="7"/>
  <c r="I40" i="7"/>
  <c r="I39" i="7"/>
  <c r="AJ39" i="7" s="1"/>
  <c r="I38" i="7"/>
  <c r="AJ38" i="7" s="1"/>
  <c r="I37" i="7"/>
  <c r="I36" i="7"/>
  <c r="AC40" i="6"/>
  <c r="AC39" i="6"/>
  <c r="AC38" i="6"/>
  <c r="AC37" i="6"/>
  <c r="AC36" i="6"/>
  <c r="I40" i="6"/>
  <c r="AJ40" i="6" s="1"/>
  <c r="I39" i="6"/>
  <c r="I38" i="6"/>
  <c r="AJ38" i="6" s="1"/>
  <c r="I37" i="6"/>
  <c r="AJ37" i="6" s="1"/>
  <c r="I36" i="6"/>
  <c r="AJ36" i="6" s="1"/>
  <c r="I37" i="5"/>
  <c r="I36" i="5"/>
  <c r="I38" i="5"/>
  <c r="I39" i="5"/>
  <c r="I40" i="5"/>
  <c r="AJ36" i="7" l="1"/>
  <c r="AJ39" i="6"/>
  <c r="AJ37" i="7"/>
  <c r="AJ40" i="7"/>
  <c r="M24" i="5"/>
  <c r="A232" i="12" l="1"/>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4" i="12"/>
  <c r="AC259" i="8" l="1"/>
  <c r="I259" i="8"/>
  <c r="S259" i="8"/>
  <c r="AG249" i="8"/>
  <c r="W249" i="8"/>
  <c r="M249" i="8"/>
  <c r="AG248" i="8"/>
  <c r="AC248" i="8"/>
  <c r="W248" i="8"/>
  <c r="S248" i="8"/>
  <c r="S249" i="8" s="1"/>
  <c r="M248" i="8"/>
  <c r="I248" i="8"/>
  <c r="AJ248" i="8" s="1"/>
  <c r="S245" i="8"/>
  <c r="AC245" i="8"/>
  <c r="AG237" i="8"/>
  <c r="AC237" i="8"/>
  <c r="AC238" i="8" s="1"/>
  <c r="AH238" i="8" s="1"/>
  <c r="W237" i="8"/>
  <c r="M237" i="8"/>
  <c r="I237" i="8"/>
  <c r="AG236" i="8"/>
  <c r="W236" i="8"/>
  <c r="S237" i="8"/>
  <c r="S238" i="8" s="1"/>
  <c r="X238" i="8" s="1"/>
  <c r="M236" i="8"/>
  <c r="AG232" i="8"/>
  <c r="W232" i="8"/>
  <c r="M232" i="8"/>
  <c r="AG230" i="8"/>
  <c r="AC230" i="8"/>
  <c r="W230" i="8"/>
  <c r="S230" i="8"/>
  <c r="M230" i="8"/>
  <c r="I230" i="8"/>
  <c r="AG229" i="8"/>
  <c r="AC229" i="8"/>
  <c r="W229" i="8"/>
  <c r="S229" i="8"/>
  <c r="M229" i="8"/>
  <c r="I229" i="8"/>
  <c r="AG228" i="8"/>
  <c r="W228" i="8"/>
  <c r="M228" i="8"/>
  <c r="I228" i="8"/>
  <c r="AG227" i="8"/>
  <c r="W227" i="8"/>
  <c r="M227" i="8"/>
  <c r="I227" i="8"/>
  <c r="AJ227" i="8" s="1"/>
  <c r="AG208" i="8"/>
  <c r="W208" i="8"/>
  <c r="M208" i="8"/>
  <c r="AG207" i="8"/>
  <c r="AC207" i="8"/>
  <c r="AC208" i="8" s="1"/>
  <c r="AC209" i="8" s="1"/>
  <c r="AH209" i="8" s="1"/>
  <c r="W207" i="8"/>
  <c r="S207" i="8"/>
  <c r="M207" i="8"/>
  <c r="S204" i="8"/>
  <c r="M203" i="8"/>
  <c r="M202" i="8"/>
  <c r="M201" i="8"/>
  <c r="AC204" i="8"/>
  <c r="M200" i="8"/>
  <c r="AG196" i="8"/>
  <c r="W196" i="8"/>
  <c r="X197" i="8"/>
  <c r="M196" i="8"/>
  <c r="AH197" i="8"/>
  <c r="N197" i="8"/>
  <c r="AG190" i="8"/>
  <c r="W190" i="8"/>
  <c r="M190" i="8"/>
  <c r="AG188" i="8"/>
  <c r="AC188" i="8"/>
  <c r="W188" i="8"/>
  <c r="S188" i="8"/>
  <c r="M188" i="8"/>
  <c r="I188" i="8"/>
  <c r="AJ188" i="8" s="1"/>
  <c r="AG187" i="8"/>
  <c r="AC187" i="8"/>
  <c r="W187" i="8"/>
  <c r="S187" i="8"/>
  <c r="M187" i="8"/>
  <c r="I187" i="8"/>
  <c r="AG186" i="8"/>
  <c r="AC186" i="8"/>
  <c r="W186" i="8"/>
  <c r="S186" i="8"/>
  <c r="M186" i="8"/>
  <c r="I186" i="8"/>
  <c r="AJ186" i="8" s="1"/>
  <c r="I185" i="8"/>
  <c r="AJ185" i="8" s="1"/>
  <c r="AG175" i="8"/>
  <c r="W175" i="8"/>
  <c r="M175" i="8"/>
  <c r="AG166" i="8"/>
  <c r="W166" i="8"/>
  <c r="M166" i="8"/>
  <c r="AG165" i="8"/>
  <c r="W165" i="8"/>
  <c r="S166" i="8"/>
  <c r="M165" i="8"/>
  <c r="I166" i="8"/>
  <c r="AC162" i="8"/>
  <c r="AG161" i="8"/>
  <c r="W161" i="8"/>
  <c r="M161" i="8"/>
  <c r="AG160" i="8"/>
  <c r="W160" i="8"/>
  <c r="M160" i="8"/>
  <c r="AG159" i="8"/>
  <c r="W159" i="8"/>
  <c r="M159" i="8"/>
  <c r="AG158" i="8"/>
  <c r="W158" i="8"/>
  <c r="S162" i="8"/>
  <c r="M158" i="8"/>
  <c r="AG154" i="8"/>
  <c r="AC154" i="8"/>
  <c r="AC155" i="8" s="1"/>
  <c r="AC181" i="8" s="1"/>
  <c r="R20" i="4" s="1"/>
  <c r="W154" i="8"/>
  <c r="M154" i="8"/>
  <c r="I154" i="8"/>
  <c r="AG153" i="8"/>
  <c r="W153" i="8"/>
  <c r="S154" i="8"/>
  <c r="S155" i="8" s="1"/>
  <c r="S181" i="8" s="1"/>
  <c r="Q20" i="4" s="1"/>
  <c r="M153" i="8"/>
  <c r="AG149" i="8"/>
  <c r="W149" i="8"/>
  <c r="M149" i="8"/>
  <c r="AG147" i="8"/>
  <c r="W147" i="8"/>
  <c r="M147" i="8"/>
  <c r="AG146" i="8"/>
  <c r="W146" i="8"/>
  <c r="M146" i="8"/>
  <c r="AG145" i="8"/>
  <c r="W145" i="8"/>
  <c r="M145" i="8"/>
  <c r="AG144" i="8"/>
  <c r="W144" i="8"/>
  <c r="M144" i="8"/>
  <c r="AG125" i="8"/>
  <c r="W125" i="8"/>
  <c r="M125" i="8"/>
  <c r="AG124" i="8"/>
  <c r="AC124" i="8"/>
  <c r="W124" i="8"/>
  <c r="S124" i="8"/>
  <c r="S125" i="8" s="1"/>
  <c r="S126" i="8" s="1"/>
  <c r="X126" i="8" s="1"/>
  <c r="M124" i="8"/>
  <c r="I124" i="8"/>
  <c r="I125" i="8" s="1"/>
  <c r="AG120" i="8"/>
  <c r="W120" i="8"/>
  <c r="M120" i="8"/>
  <c r="AG119" i="8"/>
  <c r="W119" i="8"/>
  <c r="M119" i="8"/>
  <c r="AG118" i="8"/>
  <c r="W118" i="8"/>
  <c r="M118" i="8"/>
  <c r="AG117" i="8"/>
  <c r="AC121" i="8"/>
  <c r="W117" i="8"/>
  <c r="S121" i="8"/>
  <c r="M117" i="8"/>
  <c r="AG113" i="8"/>
  <c r="AC113" i="8"/>
  <c r="W113" i="8"/>
  <c r="M113" i="8"/>
  <c r="I113" i="8"/>
  <c r="AG110" i="8"/>
  <c r="W110" i="8"/>
  <c r="S113" i="8"/>
  <c r="M110" i="8"/>
  <c r="AG104" i="8"/>
  <c r="W104" i="8"/>
  <c r="M104" i="8"/>
  <c r="AG102" i="8"/>
  <c r="AC102" i="8"/>
  <c r="W102" i="8"/>
  <c r="S102" i="8"/>
  <c r="M102" i="8"/>
  <c r="I102" i="8"/>
  <c r="AG101" i="8"/>
  <c r="AC101" i="8"/>
  <c r="W101" i="8"/>
  <c r="S101" i="8"/>
  <c r="M101" i="8"/>
  <c r="I101" i="8"/>
  <c r="AJ101" i="8" s="1"/>
  <c r="AC131" i="8"/>
  <c r="S131" i="8"/>
  <c r="I131" i="8"/>
  <c r="AC129" i="8"/>
  <c r="S129" i="8"/>
  <c r="I129" i="8"/>
  <c r="AG89" i="8"/>
  <c r="W89" i="8"/>
  <c r="M89" i="8"/>
  <c r="I90" i="8"/>
  <c r="S90" i="8"/>
  <c r="AG80" i="8"/>
  <c r="W80" i="8"/>
  <c r="M80" i="8"/>
  <c r="AC80" i="8"/>
  <c r="AC81" i="8" s="1"/>
  <c r="AH81" i="8" s="1"/>
  <c r="S80" i="8"/>
  <c r="I80" i="8"/>
  <c r="W75" i="8"/>
  <c r="AC76" i="8"/>
  <c r="S76" i="8"/>
  <c r="AH69" i="8"/>
  <c r="N69" i="8"/>
  <c r="X69" i="8"/>
  <c r="AG57" i="8"/>
  <c r="W57" i="8"/>
  <c r="M57" i="8"/>
  <c r="I42" i="8"/>
  <c r="S42" i="8"/>
  <c r="AG32" i="8"/>
  <c r="W32" i="8"/>
  <c r="M32" i="8"/>
  <c r="AG31" i="8"/>
  <c r="AC31" i="8"/>
  <c r="AC32" i="8" s="1"/>
  <c r="AC33" i="8" s="1"/>
  <c r="W31" i="8"/>
  <c r="S31" i="8"/>
  <c r="S32" i="8" s="1"/>
  <c r="M31" i="8"/>
  <c r="I31" i="8"/>
  <c r="I32" i="8" s="1"/>
  <c r="S28" i="8"/>
  <c r="AG27" i="8"/>
  <c r="W27" i="8"/>
  <c r="M27" i="8"/>
  <c r="AG26" i="8"/>
  <c r="W26" i="8"/>
  <c r="M26" i="8"/>
  <c r="AG25" i="8"/>
  <c r="W25" i="8"/>
  <c r="M25" i="8"/>
  <c r="AG24" i="8"/>
  <c r="AC28" i="8"/>
  <c r="W24" i="8"/>
  <c r="M24" i="8"/>
  <c r="AG20" i="8"/>
  <c r="W20" i="8"/>
  <c r="X21" i="8"/>
  <c r="M20" i="8"/>
  <c r="AG18" i="8"/>
  <c r="AH21" i="8"/>
  <c r="W18" i="8"/>
  <c r="M18" i="8"/>
  <c r="I21" i="8"/>
  <c r="AJ21" i="8" s="1"/>
  <c r="AG13" i="8"/>
  <c r="W13" i="8"/>
  <c r="M13" i="8"/>
  <c r="AG11" i="8"/>
  <c r="W11" i="8"/>
  <c r="M11" i="8"/>
  <c r="AG10" i="8"/>
  <c r="AC10" i="8"/>
  <c r="W10" i="8"/>
  <c r="S10" i="8"/>
  <c r="M10" i="8"/>
  <c r="I10" i="8"/>
  <c r="AJ10" i="8" s="1"/>
  <c r="AG9" i="8"/>
  <c r="AC9" i="8"/>
  <c r="W9" i="8"/>
  <c r="S9" i="8"/>
  <c r="M9" i="8"/>
  <c r="I9" i="8"/>
  <c r="AG8" i="8"/>
  <c r="AC8" i="8"/>
  <c r="W8" i="8"/>
  <c r="S8" i="8"/>
  <c r="M8" i="8"/>
  <c r="I8" i="8"/>
  <c r="AJ8" i="8" s="1"/>
  <c r="AG128" i="7"/>
  <c r="AC129" i="7"/>
  <c r="W128" i="7"/>
  <c r="M128" i="7"/>
  <c r="I129" i="7"/>
  <c r="S129" i="7"/>
  <c r="AG119" i="7"/>
  <c r="W119" i="7"/>
  <c r="M119" i="7"/>
  <c r="AG118" i="7"/>
  <c r="AC119" i="7"/>
  <c r="AC120" i="7" s="1"/>
  <c r="W118" i="7"/>
  <c r="M118" i="7"/>
  <c r="I119" i="7"/>
  <c r="AG114" i="7"/>
  <c r="AG113" i="7"/>
  <c r="AG112" i="7"/>
  <c r="AC115" i="7"/>
  <c r="AG111" i="7"/>
  <c r="S115" i="7"/>
  <c r="AG107" i="7"/>
  <c r="W107" i="7"/>
  <c r="S107" i="7"/>
  <c r="S108" i="7" s="1"/>
  <c r="X108" i="7" s="1"/>
  <c r="M107" i="7"/>
  <c r="AG106" i="7"/>
  <c r="AC107" i="7"/>
  <c r="AC108" i="7" s="1"/>
  <c r="AH108" i="7" s="1"/>
  <c r="W106" i="7"/>
  <c r="M106" i="7"/>
  <c r="I107" i="7"/>
  <c r="AG102" i="7"/>
  <c r="W102" i="7"/>
  <c r="M102" i="7"/>
  <c r="AG100" i="7"/>
  <c r="W100" i="7"/>
  <c r="M100" i="7"/>
  <c r="AG99" i="7"/>
  <c r="W99" i="7"/>
  <c r="M99" i="7"/>
  <c r="AG98" i="7"/>
  <c r="W98" i="7"/>
  <c r="M98" i="7"/>
  <c r="AG97" i="7"/>
  <c r="W97" i="7"/>
  <c r="M97" i="7"/>
  <c r="AG78" i="7"/>
  <c r="W78" i="7"/>
  <c r="M78" i="7"/>
  <c r="AG77" i="7"/>
  <c r="AC77" i="7"/>
  <c r="W77" i="7"/>
  <c r="S77" i="7"/>
  <c r="S78" i="7" s="1"/>
  <c r="M77" i="7"/>
  <c r="I77" i="7"/>
  <c r="I78" i="7" s="1"/>
  <c r="AC74" i="7"/>
  <c r="AG73" i="7"/>
  <c r="W73" i="7"/>
  <c r="M73" i="7"/>
  <c r="AG72" i="7"/>
  <c r="W72" i="7"/>
  <c r="M72" i="7"/>
  <c r="AG71" i="7"/>
  <c r="W71" i="7"/>
  <c r="M71" i="7"/>
  <c r="AG70" i="7"/>
  <c r="W70" i="7"/>
  <c r="S74" i="7"/>
  <c r="M70" i="7"/>
  <c r="AG66" i="7"/>
  <c r="AC66" i="7"/>
  <c r="W66" i="7"/>
  <c r="M66" i="7"/>
  <c r="I66" i="7"/>
  <c r="AG63" i="7"/>
  <c r="W63" i="7"/>
  <c r="S66" i="7"/>
  <c r="M63" i="7"/>
  <c r="AG57" i="7"/>
  <c r="W57" i="7"/>
  <c r="M57" i="7"/>
  <c r="AG55" i="7"/>
  <c r="AC55" i="7"/>
  <c r="W55" i="7"/>
  <c r="S55" i="7"/>
  <c r="M55" i="7"/>
  <c r="I55" i="7"/>
  <c r="AG54" i="7"/>
  <c r="AC54" i="7"/>
  <c r="W54" i="7"/>
  <c r="S54" i="7"/>
  <c r="M54" i="7"/>
  <c r="I54" i="7"/>
  <c r="AJ54" i="7" s="1"/>
  <c r="AG53" i="7"/>
  <c r="AC53" i="7"/>
  <c r="AC84" i="7" s="1"/>
  <c r="W53" i="7"/>
  <c r="S53" i="7"/>
  <c r="S84" i="7" s="1"/>
  <c r="M53" i="7"/>
  <c r="I53" i="7"/>
  <c r="AG52" i="7"/>
  <c r="AC52" i="7"/>
  <c r="AC82" i="7" s="1"/>
  <c r="W52" i="7"/>
  <c r="S52" i="7"/>
  <c r="S82" i="7" s="1"/>
  <c r="M52" i="7"/>
  <c r="I52" i="7"/>
  <c r="S42" i="7"/>
  <c r="AG32" i="7"/>
  <c r="W32" i="7"/>
  <c r="M32" i="7"/>
  <c r="AG31" i="7"/>
  <c r="AC31" i="7"/>
  <c r="W31" i="7"/>
  <c r="S31" i="7"/>
  <c r="S32" i="7" s="1"/>
  <c r="S33" i="7" s="1"/>
  <c r="X33" i="7" s="1"/>
  <c r="M31" i="7"/>
  <c r="I31" i="7"/>
  <c r="AG27" i="7"/>
  <c r="W27" i="7"/>
  <c r="M27" i="7"/>
  <c r="AG26" i="7"/>
  <c r="W26" i="7"/>
  <c r="M26" i="7"/>
  <c r="AG25" i="7"/>
  <c r="W25" i="7"/>
  <c r="M25" i="7"/>
  <c r="AG24" i="7"/>
  <c r="AC28" i="7"/>
  <c r="W24" i="7"/>
  <c r="S28" i="7"/>
  <c r="M24" i="7"/>
  <c r="AG20" i="7"/>
  <c r="AH21" i="7"/>
  <c r="W20" i="7"/>
  <c r="M20" i="7"/>
  <c r="N21" i="7"/>
  <c r="AG18" i="7"/>
  <c r="W18" i="7"/>
  <c r="X21" i="7"/>
  <c r="M18" i="7"/>
  <c r="AG13" i="7"/>
  <c r="W13" i="7"/>
  <c r="M13" i="7"/>
  <c r="AG11" i="7"/>
  <c r="AC11" i="7"/>
  <c r="W11" i="7"/>
  <c r="S11" i="7"/>
  <c r="AJ11" i="7" s="1"/>
  <c r="M11" i="7"/>
  <c r="AG10" i="7"/>
  <c r="AC10" i="7"/>
  <c r="W10" i="7"/>
  <c r="S10" i="7"/>
  <c r="M10" i="7"/>
  <c r="I10" i="7"/>
  <c r="AJ10" i="7" s="1"/>
  <c r="AG9" i="7"/>
  <c r="AC9" i="7"/>
  <c r="W9" i="7"/>
  <c r="S9" i="7"/>
  <c r="M9" i="7"/>
  <c r="I9" i="7"/>
  <c r="AG8" i="7"/>
  <c r="AC8" i="7"/>
  <c r="W8" i="7"/>
  <c r="S8" i="7"/>
  <c r="M8" i="7"/>
  <c r="I8" i="7"/>
  <c r="AJ8" i="7" s="1"/>
  <c r="AG160" i="5"/>
  <c r="W160" i="5"/>
  <c r="AG159" i="5"/>
  <c r="AC159" i="5"/>
  <c r="AC160" i="5" s="1"/>
  <c r="AC161" i="5" s="1"/>
  <c r="AH161" i="5" s="1"/>
  <c r="W159" i="5"/>
  <c r="S159" i="5"/>
  <c r="S160" i="5" s="1"/>
  <c r="S161" i="5" s="1"/>
  <c r="X161" i="5" s="1"/>
  <c r="AG155" i="5"/>
  <c r="AC155" i="5"/>
  <c r="W155" i="5"/>
  <c r="S155" i="5"/>
  <c r="AG154" i="5"/>
  <c r="W154" i="5"/>
  <c r="AG148" i="5"/>
  <c r="W148" i="5"/>
  <c r="M148" i="5"/>
  <c r="AC148" i="5"/>
  <c r="AJ148" i="5" s="1"/>
  <c r="X149" i="5"/>
  <c r="N149" i="5"/>
  <c r="AG142" i="5"/>
  <c r="W142" i="5"/>
  <c r="M142" i="5"/>
  <c r="AG140" i="5"/>
  <c r="AC140" i="5"/>
  <c r="W140" i="5"/>
  <c r="S140" i="5"/>
  <c r="M140" i="5"/>
  <c r="I140" i="5"/>
  <c r="AG139" i="5"/>
  <c r="AC139" i="5"/>
  <c r="W139" i="5"/>
  <c r="S139" i="5"/>
  <c r="M139" i="5"/>
  <c r="I139" i="5"/>
  <c r="AG138" i="5"/>
  <c r="AC138" i="5"/>
  <c r="W138" i="5"/>
  <c r="S138" i="5"/>
  <c r="M138" i="5"/>
  <c r="I138" i="5"/>
  <c r="AG127" i="5"/>
  <c r="W127" i="5"/>
  <c r="M127" i="5"/>
  <c r="AG118" i="5"/>
  <c r="W118" i="5"/>
  <c r="M118" i="5"/>
  <c r="AG117" i="5"/>
  <c r="AC118" i="5"/>
  <c r="AC119" i="5" s="1"/>
  <c r="AH119" i="5" s="1"/>
  <c r="W117" i="5"/>
  <c r="M117" i="5"/>
  <c r="I118" i="5"/>
  <c r="AG113" i="5"/>
  <c r="W113" i="5"/>
  <c r="M113" i="5"/>
  <c r="AG112" i="5"/>
  <c r="W112" i="5"/>
  <c r="M112" i="5"/>
  <c r="AG111" i="5"/>
  <c r="W111" i="5"/>
  <c r="M111" i="5"/>
  <c r="AG110" i="5"/>
  <c r="W110" i="5"/>
  <c r="M110" i="5"/>
  <c r="AG106" i="5"/>
  <c r="W106" i="5"/>
  <c r="M106" i="5"/>
  <c r="AG105" i="5"/>
  <c r="AC106" i="5"/>
  <c r="AC107" i="5" s="1"/>
  <c r="AC133" i="5" s="1"/>
  <c r="F20" i="4" s="1"/>
  <c r="W105" i="5"/>
  <c r="S106" i="5"/>
  <c r="S107" i="5" s="1"/>
  <c r="S133" i="5" s="1"/>
  <c r="E20" i="4" s="1"/>
  <c r="M105" i="5"/>
  <c r="I106" i="5"/>
  <c r="AG101" i="5"/>
  <c r="W101" i="5"/>
  <c r="M101" i="5"/>
  <c r="AG99" i="5"/>
  <c r="W99" i="5"/>
  <c r="M99" i="5"/>
  <c r="AG98" i="5"/>
  <c r="W98" i="5"/>
  <c r="M98" i="5"/>
  <c r="AG97" i="5"/>
  <c r="W97" i="5"/>
  <c r="M97" i="5"/>
  <c r="AG96" i="5"/>
  <c r="W96" i="5"/>
  <c r="M96" i="5"/>
  <c r="AG77" i="5"/>
  <c r="W77" i="5"/>
  <c r="M77" i="5"/>
  <c r="AG76" i="5"/>
  <c r="AC76" i="5"/>
  <c r="W76" i="5"/>
  <c r="S76" i="5"/>
  <c r="S77" i="5" s="1"/>
  <c r="M76" i="5"/>
  <c r="I76" i="5"/>
  <c r="AG72" i="5"/>
  <c r="W72" i="5"/>
  <c r="M72" i="5"/>
  <c r="AG71" i="5"/>
  <c r="W71" i="5"/>
  <c r="M71" i="5"/>
  <c r="AG70" i="5"/>
  <c r="W70" i="5"/>
  <c r="M70" i="5"/>
  <c r="AG69" i="5"/>
  <c r="W69" i="5"/>
  <c r="M69" i="5"/>
  <c r="AG65" i="5"/>
  <c r="W65" i="5"/>
  <c r="M65" i="5"/>
  <c r="AC65" i="5"/>
  <c r="S65" i="5"/>
  <c r="M62" i="5"/>
  <c r="N66" i="5"/>
  <c r="AG56" i="5"/>
  <c r="W56" i="5"/>
  <c r="M56" i="5"/>
  <c r="AG54" i="5"/>
  <c r="AC54" i="5"/>
  <c r="W54" i="5"/>
  <c r="S54" i="5"/>
  <c r="M54" i="5"/>
  <c r="I54" i="5"/>
  <c r="AC53" i="5"/>
  <c r="S53" i="5"/>
  <c r="M53" i="5"/>
  <c r="I53" i="5"/>
  <c r="AG52" i="5"/>
  <c r="AC52" i="5"/>
  <c r="AC83" i="5" s="1"/>
  <c r="W52" i="5"/>
  <c r="S52" i="5"/>
  <c r="S83" i="5" s="1"/>
  <c r="M52" i="5"/>
  <c r="I52" i="5"/>
  <c r="AG51" i="5"/>
  <c r="AC51" i="5"/>
  <c r="AC81" i="5" s="1"/>
  <c r="W51" i="5"/>
  <c r="S51" i="5"/>
  <c r="S81" i="5" s="1"/>
  <c r="M51" i="5"/>
  <c r="I51" i="5"/>
  <c r="S42" i="5"/>
  <c r="AG32" i="5"/>
  <c r="W32" i="5"/>
  <c r="M32" i="5"/>
  <c r="AG31" i="5"/>
  <c r="AC31" i="5"/>
  <c r="AC32" i="5" s="1"/>
  <c r="AC33" i="5" s="1"/>
  <c r="W31" i="5"/>
  <c r="S31" i="5"/>
  <c r="S32" i="5" s="1"/>
  <c r="M31" i="5"/>
  <c r="I31" i="5"/>
  <c r="AG27" i="5"/>
  <c r="W27" i="5"/>
  <c r="M27" i="5"/>
  <c r="AG26" i="5"/>
  <c r="W26" i="5"/>
  <c r="M26" i="5"/>
  <c r="AG25" i="5"/>
  <c r="W25" i="5"/>
  <c r="M25" i="5"/>
  <c r="AG24" i="5"/>
  <c r="W24" i="5"/>
  <c r="AG20" i="5"/>
  <c r="W20" i="5"/>
  <c r="M20" i="5"/>
  <c r="AG18" i="5"/>
  <c r="AH21" i="5"/>
  <c r="W18" i="5"/>
  <c r="X21" i="5"/>
  <c r="M18" i="5"/>
  <c r="I21" i="5"/>
  <c r="AJ21" i="5" s="1"/>
  <c r="AG13" i="5"/>
  <c r="W13" i="5"/>
  <c r="M13" i="5"/>
  <c r="AG11" i="5"/>
  <c r="W11" i="5"/>
  <c r="M11" i="5"/>
  <c r="AG10" i="5"/>
  <c r="AC10" i="5"/>
  <c r="W10" i="5"/>
  <c r="S10" i="5"/>
  <c r="M10" i="5"/>
  <c r="I10" i="5"/>
  <c r="AG9" i="5"/>
  <c r="W9" i="5"/>
  <c r="M9" i="5"/>
  <c r="I9" i="5"/>
  <c r="AJ9" i="5" s="1"/>
  <c r="AG8" i="5"/>
  <c r="AC8" i="5"/>
  <c r="W8" i="5"/>
  <c r="S8" i="5"/>
  <c r="M8" i="5"/>
  <c r="I8" i="5"/>
  <c r="W230" i="6"/>
  <c r="AC8" i="6"/>
  <c r="AG8" i="6"/>
  <c r="AC9" i="6"/>
  <c r="AG9" i="6"/>
  <c r="AC10" i="6"/>
  <c r="AG10" i="6"/>
  <c r="AG11" i="6"/>
  <c r="AG13" i="6"/>
  <c r="AH21" i="6"/>
  <c r="AG18" i="6"/>
  <c r="AG20" i="6"/>
  <c r="AG24" i="6"/>
  <c r="AG25" i="6"/>
  <c r="AG26" i="6"/>
  <c r="AG27" i="6"/>
  <c r="AC31" i="6"/>
  <c r="AC32" i="6" s="1"/>
  <c r="AC33" i="6" s="1"/>
  <c r="AG31" i="6"/>
  <c r="AG32" i="6"/>
  <c r="AG57" i="6"/>
  <c r="AH69" i="6"/>
  <c r="AC80" i="6"/>
  <c r="AC81" i="6" s="1"/>
  <c r="AG80" i="6"/>
  <c r="AG89" i="6"/>
  <c r="AC99" i="6"/>
  <c r="AC128" i="6" s="1"/>
  <c r="AG99" i="6"/>
  <c r="AC100" i="6"/>
  <c r="AC130" i="6" s="1"/>
  <c r="AG100" i="6"/>
  <c r="AC101" i="6"/>
  <c r="AG101" i="6"/>
  <c r="AC102" i="6"/>
  <c r="AG102" i="6"/>
  <c r="AG104" i="6"/>
  <c r="AC112" i="6"/>
  <c r="AG110" i="6"/>
  <c r="AG112" i="6"/>
  <c r="AG116" i="6"/>
  <c r="AG117" i="6"/>
  <c r="AG118" i="6"/>
  <c r="AG119" i="6"/>
  <c r="AC123" i="6"/>
  <c r="AC124" i="6" s="1"/>
  <c r="AC125" i="6" s="1"/>
  <c r="AG123" i="6"/>
  <c r="AG124" i="6"/>
  <c r="AG144" i="6"/>
  <c r="AG145" i="6"/>
  <c r="AG146" i="6"/>
  <c r="AG148" i="6"/>
  <c r="AC153" i="6"/>
  <c r="AC154" i="6" s="1"/>
  <c r="AG152" i="6"/>
  <c r="AG153" i="6"/>
  <c r="AG157" i="6"/>
  <c r="AG158" i="6"/>
  <c r="AG159" i="6"/>
  <c r="AG160" i="6"/>
  <c r="AC165" i="6"/>
  <c r="AC166" i="6" s="1"/>
  <c r="G166" i="6" s="1"/>
  <c r="AG164" i="6"/>
  <c r="AG165" i="6"/>
  <c r="AG174" i="6"/>
  <c r="AC185" i="6"/>
  <c r="AG185" i="6"/>
  <c r="AC186" i="6"/>
  <c r="AG186" i="6"/>
  <c r="AC187" i="6"/>
  <c r="AG187" i="6"/>
  <c r="AG189" i="6"/>
  <c r="AH197" i="6"/>
  <c r="AG196" i="6"/>
  <c r="AG200" i="6"/>
  <c r="AG201" i="6"/>
  <c r="AG202" i="6"/>
  <c r="AC203" i="6"/>
  <c r="AG203" i="6"/>
  <c r="AC207" i="6"/>
  <c r="AC208" i="6" s="1"/>
  <c r="AC209" i="6" s="1"/>
  <c r="AG207" i="6"/>
  <c r="AG208" i="6"/>
  <c r="AG227" i="6"/>
  <c r="AG228" i="6"/>
  <c r="AG229" i="6"/>
  <c r="AG230" i="6"/>
  <c r="AG232" i="6"/>
  <c r="AC237" i="6"/>
  <c r="AC238" i="6" s="1"/>
  <c r="AH238" i="6" s="1"/>
  <c r="AG236" i="6"/>
  <c r="AG237" i="6"/>
  <c r="AC250" i="6"/>
  <c r="AG248" i="6"/>
  <c r="AG249" i="6"/>
  <c r="W187" i="6"/>
  <c r="S187" i="6"/>
  <c r="W146" i="6"/>
  <c r="W102" i="6"/>
  <c r="S102" i="6"/>
  <c r="W11" i="6"/>
  <c r="M230" i="6"/>
  <c r="M187" i="6"/>
  <c r="I187" i="6"/>
  <c r="AJ187" i="6" s="1"/>
  <c r="M146" i="6"/>
  <c r="M102" i="6"/>
  <c r="I102" i="6"/>
  <c r="AJ102" i="6" s="1"/>
  <c r="W249" i="6"/>
  <c r="W248" i="6"/>
  <c r="S248" i="6"/>
  <c r="W237" i="6"/>
  <c r="W236" i="6"/>
  <c r="S237" i="6"/>
  <c r="S238" i="6" s="1"/>
  <c r="X238" i="6" s="1"/>
  <c r="W232" i="6"/>
  <c r="W229" i="6"/>
  <c r="W228" i="6"/>
  <c r="W227" i="6"/>
  <c r="W208" i="6"/>
  <c r="W207" i="6"/>
  <c r="S207" i="6"/>
  <c r="W203" i="6"/>
  <c r="S203" i="6"/>
  <c r="AJ203" i="6" s="1"/>
  <c r="W202" i="6"/>
  <c r="W201" i="6"/>
  <c r="W200" i="6"/>
  <c r="W196" i="6"/>
  <c r="X197" i="6"/>
  <c r="W189" i="6"/>
  <c r="W186" i="6"/>
  <c r="S186" i="6"/>
  <c r="W185" i="6"/>
  <c r="S185" i="6"/>
  <c r="W174" i="6"/>
  <c r="W165" i="6"/>
  <c r="W164" i="6"/>
  <c r="S165" i="6"/>
  <c r="W160" i="6"/>
  <c r="W159" i="6"/>
  <c r="W158" i="6"/>
  <c r="W157" i="6"/>
  <c r="W153" i="6"/>
  <c r="W152" i="6"/>
  <c r="S153" i="6"/>
  <c r="S154" i="6" s="1"/>
  <c r="X154" i="6" s="1"/>
  <c r="W148" i="6"/>
  <c r="W145" i="6"/>
  <c r="W144" i="6"/>
  <c r="W124" i="6"/>
  <c r="W123" i="6"/>
  <c r="S123" i="6"/>
  <c r="W119" i="6"/>
  <c r="W118" i="6"/>
  <c r="W117" i="6"/>
  <c r="W116" i="6"/>
  <c r="W112" i="6"/>
  <c r="W110" i="6"/>
  <c r="S112" i="6"/>
  <c r="W104" i="6"/>
  <c r="W101" i="6"/>
  <c r="S101" i="6"/>
  <c r="W100" i="6"/>
  <c r="S100" i="6"/>
  <c r="S130" i="6" s="1"/>
  <c r="W99" i="6"/>
  <c r="S99" i="6"/>
  <c r="S128" i="6" s="1"/>
  <c r="W89" i="6"/>
  <c r="W80" i="6"/>
  <c r="S80" i="6"/>
  <c r="W75" i="6"/>
  <c r="X69" i="6"/>
  <c r="W57" i="6"/>
  <c r="S42" i="6"/>
  <c r="W32" i="6"/>
  <c r="W31" i="6"/>
  <c r="S31" i="6"/>
  <c r="S32" i="6" s="1"/>
  <c r="W27" i="6"/>
  <c r="W26" i="6"/>
  <c r="W25" i="6"/>
  <c r="W24" i="6"/>
  <c r="W20" i="6"/>
  <c r="W18" i="6"/>
  <c r="X21" i="6"/>
  <c r="W13" i="6"/>
  <c r="W10" i="6"/>
  <c r="S10" i="6"/>
  <c r="W9" i="6"/>
  <c r="W8" i="6"/>
  <c r="S8" i="6"/>
  <c r="I259" i="6"/>
  <c r="M249" i="6"/>
  <c r="M248" i="6"/>
  <c r="M237" i="6"/>
  <c r="M236" i="6"/>
  <c r="I237" i="6"/>
  <c r="M232" i="6"/>
  <c r="M229" i="6"/>
  <c r="M228" i="6"/>
  <c r="I228" i="6"/>
  <c r="AJ228" i="6" s="1"/>
  <c r="M227" i="6"/>
  <c r="I227" i="6"/>
  <c r="AJ227" i="6" s="1"/>
  <c r="M208" i="6"/>
  <c r="M207" i="6"/>
  <c r="M203" i="6"/>
  <c r="M202" i="6"/>
  <c r="M201" i="6"/>
  <c r="M200" i="6"/>
  <c r="M196" i="6"/>
  <c r="M189" i="6"/>
  <c r="M186" i="6"/>
  <c r="I186" i="6"/>
  <c r="AJ186" i="6" s="1"/>
  <c r="M185" i="6"/>
  <c r="I185" i="6"/>
  <c r="AJ185" i="6" s="1"/>
  <c r="I184" i="6"/>
  <c r="AJ184" i="6" s="1"/>
  <c r="M174" i="6"/>
  <c r="M165" i="6"/>
  <c r="M164" i="6"/>
  <c r="I165" i="6"/>
  <c r="M160" i="6"/>
  <c r="M159" i="6"/>
  <c r="M158" i="6"/>
  <c r="M157" i="6"/>
  <c r="M153" i="6"/>
  <c r="I153" i="6"/>
  <c r="M148" i="6"/>
  <c r="M145" i="6"/>
  <c r="M144" i="6"/>
  <c r="M124" i="6"/>
  <c r="M123" i="6"/>
  <c r="I124" i="6"/>
  <c r="M119" i="6"/>
  <c r="M118" i="6"/>
  <c r="M117" i="6"/>
  <c r="M116" i="6"/>
  <c r="M112" i="6"/>
  <c r="M110" i="6"/>
  <c r="I112" i="6"/>
  <c r="M104" i="6"/>
  <c r="M101" i="6"/>
  <c r="I101" i="6"/>
  <c r="M100" i="6"/>
  <c r="I100" i="6"/>
  <c r="M99" i="6"/>
  <c r="I99" i="6"/>
  <c r="M89" i="6"/>
  <c r="M80" i="6"/>
  <c r="I80" i="6"/>
  <c r="M57" i="6"/>
  <c r="I31" i="6"/>
  <c r="M32" i="6"/>
  <c r="M20" i="6"/>
  <c r="M13" i="6"/>
  <c r="I10" i="6"/>
  <c r="I9" i="6"/>
  <c r="AJ9" i="6" s="1"/>
  <c r="I8" i="6"/>
  <c r="M31" i="6"/>
  <c r="M27" i="6"/>
  <c r="M26" i="6"/>
  <c r="M25" i="6"/>
  <c r="M24" i="6"/>
  <c r="M18" i="6"/>
  <c r="M9" i="6"/>
  <c r="M10" i="6"/>
  <c r="M11" i="6"/>
  <c r="M8" i="6"/>
  <c r="AJ8" i="6" l="1"/>
  <c r="AJ80" i="6"/>
  <c r="S208" i="6"/>
  <c r="AJ208" i="6" s="1"/>
  <c r="AJ207" i="6"/>
  <c r="AJ9" i="7"/>
  <c r="S49" i="7"/>
  <c r="M12" i="4" s="1"/>
  <c r="AJ66" i="7"/>
  <c r="I82" i="7"/>
  <c r="AJ52" i="7"/>
  <c r="AJ42" i="8"/>
  <c r="AJ10" i="6"/>
  <c r="I32" i="6"/>
  <c r="AJ32" i="6" s="1"/>
  <c r="AJ31" i="6"/>
  <c r="AJ9" i="8"/>
  <c r="AJ102" i="8"/>
  <c r="AJ259" i="8"/>
  <c r="I130" i="6"/>
  <c r="AJ130" i="6" s="1"/>
  <c r="AJ100" i="6"/>
  <c r="S249" i="6"/>
  <c r="AJ249" i="6" s="1"/>
  <c r="AJ248" i="6"/>
  <c r="I128" i="6"/>
  <c r="AJ99" i="6"/>
  <c r="AJ101" i="6"/>
  <c r="S124" i="6"/>
  <c r="AJ124" i="6" s="1"/>
  <c r="AJ123" i="6"/>
  <c r="AJ8" i="5"/>
  <c r="AJ54" i="5"/>
  <c r="I32" i="7"/>
  <c r="AJ31" i="7"/>
  <c r="I84" i="7"/>
  <c r="AJ84" i="7" s="1"/>
  <c r="AJ53" i="7"/>
  <c r="AJ55" i="7"/>
  <c r="AJ129" i="7"/>
  <c r="AJ187" i="8"/>
  <c r="S208" i="8"/>
  <c r="AJ207" i="8"/>
  <c r="AJ10" i="5"/>
  <c r="AJ31" i="5"/>
  <c r="I83" i="5"/>
  <c r="AJ52" i="5"/>
  <c r="I81" i="5"/>
  <c r="AJ51" i="5"/>
  <c r="AJ53" i="5"/>
  <c r="I77" i="5"/>
  <c r="AJ76" i="5"/>
  <c r="AJ131" i="8"/>
  <c r="AJ83" i="5"/>
  <c r="AJ82" i="7"/>
  <c r="AH120" i="7"/>
  <c r="AC135" i="7"/>
  <c r="N30" i="4" s="1"/>
  <c r="I238" i="8"/>
  <c r="AJ237" i="8"/>
  <c r="I113" i="6"/>
  <c r="AJ112" i="6"/>
  <c r="AJ65" i="5"/>
  <c r="AJ129" i="8"/>
  <c r="I155" i="8"/>
  <c r="AJ154" i="8"/>
  <c r="I238" i="6"/>
  <c r="AJ238" i="6" s="1"/>
  <c r="AJ237" i="6"/>
  <c r="AJ165" i="6"/>
  <c r="AJ128" i="6"/>
  <c r="I154" i="6"/>
  <c r="AJ154" i="6" s="1"/>
  <c r="AJ153" i="6"/>
  <c r="AJ81" i="5"/>
  <c r="I78" i="5"/>
  <c r="I107" i="5"/>
  <c r="AJ106" i="5"/>
  <c r="I108" i="7"/>
  <c r="AJ107" i="7"/>
  <c r="AJ80" i="8"/>
  <c r="AJ113" i="8"/>
  <c r="S209" i="8"/>
  <c r="AJ208" i="8"/>
  <c r="E259" i="6"/>
  <c r="AH33" i="8"/>
  <c r="AH154" i="6"/>
  <c r="AC122" i="5"/>
  <c r="AC128" i="5" s="1"/>
  <c r="AH33" i="5"/>
  <c r="S103" i="6"/>
  <c r="S104" i="6" s="1"/>
  <c r="AC149" i="5"/>
  <c r="AJ149" i="5" s="1"/>
  <c r="AC114" i="8"/>
  <c r="I114" i="8"/>
  <c r="S114" i="8"/>
  <c r="AC67" i="7"/>
  <c r="S67" i="7"/>
  <c r="I67" i="7"/>
  <c r="AC113" i="6"/>
  <c r="S113" i="6"/>
  <c r="AC66" i="5"/>
  <c r="S66" i="5"/>
  <c r="N21" i="8"/>
  <c r="N40" i="23"/>
  <c r="N41" i="23" s="1"/>
  <c r="N21" i="5"/>
  <c r="B40" i="23"/>
  <c r="B41" i="23" s="1"/>
  <c r="AH209" i="6"/>
  <c r="AH155" i="8"/>
  <c r="N155" i="8"/>
  <c r="X155" i="8"/>
  <c r="AH107" i="5"/>
  <c r="X107" i="5"/>
  <c r="X42" i="5"/>
  <c r="F42" i="5"/>
  <c r="X76" i="8"/>
  <c r="F76" i="8"/>
  <c r="X90" i="8"/>
  <c r="F90" i="8"/>
  <c r="AH28" i="8"/>
  <c r="G28" i="8"/>
  <c r="AH121" i="8"/>
  <c r="G121" i="8"/>
  <c r="AH162" i="8"/>
  <c r="G162" i="8"/>
  <c r="AH204" i="8"/>
  <c r="G204" i="8"/>
  <c r="X204" i="8"/>
  <c r="F204" i="8"/>
  <c r="X42" i="8"/>
  <c r="F42" i="8"/>
  <c r="AH76" i="8"/>
  <c r="G76" i="8"/>
  <c r="N90" i="8"/>
  <c r="E90" i="8"/>
  <c r="S103" i="8"/>
  <c r="S104" i="8" s="1"/>
  <c r="S189" i="8"/>
  <c r="S190" i="8" s="1"/>
  <c r="S191" i="8" s="1"/>
  <c r="S223" i="8" s="1"/>
  <c r="Q23" i="4" s="1"/>
  <c r="AH245" i="8"/>
  <c r="G245" i="8"/>
  <c r="X245" i="8"/>
  <c r="F245" i="8"/>
  <c r="N259" i="8"/>
  <c r="E259" i="8"/>
  <c r="AH259" i="8"/>
  <c r="G259" i="8"/>
  <c r="X28" i="8"/>
  <c r="F28" i="8"/>
  <c r="X259" i="8"/>
  <c r="F259" i="8"/>
  <c r="N42" i="8"/>
  <c r="E42" i="8"/>
  <c r="X121" i="8"/>
  <c r="F121" i="8"/>
  <c r="X162" i="8"/>
  <c r="F162" i="8"/>
  <c r="X28" i="7"/>
  <c r="F28" i="7"/>
  <c r="N129" i="7"/>
  <c r="E129" i="7"/>
  <c r="AH129" i="7"/>
  <c r="G129" i="7"/>
  <c r="AH28" i="7"/>
  <c r="G28" i="7"/>
  <c r="X42" i="7"/>
  <c r="F42" i="7"/>
  <c r="X74" i="7"/>
  <c r="F74" i="7"/>
  <c r="AH74" i="7"/>
  <c r="G74" i="7"/>
  <c r="X115" i="7"/>
  <c r="F115" i="7"/>
  <c r="AH115" i="7"/>
  <c r="G115" i="7"/>
  <c r="X129" i="7"/>
  <c r="F129" i="7"/>
  <c r="I12" i="7"/>
  <c r="AC12" i="7"/>
  <c r="AC13" i="7" s="1"/>
  <c r="AC14" i="7" s="1"/>
  <c r="AC48" i="7" s="1"/>
  <c r="N11" i="4" s="1"/>
  <c r="S101" i="7"/>
  <c r="S102" i="7" s="1"/>
  <c r="S103" i="7" s="1"/>
  <c r="S134" i="7" s="1"/>
  <c r="I56" i="7"/>
  <c r="X42" i="6"/>
  <c r="F42" i="6"/>
  <c r="AC90" i="6"/>
  <c r="AC56" i="7"/>
  <c r="AC57" i="7" s="1"/>
  <c r="AC58" i="7" s="1"/>
  <c r="S56" i="7"/>
  <c r="S57" i="7" s="1"/>
  <c r="S58" i="7" s="1"/>
  <c r="AC12" i="8"/>
  <c r="AC13" i="8" s="1"/>
  <c r="AC14" i="8" s="1"/>
  <c r="AC47" i="8" s="1"/>
  <c r="R11" i="4" s="1"/>
  <c r="S12" i="8"/>
  <c r="S13" i="8" s="1"/>
  <c r="S14" i="8" s="1"/>
  <c r="S47" i="8" s="1"/>
  <c r="Q11" i="4" s="1"/>
  <c r="I12" i="5"/>
  <c r="AC90" i="8"/>
  <c r="AC96" i="8" s="1"/>
  <c r="R15" i="4" s="1"/>
  <c r="AC189" i="8"/>
  <c r="AC190" i="8" s="1"/>
  <c r="AC191" i="8" s="1"/>
  <c r="AC223" i="8" s="1"/>
  <c r="R23" i="4" s="1"/>
  <c r="S231" i="8"/>
  <c r="S232" i="8" s="1"/>
  <c r="S233" i="8" s="1"/>
  <c r="S264" i="8" s="1"/>
  <c r="Q26" i="4" s="1"/>
  <c r="AC101" i="7"/>
  <c r="AC102" i="7" s="1"/>
  <c r="AC103" i="7" s="1"/>
  <c r="AC134" i="7" s="1"/>
  <c r="AC42" i="8"/>
  <c r="AC48" i="8" s="1"/>
  <c r="R12" i="4" s="1"/>
  <c r="I56" i="8"/>
  <c r="AC56" i="8"/>
  <c r="AC57" i="8" s="1"/>
  <c r="AC58" i="8" s="1"/>
  <c r="AC95" i="8" s="1"/>
  <c r="R14" i="4" s="1"/>
  <c r="S56" i="8"/>
  <c r="S57" i="8" s="1"/>
  <c r="S58" i="8" s="1"/>
  <c r="S95" i="8" s="1"/>
  <c r="Q14" i="4" s="1"/>
  <c r="I209" i="8"/>
  <c r="N209" i="8" s="1"/>
  <c r="S250" i="8"/>
  <c r="I12" i="8"/>
  <c r="I103" i="8"/>
  <c r="AC103" i="8"/>
  <c r="AC104" i="8" s="1"/>
  <c r="AC105" i="8" s="1"/>
  <c r="I231" i="8"/>
  <c r="AC231" i="8"/>
  <c r="AC232" i="8" s="1"/>
  <c r="AC233" i="8" s="1"/>
  <c r="AC264" i="8" s="1"/>
  <c r="R26" i="4" s="1"/>
  <c r="I42" i="7"/>
  <c r="S12" i="7"/>
  <c r="S13" i="7" s="1"/>
  <c r="S14" i="7" s="1"/>
  <c r="AC42" i="7"/>
  <c r="S141" i="5"/>
  <c r="S142" i="5" s="1"/>
  <c r="S143" i="5" s="1"/>
  <c r="E245" i="6"/>
  <c r="AC161" i="6"/>
  <c r="AC188" i="6"/>
  <c r="AC189" i="6" s="1"/>
  <c r="AC12" i="6"/>
  <c r="AC13" i="6" s="1"/>
  <c r="AC120" i="6"/>
  <c r="I76" i="6"/>
  <c r="S28" i="6"/>
  <c r="S76" i="6"/>
  <c r="S120" i="6"/>
  <c r="S204" i="6"/>
  <c r="S259" i="6"/>
  <c r="AJ259" i="6" s="1"/>
  <c r="AC259" i="6"/>
  <c r="S147" i="6"/>
  <c r="S90" i="6"/>
  <c r="AC147" i="6"/>
  <c r="AC148" i="6" s="1"/>
  <c r="S56" i="6"/>
  <c r="S57" i="6" s="1"/>
  <c r="S58" i="6" s="1"/>
  <c r="AC56" i="6"/>
  <c r="AC57" i="6" s="1"/>
  <c r="AC58" i="6" s="1"/>
  <c r="AC95" i="6" s="1"/>
  <c r="J14" i="4" s="1"/>
  <c r="I231" i="6"/>
  <c r="AC245" i="6"/>
  <c r="AC204" i="6"/>
  <c r="AC103" i="6"/>
  <c r="AC104" i="6" s="1"/>
  <c r="AC105" i="6" s="1"/>
  <c r="AC139" i="6" s="1"/>
  <c r="J17" i="4" s="1"/>
  <c r="AC42" i="6"/>
  <c r="S12" i="6"/>
  <c r="S13" i="6" s="1"/>
  <c r="S14" i="6" s="1"/>
  <c r="S47" i="6" s="1"/>
  <c r="I11" i="4" s="1"/>
  <c r="S161" i="6"/>
  <c r="AC231" i="6"/>
  <c r="AC232" i="6" s="1"/>
  <c r="AC233" i="6" s="1"/>
  <c r="AC264" i="6" s="1"/>
  <c r="J26" i="4" s="1"/>
  <c r="I204" i="6"/>
  <c r="AC76" i="6"/>
  <c r="AC28" i="6"/>
  <c r="S12" i="5"/>
  <c r="S13" i="5" s="1"/>
  <c r="S14" i="5" s="1"/>
  <c r="S47" i="5" s="1"/>
  <c r="E11" i="4" s="1"/>
  <c r="AC12" i="5"/>
  <c r="AC13" i="5" s="1"/>
  <c r="AC14" i="5" s="1"/>
  <c r="AC47" i="5" s="1"/>
  <c r="F11" i="4" s="1"/>
  <c r="S114" i="5"/>
  <c r="AC114" i="5"/>
  <c r="AC42" i="5"/>
  <c r="AC141" i="5"/>
  <c r="AC142" i="5" s="1"/>
  <c r="AC143" i="5" s="1"/>
  <c r="I156" i="5"/>
  <c r="AC156" i="5"/>
  <c r="I28" i="5"/>
  <c r="S156" i="5"/>
  <c r="S28" i="5"/>
  <c r="AC28" i="5"/>
  <c r="I32" i="5"/>
  <c r="I42" i="5"/>
  <c r="AJ42" i="5" s="1"/>
  <c r="I55" i="5"/>
  <c r="AC55" i="5"/>
  <c r="AC56" i="5" s="1"/>
  <c r="AC57" i="5" s="1"/>
  <c r="S55" i="5"/>
  <c r="S56" i="5" s="1"/>
  <c r="S57" i="5" s="1"/>
  <c r="S73" i="5"/>
  <c r="AC73" i="5"/>
  <c r="I141" i="5"/>
  <c r="I28" i="8"/>
  <c r="AJ28" i="8" s="1"/>
  <c r="I76" i="8"/>
  <c r="AJ76" i="8" s="1"/>
  <c r="I245" i="8"/>
  <c r="AJ245" i="8" s="1"/>
  <c r="I33" i="8"/>
  <c r="AJ33" i="8" s="1"/>
  <c r="I121" i="8"/>
  <c r="AJ121" i="8" s="1"/>
  <c r="I162" i="8"/>
  <c r="AJ162" i="8" s="1"/>
  <c r="I204" i="8"/>
  <c r="AJ204" i="8" s="1"/>
  <c r="I74" i="7"/>
  <c r="AJ74" i="7" s="1"/>
  <c r="I115" i="7"/>
  <c r="AJ115" i="7" s="1"/>
  <c r="I120" i="7"/>
  <c r="I28" i="7"/>
  <c r="AJ28" i="7" s="1"/>
  <c r="I161" i="5"/>
  <c r="S78" i="5"/>
  <c r="X78" i="5" s="1"/>
  <c r="S33" i="6"/>
  <c r="I120" i="6"/>
  <c r="I161" i="6"/>
  <c r="S166" i="6"/>
  <c r="S33" i="8"/>
  <c r="S48" i="8" s="1"/>
  <c r="Q12" i="4" s="1"/>
  <c r="I126" i="8"/>
  <c r="I249" i="8"/>
  <c r="AC249" i="8"/>
  <c r="AC250" i="8" s="1"/>
  <c r="AC125" i="8"/>
  <c r="AC126" i="8" s="1"/>
  <c r="AH126" i="8" s="1"/>
  <c r="AC166" i="8"/>
  <c r="AC167" i="8" s="1"/>
  <c r="AH167" i="8" s="1"/>
  <c r="I81" i="8"/>
  <c r="S81" i="8"/>
  <c r="X81" i="8" s="1"/>
  <c r="S167" i="8"/>
  <c r="X167" i="8" s="1"/>
  <c r="I167" i="8"/>
  <c r="I189" i="8"/>
  <c r="I33" i="7"/>
  <c r="AC78" i="7"/>
  <c r="AC79" i="7" s="1"/>
  <c r="AH79" i="7" s="1"/>
  <c r="AC32" i="7"/>
  <c r="AC33" i="7" s="1"/>
  <c r="AH33" i="7" s="1"/>
  <c r="S79" i="7"/>
  <c r="X79" i="7" s="1"/>
  <c r="I79" i="7"/>
  <c r="I101" i="7"/>
  <c r="AJ101" i="7" s="1"/>
  <c r="S119" i="7"/>
  <c r="S120" i="7" s="1"/>
  <c r="S33" i="5"/>
  <c r="I73" i="5"/>
  <c r="AC77" i="5"/>
  <c r="AC78" i="5" s="1"/>
  <c r="AH78" i="5" s="1"/>
  <c r="I114" i="5"/>
  <c r="I119" i="5"/>
  <c r="S118" i="5"/>
  <c r="S119" i="5" s="1"/>
  <c r="X119" i="5" s="1"/>
  <c r="S231" i="6"/>
  <c r="S232" i="6" s="1"/>
  <c r="AH125" i="6"/>
  <c r="AH166" i="6"/>
  <c r="S188" i="6"/>
  <c r="S189" i="6" s="1"/>
  <c r="S190" i="6" s="1"/>
  <c r="S223" i="6" s="1"/>
  <c r="I23" i="4" s="1"/>
  <c r="AH33" i="6"/>
  <c r="AH81" i="6"/>
  <c r="AH250" i="6"/>
  <c r="S209" i="6"/>
  <c r="AJ209" i="6" s="1"/>
  <c r="S245" i="6"/>
  <c r="S81" i="6"/>
  <c r="X81" i="6" s="1"/>
  <c r="S250" i="6"/>
  <c r="X250" i="6" s="1"/>
  <c r="I188" i="6"/>
  <c r="I147" i="6"/>
  <c r="I103" i="6"/>
  <c r="I56" i="6"/>
  <c r="I250" i="6"/>
  <c r="I209" i="6"/>
  <c r="I166" i="6"/>
  <c r="I125" i="6"/>
  <c r="I81" i="6"/>
  <c r="AJ81" i="6" s="1"/>
  <c r="D226" i="8"/>
  <c r="D184" i="8"/>
  <c r="D143" i="8"/>
  <c r="D7" i="8"/>
  <c r="D96" i="7"/>
  <c r="D51" i="7"/>
  <c r="D7" i="7"/>
  <c r="D226" i="6"/>
  <c r="D183" i="6"/>
  <c r="D142" i="6"/>
  <c r="D98" i="6"/>
  <c r="D136" i="5"/>
  <c r="D95" i="5"/>
  <c r="D50" i="5"/>
  <c r="D7" i="5"/>
  <c r="I189" i="6" l="1"/>
  <c r="I190" i="6" s="1"/>
  <c r="I212" i="6" s="1"/>
  <c r="AJ188" i="6"/>
  <c r="I232" i="8"/>
  <c r="I233" i="8" s="1"/>
  <c r="AJ231" i="8"/>
  <c r="I57" i="8"/>
  <c r="AJ57" i="8" s="1"/>
  <c r="AJ56" i="8"/>
  <c r="AJ147" i="6"/>
  <c r="AJ245" i="6"/>
  <c r="S125" i="6"/>
  <c r="X125" i="6" s="1"/>
  <c r="I13" i="8"/>
  <c r="AJ12" i="8"/>
  <c r="AC96" i="6"/>
  <c r="J15" i="4" s="1"/>
  <c r="AC134" i="5"/>
  <c r="F21" i="4" s="1"/>
  <c r="AJ90" i="8"/>
  <c r="AJ125" i="6"/>
  <c r="I57" i="6"/>
  <c r="AJ56" i="6"/>
  <c r="AJ189" i="8"/>
  <c r="E161" i="6"/>
  <c r="AJ161" i="6"/>
  <c r="E204" i="6"/>
  <c r="AJ204" i="6"/>
  <c r="I232" i="6"/>
  <c r="I233" i="6" s="1"/>
  <c r="AJ231" i="6"/>
  <c r="S96" i="6"/>
  <c r="I15" i="4" s="1"/>
  <c r="E76" i="6"/>
  <c r="AJ76" i="6"/>
  <c r="I13" i="7"/>
  <c r="AJ12" i="7"/>
  <c r="I104" i="6"/>
  <c r="AJ103" i="6"/>
  <c r="E120" i="6"/>
  <c r="AJ120" i="6"/>
  <c r="AJ42" i="7"/>
  <c r="I104" i="8"/>
  <c r="AJ104" i="8" s="1"/>
  <c r="AJ103" i="8"/>
  <c r="I57" i="7"/>
  <c r="AJ56" i="7"/>
  <c r="I56" i="5"/>
  <c r="I57" i="5" s="1"/>
  <c r="N57" i="5" s="1"/>
  <c r="AJ55" i="5"/>
  <c r="AJ73" i="5"/>
  <c r="AJ156" i="5"/>
  <c r="AJ28" i="5"/>
  <c r="AJ114" i="5"/>
  <c r="I142" i="5"/>
  <c r="I143" i="5" s="1"/>
  <c r="AJ141" i="5"/>
  <c r="I13" i="5"/>
  <c r="AJ13" i="5" s="1"/>
  <c r="AJ12" i="5"/>
  <c r="N238" i="8"/>
  <c r="AJ238" i="8"/>
  <c r="N119" i="5"/>
  <c r="AJ119" i="5"/>
  <c r="I250" i="8"/>
  <c r="AJ250" i="8" s="1"/>
  <c r="AJ249" i="8"/>
  <c r="I33" i="5"/>
  <c r="AJ33" i="5" s="1"/>
  <c r="AJ32" i="5"/>
  <c r="I14" i="7"/>
  <c r="N14" i="7" s="1"/>
  <c r="AJ13" i="7"/>
  <c r="X209" i="8"/>
  <c r="AJ209" i="8"/>
  <c r="I133" i="5"/>
  <c r="AJ107" i="5"/>
  <c r="AJ113" i="6"/>
  <c r="I105" i="6"/>
  <c r="AJ104" i="6"/>
  <c r="X120" i="7"/>
  <c r="S135" i="7"/>
  <c r="M30" i="4" s="1"/>
  <c r="N167" i="8"/>
  <c r="AJ167" i="8"/>
  <c r="N126" i="8"/>
  <c r="AJ126" i="8"/>
  <c r="N161" i="5"/>
  <c r="AJ161" i="5"/>
  <c r="AJ142" i="5"/>
  <c r="AC92" i="5"/>
  <c r="F17" i="4" s="1"/>
  <c r="I49" i="7"/>
  <c r="N29" i="4"/>
  <c r="AC138" i="7"/>
  <c r="AC93" i="7"/>
  <c r="N17" i="4" s="1"/>
  <c r="I58" i="7"/>
  <c r="AJ57" i="7"/>
  <c r="N107" i="5"/>
  <c r="AJ77" i="5"/>
  <c r="I265" i="6"/>
  <c r="AJ250" i="6"/>
  <c r="AJ189" i="6"/>
  <c r="N79" i="7"/>
  <c r="AJ79" i="7"/>
  <c r="N33" i="7"/>
  <c r="AJ33" i="7"/>
  <c r="N120" i="7"/>
  <c r="AJ120" i="7"/>
  <c r="I135" i="7"/>
  <c r="I58" i="8"/>
  <c r="N58" i="8" s="1"/>
  <c r="I58" i="6"/>
  <c r="AJ57" i="6"/>
  <c r="N81" i="8"/>
  <c r="AJ81" i="8"/>
  <c r="S93" i="7"/>
  <c r="M17" i="4" s="1"/>
  <c r="N108" i="7"/>
  <c r="AJ108" i="7"/>
  <c r="I181" i="8"/>
  <c r="AJ155" i="8"/>
  <c r="E166" i="6"/>
  <c r="AJ166" i="6"/>
  <c r="S95" i="6"/>
  <c r="I14" i="4" s="1"/>
  <c r="I14" i="8"/>
  <c r="AJ13" i="8"/>
  <c r="M29" i="4"/>
  <c r="AJ66" i="5"/>
  <c r="AJ67" i="7"/>
  <c r="AJ114" i="8"/>
  <c r="AJ32" i="7"/>
  <c r="N78" i="5"/>
  <c r="AJ78" i="5"/>
  <c r="AC48" i="5"/>
  <c r="F12" i="4" s="1"/>
  <c r="AC164" i="5"/>
  <c r="AC170" i="5" s="1"/>
  <c r="AC176" i="5" s="1"/>
  <c r="F24" i="4" s="1"/>
  <c r="AC175" i="5"/>
  <c r="S164" i="5"/>
  <c r="S170" i="5" s="1"/>
  <c r="S176" i="5" s="1"/>
  <c r="E24" i="4" s="1"/>
  <c r="S175" i="5"/>
  <c r="E23" i="4" s="1"/>
  <c r="AC265" i="6"/>
  <c r="J27" i="4" s="1"/>
  <c r="S265" i="6"/>
  <c r="I27" i="4" s="1"/>
  <c r="AC48" i="6"/>
  <c r="J12" i="4" s="1"/>
  <c r="N250" i="8"/>
  <c r="I265" i="8"/>
  <c r="X250" i="8"/>
  <c r="S265" i="8"/>
  <c r="Q27" i="4" s="1"/>
  <c r="AH250" i="8"/>
  <c r="AC265" i="8"/>
  <c r="R27" i="4" s="1"/>
  <c r="AC140" i="8"/>
  <c r="N114" i="8"/>
  <c r="AH114" i="8"/>
  <c r="X114" i="8"/>
  <c r="I96" i="8"/>
  <c r="S96" i="8"/>
  <c r="Q15" i="4" s="1"/>
  <c r="N33" i="8"/>
  <c r="I48" i="8"/>
  <c r="X33" i="8"/>
  <c r="S46" i="7"/>
  <c r="S50" i="7" s="1"/>
  <c r="S48" i="7"/>
  <c r="M11" i="4" s="1"/>
  <c r="AH67" i="7"/>
  <c r="N67" i="7"/>
  <c r="AC46" i="7"/>
  <c r="AC50" i="7" s="1"/>
  <c r="AC49" i="7"/>
  <c r="N12" i="4" s="1"/>
  <c r="X67" i="7"/>
  <c r="I148" i="6"/>
  <c r="S148" i="6"/>
  <c r="S149" i="6" s="1"/>
  <c r="S180" i="6" s="1"/>
  <c r="I20" i="4" s="1"/>
  <c r="AH113" i="6"/>
  <c r="X58" i="6"/>
  <c r="X113" i="6"/>
  <c r="X33" i="6"/>
  <c r="S48" i="6"/>
  <c r="I12" i="4" s="1"/>
  <c r="AH149" i="5"/>
  <c r="S92" i="5"/>
  <c r="E17" i="4" s="1"/>
  <c r="X66" i="5"/>
  <c r="X33" i="5"/>
  <c r="S48" i="5"/>
  <c r="E12" i="4" s="1"/>
  <c r="AH66" i="5"/>
  <c r="S105" i="6"/>
  <c r="S139" i="6" s="1"/>
  <c r="I17" i="4" s="1"/>
  <c r="S212" i="8"/>
  <c r="S218" i="8" s="1"/>
  <c r="S224" i="8" s="1"/>
  <c r="Q24" i="4" s="1"/>
  <c r="AC212" i="8"/>
  <c r="AC218" i="8" s="1"/>
  <c r="AC224" i="8" s="1"/>
  <c r="R24" i="4" s="1"/>
  <c r="S212" i="6"/>
  <c r="S218" i="6" s="1"/>
  <c r="S224" i="6" s="1"/>
  <c r="I24" i="4" s="1"/>
  <c r="X209" i="6"/>
  <c r="S170" i="8"/>
  <c r="S176" i="8" s="1"/>
  <c r="AC170" i="8"/>
  <c r="AC176" i="8" s="1"/>
  <c r="I170" i="8"/>
  <c r="S122" i="5"/>
  <c r="S128" i="5" s="1"/>
  <c r="S134" i="5" s="1"/>
  <c r="E21" i="4" s="1"/>
  <c r="I122" i="5"/>
  <c r="I128" i="5" s="1"/>
  <c r="S105" i="8"/>
  <c r="S140" i="8" s="1"/>
  <c r="AC190" i="6"/>
  <c r="N156" i="5"/>
  <c r="E156" i="5"/>
  <c r="AH114" i="5"/>
  <c r="G114" i="5"/>
  <c r="X73" i="5"/>
  <c r="F73" i="5"/>
  <c r="AH28" i="5"/>
  <c r="G28" i="5"/>
  <c r="AH42" i="5"/>
  <c r="G42" i="5"/>
  <c r="X114" i="5"/>
  <c r="F114" i="5"/>
  <c r="N114" i="5"/>
  <c r="E114" i="5"/>
  <c r="AH128" i="5"/>
  <c r="G128" i="5"/>
  <c r="N42" i="5"/>
  <c r="E42" i="5"/>
  <c r="X156" i="5"/>
  <c r="F156" i="5"/>
  <c r="AH156" i="5"/>
  <c r="G156" i="5"/>
  <c r="AH73" i="5"/>
  <c r="G73" i="5"/>
  <c r="N73" i="5"/>
  <c r="E73" i="5"/>
  <c r="X28" i="5"/>
  <c r="F28" i="5"/>
  <c r="N28" i="5"/>
  <c r="E28" i="5"/>
  <c r="N162" i="8"/>
  <c r="E162" i="8"/>
  <c r="N76" i="8"/>
  <c r="E76" i="8"/>
  <c r="AH42" i="8"/>
  <c r="G42" i="8"/>
  <c r="N28" i="8"/>
  <c r="E28" i="8"/>
  <c r="AH90" i="8"/>
  <c r="G90" i="8"/>
  <c r="N245" i="8"/>
  <c r="E245" i="8"/>
  <c r="N121" i="8"/>
  <c r="E121" i="8"/>
  <c r="N204" i="8"/>
  <c r="E204" i="8"/>
  <c r="N28" i="7"/>
  <c r="E28" i="7"/>
  <c r="AH42" i="7"/>
  <c r="G42" i="7"/>
  <c r="N115" i="7"/>
  <c r="E115" i="7"/>
  <c r="N42" i="7"/>
  <c r="E42" i="7"/>
  <c r="N74" i="7"/>
  <c r="E74" i="7"/>
  <c r="X245" i="6"/>
  <c r="F245" i="6"/>
  <c r="X259" i="6"/>
  <c r="F259" i="6"/>
  <c r="AH204" i="6"/>
  <c r="G204" i="6"/>
  <c r="X204" i="6"/>
  <c r="F204" i="6"/>
  <c r="AH245" i="6"/>
  <c r="G245" i="6"/>
  <c r="AH259" i="6"/>
  <c r="G259" i="6"/>
  <c r="X76" i="6"/>
  <c r="F76" i="6"/>
  <c r="AH76" i="6"/>
  <c r="G76" i="6"/>
  <c r="AH161" i="6"/>
  <c r="G161" i="6"/>
  <c r="AH90" i="6"/>
  <c r="G90" i="6"/>
  <c r="X166" i="6"/>
  <c r="F166" i="6"/>
  <c r="X161" i="6"/>
  <c r="F161" i="6"/>
  <c r="X90" i="6"/>
  <c r="F90" i="6"/>
  <c r="AH28" i="6"/>
  <c r="G28" i="6"/>
  <c r="AH42" i="6"/>
  <c r="G42" i="6"/>
  <c r="X28" i="6"/>
  <c r="F28" i="6"/>
  <c r="AH120" i="6"/>
  <c r="G120" i="6"/>
  <c r="X120" i="6"/>
  <c r="F120" i="6"/>
  <c r="S45" i="5"/>
  <c r="AC14" i="6"/>
  <c r="AC149" i="6"/>
  <c r="AC262" i="6"/>
  <c r="AC93" i="6"/>
  <c r="AC97" i="6" s="1"/>
  <c r="AC93" i="8"/>
  <c r="AC97" i="8" s="1"/>
  <c r="AH58" i="8"/>
  <c r="AC45" i="8"/>
  <c r="AC49" i="8" s="1"/>
  <c r="AH14" i="8"/>
  <c r="AH105" i="8"/>
  <c r="X14" i="8"/>
  <c r="S45" i="8"/>
  <c r="S49" i="8" s="1"/>
  <c r="AC262" i="8"/>
  <c r="AH233" i="8"/>
  <c r="N150" i="8"/>
  <c r="X191" i="8"/>
  <c r="X150" i="8"/>
  <c r="X58" i="8"/>
  <c r="S93" i="8"/>
  <c r="AH191" i="8"/>
  <c r="I45" i="8"/>
  <c r="AJ45" i="8" s="1"/>
  <c r="S262" i="8"/>
  <c r="X233" i="8"/>
  <c r="I190" i="8"/>
  <c r="AH150" i="8"/>
  <c r="AH58" i="7"/>
  <c r="AH103" i="7"/>
  <c r="AC132" i="7"/>
  <c r="X58" i="7"/>
  <c r="S132" i="7"/>
  <c r="X103" i="7"/>
  <c r="X14" i="7"/>
  <c r="AH14" i="7"/>
  <c r="I102" i="7"/>
  <c r="X143" i="5"/>
  <c r="AH57" i="5"/>
  <c r="X102" i="5"/>
  <c r="AH143" i="5"/>
  <c r="X14" i="5"/>
  <c r="N102" i="5"/>
  <c r="AH102" i="5"/>
  <c r="AC131" i="5"/>
  <c r="AC135" i="5" s="1"/>
  <c r="X57" i="5"/>
  <c r="AH14" i="5"/>
  <c r="AC45" i="5"/>
  <c r="S233" i="6"/>
  <c r="AH233" i="6"/>
  <c r="AH105" i="6"/>
  <c r="AH58" i="6"/>
  <c r="S45" i="6"/>
  <c r="X14" i="6"/>
  <c r="X190" i="6"/>
  <c r="S93" i="6"/>
  <c r="S97" i="6" s="1"/>
  <c r="N233" i="8" l="1"/>
  <c r="I262" i="8"/>
  <c r="A377" i="12"/>
  <c r="N143" i="5"/>
  <c r="N33" i="5"/>
  <c r="AJ56" i="5"/>
  <c r="I14" i="5"/>
  <c r="I45" i="5" s="1"/>
  <c r="I46" i="5" s="1"/>
  <c r="AJ46" i="5" s="1"/>
  <c r="I105" i="8"/>
  <c r="AJ232" i="8"/>
  <c r="AJ232" i="6"/>
  <c r="AC47" i="7"/>
  <c r="I164" i="5"/>
  <c r="I170" i="5" s="1"/>
  <c r="AJ128" i="5"/>
  <c r="S133" i="7"/>
  <c r="S136" i="7"/>
  <c r="P12" i="4"/>
  <c r="AJ48" i="8"/>
  <c r="AC179" i="5"/>
  <c r="F23" i="4"/>
  <c r="S138" i="7"/>
  <c r="H27" i="4"/>
  <c r="H27" i="25" s="1"/>
  <c r="AJ265" i="6"/>
  <c r="AJ58" i="7"/>
  <c r="I93" i="7"/>
  <c r="AJ49" i="7"/>
  <c r="L12" i="4"/>
  <c r="AJ133" i="5"/>
  <c r="D20" i="4"/>
  <c r="I48" i="7"/>
  <c r="AJ14" i="7"/>
  <c r="I46" i="7"/>
  <c r="AJ46" i="7" s="1"/>
  <c r="N58" i="7"/>
  <c r="AC133" i="7"/>
  <c r="AC136" i="7"/>
  <c r="I191" i="8"/>
  <c r="AJ190" i="8"/>
  <c r="I176" i="8"/>
  <c r="AJ176" i="8" s="1"/>
  <c r="AJ170" i="8"/>
  <c r="I149" i="6"/>
  <c r="AJ149" i="6" s="1"/>
  <c r="AJ148" i="6"/>
  <c r="AJ58" i="6"/>
  <c r="I95" i="6"/>
  <c r="I264" i="8"/>
  <c r="AJ233" i="8"/>
  <c r="I139" i="6"/>
  <c r="AJ105" i="6"/>
  <c r="AC268" i="8"/>
  <c r="R17" i="4"/>
  <c r="I47" i="8"/>
  <c r="AJ14" i="8"/>
  <c r="I95" i="8"/>
  <c r="AJ58" i="8"/>
  <c r="I47" i="5"/>
  <c r="I175" i="5"/>
  <c r="AJ143" i="5"/>
  <c r="I103" i="7"/>
  <c r="N103" i="7" s="1"/>
  <c r="AJ102" i="7"/>
  <c r="AJ262" i="8"/>
  <c r="I93" i="8"/>
  <c r="AJ93" i="8" s="1"/>
  <c r="N14" i="5"/>
  <c r="N45" i="5" s="1"/>
  <c r="I218" i="6"/>
  <c r="AJ265" i="8"/>
  <c r="P27" i="4"/>
  <c r="N14" i="8"/>
  <c r="N45" i="8" s="1"/>
  <c r="S268" i="8"/>
  <c r="Q17" i="4"/>
  <c r="B377" i="12"/>
  <c r="I48" i="5"/>
  <c r="AJ96" i="8"/>
  <c r="P15" i="4"/>
  <c r="I140" i="8"/>
  <c r="I92" i="5"/>
  <c r="AJ57" i="5"/>
  <c r="AJ181" i="8"/>
  <c r="P20" i="4"/>
  <c r="AJ135" i="7"/>
  <c r="L30" i="4"/>
  <c r="L30" i="25" s="1"/>
  <c r="I223" i="6"/>
  <c r="AJ190" i="6"/>
  <c r="I264" i="6"/>
  <c r="AJ233" i="6"/>
  <c r="S179" i="5"/>
  <c r="S262" i="6"/>
  <c r="S264" i="6"/>
  <c r="AC263" i="6"/>
  <c r="AC266" i="6"/>
  <c r="AC212" i="6"/>
  <c r="AJ212" i="6" s="1"/>
  <c r="AC223" i="6"/>
  <c r="J23" i="4" s="1"/>
  <c r="AC263" i="8"/>
  <c r="AC266" i="8"/>
  <c r="S263" i="8"/>
  <c r="S266" i="8"/>
  <c r="I263" i="8"/>
  <c r="I266" i="8"/>
  <c r="S179" i="8"/>
  <c r="S182" i="8"/>
  <c r="Q21" i="4" s="1"/>
  <c r="AC179" i="8"/>
  <c r="AC182" i="8"/>
  <c r="R21" i="4" s="1"/>
  <c r="I94" i="8"/>
  <c r="I97" i="8"/>
  <c r="S94" i="8"/>
  <c r="S97" i="8"/>
  <c r="I49" i="8"/>
  <c r="AJ49" i="8" s="1"/>
  <c r="I46" i="8"/>
  <c r="S46" i="8"/>
  <c r="AC46" i="8"/>
  <c r="AC94" i="8"/>
  <c r="G50" i="8"/>
  <c r="S47" i="7"/>
  <c r="I47" i="7"/>
  <c r="I50" i="7"/>
  <c r="AJ50" i="7" s="1"/>
  <c r="X149" i="6"/>
  <c r="AC169" i="6"/>
  <c r="AC175" i="6" s="1"/>
  <c r="AC181" i="6" s="1"/>
  <c r="J21" i="4" s="1"/>
  <c r="AC180" i="6"/>
  <c r="J20" i="4" s="1"/>
  <c r="X218" i="6"/>
  <c r="X221" i="6" s="1"/>
  <c r="S169" i="6"/>
  <c r="S175" i="6" s="1"/>
  <c r="S181" i="6" s="1"/>
  <c r="I21" i="4" s="1"/>
  <c r="I169" i="6"/>
  <c r="I180" i="6"/>
  <c r="S94" i="6"/>
  <c r="AC45" i="6"/>
  <c r="AC47" i="6"/>
  <c r="J11" i="4" s="1"/>
  <c r="S46" i="6"/>
  <c r="S49" i="6"/>
  <c r="AC94" i="6"/>
  <c r="G50" i="6"/>
  <c r="AC132" i="5"/>
  <c r="S131" i="5"/>
  <c r="S135" i="5" s="1"/>
  <c r="I131" i="5"/>
  <c r="I134" i="5"/>
  <c r="S46" i="5"/>
  <c r="S49" i="5"/>
  <c r="AC46" i="5"/>
  <c r="AC49" i="5"/>
  <c r="A379" i="12"/>
  <c r="S129" i="6" s="1"/>
  <c r="S134" i="6" s="1"/>
  <c r="S140" i="6" s="1"/>
  <c r="I18" i="4" s="1"/>
  <c r="X105" i="6"/>
  <c r="I12" i="25"/>
  <c r="R27" i="25"/>
  <c r="P12" i="25"/>
  <c r="R12" i="25"/>
  <c r="N12" i="25"/>
  <c r="E12" i="25"/>
  <c r="R30" i="25"/>
  <c r="M30" i="25"/>
  <c r="N30" i="25"/>
  <c r="Q27" i="25"/>
  <c r="P27" i="25"/>
  <c r="M12" i="25"/>
  <c r="Q12" i="25"/>
  <c r="R15" i="25"/>
  <c r="P15" i="25"/>
  <c r="Q15" i="25"/>
  <c r="AH218" i="8"/>
  <c r="AH221" i="8" s="1"/>
  <c r="AI191" i="8" s="1"/>
  <c r="G218" i="8"/>
  <c r="AC221" i="8"/>
  <c r="F218" i="8"/>
  <c r="S221" i="8"/>
  <c r="X218" i="8"/>
  <c r="X221" i="8" s="1"/>
  <c r="Y191" i="8" s="1"/>
  <c r="I212" i="8"/>
  <c r="I218" i="8" s="1"/>
  <c r="X170" i="5"/>
  <c r="X173" i="5" s="1"/>
  <c r="F170" i="5"/>
  <c r="S173" i="5"/>
  <c r="S177" i="5" s="1"/>
  <c r="AH170" i="5"/>
  <c r="AH173" i="5" s="1"/>
  <c r="AI143" i="5" s="1"/>
  <c r="G170" i="5"/>
  <c r="AC173" i="5"/>
  <c r="AC177" i="5" s="1"/>
  <c r="X105" i="8"/>
  <c r="F218" i="6"/>
  <c r="S221" i="6"/>
  <c r="S225" i="6" s="1"/>
  <c r="N128" i="5"/>
  <c r="N131" i="5" s="1"/>
  <c r="E128" i="5"/>
  <c r="U12" i="4"/>
  <c r="G176" i="8"/>
  <c r="AH176" i="8"/>
  <c r="AH179" i="8" s="1"/>
  <c r="F176" i="8"/>
  <c r="X176" i="8"/>
  <c r="X179" i="8" s="1"/>
  <c r="X128" i="5"/>
  <c r="X131" i="5" s="1"/>
  <c r="Y102" i="5" s="1"/>
  <c r="F128" i="5"/>
  <c r="AH190" i="6"/>
  <c r="X93" i="6"/>
  <c r="E45" i="8"/>
  <c r="G45" i="8"/>
  <c r="F45" i="8"/>
  <c r="E46" i="7"/>
  <c r="F46" i="7"/>
  <c r="G46" i="7"/>
  <c r="AH262" i="6"/>
  <c r="AI250" i="6" s="1"/>
  <c r="F45" i="5"/>
  <c r="G45" i="5"/>
  <c r="E45" i="5"/>
  <c r="G45" i="6"/>
  <c r="F45" i="6"/>
  <c r="AH149" i="6"/>
  <c r="AH14" i="6"/>
  <c r="AH45" i="6" s="1"/>
  <c r="AI14" i="6" s="1"/>
  <c r="X233" i="6"/>
  <c r="X262" i="6" s="1"/>
  <c r="Y233" i="6" s="1"/>
  <c r="N93" i="8"/>
  <c r="X93" i="8"/>
  <c r="X45" i="8"/>
  <c r="Y14" i="8" s="1"/>
  <c r="AH45" i="8"/>
  <c r="AI14" i="8" s="1"/>
  <c r="N191" i="8"/>
  <c r="AH262" i="8"/>
  <c r="AI233" i="8" s="1"/>
  <c r="X262" i="8"/>
  <c r="AH93" i="8"/>
  <c r="N262" i="8"/>
  <c r="O233" i="8" s="1"/>
  <c r="X46" i="7"/>
  <c r="Y14" i="7" s="1"/>
  <c r="X132" i="7"/>
  <c r="Y103" i="7" s="1"/>
  <c r="AH132" i="7"/>
  <c r="AI103" i="7" s="1"/>
  <c r="N46" i="7"/>
  <c r="AH46" i="7"/>
  <c r="AH131" i="5"/>
  <c r="AH45" i="5"/>
  <c r="AI14" i="5" s="1"/>
  <c r="X45" i="5"/>
  <c r="AH93" i="6"/>
  <c r="X45" i="6"/>
  <c r="Y14" i="6" s="1"/>
  <c r="N259" i="6"/>
  <c r="N238" i="6"/>
  <c r="N197" i="6"/>
  <c r="N154" i="6"/>
  <c r="N113" i="6"/>
  <c r="I90" i="6"/>
  <c r="N81" i="6"/>
  <c r="N76" i="6"/>
  <c r="N58" i="6"/>
  <c r="I42" i="6"/>
  <c r="AJ42" i="6" s="1"/>
  <c r="AJ14" i="5" l="1"/>
  <c r="AJ45" i="5"/>
  <c r="AJ105" i="8"/>
  <c r="N105" i="8"/>
  <c r="I96" i="6"/>
  <c r="AJ90" i="6"/>
  <c r="I49" i="5"/>
  <c r="E176" i="8"/>
  <c r="AJ47" i="7"/>
  <c r="AJ164" i="5"/>
  <c r="AJ170" i="5"/>
  <c r="I173" i="5"/>
  <c r="AJ173" i="5" s="1"/>
  <c r="AC218" i="6"/>
  <c r="AC224" i="6" s="1"/>
  <c r="J24" i="4" s="1"/>
  <c r="I179" i="8"/>
  <c r="AJ179" i="8" s="1"/>
  <c r="I224" i="8"/>
  <c r="AJ218" i="8"/>
  <c r="AJ134" i="5"/>
  <c r="D21" i="4"/>
  <c r="I176" i="5"/>
  <c r="I224" i="6"/>
  <c r="AJ103" i="7"/>
  <c r="I134" i="7"/>
  <c r="D11" i="4"/>
  <c r="AJ47" i="5"/>
  <c r="P11" i="4"/>
  <c r="AJ47" i="8"/>
  <c r="H17" i="4"/>
  <c r="AJ139" i="6"/>
  <c r="L11" i="4"/>
  <c r="AJ48" i="7"/>
  <c r="I132" i="7"/>
  <c r="N170" i="5"/>
  <c r="N173" i="5" s="1"/>
  <c r="O156" i="5" s="1"/>
  <c r="AJ131" i="5"/>
  <c r="E170" i="5"/>
  <c r="H20" i="4"/>
  <c r="AJ180" i="6"/>
  <c r="E218" i="6"/>
  <c r="AJ46" i="8"/>
  <c r="AJ97" i="8"/>
  <c r="I182" i="8"/>
  <c r="AJ266" i="8"/>
  <c r="H23" i="4"/>
  <c r="AJ223" i="6"/>
  <c r="AJ93" i="7"/>
  <c r="L17" i="4"/>
  <c r="S268" i="6"/>
  <c r="I26" i="4"/>
  <c r="AJ264" i="6"/>
  <c r="H26" i="4"/>
  <c r="D17" i="4"/>
  <c r="AJ92" i="5"/>
  <c r="D12" i="4"/>
  <c r="D12" i="25" s="1"/>
  <c r="AJ48" i="5"/>
  <c r="H14" i="4"/>
  <c r="AJ95" i="6"/>
  <c r="AJ140" i="8"/>
  <c r="P17" i="4"/>
  <c r="AJ49" i="5"/>
  <c r="I175" i="6"/>
  <c r="AJ169" i="6"/>
  <c r="AJ94" i="8"/>
  <c r="N176" i="8"/>
  <c r="N179" i="8" s="1"/>
  <c r="O150" i="8" s="1"/>
  <c r="AJ263" i="8"/>
  <c r="I179" i="5"/>
  <c r="AJ179" i="5" s="1"/>
  <c r="AJ175" i="5"/>
  <c r="D23" i="4"/>
  <c r="AJ95" i="8"/>
  <c r="P14" i="4"/>
  <c r="P26" i="4"/>
  <c r="AJ264" i="8"/>
  <c r="I223" i="8"/>
  <c r="AJ191" i="8"/>
  <c r="AC83" i="7"/>
  <c r="AC88" i="7" s="1"/>
  <c r="AC94" i="7" s="1"/>
  <c r="AC178" i="6"/>
  <c r="AC182" i="6" s="1"/>
  <c r="S269" i="6"/>
  <c r="AC268" i="6"/>
  <c r="S263" i="6"/>
  <c r="S266" i="6"/>
  <c r="S222" i="8"/>
  <c r="S225" i="8"/>
  <c r="AC222" i="8"/>
  <c r="AC225" i="8"/>
  <c r="AC180" i="8"/>
  <c r="AC183" i="8"/>
  <c r="S180" i="8"/>
  <c r="S183" i="8"/>
  <c r="Y58" i="8"/>
  <c r="F50" i="8"/>
  <c r="O58" i="8"/>
  <c r="E50" i="8"/>
  <c r="I181" i="6"/>
  <c r="N175" i="6"/>
  <c r="X175" i="6"/>
  <c r="X178" i="6" s="1"/>
  <c r="Y149" i="6" s="1"/>
  <c r="G175" i="6"/>
  <c r="V21" i="4" s="1"/>
  <c r="F175" i="6"/>
  <c r="I21" i="25" s="1"/>
  <c r="F221" i="6"/>
  <c r="S178" i="6"/>
  <c r="S182" i="6" s="1"/>
  <c r="AH175" i="6"/>
  <c r="AH178" i="6" s="1"/>
  <c r="Y58" i="6"/>
  <c r="F50" i="6"/>
  <c r="AC49" i="6"/>
  <c r="AC46" i="6"/>
  <c r="S174" i="5"/>
  <c r="I174" i="5"/>
  <c r="I177" i="5"/>
  <c r="AJ177" i="5" s="1"/>
  <c r="AC174" i="5"/>
  <c r="S132" i="5"/>
  <c r="I132" i="5"/>
  <c r="I135" i="5"/>
  <c r="AJ135" i="5" s="1"/>
  <c r="S83" i="7"/>
  <c r="S88" i="7" s="1"/>
  <c r="S94" i="7" s="1"/>
  <c r="S130" i="8"/>
  <c r="S135" i="8" s="1"/>
  <c r="S141" i="8" s="1"/>
  <c r="I82" i="5"/>
  <c r="I129" i="6"/>
  <c r="I130" i="8"/>
  <c r="F134" i="6"/>
  <c r="I18" i="25" s="1"/>
  <c r="X134" i="6"/>
  <c r="X137" i="6" s="1"/>
  <c r="Y105" i="6" s="1"/>
  <c r="S137" i="6"/>
  <c r="AC82" i="5"/>
  <c r="AC87" i="5" s="1"/>
  <c r="AC93" i="5" s="1"/>
  <c r="AC129" i="6"/>
  <c r="AC134" i="6" s="1"/>
  <c r="AC140" i="6" s="1"/>
  <c r="AC130" i="8"/>
  <c r="AC135" i="8" s="1"/>
  <c r="AC141" i="8" s="1"/>
  <c r="S82" i="5"/>
  <c r="S87" i="5" s="1"/>
  <c r="S93" i="5" s="1"/>
  <c r="I83" i="7"/>
  <c r="T27" i="25"/>
  <c r="T27" i="4"/>
  <c r="J12" i="25"/>
  <c r="F21" i="25"/>
  <c r="U15" i="4"/>
  <c r="I15" i="25"/>
  <c r="U15" i="25" s="1"/>
  <c r="L12" i="25"/>
  <c r="U27" i="4"/>
  <c r="I27" i="25"/>
  <c r="U27" i="25" s="1"/>
  <c r="E21" i="25"/>
  <c r="Q21" i="25"/>
  <c r="I24" i="25"/>
  <c r="R24" i="25"/>
  <c r="V27" i="4"/>
  <c r="J27" i="25"/>
  <c r="V27" i="25" s="1"/>
  <c r="R21" i="25"/>
  <c r="E24" i="25"/>
  <c r="F12" i="25"/>
  <c r="J15" i="25"/>
  <c r="V15" i="25" s="1"/>
  <c r="F24" i="25"/>
  <c r="Q24" i="25"/>
  <c r="V30" i="25"/>
  <c r="U30" i="25"/>
  <c r="U12" i="25"/>
  <c r="E218" i="8"/>
  <c r="I221" i="8"/>
  <c r="AJ221" i="8" s="1"/>
  <c r="N218" i="8"/>
  <c r="N221" i="8" s="1"/>
  <c r="O191" i="8" s="1"/>
  <c r="G221" i="6"/>
  <c r="U24" i="4"/>
  <c r="S222" i="6"/>
  <c r="V30" i="4"/>
  <c r="U30" i="4"/>
  <c r="Y81" i="6"/>
  <c r="V15" i="4"/>
  <c r="V12" i="4"/>
  <c r="AC221" i="6"/>
  <c r="AC225" i="6" s="1"/>
  <c r="Y76" i="6"/>
  <c r="Y90" i="6"/>
  <c r="Y69" i="6"/>
  <c r="AI233" i="6"/>
  <c r="AI259" i="6"/>
  <c r="AI245" i="6"/>
  <c r="AI238" i="6"/>
  <c r="O14" i="5"/>
  <c r="E7" i="5"/>
  <c r="N90" i="6"/>
  <c r="E90" i="6"/>
  <c r="N42" i="6"/>
  <c r="E42" i="6"/>
  <c r="N21" i="6"/>
  <c r="Y250" i="8"/>
  <c r="Y238" i="8"/>
  <c r="Y245" i="8"/>
  <c r="Y259" i="8"/>
  <c r="O33" i="8"/>
  <c r="O28" i="8"/>
  <c r="O42" i="8"/>
  <c r="O21" i="8"/>
  <c r="O245" i="8"/>
  <c r="O259" i="8"/>
  <c r="O238" i="8"/>
  <c r="O250" i="8"/>
  <c r="Y233" i="8"/>
  <c r="AI245" i="8"/>
  <c r="AI238" i="8"/>
  <c r="AI259" i="8"/>
  <c r="AI250" i="8"/>
  <c r="O14" i="8"/>
  <c r="Y28" i="8"/>
  <c r="Y42" i="8"/>
  <c r="Y21" i="8"/>
  <c r="Y33" i="8"/>
  <c r="Y197" i="8"/>
  <c r="Y204" i="8"/>
  <c r="Y209" i="8"/>
  <c r="Y218" i="8"/>
  <c r="O90" i="8"/>
  <c r="O69" i="8"/>
  <c r="O76" i="8"/>
  <c r="O81" i="8"/>
  <c r="AI90" i="8"/>
  <c r="AI69" i="8"/>
  <c r="AI76" i="8"/>
  <c r="AI81" i="8"/>
  <c r="Y162" i="8"/>
  <c r="Y155" i="8"/>
  <c r="Y176" i="8"/>
  <c r="Y167" i="8"/>
  <c r="AI155" i="8"/>
  <c r="AI162" i="8"/>
  <c r="AI176" i="8"/>
  <c r="AI167" i="8"/>
  <c r="AI21" i="8"/>
  <c r="AI33" i="8"/>
  <c r="AI42" i="8"/>
  <c r="AI28" i="8"/>
  <c r="AI58" i="8"/>
  <c r="AI209" i="8"/>
  <c r="AI204" i="8"/>
  <c r="AI218" i="8"/>
  <c r="AI197" i="8"/>
  <c r="Y150" i="8"/>
  <c r="Y69" i="8"/>
  <c r="Y76" i="8"/>
  <c r="Y90" i="8"/>
  <c r="Y81" i="8"/>
  <c r="AI150" i="8"/>
  <c r="O21" i="7"/>
  <c r="O28" i="7"/>
  <c r="O42" i="7"/>
  <c r="O33" i="7"/>
  <c r="AI108" i="7"/>
  <c r="AI129" i="7"/>
  <c r="AI120" i="7"/>
  <c r="AI115" i="7"/>
  <c r="Y108" i="7"/>
  <c r="Y115" i="7"/>
  <c r="Y129" i="7"/>
  <c r="Y120" i="7"/>
  <c r="AI21" i="7"/>
  <c r="AI28" i="7"/>
  <c r="AI42" i="7"/>
  <c r="AI33" i="7"/>
  <c r="AI14" i="7"/>
  <c r="O14" i="7"/>
  <c r="Y21" i="7"/>
  <c r="Y42" i="7"/>
  <c r="Y28" i="7"/>
  <c r="Y33" i="7"/>
  <c r="N132" i="7"/>
  <c r="O103" i="7" s="1"/>
  <c r="O128" i="5"/>
  <c r="O107" i="5"/>
  <c r="O114" i="5"/>
  <c r="O119" i="5"/>
  <c r="Y114" i="5"/>
  <c r="Y107" i="5"/>
  <c r="Y128" i="5"/>
  <c r="Y119" i="5"/>
  <c r="O33" i="5"/>
  <c r="O21" i="5"/>
  <c r="O28" i="5"/>
  <c r="O42" i="5"/>
  <c r="O149" i="5"/>
  <c r="Y42" i="5"/>
  <c r="Y28" i="5"/>
  <c r="Y21" i="5"/>
  <c r="Y33" i="5"/>
  <c r="Y156" i="5"/>
  <c r="Y170" i="5"/>
  <c r="Y149" i="5"/>
  <c r="Y161" i="5"/>
  <c r="AI128" i="5"/>
  <c r="AI114" i="5"/>
  <c r="AI107" i="5"/>
  <c r="AI119" i="5"/>
  <c r="Y14" i="5"/>
  <c r="O102" i="5"/>
  <c r="Y143" i="5"/>
  <c r="AI21" i="5"/>
  <c r="AI33" i="5"/>
  <c r="AI28" i="5"/>
  <c r="AI42" i="5"/>
  <c r="AI149" i="5"/>
  <c r="AI161" i="5"/>
  <c r="AI170" i="5"/>
  <c r="AI156" i="5"/>
  <c r="AI102" i="5"/>
  <c r="AI42" i="6"/>
  <c r="AI21" i="6"/>
  <c r="AI28" i="6"/>
  <c r="AI33" i="6"/>
  <c r="AI90" i="6"/>
  <c r="AI76" i="6"/>
  <c r="AI69" i="6"/>
  <c r="AI81" i="6"/>
  <c r="AI58" i="6"/>
  <c r="Y218" i="6"/>
  <c r="Y197" i="6"/>
  <c r="Y204" i="6"/>
  <c r="Y209" i="6"/>
  <c r="Y21" i="6"/>
  <c r="Y28" i="6"/>
  <c r="Y33" i="6"/>
  <c r="Y42" i="6"/>
  <c r="Y238" i="6"/>
  <c r="Y259" i="6"/>
  <c r="Y250" i="6"/>
  <c r="Y245" i="6"/>
  <c r="Y190" i="6"/>
  <c r="N161" i="6"/>
  <c r="I28" i="6"/>
  <c r="AJ28" i="6" s="1"/>
  <c r="N209" i="6"/>
  <c r="N218" i="6"/>
  <c r="N69" i="6"/>
  <c r="I93" i="6"/>
  <c r="AJ93" i="6" s="1"/>
  <c r="I12" i="6"/>
  <c r="N120" i="6"/>
  <c r="N125" i="6"/>
  <c r="N166" i="6"/>
  <c r="I33" i="6"/>
  <c r="AJ33" i="6" s="1"/>
  <c r="N204" i="6"/>
  <c r="N245" i="6"/>
  <c r="N250" i="6"/>
  <c r="O167" i="8" l="1"/>
  <c r="I13" i="6"/>
  <c r="AJ13" i="6" s="1"/>
  <c r="AJ12" i="6"/>
  <c r="AC179" i="6"/>
  <c r="AJ218" i="6"/>
  <c r="H15" i="4"/>
  <c r="AJ96" i="6"/>
  <c r="O170" i="5"/>
  <c r="G218" i="6"/>
  <c r="E136" i="5"/>
  <c r="I183" i="8"/>
  <c r="AJ183" i="8" s="1"/>
  <c r="O161" i="5"/>
  <c r="AH218" i="6"/>
  <c r="AH221" i="6" s="1"/>
  <c r="O143" i="5"/>
  <c r="G88" i="7"/>
  <c r="AJ132" i="5"/>
  <c r="I180" i="8"/>
  <c r="I135" i="8"/>
  <c r="AJ135" i="8" s="1"/>
  <c r="AJ130" i="8"/>
  <c r="AC269" i="8"/>
  <c r="R18" i="4"/>
  <c r="AC139" i="7"/>
  <c r="N18" i="4"/>
  <c r="N18" i="25" s="1"/>
  <c r="N33" i="25" s="1"/>
  <c r="O155" i="8"/>
  <c r="D21" i="25"/>
  <c r="I88" i="7"/>
  <c r="E88" i="7" s="1"/>
  <c r="AJ83" i="7"/>
  <c r="AC269" i="6"/>
  <c r="J18" i="4"/>
  <c r="I87" i="5"/>
  <c r="AJ87" i="5" s="1"/>
  <c r="AJ82" i="5"/>
  <c r="AJ174" i="5"/>
  <c r="P21" i="4"/>
  <c r="P21" i="25" s="1"/>
  <c r="AJ182" i="8"/>
  <c r="AJ224" i="6"/>
  <c r="H24" i="4"/>
  <c r="H24" i="25" s="1"/>
  <c r="S139" i="7"/>
  <c r="M18" i="4"/>
  <c r="AJ181" i="6"/>
  <c r="H21" i="4"/>
  <c r="T21" i="4" s="1"/>
  <c r="AJ134" i="7"/>
  <c r="L29" i="4"/>
  <c r="I138" i="7"/>
  <c r="O162" i="8"/>
  <c r="I132" i="6"/>
  <c r="AJ129" i="6"/>
  <c r="AC91" i="7"/>
  <c r="AC92" i="7" s="1"/>
  <c r="O176" i="8"/>
  <c r="S180" i="5"/>
  <c r="E18" i="4"/>
  <c r="AC180" i="5"/>
  <c r="F18" i="4"/>
  <c r="AH88" i="7"/>
  <c r="AH91" i="7" s="1"/>
  <c r="AI79" i="7" s="1"/>
  <c r="S269" i="8"/>
  <c r="Q18" i="4"/>
  <c r="AJ180" i="8"/>
  <c r="I268" i="8"/>
  <c r="AJ268" i="8" s="1"/>
  <c r="P23" i="4"/>
  <c r="AJ223" i="8"/>
  <c r="E175" i="6"/>
  <c r="H21" i="25" s="1"/>
  <c r="T21" i="25" s="1"/>
  <c r="AJ175" i="6"/>
  <c r="I133" i="7"/>
  <c r="AJ133" i="7" s="1"/>
  <c r="AJ132" i="7"/>
  <c r="I136" i="7"/>
  <c r="AJ136" i="7" s="1"/>
  <c r="D24" i="4"/>
  <c r="D24" i="25" s="1"/>
  <c r="AJ176" i="5"/>
  <c r="AJ224" i="8"/>
  <c r="P24" i="4"/>
  <c r="P24" i="25" s="1"/>
  <c r="Y154" i="6"/>
  <c r="Y161" i="6"/>
  <c r="Y166" i="6"/>
  <c r="I222" i="8"/>
  <c r="AJ222" i="8" s="1"/>
  <c r="I225" i="8"/>
  <c r="AJ225" i="8" s="1"/>
  <c r="S138" i="8"/>
  <c r="S142" i="8" s="1"/>
  <c r="S270" i="8" s="1"/>
  <c r="I141" i="8"/>
  <c r="F88" i="7"/>
  <c r="J21" i="25"/>
  <c r="V21" i="25" s="1"/>
  <c r="F178" i="6"/>
  <c r="Y175" i="6"/>
  <c r="S179" i="6"/>
  <c r="AI149" i="6"/>
  <c r="AI178" i="6" s="1"/>
  <c r="AI161" i="6"/>
  <c r="AI175" i="6"/>
  <c r="AI154" i="6"/>
  <c r="AI166" i="6"/>
  <c r="AC222" i="6"/>
  <c r="G178" i="6"/>
  <c r="F137" i="6"/>
  <c r="S141" i="6"/>
  <c r="S270" i="6" s="1"/>
  <c r="I94" i="6"/>
  <c r="AJ94" i="6" s="1"/>
  <c r="I97" i="6"/>
  <c r="AJ97" i="6" s="1"/>
  <c r="N33" i="6"/>
  <c r="I48" i="6"/>
  <c r="X135" i="8"/>
  <c r="X138" i="8" s="1"/>
  <c r="F98" i="8" s="1"/>
  <c r="F135" i="8"/>
  <c r="S91" i="7"/>
  <c r="X88" i="7"/>
  <c r="X91" i="7" s="1"/>
  <c r="Y67" i="7" s="1"/>
  <c r="E135" i="8"/>
  <c r="I33" i="25"/>
  <c r="I33" i="4"/>
  <c r="S138" i="6"/>
  <c r="G137" i="6"/>
  <c r="F87" i="5"/>
  <c r="S90" i="5"/>
  <c r="S94" i="5" s="1"/>
  <c r="S181" i="5" s="1"/>
  <c r="X87" i="5"/>
  <c r="AC138" i="8"/>
  <c r="AC142" i="8" s="1"/>
  <c r="AC270" i="8" s="1"/>
  <c r="G135" i="8"/>
  <c r="R33" i="4" s="1"/>
  <c r="AH135" i="8"/>
  <c r="Y134" i="6"/>
  <c r="G134" i="6"/>
  <c r="AC137" i="6"/>
  <c r="AC141" i="6" s="1"/>
  <c r="AC270" i="6" s="1"/>
  <c r="AH134" i="6"/>
  <c r="AH87" i="5"/>
  <c r="AC90" i="5"/>
  <c r="AC94" i="5" s="1"/>
  <c r="AC181" i="5" s="1"/>
  <c r="G87" i="5"/>
  <c r="F33" i="4" s="1"/>
  <c r="Y120" i="6"/>
  <c r="Y113" i="6"/>
  <c r="Y125" i="6"/>
  <c r="W27" i="4"/>
  <c r="J23" i="26" s="1"/>
  <c r="U21" i="4"/>
  <c r="W27" i="25"/>
  <c r="K23" i="26" s="1"/>
  <c r="U24" i="25"/>
  <c r="J24" i="25"/>
  <c r="T15" i="4"/>
  <c r="W15" i="4" s="1"/>
  <c r="H15" i="25"/>
  <c r="V12" i="25"/>
  <c r="U21" i="25"/>
  <c r="V24" i="4"/>
  <c r="Y93" i="6"/>
  <c r="AI190" i="6"/>
  <c r="AI197" i="6"/>
  <c r="AI204" i="6"/>
  <c r="AI209" i="6"/>
  <c r="AI218" i="6"/>
  <c r="AI262" i="6"/>
  <c r="N93" i="6"/>
  <c r="N28" i="6"/>
  <c r="E28" i="6"/>
  <c r="AI221" i="8"/>
  <c r="AI45" i="8"/>
  <c r="O262" i="8"/>
  <c r="O173" i="5"/>
  <c r="Y131" i="5"/>
  <c r="Y179" i="8"/>
  <c r="Y45" i="8"/>
  <c r="AI262" i="8"/>
  <c r="Y262" i="8"/>
  <c r="Y93" i="8"/>
  <c r="O93" i="8"/>
  <c r="Y221" i="8"/>
  <c r="Y46" i="7"/>
  <c r="Y132" i="7"/>
  <c r="AI132" i="7"/>
  <c r="AI46" i="7"/>
  <c r="AI173" i="5"/>
  <c r="AI45" i="5"/>
  <c r="O45" i="5"/>
  <c r="O204" i="8"/>
  <c r="O218" i="8"/>
  <c r="O197" i="8"/>
  <c r="O209" i="8"/>
  <c r="AI93" i="8"/>
  <c r="AI179" i="8"/>
  <c r="O45" i="8"/>
  <c r="O108" i="7"/>
  <c r="O129" i="7"/>
  <c r="O115" i="7"/>
  <c r="O120" i="7"/>
  <c r="O46" i="7"/>
  <c r="AI131" i="5"/>
  <c r="Y173" i="5"/>
  <c r="O131" i="5"/>
  <c r="Y45" i="5"/>
  <c r="AI45" i="6"/>
  <c r="Y262" i="6"/>
  <c r="Y45" i="6"/>
  <c r="AI93" i="6"/>
  <c r="Y221" i="6"/>
  <c r="P13" i="4"/>
  <c r="I178" i="6"/>
  <c r="N149" i="6"/>
  <c r="I262" i="6"/>
  <c r="AJ262" i="6" s="1"/>
  <c r="N233" i="6"/>
  <c r="I14" i="6"/>
  <c r="AJ14" i="6" s="1"/>
  <c r="N105" i="6"/>
  <c r="N135" i="8" l="1"/>
  <c r="N138" i="8" s="1"/>
  <c r="E98" i="8" s="1"/>
  <c r="M18" i="25"/>
  <c r="M33" i="25" s="1"/>
  <c r="E33" i="4"/>
  <c r="N33" i="4"/>
  <c r="I138" i="8"/>
  <c r="AJ138" i="8" s="1"/>
  <c r="Q33" i="4"/>
  <c r="AC95" i="7"/>
  <c r="AC140" i="7" s="1"/>
  <c r="E87" i="5"/>
  <c r="AI74" i="7"/>
  <c r="T24" i="4"/>
  <c r="J33" i="4"/>
  <c r="N87" i="5"/>
  <c r="N90" i="5" s="1"/>
  <c r="O57" i="5" s="1"/>
  <c r="O90" i="5" s="1"/>
  <c r="O179" i="8"/>
  <c r="I94" i="7"/>
  <c r="AJ88" i="7"/>
  <c r="I91" i="7"/>
  <c r="I92" i="7" s="1"/>
  <c r="AI67" i="7"/>
  <c r="I93" i="5"/>
  <c r="I134" i="6"/>
  <c r="AJ132" i="6"/>
  <c r="AJ48" i="6"/>
  <c r="H12" i="4"/>
  <c r="I269" i="8"/>
  <c r="AJ269" i="8" s="1"/>
  <c r="P18" i="4"/>
  <c r="P33" i="4" s="1"/>
  <c r="AJ141" i="8"/>
  <c r="I182" i="6"/>
  <c r="AJ182" i="6" s="1"/>
  <c r="AJ178" i="6"/>
  <c r="W21" i="4"/>
  <c r="N88" i="7"/>
  <c r="N91" i="7" s="1"/>
  <c r="O88" i="7" s="1"/>
  <c r="AI88" i="7"/>
  <c r="AI58" i="7"/>
  <c r="AI91" i="7" s="1"/>
  <c r="I90" i="5"/>
  <c r="I94" i="5" s="1"/>
  <c r="F138" i="8"/>
  <c r="I263" i="6"/>
  <c r="AJ263" i="6" s="1"/>
  <c r="I266" i="6"/>
  <c r="AJ266" i="6" s="1"/>
  <c r="Y114" i="8"/>
  <c r="O126" i="8"/>
  <c r="O121" i="8"/>
  <c r="G138" i="8"/>
  <c r="Y121" i="8"/>
  <c r="G98" i="8"/>
  <c r="R16" i="4" s="1"/>
  <c r="S139" i="8"/>
  <c r="I139" i="8"/>
  <c r="I142" i="8"/>
  <c r="O114" i="8"/>
  <c r="O135" i="8"/>
  <c r="O105" i="8"/>
  <c r="O138" i="8" s="1"/>
  <c r="Y135" i="8"/>
  <c r="Y105" i="8"/>
  <c r="Y126" i="8"/>
  <c r="AC139" i="8"/>
  <c r="S92" i="7"/>
  <c r="S95" i="7"/>
  <c r="S140" i="7" s="1"/>
  <c r="M33" i="4"/>
  <c r="Y74" i="7"/>
  <c r="AC138" i="6"/>
  <c r="E50" i="6"/>
  <c r="H13" i="4" s="1"/>
  <c r="H14" i="25" s="1"/>
  <c r="H13" i="25" s="1"/>
  <c r="I45" i="6"/>
  <c r="AJ45" i="6" s="1"/>
  <c r="I47" i="6"/>
  <c r="Q18" i="25"/>
  <c r="Q33" i="25" s="1"/>
  <c r="O87" i="5"/>
  <c r="Y88" i="7"/>
  <c r="O73" i="5"/>
  <c r="Y79" i="7"/>
  <c r="Y58" i="7"/>
  <c r="AC91" i="5"/>
  <c r="F91" i="7"/>
  <c r="G91" i="7"/>
  <c r="E138" i="8"/>
  <c r="U18" i="4"/>
  <c r="AH137" i="6"/>
  <c r="AI134" i="6" s="1"/>
  <c r="F18" i="25"/>
  <c r="F33" i="25" s="1"/>
  <c r="V18" i="4"/>
  <c r="AH138" i="8"/>
  <c r="AI135" i="8" s="1"/>
  <c r="X90" i="5"/>
  <c r="Y87" i="5" s="1"/>
  <c r="J18" i="25"/>
  <c r="J33" i="25" s="1"/>
  <c r="R18" i="25"/>
  <c r="R33" i="25" s="1"/>
  <c r="G90" i="5"/>
  <c r="S91" i="5"/>
  <c r="F90" i="5"/>
  <c r="AH90" i="5"/>
  <c r="AI87" i="5" s="1"/>
  <c r="E91" i="7"/>
  <c r="E18" i="25"/>
  <c r="Y137" i="6"/>
  <c r="T30" i="25"/>
  <c r="W30" i="25" s="1"/>
  <c r="W21" i="25"/>
  <c r="V24" i="25"/>
  <c r="W24" i="4"/>
  <c r="T15" i="25"/>
  <c r="W15" i="25" s="1"/>
  <c r="H12" i="25"/>
  <c r="T24" i="25"/>
  <c r="T12" i="4"/>
  <c r="W12" i="4" s="1"/>
  <c r="AI221" i="6"/>
  <c r="T30" i="4"/>
  <c r="W30" i="4" s="1"/>
  <c r="O69" i="6"/>
  <c r="O81" i="6"/>
  <c r="I179" i="6"/>
  <c r="AJ179" i="6" s="1"/>
  <c r="E178" i="6"/>
  <c r="O58" i="6"/>
  <c r="O76" i="6"/>
  <c r="O90" i="6"/>
  <c r="O221" i="8"/>
  <c r="O132" i="7"/>
  <c r="G7" i="8"/>
  <c r="R10" i="4" s="1"/>
  <c r="G184" i="8"/>
  <c r="R22" i="4" s="1"/>
  <c r="F7" i="8"/>
  <c r="Q10" i="4" s="1"/>
  <c r="R13" i="4"/>
  <c r="G226" i="8"/>
  <c r="R25" i="4" s="1"/>
  <c r="G96" i="7"/>
  <c r="N28" i="4" s="1"/>
  <c r="G7" i="7"/>
  <c r="N10" i="4" s="1"/>
  <c r="N14" i="6"/>
  <c r="N190" i="6"/>
  <c r="I221" i="6"/>
  <c r="AJ221" i="6" s="1"/>
  <c r="G142" i="6"/>
  <c r="J19" i="4" s="1"/>
  <c r="N178" i="6"/>
  <c r="O149" i="6" s="1"/>
  <c r="N262" i="6"/>
  <c r="J13" i="4"/>
  <c r="F142" i="6"/>
  <c r="I19" i="4" s="1"/>
  <c r="G98" i="6"/>
  <c r="J16" i="4" s="1"/>
  <c r="AJ92" i="7" l="1"/>
  <c r="U33" i="4"/>
  <c r="O66" i="5"/>
  <c r="O78" i="5"/>
  <c r="I181" i="5"/>
  <c r="AJ94" i="5"/>
  <c r="E90" i="5"/>
  <c r="AJ90" i="5"/>
  <c r="I180" i="5"/>
  <c r="AJ180" i="5" s="1"/>
  <c r="AJ93" i="5"/>
  <c r="D18" i="4"/>
  <c r="I91" i="5"/>
  <c r="AJ91" i="5" s="1"/>
  <c r="P18" i="25"/>
  <c r="P33" i="25" s="1"/>
  <c r="I140" i="6"/>
  <c r="AJ134" i="6"/>
  <c r="N134" i="6"/>
  <c r="N137" i="6" s="1"/>
  <c r="O113" i="6" s="1"/>
  <c r="I137" i="6"/>
  <c r="E134" i="6"/>
  <c r="I95" i="7"/>
  <c r="AJ91" i="7"/>
  <c r="I268" i="6"/>
  <c r="AJ268" i="6" s="1"/>
  <c r="AJ47" i="6"/>
  <c r="H11" i="4"/>
  <c r="AJ139" i="8"/>
  <c r="I139" i="7"/>
  <c r="AJ139" i="7" s="1"/>
  <c r="AJ94" i="7"/>
  <c r="L18" i="4"/>
  <c r="I270" i="8"/>
  <c r="AJ142" i="8"/>
  <c r="Y138" i="8"/>
  <c r="I225" i="6"/>
  <c r="AJ225" i="6" s="1"/>
  <c r="E45" i="6"/>
  <c r="I49" i="6"/>
  <c r="AJ49" i="6" s="1"/>
  <c r="I46" i="6"/>
  <c r="AJ46" i="6" s="1"/>
  <c r="Y91" i="7"/>
  <c r="E33" i="25"/>
  <c r="U33" i="25" s="1"/>
  <c r="T12" i="25"/>
  <c r="W12" i="25" s="1"/>
  <c r="V33" i="4"/>
  <c r="U18" i="25"/>
  <c r="V33" i="25"/>
  <c r="V18" i="25"/>
  <c r="AI113" i="6"/>
  <c r="AI105" i="6"/>
  <c r="AI120" i="6"/>
  <c r="AI125" i="6"/>
  <c r="AI57" i="5"/>
  <c r="AI73" i="5"/>
  <c r="AI66" i="5"/>
  <c r="AI78" i="5"/>
  <c r="Y66" i="5"/>
  <c r="Y57" i="5"/>
  <c r="Y78" i="5"/>
  <c r="Y73" i="5"/>
  <c r="AI121" i="8"/>
  <c r="AI126" i="8"/>
  <c r="AI114" i="8"/>
  <c r="AI105" i="8"/>
  <c r="O58" i="7"/>
  <c r="O79" i="7"/>
  <c r="O67" i="7"/>
  <c r="O74" i="7"/>
  <c r="P14" i="25"/>
  <c r="P13" i="25" s="1"/>
  <c r="W24" i="25"/>
  <c r="R26" i="25"/>
  <c r="R25" i="25" s="1"/>
  <c r="R14" i="25"/>
  <c r="R13" i="25" s="1"/>
  <c r="J14" i="25"/>
  <c r="J13" i="25" s="1"/>
  <c r="I20" i="25"/>
  <c r="I19" i="25" s="1"/>
  <c r="O93" i="6"/>
  <c r="I222" i="6"/>
  <c r="AJ222" i="6" s="1"/>
  <c r="E221" i="6"/>
  <c r="E96" i="7"/>
  <c r="L28" i="4" s="1"/>
  <c r="E184" i="8"/>
  <c r="P22" i="4" s="1"/>
  <c r="G143" i="8"/>
  <c r="R19" i="4" s="1"/>
  <c r="R34" i="4" s="1"/>
  <c r="E143" i="8"/>
  <c r="P19" i="4" s="1"/>
  <c r="E226" i="8"/>
  <c r="P25" i="4" s="1"/>
  <c r="F184" i="8"/>
  <c r="Q22" i="4" s="1"/>
  <c r="F143" i="8"/>
  <c r="Q19" i="4" s="1"/>
  <c r="F96" i="7"/>
  <c r="M28" i="4" s="1"/>
  <c r="G51" i="7"/>
  <c r="N16" i="4" s="1"/>
  <c r="E51" i="7"/>
  <c r="L16" i="4" s="1"/>
  <c r="E98" i="6"/>
  <c r="H16" i="4" s="1"/>
  <c r="O125" i="6"/>
  <c r="O120" i="6"/>
  <c r="E226" i="6"/>
  <c r="H25" i="4" s="1"/>
  <c r="O238" i="6"/>
  <c r="O259" i="6"/>
  <c r="O250" i="6"/>
  <c r="O245" i="6"/>
  <c r="F226" i="6"/>
  <c r="I25" i="4" s="1"/>
  <c r="F98" i="6"/>
  <c r="I16" i="4" s="1"/>
  <c r="I13" i="4"/>
  <c r="F7" i="6"/>
  <c r="I10" i="4" s="1"/>
  <c r="E142" i="6"/>
  <c r="H19" i="4" s="1"/>
  <c r="O175" i="6"/>
  <c r="O161" i="6"/>
  <c r="O154" i="6"/>
  <c r="O166" i="6"/>
  <c r="G226" i="6"/>
  <c r="J25" i="4" s="1"/>
  <c r="G183" i="6"/>
  <c r="J22" i="4" s="1"/>
  <c r="N221" i="6"/>
  <c r="N45" i="6"/>
  <c r="G7" i="6"/>
  <c r="J10" i="4" s="1"/>
  <c r="O233" i="6"/>
  <c r="F183" i="6"/>
  <c r="I22" i="4" s="1"/>
  <c r="G95" i="5"/>
  <c r="F19" i="4" s="1"/>
  <c r="O105" i="6" l="1"/>
  <c r="O134" i="6"/>
  <c r="L33" i="4"/>
  <c r="L18" i="25"/>
  <c r="L33" i="25" s="1"/>
  <c r="I140" i="7"/>
  <c r="AJ95" i="7"/>
  <c r="H18" i="4"/>
  <c r="T18" i="4" s="1"/>
  <c r="W18" i="4" s="1"/>
  <c r="AJ140" i="6"/>
  <c r="I269" i="6"/>
  <c r="AJ269" i="6" s="1"/>
  <c r="D18" i="25"/>
  <c r="D33" i="4"/>
  <c r="I141" i="6"/>
  <c r="AJ141" i="6" s="1"/>
  <c r="AJ137" i="6"/>
  <c r="E137" i="6"/>
  <c r="I138" i="6"/>
  <c r="AJ138" i="6" s="1"/>
  <c r="I272" i="8"/>
  <c r="AJ270" i="8"/>
  <c r="I183" i="5"/>
  <c r="AJ181" i="5"/>
  <c r="I270" i="6"/>
  <c r="AJ270" i="6" s="1"/>
  <c r="J34" i="4"/>
  <c r="J37" i="4" s="1"/>
  <c r="I34" i="4"/>
  <c r="I37" i="4" s="1"/>
  <c r="N34" i="4"/>
  <c r="N37" i="4" s="1"/>
  <c r="AI90" i="5"/>
  <c r="AI137" i="6"/>
  <c r="Y90" i="5"/>
  <c r="AI138" i="8"/>
  <c r="O91" i="7"/>
  <c r="J20" i="25"/>
  <c r="J19" i="25" s="1"/>
  <c r="R23" i="25"/>
  <c r="R22" i="25" s="1"/>
  <c r="P26" i="25"/>
  <c r="P25" i="25" s="1"/>
  <c r="I14" i="25"/>
  <c r="I13" i="25" s="1"/>
  <c r="H26" i="25"/>
  <c r="H25" i="25" s="1"/>
  <c r="V29" i="4"/>
  <c r="Q23" i="25"/>
  <c r="Q22" i="25" s="1"/>
  <c r="R37" i="4"/>
  <c r="Q11" i="25"/>
  <c r="N29" i="25"/>
  <c r="N28" i="25" s="1"/>
  <c r="R17" i="25"/>
  <c r="R16" i="25" s="1"/>
  <c r="R11" i="25"/>
  <c r="N11" i="25"/>
  <c r="J17" i="25"/>
  <c r="J16" i="25" s="1"/>
  <c r="R32" i="4"/>
  <c r="V19" i="4"/>
  <c r="N32" i="4"/>
  <c r="O14" i="6"/>
  <c r="E7" i="6"/>
  <c r="H10" i="4" s="1"/>
  <c r="O137" i="6"/>
  <c r="G136" i="5"/>
  <c r="F22" i="4" s="1"/>
  <c r="F136" i="5"/>
  <c r="E22" i="4" s="1"/>
  <c r="Q13" i="4"/>
  <c r="F226" i="8"/>
  <c r="Q25" i="4" s="1"/>
  <c r="E7" i="8"/>
  <c r="P10" i="4" s="1"/>
  <c r="P16" i="4"/>
  <c r="Q16" i="4"/>
  <c r="F51" i="7"/>
  <c r="M16" i="4" s="1"/>
  <c r="F7" i="7"/>
  <c r="M10" i="4" s="1"/>
  <c r="E7" i="7"/>
  <c r="L10" i="4" s="1"/>
  <c r="E183" i="6"/>
  <c r="H22" i="4" s="1"/>
  <c r="O209" i="6"/>
  <c r="O197" i="6"/>
  <c r="O218" i="6"/>
  <c r="O204" i="6"/>
  <c r="O28" i="6"/>
  <c r="O42" i="6"/>
  <c r="O21" i="6"/>
  <c r="O33" i="6"/>
  <c r="O262" i="6"/>
  <c r="O190" i="6"/>
  <c r="G7" i="5"/>
  <c r="F10" i="4" s="1"/>
  <c r="F7" i="5"/>
  <c r="E95" i="5"/>
  <c r="D19" i="4" s="1"/>
  <c r="G50" i="5"/>
  <c r="F16" i="4" s="1"/>
  <c r="F50" i="5"/>
  <c r="E16" i="4" s="1"/>
  <c r="E50" i="5"/>
  <c r="D16" i="4" s="1"/>
  <c r="I142" i="7" l="1"/>
  <c r="AJ140" i="7"/>
  <c r="I272" i="6"/>
  <c r="D33" i="25"/>
  <c r="H33" i="4"/>
  <c r="T33" i="4" s="1"/>
  <c r="W33" i="4" s="1"/>
  <c r="H18" i="25"/>
  <c r="H33" i="25" s="1"/>
  <c r="J32" i="4"/>
  <c r="P34" i="4"/>
  <c r="I32" i="4"/>
  <c r="R10" i="25"/>
  <c r="N10" i="25"/>
  <c r="Q10" i="25"/>
  <c r="Q34" i="4"/>
  <c r="Q37" i="4" s="1"/>
  <c r="L34" i="4"/>
  <c r="H34" i="4"/>
  <c r="I23" i="25"/>
  <c r="I22" i="25" s="1"/>
  <c r="V26" i="4"/>
  <c r="F20" i="25"/>
  <c r="F19" i="25" s="1"/>
  <c r="P23" i="25"/>
  <c r="P22" i="25" s="1"/>
  <c r="H20" i="25"/>
  <c r="H19" i="25" s="1"/>
  <c r="J26" i="25"/>
  <c r="J25" i="25" s="1"/>
  <c r="V28" i="4"/>
  <c r="V25" i="4"/>
  <c r="I26" i="25"/>
  <c r="I25" i="25" s="1"/>
  <c r="J23" i="25"/>
  <c r="J22" i="25" s="1"/>
  <c r="Q26" i="25"/>
  <c r="Q25" i="25" s="1"/>
  <c r="V14" i="4"/>
  <c r="U29" i="4"/>
  <c r="E17" i="25"/>
  <c r="E16" i="25" s="1"/>
  <c r="F17" i="25"/>
  <c r="F16" i="25" s="1"/>
  <c r="D20" i="25"/>
  <c r="D19" i="25" s="1"/>
  <c r="V29" i="25"/>
  <c r="V28" i="25" s="1"/>
  <c r="T26" i="4"/>
  <c r="I11" i="25"/>
  <c r="M29" i="25"/>
  <c r="M28" i="25" s="1"/>
  <c r="J11" i="25"/>
  <c r="N17" i="25"/>
  <c r="N32" i="25" s="1"/>
  <c r="Q20" i="25"/>
  <c r="Q19" i="25" s="1"/>
  <c r="L17" i="25"/>
  <c r="L16" i="25" s="1"/>
  <c r="V20" i="4"/>
  <c r="R20" i="25"/>
  <c r="R32" i="25" s="1"/>
  <c r="I17" i="25"/>
  <c r="I16" i="25" s="1"/>
  <c r="L29" i="25"/>
  <c r="L28" i="25" s="1"/>
  <c r="P20" i="25"/>
  <c r="P19" i="25" s="1"/>
  <c r="H17" i="25"/>
  <c r="V10" i="4"/>
  <c r="T16" i="4"/>
  <c r="V22" i="4"/>
  <c r="V16" i="4"/>
  <c r="U22" i="4"/>
  <c r="T19" i="4"/>
  <c r="L32" i="4"/>
  <c r="U16" i="4"/>
  <c r="O45" i="6"/>
  <c r="O221" i="6"/>
  <c r="D22" i="4"/>
  <c r="E10" i="4"/>
  <c r="F95" i="5"/>
  <c r="E19" i="4" s="1"/>
  <c r="D10" i="4"/>
  <c r="T33" i="25" l="1"/>
  <c r="W33" i="25" s="1"/>
  <c r="H16" i="25"/>
  <c r="T18" i="25"/>
  <c r="W18" i="25" s="1"/>
  <c r="P32" i="4"/>
  <c r="P37" i="4"/>
  <c r="P35" i="4"/>
  <c r="L37" i="4"/>
  <c r="H37" i="4"/>
  <c r="H35" i="4"/>
  <c r="Q32" i="4"/>
  <c r="H32" i="4"/>
  <c r="I10" i="25"/>
  <c r="I34" i="25" s="1"/>
  <c r="I32" i="25"/>
  <c r="J10" i="25"/>
  <c r="J34" i="25" s="1"/>
  <c r="J32" i="25"/>
  <c r="M34" i="4"/>
  <c r="M37" i="4" s="1"/>
  <c r="P11" i="25"/>
  <c r="F32" i="4"/>
  <c r="V32" i="4" s="1"/>
  <c r="F34" i="4"/>
  <c r="F37" i="4" s="1"/>
  <c r="T25" i="4"/>
  <c r="R19" i="25"/>
  <c r="R34" i="25" s="1"/>
  <c r="N16" i="25"/>
  <c r="N34" i="25" s="1"/>
  <c r="H11" i="25"/>
  <c r="V26" i="25"/>
  <c r="V25" i="25" s="1"/>
  <c r="V13" i="4"/>
  <c r="T20" i="4"/>
  <c r="U14" i="4"/>
  <c r="H23" i="25"/>
  <c r="H22" i="25" s="1"/>
  <c r="U13" i="4"/>
  <c r="T29" i="4"/>
  <c r="W29" i="4" s="1"/>
  <c r="V17" i="4"/>
  <c r="U28" i="4"/>
  <c r="U29" i="25"/>
  <c r="U28" i="25" s="1"/>
  <c r="U26" i="4"/>
  <c r="W26" i="4" s="1"/>
  <c r="J22" i="26" s="1"/>
  <c r="T26" i="25"/>
  <c r="T25" i="25" s="1"/>
  <c r="V13" i="25"/>
  <c r="V14" i="25"/>
  <c r="V20" i="25"/>
  <c r="V19" i="25" s="1"/>
  <c r="U23" i="4"/>
  <c r="E23" i="25"/>
  <c r="D17" i="25"/>
  <c r="D16" i="25" s="1"/>
  <c r="Q14" i="25"/>
  <c r="V17" i="25"/>
  <c r="V16" i="25" s="1"/>
  <c r="L11" i="25"/>
  <c r="L32" i="25" s="1"/>
  <c r="M11" i="25"/>
  <c r="P17" i="25"/>
  <c r="F11" i="25"/>
  <c r="M17" i="25"/>
  <c r="M16" i="25" s="1"/>
  <c r="V23" i="4"/>
  <c r="F23" i="25"/>
  <c r="Q17" i="25"/>
  <c r="Q16" i="25" s="1"/>
  <c r="T20" i="25"/>
  <c r="T19" i="25" s="1"/>
  <c r="U17" i="4"/>
  <c r="U10" i="4"/>
  <c r="T17" i="4"/>
  <c r="T22" i="4"/>
  <c r="W22" i="4" s="1"/>
  <c r="V11" i="4"/>
  <c r="T10" i="4"/>
  <c r="W16" i="4"/>
  <c r="U19" i="4"/>
  <c r="W19" i="4" s="1"/>
  <c r="L35" i="4" l="1"/>
  <c r="D34" i="4"/>
  <c r="E34" i="4"/>
  <c r="E37" i="4" s="1"/>
  <c r="F32" i="25"/>
  <c r="V32" i="25" s="1"/>
  <c r="Q13" i="25"/>
  <c r="Q34" i="25" s="1"/>
  <c r="Q32" i="25"/>
  <c r="H10" i="25"/>
  <c r="H34" i="25" s="1"/>
  <c r="H35" i="25" s="1"/>
  <c r="H32" i="25"/>
  <c r="P10" i="25"/>
  <c r="P32" i="25"/>
  <c r="M10" i="25"/>
  <c r="M34" i="25" s="1"/>
  <c r="M32" i="25"/>
  <c r="F10" i="25"/>
  <c r="E32" i="4"/>
  <c r="T11" i="4"/>
  <c r="M32" i="4"/>
  <c r="N37" i="25"/>
  <c r="I37" i="25"/>
  <c r="J37" i="25"/>
  <c r="R37" i="25"/>
  <c r="V23" i="25"/>
  <c r="V22" i="25" s="1"/>
  <c r="F22" i="25"/>
  <c r="U23" i="25"/>
  <c r="U22" i="25" s="1"/>
  <c r="E22" i="25"/>
  <c r="P16" i="25"/>
  <c r="J24" i="26"/>
  <c r="L10" i="25"/>
  <c r="L34" i="25" s="1"/>
  <c r="L35" i="25" s="1"/>
  <c r="V34" i="4"/>
  <c r="V37" i="4" s="1"/>
  <c r="T14" i="4"/>
  <c r="W14" i="4" s="1"/>
  <c r="T28" i="4"/>
  <c r="W28" i="4" s="1"/>
  <c r="T13" i="4"/>
  <c r="W13" i="4" s="1"/>
  <c r="U17" i="25"/>
  <c r="U16" i="25" s="1"/>
  <c r="U25" i="4"/>
  <c r="W25" i="4" s="1"/>
  <c r="U26" i="25"/>
  <c r="T14" i="25"/>
  <c r="T13" i="25"/>
  <c r="T29" i="25"/>
  <c r="T17" i="25"/>
  <c r="T16" i="25" s="1"/>
  <c r="E11" i="25"/>
  <c r="V11" i="25"/>
  <c r="V10" i="25" s="1"/>
  <c r="D11" i="25"/>
  <c r="U20" i="4"/>
  <c r="W20" i="4" s="1"/>
  <c r="E20" i="25"/>
  <c r="T23" i="4"/>
  <c r="W23" i="4" s="1"/>
  <c r="D23" i="25"/>
  <c r="U14" i="25"/>
  <c r="W10" i="4"/>
  <c r="W17" i="4"/>
  <c r="U11" i="4"/>
  <c r="D37" i="4" l="1"/>
  <c r="D35" i="4"/>
  <c r="W11" i="4"/>
  <c r="D32" i="4"/>
  <c r="T32" i="4" s="1"/>
  <c r="F34" i="25"/>
  <c r="V34" i="25" s="1"/>
  <c r="U13" i="25"/>
  <c r="W13" i="25" s="1"/>
  <c r="D10" i="25"/>
  <c r="D32" i="25"/>
  <c r="T32" i="25" s="1"/>
  <c r="E10" i="25"/>
  <c r="E32" i="25"/>
  <c r="U32" i="25" s="1"/>
  <c r="P34" i="25"/>
  <c r="H37" i="25"/>
  <c r="M37" i="25"/>
  <c r="L37" i="25"/>
  <c r="Q37" i="25"/>
  <c r="T34" i="4"/>
  <c r="T37" i="4" s="1"/>
  <c r="U34" i="4"/>
  <c r="U37" i="4" s="1"/>
  <c r="W16" i="25"/>
  <c r="U20" i="25"/>
  <c r="U19" i="25" s="1"/>
  <c r="W19" i="25" s="1"/>
  <c r="E19" i="25"/>
  <c r="T23" i="25"/>
  <c r="W23" i="25" s="1"/>
  <c r="D22" i="25"/>
  <c r="W26" i="25"/>
  <c r="K22" i="26" s="1"/>
  <c r="K24" i="26" s="1"/>
  <c r="K32" i="26" s="1"/>
  <c r="U25" i="25"/>
  <c r="W25" i="25" s="1"/>
  <c r="W29" i="25"/>
  <c r="T28" i="25"/>
  <c r="W28" i="25" s="1"/>
  <c r="U32" i="4"/>
  <c r="W17" i="25"/>
  <c r="W14" i="25"/>
  <c r="T11" i="25"/>
  <c r="T10" i="25" s="1"/>
  <c r="U11" i="25"/>
  <c r="U10" i="25" s="1"/>
  <c r="P37" i="25" l="1"/>
  <c r="P35" i="25"/>
  <c r="F37" i="25"/>
  <c r="E34" i="25"/>
  <c r="E37" i="25" s="1"/>
  <c r="D34" i="25"/>
  <c r="V37" i="25"/>
  <c r="W34" i="4"/>
  <c r="W37" i="4" s="1"/>
  <c r="W20" i="25"/>
  <c r="T22" i="25"/>
  <c r="W22" i="25" s="1"/>
  <c r="W10" i="25"/>
  <c r="W32" i="4"/>
  <c r="W32" i="25"/>
  <c r="W11" i="25"/>
  <c r="T34" i="25" l="1"/>
  <c r="T37" i="25" s="1"/>
  <c r="D35" i="25"/>
  <c r="U34" i="25"/>
  <c r="U37" i="25" s="1"/>
  <c r="D37" i="25"/>
  <c r="W34" i="25" l="1"/>
  <c r="W37" i="25" s="1"/>
</calcChain>
</file>

<file path=xl/comments1.xml><?xml version="1.0" encoding="utf-8"?>
<comments xmlns="http://schemas.openxmlformats.org/spreadsheetml/2006/main">
  <authors>
    <author>Wahlman, Nels</author>
  </authors>
  <commentList>
    <comment ref="G11" authorId="0" shapeId="0">
      <text>
        <r>
          <rPr>
            <b/>
            <sz val="8"/>
            <color indexed="81"/>
            <rFont val="Tahoma"/>
            <family val="2"/>
          </rPr>
          <t xml:space="preserve">Standard Envelope
</t>
        </r>
      </text>
    </comment>
    <comment ref="G12" authorId="0" shapeId="0">
      <text>
        <r>
          <rPr>
            <b/>
            <sz val="8"/>
            <color indexed="81"/>
            <rFont val="Tahoma"/>
            <family val="2"/>
          </rPr>
          <t xml:space="preserve">Bill Stock Envelope
</t>
        </r>
      </text>
    </comment>
    <comment ref="A23" authorId="0" shapeId="0">
      <text>
        <r>
          <rPr>
            <b/>
            <sz val="8"/>
            <color indexed="81"/>
            <rFont val="Tahoma"/>
            <family val="2"/>
          </rPr>
          <t xml:space="preserve">Held Static for all options
</t>
        </r>
      </text>
    </comment>
  </commentList>
</comments>
</file>

<file path=xl/sharedStrings.xml><?xml version="1.0" encoding="utf-8"?>
<sst xmlns="http://schemas.openxmlformats.org/spreadsheetml/2006/main" count="6409" uniqueCount="601">
  <si>
    <t>Meter Read</t>
  </si>
  <si>
    <t>Billing</t>
  </si>
  <si>
    <t>Payment</t>
  </si>
  <si>
    <t>Collections</t>
  </si>
  <si>
    <t>Contact Center</t>
  </si>
  <si>
    <t>MAST</t>
  </si>
  <si>
    <t>RMC</t>
  </si>
  <si>
    <t>Office Service</t>
  </si>
  <si>
    <t>Account Services</t>
  </si>
  <si>
    <t>* Bill exception work
* Rebills
* Bill controls</t>
  </si>
  <si>
    <t>Treasury</t>
  </si>
  <si>
    <t>* Print, insert &amp; mail bills
* Printer &amp; Inserter equipment maint</t>
  </si>
  <si>
    <t xml:space="preserve">* Review delinquent notices batches
* Plan arrangements with customers
</t>
  </si>
  <si>
    <t>* Pick up payments on credit orders &amp; deliver to resource centers</t>
  </si>
  <si>
    <t>* Read routes
* Investigate, repair or replace non-operable meters and ERTs</t>
  </si>
  <si>
    <t>* Initiate corrective action for non-reporting readers (Talon)</t>
  </si>
  <si>
    <t>* Meter reading office (route mgmt)
* Develop meter reading schedule</t>
  </si>
  <si>
    <t>* Bill exception work
* Rebills
* Bill controls
* Bill paper stock &amp; envelopes
* Postage</t>
  </si>
  <si>
    <t>Residential</t>
  </si>
  <si>
    <t>S. L. Commercial Indust.</t>
  </si>
  <si>
    <t>L.Commercial Indust.</t>
  </si>
  <si>
    <t>Basic Firm Sales Service Non-Residential</t>
  </si>
  <si>
    <t>SCH 2</t>
  </si>
  <si>
    <t>SCH 3</t>
  </si>
  <si>
    <t>SCH 32</t>
  </si>
  <si>
    <r>
      <t xml:space="preserve">Non-Residential Firm Sales and Firm </t>
    </r>
    <r>
      <rPr>
        <b/>
        <sz val="11"/>
        <color theme="1"/>
        <rFont val="Calibri"/>
        <family val="2"/>
        <scheme val="minor"/>
      </rPr>
      <t>Transportation</t>
    </r>
    <r>
      <rPr>
        <sz val="11"/>
        <color theme="1"/>
        <rFont val="Calibri"/>
        <family val="2"/>
        <scheme val="minor"/>
      </rPr>
      <t xml:space="preserve"> Service</t>
    </r>
  </si>
  <si>
    <t>Number of Meters</t>
  </si>
  <si>
    <t>COST ELEMENTS</t>
  </si>
  <si>
    <t>TOTALS</t>
  </si>
  <si>
    <t>%</t>
  </si>
  <si>
    <t>Notes &amp; Questions</t>
  </si>
  <si>
    <t>LABOR: NON-SUPERVISORY</t>
  </si>
  <si>
    <t>Total Wages</t>
  </si>
  <si>
    <t>Benefits</t>
  </si>
  <si>
    <t>Total</t>
  </si>
  <si>
    <t>LABOR: SUPERVISORY</t>
  </si>
  <si>
    <t>EQUIPMENT</t>
  </si>
  <si>
    <t>Total Equipment</t>
  </si>
  <si>
    <t>IS SUPPORT</t>
  </si>
  <si>
    <t>Analyst Labor</t>
  </si>
  <si>
    <t>Analyst Benefits</t>
  </si>
  <si>
    <t>Total IS</t>
  </si>
  <si>
    <t>OTHER</t>
  </si>
  <si>
    <t>Fleet, MMD, M&amp;T, PNC</t>
  </si>
  <si>
    <t>Corporate Express (to bank)</t>
  </si>
  <si>
    <t>Total Other</t>
  </si>
  <si>
    <t>PER YEAR</t>
  </si>
  <si>
    <t>PER PAYMENT</t>
  </si>
  <si>
    <t xml:space="preserve"> </t>
  </si>
  <si>
    <t>Residential    Shedule 2</t>
  </si>
  <si>
    <t>.</t>
  </si>
  <si>
    <t>METER READING</t>
  </si>
  <si>
    <t>CFS</t>
  </si>
  <si>
    <t>SCH 31, 32 &amp; Other</t>
  </si>
  <si>
    <t>2015 YTD ACTUAL AMOUNT (C)</t>
  </si>
  <si>
    <t>Cost Center</t>
  </si>
  <si>
    <t>G/L Account</t>
  </si>
  <si>
    <t>* 1,000 $</t>
  </si>
  <si>
    <t>Overall Result</t>
  </si>
  <si>
    <t>SALARY PAYROLL</t>
  </si>
  <si>
    <t>500100</t>
  </si>
  <si>
    <t>VACATION, SICK &amp; HOL</t>
  </si>
  <si>
    <t>500900</t>
  </si>
  <si>
    <t>PAYROLL OVERHEAD</t>
  </si>
  <si>
    <t>501000</t>
  </si>
  <si>
    <t>SALARY PAYROLL ZTFSO</t>
  </si>
  <si>
    <t>588105</t>
  </si>
  <si>
    <t>Payroll</t>
  </si>
  <si>
    <t>PAYROLL</t>
  </si>
  <si>
    <t>EDUCATION</t>
  </si>
  <si>
    <t>501100</t>
  </si>
  <si>
    <t>P CARD UNCODED CHARG</t>
  </si>
  <si>
    <t>502466</t>
  </si>
  <si>
    <t>OFFICE SUPPLIES</t>
  </si>
  <si>
    <t>503000</t>
  </si>
  <si>
    <t>MEALS AND ENTERTAIN</t>
  </si>
  <si>
    <t>512100</t>
  </si>
  <si>
    <t>CONFERENCE TRAVEL</t>
  </si>
  <si>
    <t>513100</t>
  </si>
  <si>
    <t>BUSINESS TRAVEL</t>
  </si>
  <si>
    <t>513200</t>
  </si>
  <si>
    <t>EMPLOYEE AWARDS</t>
  </si>
  <si>
    <t>522000</t>
  </si>
  <si>
    <t>MISC. EXPENSE BUDGET</t>
  </si>
  <si>
    <t>599900</t>
  </si>
  <si>
    <t>Non-Payroll</t>
  </si>
  <si>
    <t>NON-PAYROLL</t>
  </si>
  <si>
    <t>EXPENSE ACCOUNTS</t>
  </si>
  <si>
    <t>ACCOUNT SERVICES</t>
  </si>
  <si>
    <t>HOURLY DOUBLE PAY</t>
  </si>
  <si>
    <t>500301</t>
  </si>
  <si>
    <t>HOURLY REGULAR  PAY</t>
  </si>
  <si>
    <t>500305</t>
  </si>
  <si>
    <t>HOURLY OVERTIME PAY</t>
  </si>
  <si>
    <t>500306</t>
  </si>
  <si>
    <t>HOURLY BONUS PAYROLL</t>
  </si>
  <si>
    <t>500700</t>
  </si>
  <si>
    <t>HRLY - OT ZTFSO</t>
  </si>
  <si>
    <t>588306</t>
  </si>
  <si>
    <t>MATERIALS</t>
  </si>
  <si>
    <t>501400</t>
  </si>
  <si>
    <t>OTHER CONTRACT WORK</t>
  </si>
  <si>
    <t>502100</t>
  </si>
  <si>
    <t>MISCELLANEOUS</t>
  </si>
  <si>
    <t>502400</t>
  </si>
  <si>
    <t>BANK CHARGES</t>
  </si>
  <si>
    <t>502500</t>
  </si>
  <si>
    <t>TELEPHONE</t>
  </si>
  <si>
    <t>502700</t>
  </si>
  <si>
    <t>POSTAGE</t>
  </si>
  <si>
    <t>502800</t>
  </si>
  <si>
    <t>PRINTING</t>
  </si>
  <si>
    <t>503100</t>
  </si>
  <si>
    <t>REFRESHMENTS</t>
  </si>
  <si>
    <t>503300</t>
  </si>
  <si>
    <t>PAYSTATION COMMISSIO</t>
  </si>
  <si>
    <t>504100</t>
  </si>
  <si>
    <t>CASH RECEIPTS</t>
  </si>
  <si>
    <t>504300</t>
  </si>
  <si>
    <t>COLLECTION FEES</t>
  </si>
  <si>
    <t>505700</t>
  </si>
  <si>
    <t>TRAVEL IN TERRITORY</t>
  </si>
  <si>
    <t>512200</t>
  </si>
  <si>
    <t>EMPLOYEE AWRDS MLS &amp;</t>
  </si>
  <si>
    <t>522100</t>
  </si>
  <si>
    <t>NON EMPLOYEE GIFTS</t>
  </si>
  <si>
    <t>522200</t>
  </si>
  <si>
    <t>Units</t>
  </si>
  <si>
    <t>Rate</t>
  </si>
  <si>
    <t>Overheads</t>
  </si>
  <si>
    <t>2015 YTD BUDGET AMOUNT (K)</t>
  </si>
  <si>
    <t>$ VAR BUDGET YTD (C-K)</t>
  </si>
  <si>
    <t>% VAR BUDGET YTD (C/K)</t>
  </si>
  <si>
    <t>CUST SEG SRVC</t>
  </si>
  <si>
    <t>SALARY BONUS PAYROLL</t>
  </si>
  <si>
    <t>500500</t>
  </si>
  <si>
    <t>0</t>
  </si>
  <si>
    <t>MILEAGE REIMBURSE</t>
  </si>
  <si>
    <t>501500</t>
  </si>
  <si>
    <t>DUES/MEMBERSHIP</t>
  </si>
  <si>
    <t>501900</t>
  </si>
  <si>
    <t>BOOKS AND MAGAZINES</t>
  </si>
  <si>
    <t>503200</t>
  </si>
  <si>
    <t>DEALER RELATIONS</t>
  </si>
  <si>
    <t>504600</t>
  </si>
  <si>
    <t>PARKING</t>
  </si>
  <si>
    <t>504700</t>
  </si>
  <si>
    <t>LAUNDRY</t>
  </si>
  <si>
    <t>504800</t>
  </si>
  <si>
    <t>PROFESSIONAL SERVICE</t>
  </si>
  <si>
    <t>505100</t>
  </si>
  <si>
    <t>PERMITS AND FEES</t>
  </si>
  <si>
    <t>506200</t>
  </si>
  <si>
    <t>CORPORATE IDENTITY</t>
  </si>
  <si>
    <t>507500</t>
  </si>
  <si>
    <t>MAJ ACCT SERV TEAM</t>
  </si>
  <si>
    <t>NWN/580105</t>
  </si>
  <si>
    <t>580105</t>
  </si>
  <si>
    <t>CUST CONTACT CENTER</t>
  </si>
  <si>
    <t>P/T HOURLY PAYROLL</t>
  </si>
  <si>
    <t>500400</t>
  </si>
  <si>
    <t>NWN/580306</t>
  </si>
  <si>
    <t>580306</t>
  </si>
  <si>
    <t>HRLY - REGULAR ZTFSO</t>
  </si>
  <si>
    <t>588305</t>
  </si>
  <si>
    <t>MATERIALS - CONS INV</t>
  </si>
  <si>
    <t>501401</t>
  </si>
  <si>
    <t>FURNITURE &lt; 500</t>
  </si>
  <si>
    <t>501800</t>
  </si>
  <si>
    <t>OFFICE CONTRACT WORK</t>
  </si>
  <si>
    <t>502000</t>
  </si>
  <si>
    <t>CUSTOMER RECOVERY</t>
  </si>
  <si>
    <t>505300</t>
  </si>
  <si>
    <t>MEAL TICKETS</t>
  </si>
  <si>
    <t>505800</t>
  </si>
  <si>
    <t>UNLEADED FUEL</t>
  </si>
  <si>
    <t>506500</t>
  </si>
  <si>
    <t>CUST FIELD SERVICES</t>
  </si>
  <si>
    <t>HOURLY PAYROLL</t>
  </si>
  <si>
    <t>500300</t>
  </si>
  <si>
    <t>COMMISSIONS</t>
  </si>
  <si>
    <t>501300</t>
  </si>
  <si>
    <t>NWN/580301</t>
  </si>
  <si>
    <t>580301</t>
  </si>
  <si>
    <t>NWN/580305</t>
  </si>
  <si>
    <t>580305</t>
  </si>
  <si>
    <t>HRL - DBL TIME ZTFSO</t>
  </si>
  <si>
    <t>588301</t>
  </si>
  <si>
    <t>MATERIALS -CONS PIPE</t>
  </si>
  <si>
    <t>501402</t>
  </si>
  <si>
    <t>TRANSPORTATION</t>
  </si>
  <si>
    <t>501600</t>
  </si>
  <si>
    <t>501700</t>
  </si>
  <si>
    <t>FLAGGING</t>
  </si>
  <si>
    <t>502170</t>
  </si>
  <si>
    <t>ASPHALT PAVING</t>
  </si>
  <si>
    <t>502180</t>
  </si>
  <si>
    <t>SAW CUTS</t>
  </si>
  <si>
    <t>502195</t>
  </si>
  <si>
    <t>COMPANY GAS USE</t>
  </si>
  <si>
    <t>502900</t>
  </si>
  <si>
    <t>TOOL EXPENSE</t>
  </si>
  <si>
    <t>503400</t>
  </si>
  <si>
    <t>UNIFORMS</t>
  </si>
  <si>
    <t>504900</t>
  </si>
  <si>
    <t>REPAIRS AND MAINT</t>
  </si>
  <si>
    <t>505500</t>
  </si>
  <si>
    <t>SMALL TOOLS</t>
  </si>
  <si>
    <t>507700</t>
  </si>
  <si>
    <t>NWN/581500</t>
  </si>
  <si>
    <t>581500</t>
  </si>
  <si>
    <t>NWN/585800</t>
  </si>
  <si>
    <t>585800</t>
  </si>
  <si>
    <t>MILEAGE REIMB ZTFSO</t>
  </si>
  <si>
    <t>589500</t>
  </si>
  <si>
    <t>MEAL TICKETS ZTFSO</t>
  </si>
  <si>
    <t>589800</t>
  </si>
  <si>
    <t>RESOURCE MGMT CTR</t>
  </si>
  <si>
    <t>TRACKHOE</t>
  </si>
  <si>
    <t>502116</t>
  </si>
  <si>
    <t xml:space="preserve">Combined </t>
  </si>
  <si>
    <r>
      <t>Calculated Payroll Increases From Proposed Payroll Budget Shown on "</t>
    </r>
    <r>
      <rPr>
        <b/>
        <sz val="11"/>
        <color rgb="FFFF0000"/>
        <rFont val="Calibri"/>
        <family val="2"/>
        <scheme val="minor"/>
      </rPr>
      <t>Rate Incr Payroll &amp; NonPayroll  Sheet</t>
    </r>
    <r>
      <rPr>
        <b/>
        <sz val="11"/>
        <color theme="1"/>
        <rFont val="Calibri"/>
        <family val="2"/>
        <scheme val="minor"/>
      </rPr>
      <t>"</t>
    </r>
  </si>
  <si>
    <t>Payroll Increase from Base Year</t>
  </si>
  <si>
    <t xml:space="preserve">Small Commercial &amp; Industrial    Shedule 3 &amp; 27 </t>
  </si>
  <si>
    <t>Small Commercial &amp; Industrial    Shedule 3 &amp; 27</t>
  </si>
  <si>
    <t>Large Commercial Industial  Shedule 31, 32, 33 &amp; Others</t>
  </si>
  <si>
    <t>Large Commercial &amp; Industial  Shedule 31, 32, 33 &amp; Other</t>
  </si>
  <si>
    <t>Large Commercial &amp; Industial  Shedule 31, 32, 33 &amp; Others</t>
  </si>
  <si>
    <t>ACCT SRVCS</t>
  </si>
  <si>
    <t xml:space="preserve">BILLING </t>
  </si>
  <si>
    <t>PAYMENT PROCESSING</t>
  </si>
  <si>
    <t>COLLECTIONS</t>
  </si>
  <si>
    <t>Postage</t>
  </si>
  <si>
    <t>Envelopes</t>
  </si>
  <si>
    <t>Bill  Stock</t>
  </si>
  <si>
    <t>Pay Station Fees</t>
  </si>
  <si>
    <t>Bankcard Fees</t>
  </si>
  <si>
    <t>Lockbox PO Box Fee</t>
  </si>
  <si>
    <t>Armored Car Service</t>
  </si>
  <si>
    <t>Coll Agency Fees</t>
  </si>
  <si>
    <t>Refund Check Stock</t>
  </si>
  <si>
    <t>Misc</t>
  </si>
  <si>
    <t>Accountant (Grade 145)</t>
  </si>
  <si>
    <t>Sr Coll Rep (Grade 140)</t>
  </si>
  <si>
    <t>Biller (Grade 125)</t>
  </si>
  <si>
    <t>Sr Biller/ PP Clerk (Grade 135)</t>
  </si>
  <si>
    <t>MAST Rep (Grade 145)</t>
  </si>
  <si>
    <t>Op Supp 2 (Grade 125)</t>
  </si>
  <si>
    <t>Total FTE</t>
  </si>
  <si>
    <t>System Percentages</t>
  </si>
  <si>
    <t>% Allocated</t>
  </si>
  <si>
    <t>Meter Reading</t>
  </si>
  <si>
    <t>Payment Processing</t>
  </si>
  <si>
    <t>Collection</t>
  </si>
  <si>
    <t>Other Activities</t>
  </si>
  <si>
    <t>Brief Explanation of Allocation</t>
  </si>
  <si>
    <t>Res/RS02</t>
  </si>
  <si>
    <t>Com/RS03</t>
  </si>
  <si>
    <t>Other</t>
  </si>
  <si>
    <t>Acct Services</t>
  </si>
  <si>
    <t>Biller</t>
  </si>
  <si>
    <t>Functional allocation based on current workload. Residential / non-residential split based on Oregon customer ratio of 90.7%Res/9.3%Non-Res%.</t>
  </si>
  <si>
    <t>Sr Biller</t>
  </si>
  <si>
    <t>Accountant</t>
  </si>
  <si>
    <t>Sr Payment Proc</t>
  </si>
  <si>
    <t>Ratio of Oregon customer base.</t>
  </si>
  <si>
    <t>Sr Coll Rep</t>
  </si>
  <si>
    <t>Year 2015 count accounts written off.</t>
  </si>
  <si>
    <t>MAST Rep</t>
  </si>
  <si>
    <t>About 0.60FTE (20%) of MAST time spent on service related work; 0.25FTE (8%)  on collection activities, 0.30FTE (10%) on meter reading activites (primarily troubleshooting issues) and the balance (62%) on billing activities.</t>
  </si>
  <si>
    <t xml:space="preserve">Nancy provides 1 hr (12.5%) to support PP (autopay) and slightly more (20%) for MAST billing; all other time spent in other areas. </t>
  </si>
  <si>
    <t>Mgmt</t>
  </si>
  <si>
    <t>Superv - Acct Svcs</t>
  </si>
  <si>
    <t>Superv - MAST</t>
  </si>
  <si>
    <t>Oreg FTE</t>
  </si>
  <si>
    <r>
      <t>Oregon FTE Based on 12/2015 Customer Count Ratio</t>
    </r>
    <r>
      <rPr>
        <b/>
        <vertAlign val="superscript"/>
        <sz val="11"/>
        <color theme="1"/>
        <rFont val="Calibri"/>
        <family val="2"/>
        <scheme val="minor"/>
      </rPr>
      <t xml:space="preserve"> 1/</t>
    </r>
  </si>
  <si>
    <t>FTE Allocated</t>
  </si>
  <si>
    <t>Closed Collection</t>
  </si>
  <si>
    <t>Check</t>
  </si>
  <si>
    <r>
      <rPr>
        <i/>
        <vertAlign val="superscript"/>
        <sz val="10"/>
        <color theme="1"/>
        <rFont val="Calibri"/>
        <family val="2"/>
        <scheme val="minor"/>
      </rPr>
      <t>1/</t>
    </r>
    <r>
      <rPr>
        <i/>
        <sz val="10"/>
        <color theme="1"/>
        <rFont val="Calibri"/>
        <family val="2"/>
        <scheme val="minor"/>
      </rPr>
      <t xml:space="preserve"> December 2015: Oregon customers (637,388) / System customers (714,414) =</t>
    </r>
  </si>
  <si>
    <t>Op Support 2</t>
  </si>
  <si>
    <t>12 MONTHS ENDING 12/2015</t>
  </si>
  <si>
    <t>Paid by Office Serivce</t>
  </si>
  <si>
    <t>Allocated based on direct reports</t>
  </si>
  <si>
    <t>Allocated based on direct reports. G=Brandon; Y=Jon</t>
  </si>
  <si>
    <t>40%=Billing; 25%=Pymt Proc; 25%=Collections; 10%=Other</t>
  </si>
  <si>
    <t>PER BILL</t>
  </si>
  <si>
    <t>PER CUSTOMER</t>
  </si>
  <si>
    <t>AWIS</t>
  </si>
  <si>
    <t>1480 = 2015 Ind Bill Stock Total (90%=OR)</t>
  </si>
  <si>
    <t>$6,462 = 2015 Misc Total (90%=OR)</t>
  </si>
  <si>
    <t>Paid (mostly) by Acct Svcs above</t>
  </si>
  <si>
    <t>Non- Payroll</t>
  </si>
  <si>
    <t>Cust Svc 3/Operat Sppt 2  (4)</t>
  </si>
  <si>
    <t>Customer Service 2  (34)</t>
  </si>
  <si>
    <t>Customer Service 3  (35)</t>
  </si>
  <si>
    <t>Customer Service 4  (18)</t>
  </si>
  <si>
    <t>Operational Support 1</t>
  </si>
  <si>
    <t>hrs avg per year</t>
  </si>
  <si>
    <t>Customer Contact Ctr Sr Manager</t>
  </si>
  <si>
    <t>Accounting Supervisor</t>
  </si>
  <si>
    <t>Customer Contact Ctr Supervisor (7)</t>
  </si>
  <si>
    <t>Customer Contact Ctr Analyst 2 (1) @ 33%</t>
  </si>
  <si>
    <t>Telephone, Office Supplies, Printing, &amp; Other</t>
  </si>
  <si>
    <t>Contract Labor- Telesource  (33%)</t>
  </si>
  <si>
    <t>Business Syst Info Svc Spec 3</t>
  </si>
  <si>
    <t>* Process all incoming payments
* Courier service
* Process all exception work and returned items
* Review &amp; process refunds
* Payment Controls</t>
  </si>
  <si>
    <t>* Bad debt exception work
* Liaison to collecting agencies
* Collection agency fees
* Paper Stock</t>
  </si>
  <si>
    <t>* Review delinquent notices batches
* Call ahead reminders
* Plan arrangements with customers
* Notice envelopes
* Postage
* Work non-deliverable mailed bill/ notices 
* Bill documentation for collections process  
* Billing investigation and complaint resolution such as with WARM bills
* PUC Complaints
* Pre and post curb valve notice
* Bankruptcy
* NSF checks
* Energy assistance resolution (medical assistance)
* Non-sufficient funds</t>
  </si>
  <si>
    <t>* Plan &amp; assign all routes to field personnel</t>
  </si>
  <si>
    <t xml:space="preserve">* Forecast, plan &amp; assign all turn of and reconnects.
* Dispatch meter investigation and curb valve installation orders to field personnel
</t>
  </si>
  <si>
    <t>* Terminate gas service or pick up payment on credit orders
* Meter Investigation</t>
  </si>
  <si>
    <t>* Print, insert &amp; mail delinquent notices
* Printer &amp; Inserter equipment maint
* RFQ</t>
  </si>
  <si>
    <t xml:space="preserve">* General credit policy &amp; overall operational oversight
* Bankruptcy
</t>
  </si>
  <si>
    <t>Resource Mgmt Supv</t>
  </si>
  <si>
    <t>Reso Mgmt Spec (Grade 18)</t>
  </si>
  <si>
    <t>Credit/Collections 3(Grade 20?)</t>
  </si>
  <si>
    <t>Computer Support 1</t>
  </si>
  <si>
    <t>Office Services 1</t>
  </si>
  <si>
    <t xml:space="preserve">Salary </t>
  </si>
  <si>
    <t>Inserter</t>
  </si>
  <si>
    <t>Printer</t>
  </si>
  <si>
    <t>Meter bases</t>
  </si>
  <si>
    <t>Salary</t>
  </si>
  <si>
    <t>% of Non-Payroll based on YR actuals</t>
  </si>
  <si>
    <t>CUST SEG SRVCPayroll</t>
  </si>
  <si>
    <t>CUST SEG SRVCNon-Payroll</t>
  </si>
  <si>
    <t>MAJ ACCT SERV TEAMPayroll</t>
  </si>
  <si>
    <t>MAJ ACCT SERV TEAMNon-Payroll</t>
  </si>
  <si>
    <t>CUST CONTACT CENTERPayroll</t>
  </si>
  <si>
    <t>CUST CONTACT CENTERNon-Payroll</t>
  </si>
  <si>
    <t>ACCOUNT SERVICESPayroll</t>
  </si>
  <si>
    <t>ACCOUNT SERVICESNon-Payroll</t>
  </si>
  <si>
    <t>CUST FIELD SERVICESPayroll</t>
  </si>
  <si>
    <t>CUST FIELD SERVICESNon-Payroll</t>
  </si>
  <si>
    <t>RESOURCE MGMT CTRPayroll</t>
  </si>
  <si>
    <t>RESOURCE MGMT CTRNon-Payroll</t>
  </si>
  <si>
    <t xml:space="preserve">Non-Payroll </t>
  </si>
  <si>
    <t>* Payment Process Management
* Bank Fees</t>
  </si>
  <si>
    <t>Totals</t>
  </si>
  <si>
    <t>Grand Total</t>
  </si>
  <si>
    <t xml:space="preserve">* Respond to customer billing questions
* Request for rebill to accounting
* Work non-delivered e-bills
* Work non-deliverable mailed bills
* Review daily temperature values
</t>
  </si>
  <si>
    <t>&amp; MAS</t>
  </si>
  <si>
    <t>Utilility Support  2 &amp; 3</t>
  </si>
  <si>
    <t>Customer Field Services 2 &amp; 3</t>
  </si>
  <si>
    <t>Utility Support 3 &amp; CFS 2</t>
  </si>
  <si>
    <t>Customer Field Service 4</t>
  </si>
  <si>
    <t>MAS Supervisor(Grade 21)</t>
  </si>
  <si>
    <t>Supervisor MAST (Grade 20)</t>
  </si>
  <si>
    <t>Manager (Grade 23)</t>
  </si>
  <si>
    <t>Utility Support Supervisor (Grade 20)</t>
  </si>
  <si>
    <t>Gas Operations Supervisor (Grade 21)</t>
  </si>
  <si>
    <t>Manager (Grade 22)</t>
  </si>
  <si>
    <t>Bank Card &amp; Checking Fees</t>
  </si>
  <si>
    <t>Contract Labor- Telesource  (16%)</t>
  </si>
  <si>
    <t>Customer Contact Ctr Analyst 2 (1) @ 16%</t>
  </si>
  <si>
    <t>OR Reads/Bills/Process/Collection</t>
  </si>
  <si>
    <t>WA Reads/Bills/Process/Collection</t>
  </si>
  <si>
    <t>            Count of Reads/Bills/Process/Collection OR</t>
  </si>
  <si>
    <t>Count of Reads/Bills/Process/Collection WA</t>
  </si>
  <si>
    <t>Avg Number of Meters OR 2015</t>
  </si>
  <si>
    <t>Avg Number of Meters WA 2015</t>
  </si>
  <si>
    <r>
      <t xml:space="preserve">SCH </t>
    </r>
    <r>
      <rPr>
        <sz val="11"/>
        <color rgb="FF1F497D"/>
        <rFont val="Calibri"/>
        <family val="2"/>
      </rPr>
      <t xml:space="preserve">1, </t>
    </r>
    <r>
      <rPr>
        <sz val="11"/>
        <color rgb="FF000000"/>
        <rFont val="Calibri"/>
        <family val="2"/>
      </rPr>
      <t>2</t>
    </r>
    <r>
      <rPr>
        <sz val="11"/>
        <color rgb="FF1F497D"/>
        <rFont val="Calibri"/>
        <family val="2"/>
      </rPr>
      <t>, 27</t>
    </r>
  </si>
  <si>
    <t>Avg Reads Per Month</t>
  </si>
  <si>
    <t>Avg Bill's Per Month</t>
  </si>
  <si>
    <t>Avg Payments Per Month</t>
  </si>
  <si>
    <t>Avg Collections Per Month</t>
  </si>
  <si>
    <t>OR</t>
  </si>
  <si>
    <t>Mgr - Acct Svcs</t>
  </si>
  <si>
    <t>Mgr - MAS</t>
  </si>
  <si>
    <t>Magr - Acct Svcs</t>
  </si>
  <si>
    <t>Magr - MAS</t>
  </si>
  <si>
    <t>% of Cost Center Non-Payroll based on Payroll allocated to 2015 cost center payroll</t>
  </si>
  <si>
    <t>Sub Total</t>
  </si>
  <si>
    <t>Details</t>
  </si>
  <si>
    <t>Accounting Manager</t>
  </si>
  <si>
    <t>Supervisor</t>
  </si>
  <si>
    <t>Multiply to get Total Company</t>
  </si>
  <si>
    <t>Company</t>
  </si>
  <si>
    <t>Order type</t>
  </si>
  <si>
    <t>Northwest Natural Gas Com</t>
  </si>
  <si>
    <t>O&amp;M</t>
  </si>
  <si>
    <t>$ VARIANCE YTD (C-K)</t>
  </si>
  <si>
    <t>2015 ANNUAL BUDGET AMOUNT</t>
  </si>
  <si>
    <t>$</t>
  </si>
  <si>
    <t>FIELD SERVICES</t>
  </si>
  <si>
    <t>* field orders” (i.e., Turnons, turnoffs, DR inspections)</t>
  </si>
  <si>
    <t>* Plan &amp; assign all routes to field personnel (i.e., Turnons, turnoffs, inspections)</t>
  </si>
  <si>
    <t>Total hrs</t>
  </si>
  <si>
    <t>supervisor</t>
  </si>
  <si>
    <t>Hrs for manager</t>
  </si>
  <si>
    <t>Percent to this work (for Contact Center)</t>
  </si>
  <si>
    <t>Adjustment Calculation Factor</t>
  </si>
  <si>
    <t>OR Reads/Bills/Process/Collection #'s Per YR</t>
  </si>
  <si>
    <t>WA Reads/Bills/Process/Collection #'s PER YR</t>
  </si>
  <si>
    <t>WA Reads/Bills/Process/Collection #'s Per YR</t>
  </si>
  <si>
    <t>OR Reads/Bills/Process/Collection #'s Per Yr</t>
  </si>
  <si>
    <t>WA Reads/Bills/Process/Collection #'s Per Yr</t>
  </si>
  <si>
    <t>OFFICE SERVICES</t>
  </si>
  <si>
    <t>TREASURY</t>
  </si>
  <si>
    <t>OR Reads/Bills/Process/Collection #'s PER YR</t>
  </si>
  <si>
    <t>Net Write-off (non collectible) Projections</t>
  </si>
  <si>
    <r>
      <rPr>
        <b/>
        <sz val="26"/>
        <rFont val="Calibri"/>
        <family val="2"/>
        <scheme val="minor"/>
      </rPr>
      <t>Meter to Cash</t>
    </r>
    <r>
      <rPr>
        <b/>
        <sz val="26"/>
        <color rgb="FFFF0000"/>
        <rFont val="Calibri"/>
        <family val="2"/>
        <scheme val="minor"/>
      </rPr>
      <t xml:space="preserve"> </t>
    </r>
    <r>
      <rPr>
        <b/>
        <sz val="26"/>
        <rFont val="Calibri"/>
        <family val="2"/>
        <scheme val="minor"/>
      </rPr>
      <t>Matrix (2015 Data)</t>
    </r>
  </si>
  <si>
    <t>Overhead 2015</t>
  </si>
  <si>
    <t>13400</t>
  </si>
  <si>
    <t>13600</t>
  </si>
  <si>
    <t>13510</t>
  </si>
  <si>
    <t>13520</t>
  </si>
  <si>
    <t>11348</t>
  </si>
  <si>
    <t>11325</t>
  </si>
  <si>
    <t>42030</t>
  </si>
  <si>
    <t>TREASURY (CASH MANAGEMENT)</t>
  </si>
  <si>
    <t>16400</t>
  </si>
  <si>
    <t>Cost Center #</t>
  </si>
  <si>
    <t>16400 AND 42030</t>
  </si>
  <si>
    <t>Print Stream Costs</t>
  </si>
  <si>
    <t>Impression Costs (Click)</t>
  </si>
  <si>
    <t>Ink Costs</t>
  </si>
  <si>
    <t>Paper Cost</t>
  </si>
  <si>
    <t>Mailing Envelope</t>
  </si>
  <si>
    <t>$/Unit</t>
  </si>
  <si>
    <t>Annual Total</t>
  </si>
  <si>
    <t>Bill Print/Mailing Envelope</t>
  </si>
  <si>
    <t>Bill Print (Extra Pages)</t>
  </si>
  <si>
    <t>Bill Print (Return  Envelope)</t>
  </si>
  <si>
    <t>n/c</t>
  </si>
  <si>
    <t>Duplicate Bills</t>
  </si>
  <si>
    <t>Duplicate Bill Return Envelope</t>
  </si>
  <si>
    <t>Notices/Mailing Envelope</t>
  </si>
  <si>
    <t>Notice Return Envelope</t>
  </si>
  <si>
    <t>CIS Letter &amp; Envelope</t>
  </si>
  <si>
    <t>Welcome Letter &amp; Envelope</t>
  </si>
  <si>
    <t>Common</t>
  </si>
  <si>
    <t>Maintenance contract (Annual)</t>
  </si>
  <si>
    <t>Annual Print supplies</t>
  </si>
  <si>
    <t>Inserter Maint. &amp; Supplies (Annual)</t>
  </si>
  <si>
    <t>Annual Comp SW Maint Fee</t>
  </si>
  <si>
    <t>Annual Electrical Costs (Printer/Inserter)</t>
  </si>
  <si>
    <t>Offsite DR Provider (Annual)</t>
  </si>
  <si>
    <t>Labor Costs</t>
  </si>
  <si>
    <t>sq/ft costs</t>
  </si>
  <si>
    <t>Common Total</t>
  </si>
  <si>
    <t>In Meter to Cash Analysis for 2015</t>
  </si>
  <si>
    <t>Comparison of Office Service Bill Print Analysis 2017 to Meter to Cash Values 2015</t>
  </si>
  <si>
    <t>Labor Cost</t>
  </si>
  <si>
    <t>Meter to Cash Values 2015 Comparison to Bill Print Analysis  (x$1000)</t>
  </si>
  <si>
    <t>Comparison Total</t>
  </si>
  <si>
    <t xml:space="preserve"> Items not incl. in 2015 analysis</t>
  </si>
  <si>
    <t>Electricity</t>
  </si>
  <si>
    <t>DR provider</t>
  </si>
  <si>
    <t>Rent (sq/ft)</t>
  </si>
  <si>
    <t>Total with adders</t>
  </si>
  <si>
    <r>
      <t xml:space="preserve">Est. 12K for </t>
    </r>
    <r>
      <rPr>
        <b/>
        <sz val="11"/>
        <color rgb="FFFF0000"/>
        <rFont val="Calibri"/>
        <family val="2"/>
        <scheme val="minor"/>
      </rPr>
      <t>"Welcome Letters"</t>
    </r>
    <r>
      <rPr>
        <sz val="11"/>
        <color theme="1"/>
        <rFont val="Calibri"/>
        <family val="2"/>
        <scheme val="minor"/>
      </rPr>
      <t xml:space="preserve"> to Compare with Bill Print Analysis</t>
    </r>
  </si>
  <si>
    <t>Office Service Current Bill Print Cost</t>
  </si>
  <si>
    <t>Est. 40K for "Insert Cost of addl inserts" for Comparison with Bill Print Analysis</t>
  </si>
  <si>
    <t>Forecast O&amp;M from BI for Rate Projection</t>
  </si>
  <si>
    <t>Cost Centers</t>
  </si>
  <si>
    <t>GL #</t>
  </si>
  <si>
    <t>DEC 2017  BUDGET AMOUNT (I)</t>
  </si>
  <si>
    <t>$ VAR BUDGET</t>
  </si>
  <si>
    <t>% VAR
BUDGET</t>
  </si>
  <si>
    <t>DEC 2017 
FORECAST AMOUNT (S)</t>
  </si>
  <si>
    <t>$ VAR
FORECAST</t>
  </si>
  <si>
    <t>% VAR
FORECAST</t>
  </si>
  <si>
    <t>2017 YTD BUDGET AMOUNT (K)</t>
  </si>
  <si>
    <t>$ VAR BUDGET
YTD (C-K)</t>
  </si>
  <si>
    <t>% VAR BUDGET
YTD (C/K)</t>
  </si>
  <si>
    <t>2017 YTD
FORECAST AMOUNT (T)</t>
  </si>
  <si>
    <t>$ VAR
FORECAST YTD</t>
  </si>
  <si>
    <t>% VAR
FORECAST YTD</t>
  </si>
  <si>
    <t>1000/42030</t>
  </si>
  <si>
    <t>1000/13600</t>
  </si>
  <si>
    <t>1000/13520</t>
  </si>
  <si>
    <t>1000/13400</t>
  </si>
  <si>
    <t>1000/13510</t>
  </si>
  <si>
    <t>WELDING</t>
  </si>
  <si>
    <t>502129</t>
  </si>
  <si>
    <t>1000/11325</t>
  </si>
  <si>
    <t>1000/11348</t>
  </si>
  <si>
    <t>1000/16400</t>
  </si>
  <si>
    <t>RENTS AND LEASES</t>
  </si>
  <si>
    <t>502300</t>
  </si>
  <si>
    <t>COPIER LEASE/MAINT</t>
  </si>
  <si>
    <t>503600</t>
  </si>
  <si>
    <t>Variance  (Forecast - 2015 Actuals)</t>
  </si>
  <si>
    <t>Forecast</t>
  </si>
  <si>
    <t>1000/11320</t>
  </si>
  <si>
    <t>11320</t>
  </si>
  <si>
    <t>11325; 11348; 13400; 13600; 13510; 13520; 16400; 42030; 11320</t>
  </si>
  <si>
    <t>MAJ ACCT SERV TEAM &amp; Field Sevices</t>
  </si>
  <si>
    <t>11348 , 11320</t>
  </si>
  <si>
    <t>from below</t>
  </si>
  <si>
    <t>Place BI Dump Here:  Currently Referencing 2017 Budget</t>
  </si>
  <si>
    <t>Forecasting Data Inputs for Summary Sheet</t>
  </si>
  <si>
    <t>add Budget in Forecast Calculator for 2017</t>
  </si>
  <si>
    <t>Value comes from Rate Projection Calculator</t>
  </si>
  <si>
    <t>CASH DISCOUNT</t>
  </si>
  <si>
    <t>504000</t>
  </si>
  <si>
    <t>HARDWARE MAINT</t>
  </si>
  <si>
    <t>505900</t>
  </si>
  <si>
    <t>CELLULAR PHONES</t>
  </si>
  <si>
    <t>506300</t>
  </si>
  <si>
    <t>DONATIONS</t>
  </si>
  <si>
    <t>506400</t>
  </si>
  <si>
    <t>BENEFITS</t>
  </si>
  <si>
    <t>502200</t>
  </si>
  <si>
    <t>11348 Payroll</t>
  </si>
  <si>
    <t>11348 Non-Payroll</t>
  </si>
  <si>
    <t>2016 YTD ACTUAL AMOUNT (C)</t>
  </si>
  <si>
    <t>DEC 2016  ACTUAL AMOUNT (A)</t>
  </si>
  <si>
    <r>
      <rPr>
        <b/>
        <sz val="26"/>
        <rFont val="Calibri"/>
        <family val="2"/>
        <scheme val="minor"/>
      </rPr>
      <t>Meter to Cash</t>
    </r>
    <r>
      <rPr>
        <b/>
        <sz val="26"/>
        <color rgb="FFFF0000"/>
        <rFont val="Calibri"/>
        <family val="2"/>
        <scheme val="minor"/>
      </rPr>
      <t xml:space="preserve"> 2016 </t>
    </r>
    <r>
      <rPr>
        <b/>
        <sz val="26"/>
        <rFont val="Calibri"/>
        <family val="2"/>
        <scheme val="minor"/>
      </rPr>
      <t xml:space="preserve">Matrix Sheet </t>
    </r>
  </si>
  <si>
    <t>Currently Referencing 2016 Budget Numbers</t>
  </si>
  <si>
    <t>NO INPUTS ON THIS PAGE - MONTH END AVERAGE CALCULATIONS ARE DONE HERE</t>
  </si>
  <si>
    <t>Avg Count Per Month</t>
  </si>
  <si>
    <t># 2016 Payments:</t>
  </si>
  <si>
    <t>                                                OR                          WA</t>
  </si>
  <si>
    <t>From Chuck:</t>
  </si>
  <si>
    <t>Residential                          6,102,732                    746,554</t>
  </si>
  <si>
    <t>Non-residential                     654,517                     67,414</t>
  </si>
  <si>
    <t>yr total from Sean Padget</t>
  </si>
  <si>
    <t xml:space="preserve">Previous 2015 Data </t>
  </si>
  <si>
    <t>*  These estimates were based on PCAD, Call Center and SAP data along with the vetting of the data with the supervisors and managers of the Cost Centers.  The groups identified as part of the meter to cash were identified by the cost centers and were confirmed if should be included by rates based on if direct cost would be significant enough and the groups would only be included if additional forecasted customer would make a significant cost change within the cost center.  Cost that were not included per Rates request was IT computer cost (Computer Overhead cost and system maintenance), Office Space cost, also System Ops cost that have minor cost in general maintence of meters and some reads.</t>
  </si>
  <si>
    <r>
      <rPr>
        <b/>
        <sz val="14"/>
        <color theme="1"/>
        <rFont val="Calibri"/>
        <family val="2"/>
        <scheme val="minor"/>
      </rPr>
      <t>Directions:</t>
    </r>
    <r>
      <rPr>
        <sz val="14"/>
        <color theme="1"/>
        <rFont val="Calibri"/>
        <family val="2"/>
        <scheme val="minor"/>
      </rPr>
      <t xml:space="preserve">  Forecast inputs - only use yellow shaded cells.</t>
    </r>
  </si>
  <si>
    <t xml:space="preserve">* The 2016 O&amp;M dollars for each of the Cost Centers were used to develop a multiplier/ratio to the 2015 O&amp;M. This multiplier/ratio was applied to the Cost Centers cost identified in the 2015 analysis as a way to show what the inflationary value would be for 2016. (The 2015 analysis took approx 8 months of meeting with all of the SME's and coming to an agreement to what items should be included in Meter to Cash and then collection of the data). </t>
  </si>
  <si>
    <t>2016 Avg Customers Values</t>
  </si>
  <si>
    <t>*  The 2016 results were checked against running a multiplier/ratio developed by comparing the amount of customer units touched for each of the processes which only resulted in a slightly lower cost ($50K) than the costs shown above.</t>
  </si>
  <si>
    <t>These numbers are lower in 2016 due to a "SPECIAL CREDIT IN JUNE" that required fewer payments</t>
  </si>
  <si>
    <t>**</t>
  </si>
  <si>
    <t>**  These numbers are lower in 2016 due to a "SPECIAL CREDIT IN JUNE" that required fewer payments</t>
  </si>
  <si>
    <t>Average Total Cost per OR &amp; WA Customer</t>
  </si>
  <si>
    <t>2016 Average Customers</t>
  </si>
  <si>
    <t>2015 Average Customers</t>
  </si>
  <si>
    <t>n</t>
  </si>
  <si>
    <t>SCH 31-42 &amp; Other</t>
  </si>
  <si>
    <t>Customer Count Data with Rates Detail</t>
  </si>
  <si>
    <t>Revenue by Rate Schedule by State for 2015/12 - 2015/12</t>
  </si>
  <si>
    <t>Sales/Tpx</t>
  </si>
  <si>
    <t>#Services</t>
  </si>
  <si>
    <t>#Heat</t>
  </si>
  <si>
    <t>State</t>
  </si>
  <si>
    <t>Month</t>
  </si>
  <si>
    <t>Therms</t>
  </si>
  <si>
    <t>Amount</t>
  </si>
  <si>
    <t>Price</t>
  </si>
  <si>
    <t>SALES</t>
  </si>
  <si>
    <t>R02</t>
  </si>
  <si>
    <t>C03</t>
  </si>
  <si>
    <t>C27</t>
  </si>
  <si>
    <t>C31</t>
  </si>
  <si>
    <t>C32</t>
  </si>
  <si>
    <t>I03</t>
  </si>
  <si>
    <t>I31</t>
  </si>
  <si>
    <t>I32</t>
  </si>
  <si>
    <t>X32</t>
  </si>
  <si>
    <t>TRANS</t>
  </si>
  <si>
    <t>I61</t>
  </si>
  <si>
    <t>I63</t>
  </si>
  <si>
    <t>I65</t>
  </si>
  <si>
    <t>I69</t>
  </si>
  <si>
    <t>I70</t>
  </si>
  <si>
    <t>I76</t>
  </si>
  <si>
    <t>X67</t>
  </si>
  <si>
    <t>R01</t>
  </si>
  <si>
    <t>WA</t>
  </si>
  <si>
    <t>C01</t>
  </si>
  <si>
    <t>C41</t>
  </si>
  <si>
    <t>C42</t>
  </si>
  <si>
    <t>I41</t>
  </si>
  <si>
    <t>I42</t>
  </si>
  <si>
    <t>X42</t>
  </si>
  <si>
    <t xml:space="preserve">Summary </t>
  </si>
  <si>
    <t>Revenue by Rate Schedule by State for 2016/12 - 2016/12</t>
  </si>
  <si>
    <t>Res</t>
  </si>
  <si>
    <t>31, 32, 41, 42</t>
  </si>
  <si>
    <t xml:space="preserve">cost Includes Transportation </t>
  </si>
  <si>
    <t>Printing</t>
  </si>
  <si>
    <t>Manager</t>
  </si>
  <si>
    <t>MAS</t>
  </si>
  <si>
    <t>Manager Non Payroll</t>
  </si>
  <si>
    <t>MAS NonPayroll</t>
  </si>
  <si>
    <t>MAST Payroll</t>
  </si>
  <si>
    <t>Non- Payroll  (incl. Vehicles etc)</t>
  </si>
  <si>
    <t xml:space="preserve">* IT Cost including annual software fees associated with the Meter to Cash processes were not included due to not for seeing that they would be considered incremental to adding new customers.  </t>
  </si>
  <si>
    <t xml:space="preserve">Non Payroll </t>
  </si>
  <si>
    <t>Total Expense</t>
  </si>
  <si>
    <t xml:space="preserve">Total Payroll </t>
  </si>
  <si>
    <t>Total Non Payroll</t>
  </si>
  <si>
    <t>Total for Process</t>
  </si>
  <si>
    <t>Overall Total for Process</t>
  </si>
  <si>
    <t>Sub Totals</t>
  </si>
  <si>
    <r>
      <rPr>
        <b/>
        <sz val="12"/>
        <color theme="1"/>
        <rFont val="Calibri"/>
        <family val="2"/>
        <scheme val="minor"/>
      </rPr>
      <t>Calculator</t>
    </r>
    <r>
      <rPr>
        <sz val="11"/>
        <color theme="1"/>
        <rFont val="Calibri"/>
        <family val="2"/>
        <scheme val="minor"/>
      </rPr>
      <t xml:space="preserve">   (Projecting results using new inputs for </t>
    </r>
    <r>
      <rPr>
        <b/>
        <sz val="11"/>
        <color theme="1"/>
        <rFont val="Calibri"/>
        <family val="2"/>
        <scheme val="minor"/>
      </rPr>
      <t>PAYROLL &amp; NON-PAYROLL</t>
    </r>
    <r>
      <rPr>
        <sz val="11"/>
        <color theme="1"/>
        <rFont val="Calibri"/>
        <family val="2"/>
        <scheme val="minor"/>
      </rPr>
      <t xml:space="preserve"> and or using Customer </t>
    </r>
    <r>
      <rPr>
        <b/>
        <sz val="11"/>
        <color theme="1"/>
        <rFont val="Calibri"/>
        <family val="2"/>
        <scheme val="minor"/>
      </rPr>
      <t>SCHEDULE # PROJECTIONS</t>
    </r>
    <r>
      <rPr>
        <sz val="11"/>
        <color theme="1"/>
        <rFont val="Calibri"/>
        <family val="2"/>
        <scheme val="minor"/>
      </rPr>
      <t xml:space="preserve">) </t>
    </r>
  </si>
  <si>
    <t>Calculating Projection Based on Avg Customers Values</t>
  </si>
  <si>
    <t>Budget (For calculating an adjustment factor) Currently 2016 actuals</t>
  </si>
  <si>
    <t>Customer Count Projection (change #'s to simulate new numbers in 2016 Summary Proj. don't adjust O&amp;M values if changing these values)</t>
  </si>
  <si>
    <t>NW Natural</t>
  </si>
  <si>
    <r>
      <rPr>
        <b/>
        <u/>
        <sz val="10"/>
        <rFont val="Tahoma"/>
        <family val="2"/>
      </rPr>
      <t>NOTE</t>
    </r>
    <r>
      <rPr>
        <b/>
        <sz val="10"/>
        <rFont val="Tahoma"/>
        <family val="2"/>
      </rPr>
      <t>:</t>
    </r>
  </si>
  <si>
    <t>UG-181053-NWN-Exh-RJA-1T-12-31-2018.</t>
  </si>
  <si>
    <t>UG-181053-NWN-RJA-WP3-1-4-2019</t>
  </si>
  <si>
    <t>2015 - 2016 Meter to Cash Study</t>
  </si>
  <si>
    <t>This "Meter to Cash" Study conducted by NW Natural</t>
  </si>
  <si>
    <t>is referenced at page 22 of testimony,</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</si>
</sst>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
    <numFmt numFmtId="166" formatCode="&quot;$&quot;#,##0.000"/>
    <numFmt numFmtId="167" formatCode="0.0%"/>
    <numFmt numFmtId="168" formatCode="&quot;$&quot;#,##0.00"/>
    <numFmt numFmtId="169" formatCode="&quot;$&quot;#,##0.000_);[Red]\(&quot;$&quot;#,##0.000\)"/>
    <numFmt numFmtId="170" formatCode="_(* #,##0.000_);_(* \(#,##0.000\);_(* &quot;-&quot;??_);_(@_)"/>
    <numFmt numFmtId="171" formatCode="#,##0;\-#,##0;#,##0;@"/>
    <numFmt numFmtId="172" formatCode="_(* #,##0.0_);_(* \(#,##0.0\);_(* &quot;-&quot;??_);_(@_)"/>
    <numFmt numFmtId="173" formatCode="#,##0%;\-#,##0%;#,##0;@"/>
    <numFmt numFmtId="174" formatCode="_(&quot;$&quot;* #,##0_);_(&quot;$&quot;* \(#,##0\);_(&quot;$&quot;* &quot;-&quot;??_);_(@_)"/>
    <numFmt numFmtId="175" formatCode="#,##0.000"/>
    <numFmt numFmtId="176" formatCode="&quot;$&quot;#,##0.0"/>
    <numFmt numFmtId="177" formatCode="#,##0;&quot;(&quot;#,##0&quot;)&quot;;#,##0;@"/>
    <numFmt numFmtId="178" formatCode="#,##0.00;&quot;(&quot;#,##0.00&quot;)&quot;;#,##0.00;@"/>
    <numFmt numFmtId="179" formatCode="#,##0.0;\-#,##0.0;#,##0.0;@"/>
    <numFmt numFmtId="180" formatCode="_(&quot;$&quot;* #,##0.00000_);_(&quot;$&quot;* \(#,##0.00000\);_(&quot;$&quot;* &quot;-&quot;??_);_(@_)"/>
    <numFmt numFmtId="181" formatCode="#,##0.00;\-#,##0.00;#,##0.00;@"/>
    <numFmt numFmtId="182" formatCode="#,##0.000;\-#,##0.000;#,##0.000;@"/>
  </numFmts>
  <fonts count="73"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0"/>
      <name val="Arial"/>
      <family val="2"/>
    </font>
    <font>
      <b/>
      <sz val="16"/>
      <color theme="0"/>
      <name val="Calibri"/>
      <family val="2"/>
      <scheme val="minor"/>
    </font>
    <font>
      <sz val="9"/>
      <name val="Arial"/>
      <family val="2"/>
    </font>
    <font>
      <b/>
      <i/>
      <sz val="10"/>
      <name val="Arial"/>
      <family val="2"/>
    </font>
    <font>
      <b/>
      <sz val="10"/>
      <name val="Arial"/>
      <family val="2"/>
    </font>
    <font>
      <b/>
      <i/>
      <sz val="9"/>
      <name val="Arial"/>
      <family val="2"/>
    </font>
    <font>
      <sz val="8"/>
      <name val="Arial"/>
      <family val="2"/>
    </font>
    <font>
      <u/>
      <sz val="9"/>
      <name val="Arial"/>
      <family val="2"/>
    </font>
    <font>
      <u/>
      <sz val="10"/>
      <name val="Arial"/>
      <family val="2"/>
    </font>
    <font>
      <b/>
      <sz val="9"/>
      <name val="Arial"/>
      <family val="2"/>
    </font>
    <font>
      <b/>
      <sz val="8"/>
      <name val="Arial"/>
      <family val="2"/>
    </font>
    <font>
      <b/>
      <sz val="16"/>
      <name val="Calibri"/>
      <family val="2"/>
      <scheme val="minor"/>
    </font>
    <font>
      <sz val="10"/>
      <color theme="1"/>
      <name val="Calibri"/>
      <family val="2"/>
      <scheme val="minor"/>
    </font>
    <font>
      <b/>
      <i/>
      <sz val="11"/>
      <name val="Arial"/>
      <family val="2"/>
    </font>
    <font>
      <sz val="11"/>
      <name val="Arial"/>
      <family val="2"/>
    </font>
    <font>
      <b/>
      <sz val="11"/>
      <name val="Arial"/>
      <family val="2"/>
    </font>
    <font>
      <sz val="11"/>
      <color theme="0"/>
      <name val="Arial"/>
      <family val="2"/>
    </font>
    <font>
      <sz val="12"/>
      <name val="Calibri"/>
      <family val="2"/>
      <scheme val="minor"/>
    </font>
    <font>
      <sz val="8"/>
      <color rgb="FF000000"/>
      <name val="Arial"/>
      <family val="2"/>
    </font>
    <font>
      <b/>
      <sz val="11"/>
      <color rgb="FFFF0000"/>
      <name val="Calibri"/>
      <family val="2"/>
      <scheme val="minor"/>
    </font>
    <font>
      <b/>
      <sz val="8"/>
      <color rgb="FF000000"/>
      <name val="Arial"/>
      <family val="2"/>
    </font>
    <font>
      <b/>
      <sz val="7.5"/>
      <color rgb="FFFF0000"/>
      <name val="Arial"/>
      <family val="2"/>
    </font>
    <font>
      <sz val="9"/>
      <color theme="1"/>
      <name val="Calibri"/>
      <family val="2"/>
      <scheme val="minor"/>
    </font>
    <font>
      <b/>
      <sz val="9"/>
      <color theme="1"/>
      <name val="Calibri"/>
      <family val="2"/>
      <scheme val="minor"/>
    </font>
    <font>
      <b/>
      <sz val="10"/>
      <color theme="1"/>
      <name val="Calibri"/>
      <family val="2"/>
      <scheme val="minor"/>
    </font>
    <font>
      <b/>
      <sz val="10"/>
      <color theme="0"/>
      <name val="Calibri"/>
      <family val="2"/>
      <scheme val="minor"/>
    </font>
    <font>
      <b/>
      <sz val="12"/>
      <color theme="1"/>
      <name val="Calibri"/>
      <family val="2"/>
      <scheme val="minor"/>
    </font>
    <font>
      <b/>
      <sz val="14"/>
      <color rgb="FFFF0000"/>
      <name val="Calibri"/>
      <family val="2"/>
      <scheme val="minor"/>
    </font>
    <font>
      <b/>
      <sz val="18"/>
      <color rgb="FFFF0000"/>
      <name val="Calibri"/>
      <family val="2"/>
      <scheme val="minor"/>
    </font>
    <font>
      <b/>
      <vertAlign val="superscript"/>
      <sz val="11"/>
      <color theme="1"/>
      <name val="Calibri"/>
      <family val="2"/>
      <scheme val="minor"/>
    </font>
    <font>
      <b/>
      <i/>
      <sz val="12"/>
      <color theme="1"/>
      <name val="Calibri"/>
      <family val="2"/>
      <scheme val="minor"/>
    </font>
    <font>
      <i/>
      <sz val="10"/>
      <color theme="1"/>
      <name val="Calibri"/>
      <family val="2"/>
      <scheme val="minor"/>
    </font>
    <font>
      <i/>
      <vertAlign val="superscript"/>
      <sz val="10"/>
      <color theme="1"/>
      <name val="Calibri"/>
      <family val="2"/>
      <scheme val="minor"/>
    </font>
    <font>
      <i/>
      <sz val="11"/>
      <color theme="1"/>
      <name val="Calibri"/>
      <family val="2"/>
      <scheme val="minor"/>
    </font>
    <font>
      <i/>
      <sz val="9"/>
      <color theme="1"/>
      <name val="Calibri"/>
      <family val="2"/>
      <scheme val="minor"/>
    </font>
    <font>
      <sz val="12"/>
      <color theme="0" tint="-0.249977111117893"/>
      <name val="Calibri"/>
      <family val="2"/>
      <scheme val="minor"/>
    </font>
    <font>
      <sz val="11"/>
      <color theme="0" tint="-0.249977111117893"/>
      <name val="Calibri"/>
      <family val="2"/>
      <scheme val="minor"/>
    </font>
    <font>
      <sz val="12"/>
      <color theme="1"/>
      <name val="Times New Roman"/>
      <family val="1"/>
    </font>
    <font>
      <sz val="11"/>
      <color rgb="FF000000"/>
      <name val="Calibri"/>
      <family val="2"/>
    </font>
    <font>
      <sz val="10"/>
      <color theme="1"/>
      <name val="Times New Roman"/>
      <family val="1"/>
    </font>
    <font>
      <sz val="11"/>
      <color rgb="FF1F497D"/>
      <name val="Calibri"/>
      <family val="2"/>
    </font>
    <font>
      <sz val="9"/>
      <color theme="1"/>
      <name val="Arial"/>
      <family val="2"/>
    </font>
    <font>
      <sz val="16"/>
      <color rgb="FF000000"/>
      <name val="Calibri"/>
      <family val="2"/>
    </font>
    <font>
      <b/>
      <sz val="16"/>
      <color rgb="FF1F497D"/>
      <name val="Calibri"/>
      <family val="2"/>
    </font>
    <font>
      <b/>
      <sz val="16"/>
      <color rgb="FF000000"/>
      <name val="Calibri"/>
      <family val="2"/>
    </font>
    <font>
      <sz val="24"/>
      <color theme="1"/>
      <name val="Calibri"/>
      <family val="2"/>
      <scheme val="minor"/>
    </font>
    <font>
      <sz val="12"/>
      <name val="Arial"/>
      <family val="2"/>
    </font>
    <font>
      <b/>
      <sz val="12"/>
      <name val="Calibri"/>
      <family val="2"/>
      <scheme val="minor"/>
    </font>
    <font>
      <b/>
      <sz val="14"/>
      <color theme="1"/>
      <name val="Calibri"/>
      <family val="2"/>
      <scheme val="minor"/>
    </font>
    <font>
      <b/>
      <sz val="18"/>
      <color theme="0"/>
      <name val="Calibri"/>
      <family val="2"/>
      <scheme val="minor"/>
    </font>
    <font>
      <sz val="14"/>
      <color theme="1"/>
      <name val="Calibri"/>
      <family val="2"/>
      <scheme val="minor"/>
    </font>
    <font>
      <b/>
      <sz val="9"/>
      <color rgb="FF000000"/>
      <name val="Arial"/>
      <family val="2"/>
    </font>
    <font>
      <b/>
      <sz val="26"/>
      <color rgb="FFFF0000"/>
      <name val="Calibri"/>
      <family val="2"/>
      <scheme val="minor"/>
    </font>
    <font>
      <b/>
      <sz val="26"/>
      <name val="Calibri"/>
      <family val="2"/>
      <scheme val="minor"/>
    </font>
    <font>
      <b/>
      <sz val="8"/>
      <color indexed="81"/>
      <name val="Tahoma"/>
      <family val="2"/>
    </font>
    <font>
      <sz val="8"/>
      <color theme="1"/>
      <name val="Calibri"/>
      <family val="2"/>
      <scheme val="minor"/>
    </font>
    <font>
      <b/>
      <sz val="22"/>
      <color theme="1"/>
      <name val="Calibri"/>
      <family val="2"/>
      <scheme val="minor"/>
    </font>
    <font>
      <sz val="10"/>
      <color rgb="FF000000"/>
      <name val="Arial"/>
      <family val="2"/>
    </font>
    <font>
      <sz val="12"/>
      <color rgb="FF000000"/>
      <name val="Arial"/>
      <family val="2"/>
    </font>
    <font>
      <b/>
      <sz val="16"/>
      <color rgb="FFFF0000"/>
      <name val="Calibri"/>
      <family val="2"/>
      <scheme val="minor"/>
    </font>
    <font>
      <b/>
      <sz val="11"/>
      <color rgb="FF1F497D"/>
      <name val="Calibri"/>
      <family val="2"/>
      <scheme val="minor"/>
    </font>
    <font>
      <sz val="11"/>
      <color rgb="FF000000"/>
      <name val="Calibri"/>
      <family val="2"/>
      <scheme val="minor"/>
    </font>
    <font>
      <i/>
      <sz val="10"/>
      <name val="Arial"/>
      <family val="2"/>
    </font>
    <font>
      <b/>
      <sz val="10"/>
      <name val="Tahoma"/>
      <family val="2"/>
    </font>
    <font>
      <b/>
      <u/>
      <sz val="10"/>
      <name val="Tahoma"/>
      <family val="2"/>
    </font>
    <font>
      <sz val="9"/>
      <name val="Tahoma"/>
      <family val="2"/>
    </font>
  </fonts>
  <fills count="33">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6"/>
        <bgColor indexed="64"/>
      </patternFill>
    </fill>
    <fill>
      <patternFill patternType="solid">
        <fgColor rgb="FFFFFFFF"/>
        <bgColor indexed="64"/>
      </patternFill>
    </fill>
    <fill>
      <patternFill patternType="solid">
        <fgColor rgb="FFC6C4C4"/>
        <bgColor indexed="64"/>
      </patternFill>
    </fill>
    <fill>
      <patternFill patternType="solid">
        <fgColor rgb="FFFFF843"/>
        <bgColor indexed="64"/>
      </patternFill>
    </fill>
    <fill>
      <patternFill patternType="solid">
        <fgColor rgb="FFB7CFE8"/>
        <bgColor indexed="64"/>
      </patternFill>
    </fill>
    <fill>
      <patternFill patternType="solid">
        <fgColor rgb="FFD5E3F2"/>
        <bgColor indexed="64"/>
      </patternFill>
    </fill>
    <fill>
      <patternFill patternType="solid">
        <fgColor rgb="FFE9EEF4"/>
        <bgColor indexed="64"/>
      </patternFill>
    </fill>
    <fill>
      <patternFill patternType="solid">
        <fgColor rgb="FFC3D6EB"/>
        <bgColor indexed="64"/>
      </patternFill>
    </fill>
    <fill>
      <patternFill patternType="solid">
        <fgColor rgb="FFFFFF0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66FF66"/>
        <bgColor indexed="64"/>
      </patternFill>
    </fill>
    <fill>
      <patternFill patternType="solid">
        <fgColor theme="7" tint="0.59999389629810485"/>
        <bgColor indexed="64"/>
      </patternFill>
    </fill>
    <fill>
      <patternFill patternType="solid">
        <fgColor theme="6" tint="0.3999755851924192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ouble">
        <color indexed="64"/>
      </right>
      <top/>
      <bottom style="thin">
        <color indexed="64"/>
      </bottom>
      <diagonal/>
    </border>
    <border>
      <left/>
      <right style="thin">
        <color indexed="64"/>
      </right>
      <top/>
      <bottom/>
      <diagonal/>
    </border>
    <border>
      <left/>
      <right style="double">
        <color indexed="64"/>
      </right>
      <top/>
      <bottom/>
      <diagonal/>
    </border>
    <border>
      <left style="thin">
        <color indexed="64"/>
      </left>
      <right/>
      <top/>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rgb="FFAEAEAE"/>
      </left>
      <right/>
      <top style="medium">
        <color rgb="FFAEAEAE"/>
      </top>
      <bottom style="medium">
        <color rgb="FFAEAEAE"/>
      </bottom>
      <diagonal/>
    </border>
    <border>
      <left/>
      <right style="medium">
        <color rgb="FFAEAEAE"/>
      </right>
      <top style="medium">
        <color rgb="FFAEAEAE"/>
      </top>
      <bottom style="medium">
        <color rgb="FFAEAEAE"/>
      </bottom>
      <diagonal/>
    </border>
    <border>
      <left style="medium">
        <color rgb="FFAEAEAE"/>
      </left>
      <right style="medium">
        <color rgb="FFAEAEAE"/>
      </right>
      <top style="medium">
        <color rgb="FFAEAEAE"/>
      </top>
      <bottom style="medium">
        <color rgb="FFAEAEAE"/>
      </bottom>
      <diagonal/>
    </border>
    <border>
      <left/>
      <right/>
      <top style="medium">
        <color rgb="FFAEAEAE"/>
      </top>
      <bottom style="medium">
        <color rgb="FFAEAEAE"/>
      </bottom>
      <diagonal/>
    </border>
    <border>
      <left style="double">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rgb="FFAEAEAE"/>
      </left>
      <right/>
      <top/>
      <bottom/>
      <diagonal/>
    </border>
    <border>
      <left style="double">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ck">
        <color indexed="64"/>
      </left>
      <right style="thick">
        <color indexed="64"/>
      </right>
      <top/>
      <bottom style="thick">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ck">
        <color indexed="64"/>
      </left>
      <right style="thick">
        <color indexed="64"/>
      </right>
      <top style="medium">
        <color indexed="64"/>
      </top>
      <bottom style="medium">
        <color indexed="64"/>
      </bottom>
      <diagonal/>
    </border>
    <border>
      <left style="thin">
        <color indexed="64"/>
      </left>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medium">
        <color rgb="FFAEAEAE"/>
      </left>
      <right/>
      <top style="medium">
        <color rgb="FFAEAEAE"/>
      </top>
      <bottom/>
      <diagonal/>
    </border>
    <border>
      <left/>
      <right style="medium">
        <color rgb="FFAEAEAE"/>
      </right>
      <top style="medium">
        <color rgb="FFAEAEAE"/>
      </top>
      <bottom/>
      <diagonal/>
    </border>
    <border>
      <left/>
      <right style="medium">
        <color rgb="FFAEAEAE"/>
      </right>
      <top/>
      <bottom/>
      <diagonal/>
    </border>
    <border>
      <left style="medium">
        <color rgb="FFAEAEAE"/>
      </left>
      <right/>
      <top/>
      <bottom style="medium">
        <color rgb="FFAEAEAE"/>
      </bottom>
      <diagonal/>
    </border>
    <border>
      <left/>
      <right style="medium">
        <color rgb="FFAEAEAE"/>
      </right>
      <top/>
      <bottom style="medium">
        <color rgb="FFAEAEAE"/>
      </bottom>
      <diagonal/>
    </border>
    <border>
      <left style="medium">
        <color rgb="FFAEAEAE"/>
      </left>
      <right style="medium">
        <color rgb="FFAEAEAE"/>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right style="thin">
        <color indexed="64"/>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right style="thick">
        <color indexed="64"/>
      </right>
      <top style="thick">
        <color indexed="64"/>
      </top>
      <bottom/>
      <diagonal/>
    </border>
    <border>
      <left/>
      <right style="thin">
        <color indexed="64"/>
      </right>
      <top style="medium">
        <color indexed="64"/>
      </top>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7" fillId="0" borderId="0">
      <alignment vertical="top"/>
    </xf>
  </cellStyleXfs>
  <cellXfs count="784">
    <xf numFmtId="0" fontId="0" fillId="0" borderId="0" xfId="0"/>
    <xf numFmtId="0" fontId="0" fillId="0" borderId="0" xfId="0" applyAlignment="1">
      <alignment horizontal="center"/>
    </xf>
    <xf numFmtId="0" fontId="1" fillId="0" borderId="0" xfId="0" applyFont="1"/>
    <xf numFmtId="0" fontId="0" fillId="0" borderId="0" xfId="0" applyBorder="1"/>
    <xf numFmtId="0" fontId="2" fillId="0" borderId="0" xfId="0" applyFont="1"/>
    <xf numFmtId="0" fontId="2" fillId="0" borderId="0" xfId="0" applyFont="1" applyBorder="1"/>
    <xf numFmtId="0" fontId="2" fillId="0" borderId="1" xfId="0" applyFont="1" applyBorder="1" applyAlignment="1">
      <alignment horizontal="center"/>
    </xf>
    <xf numFmtId="0" fontId="3" fillId="0" borderId="0" xfId="0" applyFont="1"/>
    <xf numFmtId="0" fontId="3" fillId="0" borderId="0" xfId="0" applyFont="1" applyBorder="1"/>
    <xf numFmtId="0" fontId="3" fillId="0" borderId="0" xfId="0" applyFont="1" applyAlignment="1">
      <alignment horizontal="center"/>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Fill="1" applyBorder="1" applyAlignment="1">
      <alignment horizontal="left" vertical="top"/>
    </xf>
    <xf numFmtId="0" fontId="2" fillId="0" borderId="0" xfId="0" applyFont="1" applyBorder="1" applyAlignment="1">
      <alignment horizontal="center"/>
    </xf>
    <xf numFmtId="0" fontId="7" fillId="0" borderId="1" xfId="0" applyFont="1" applyBorder="1" applyAlignment="1">
      <alignment horizontal="centerContinuous"/>
    </xf>
    <xf numFmtId="0" fontId="7"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6" fillId="3" borderId="4" xfId="0" applyFont="1" applyFill="1" applyBorder="1"/>
    <xf numFmtId="0" fontId="8" fillId="3" borderId="4" xfId="0" applyFont="1" applyFill="1" applyBorder="1" applyAlignment="1">
      <alignment horizontal="center"/>
    </xf>
    <xf numFmtId="0" fontId="7" fillId="0" borderId="3" xfId="0" applyFont="1" applyBorder="1" applyAlignment="1">
      <alignment horizontal="center" wrapText="1"/>
    </xf>
    <xf numFmtId="0" fontId="0" fillId="0" borderId="3" xfId="0" applyBorder="1" applyAlignment="1">
      <alignment horizontal="center" wrapText="1"/>
    </xf>
    <xf numFmtId="0" fontId="7" fillId="0" borderId="5" xfId="0" applyFont="1" applyBorder="1" applyAlignment="1">
      <alignment horizontal="centerContinuous"/>
    </xf>
    <xf numFmtId="0" fontId="2" fillId="0" borderId="8" xfId="0" applyFont="1" applyBorder="1" applyAlignment="1">
      <alignment horizontal="center"/>
    </xf>
    <xf numFmtId="0" fontId="9" fillId="0" borderId="0" xfId="0" applyFont="1" applyBorder="1" applyAlignment="1">
      <alignment vertical="center"/>
    </xf>
    <xf numFmtId="0" fontId="7" fillId="0" borderId="0" xfId="0" applyFont="1" applyBorder="1" applyAlignment="1">
      <alignment vertical="center"/>
    </xf>
    <xf numFmtId="3" fontId="10" fillId="0" borderId="2" xfId="1" applyNumberFormat="1" applyFont="1" applyBorder="1" applyAlignment="1">
      <alignment horizontal="right" vertical="center"/>
    </xf>
    <xf numFmtId="0" fontId="10" fillId="0" borderId="9" xfId="1" applyNumberFormat="1" applyFont="1" applyBorder="1" applyAlignment="1">
      <alignment horizontal="left" vertical="center"/>
    </xf>
    <xf numFmtId="164" fontId="10" fillId="0" borderId="7" xfId="0" applyNumberFormat="1" applyFont="1" applyBorder="1" applyAlignment="1">
      <alignment horizontal="center" vertical="center"/>
    </xf>
    <xf numFmtId="164" fontId="10" fillId="0" borderId="2" xfId="0" applyNumberFormat="1" applyFont="1" applyBorder="1" applyAlignment="1">
      <alignment horizontal="center" vertical="center"/>
    </xf>
    <xf numFmtId="0" fontId="11" fillId="0" borderId="6" xfId="0" applyFont="1" applyBorder="1" applyAlignment="1">
      <alignment horizontal="right" vertical="center"/>
    </xf>
    <xf numFmtId="0" fontId="10" fillId="0" borderId="2" xfId="0" applyFont="1" applyBorder="1" applyAlignment="1">
      <alignment vertical="center"/>
    </xf>
    <xf numFmtId="0" fontId="13" fillId="0" borderId="11" xfId="0" applyFont="1" applyBorder="1"/>
    <xf numFmtId="165" fontId="7" fillId="0" borderId="10" xfId="0" applyNumberFormat="1" applyFont="1" applyBorder="1" applyAlignment="1">
      <alignment vertical="center"/>
    </xf>
    <xf numFmtId="165" fontId="7" fillId="0" borderId="0" xfId="0" applyNumberFormat="1" applyFont="1" applyBorder="1" applyAlignment="1">
      <alignment vertical="center"/>
    </xf>
    <xf numFmtId="166" fontId="9" fillId="0" borderId="12" xfId="0" applyNumberFormat="1" applyFont="1" applyBorder="1" applyAlignment="1">
      <alignment horizontal="right" vertical="center"/>
    </xf>
    <xf numFmtId="0" fontId="13" fillId="0" borderId="0" xfId="0" applyFont="1" applyBorder="1"/>
    <xf numFmtId="43" fontId="9" fillId="0" borderId="10" xfId="1" applyFont="1" applyBorder="1" applyAlignment="1">
      <alignment horizontal="right" vertical="center"/>
    </xf>
    <xf numFmtId="165" fontId="9" fillId="0" borderId="0" xfId="2" applyNumberFormat="1" applyFont="1" applyBorder="1" applyAlignment="1">
      <alignment horizontal="right" vertical="center"/>
    </xf>
    <xf numFmtId="43" fontId="13" fillId="0" borderId="11" xfId="1" applyFont="1" applyBorder="1" applyAlignment="1">
      <alignment horizontal="left" vertical="center" wrapText="1"/>
    </xf>
    <xf numFmtId="0" fontId="13" fillId="0" borderId="0" xfId="0" applyFont="1" applyBorder="1" applyAlignment="1">
      <alignment vertical="center"/>
    </xf>
    <xf numFmtId="3" fontId="9"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0" fontId="13" fillId="0" borderId="0" xfId="0" quotePrefix="1" applyFont="1" applyBorder="1" applyAlignment="1">
      <alignment vertical="center"/>
    </xf>
    <xf numFmtId="43" fontId="13" fillId="0" borderId="11" xfId="1" quotePrefix="1" applyFont="1" applyBorder="1" applyAlignment="1">
      <alignment horizontal="left" vertical="center"/>
    </xf>
    <xf numFmtId="3" fontId="15" fillId="0" borderId="10" xfId="1" applyNumberFormat="1" applyFont="1" applyBorder="1" applyAlignment="1">
      <alignment vertical="center"/>
    </xf>
    <xf numFmtId="3" fontId="15" fillId="0" borderId="0" xfId="1" applyNumberFormat="1" applyFont="1" applyBorder="1" applyAlignment="1">
      <alignment vertical="center"/>
    </xf>
    <xf numFmtId="166" fontId="14" fillId="0" borderId="12" xfId="1" applyNumberFormat="1" applyFont="1" applyBorder="1" applyAlignment="1">
      <alignment horizontal="right" vertical="center"/>
    </xf>
    <xf numFmtId="43" fontId="16" fillId="0" borderId="10" xfId="1" applyFont="1" applyBorder="1" applyAlignment="1">
      <alignment horizontal="right" vertical="center"/>
    </xf>
    <xf numFmtId="165" fontId="16" fillId="0" borderId="0" xfId="0" applyNumberFormat="1" applyFont="1" applyBorder="1" applyAlignment="1">
      <alignment horizontal="right" vertical="center"/>
    </xf>
    <xf numFmtId="43" fontId="17" fillId="0" borderId="11" xfId="1" applyFont="1" applyBorder="1" applyAlignment="1">
      <alignment horizontal="center" vertical="center"/>
    </xf>
    <xf numFmtId="165" fontId="11" fillId="0" borderId="10" xfId="0" applyNumberFormat="1" applyFont="1" applyBorder="1" applyAlignment="1">
      <alignment vertical="center"/>
    </xf>
    <xf numFmtId="166" fontId="16" fillId="0" borderId="12" xfId="0" applyNumberFormat="1" applyFont="1" applyBorder="1" applyAlignment="1">
      <alignment horizontal="right" vertical="center"/>
    </xf>
    <xf numFmtId="43" fontId="9" fillId="0" borderId="7" xfId="1" applyFont="1" applyBorder="1" applyAlignment="1">
      <alignment horizontal="right" vertical="center"/>
    </xf>
    <xf numFmtId="165" fontId="9" fillId="0" borderId="2" xfId="0" applyNumberFormat="1" applyFont="1" applyBorder="1" applyAlignment="1">
      <alignment vertical="center"/>
    </xf>
    <xf numFmtId="43" fontId="13" fillId="0" borderId="9" xfId="1" applyFont="1" applyBorder="1" applyAlignment="1">
      <alignment horizontal="left" vertical="center"/>
    </xf>
    <xf numFmtId="165" fontId="7" fillId="0" borderId="7" xfId="0" applyNumberFormat="1" applyFont="1" applyBorder="1" applyAlignment="1">
      <alignment vertical="center"/>
    </xf>
    <xf numFmtId="165" fontId="7" fillId="0" borderId="2" xfId="0" applyNumberFormat="1" applyFont="1" applyBorder="1" applyAlignment="1">
      <alignment vertical="center"/>
    </xf>
    <xf numFmtId="166" fontId="9" fillId="0" borderId="6" xfId="0" applyNumberFormat="1" applyFont="1" applyBorder="1" applyAlignment="1">
      <alignment horizontal="right" vertical="center"/>
    </xf>
    <xf numFmtId="0" fontId="13" fillId="0" borderId="2" xfId="0" applyFont="1" applyBorder="1"/>
    <xf numFmtId="0" fontId="12" fillId="0" borderId="10" xfId="1" applyNumberFormat="1" applyFont="1" applyBorder="1" applyAlignment="1">
      <alignment horizontal="left" wrapText="1"/>
    </xf>
    <xf numFmtId="168" fontId="9" fillId="0" borderId="0" xfId="0" applyNumberFormat="1" applyFont="1" applyBorder="1" applyAlignment="1">
      <alignment vertical="center"/>
    </xf>
    <xf numFmtId="0" fontId="13" fillId="0" borderId="11" xfId="0" applyFont="1" applyBorder="1" applyAlignment="1">
      <alignment vertical="center"/>
    </xf>
    <xf numFmtId="0" fontId="7" fillId="0" borderId="10" xfId="0" applyFont="1" applyBorder="1" applyAlignment="1">
      <alignment vertical="center"/>
    </xf>
    <xf numFmtId="0" fontId="9" fillId="0" borderId="12" xfId="0" applyFont="1" applyBorder="1" applyAlignment="1">
      <alignment horizontal="right" vertical="center"/>
    </xf>
    <xf numFmtId="43" fontId="13" fillId="0" borderId="11" xfId="1" applyFont="1" applyBorder="1" applyAlignment="1">
      <alignment vertical="center"/>
    </xf>
    <xf numFmtId="3" fontId="14" fillId="0" borderId="0" xfId="0" applyNumberFormat="1" applyFont="1" applyBorder="1" applyAlignment="1">
      <alignment vertical="center"/>
    </xf>
    <xf numFmtId="165" fontId="16" fillId="0" borderId="0" xfId="0" applyNumberFormat="1" applyFont="1" applyBorder="1" applyAlignment="1">
      <alignment vertical="center"/>
    </xf>
    <xf numFmtId="168" fontId="9" fillId="0" borderId="2" xfId="0" applyNumberFormat="1" applyFont="1" applyBorder="1" applyAlignment="1">
      <alignment vertical="top"/>
    </xf>
    <xf numFmtId="0" fontId="13" fillId="0" borderId="9" xfId="0" applyFont="1" applyBorder="1" applyAlignment="1">
      <alignment vertical="top"/>
    </xf>
    <xf numFmtId="0" fontId="7" fillId="0" borderId="7" xfId="0" applyFont="1" applyBorder="1" applyAlignment="1">
      <alignment vertical="center"/>
    </xf>
    <xf numFmtId="0" fontId="7" fillId="0" borderId="2" xfId="0" applyFont="1" applyBorder="1" applyAlignment="1">
      <alignment vertical="center"/>
    </xf>
    <xf numFmtId="0" fontId="9" fillId="0" borderId="6" xfId="0" applyFont="1" applyBorder="1" applyAlignment="1">
      <alignment horizontal="right" vertical="center"/>
    </xf>
    <xf numFmtId="0" fontId="9" fillId="0" borderId="0" xfId="0" applyFont="1" applyBorder="1" applyAlignment="1">
      <alignment vertical="top"/>
    </xf>
    <xf numFmtId="0" fontId="11" fillId="0" borderId="10" xfId="0" applyFont="1" applyBorder="1" applyAlignment="1">
      <alignment vertical="center"/>
    </xf>
    <xf numFmtId="0" fontId="11" fillId="0" borderId="0" xfId="0" applyFont="1" applyBorder="1" applyAlignment="1">
      <alignment vertical="center"/>
    </xf>
    <xf numFmtId="43" fontId="9" fillId="0" borderId="10" xfId="1" applyFont="1" applyBorder="1" applyAlignment="1">
      <alignment horizontal="right" vertical="top"/>
    </xf>
    <xf numFmtId="0" fontId="11" fillId="0" borderId="10" xfId="0" applyFont="1" applyBorder="1" applyAlignment="1">
      <alignment vertical="top"/>
    </xf>
    <xf numFmtId="0" fontId="11" fillId="0" borderId="0" xfId="0" applyFont="1" applyBorder="1" applyAlignment="1">
      <alignment vertical="top"/>
    </xf>
    <xf numFmtId="0" fontId="9" fillId="0" borderId="12" xfId="0" applyFont="1" applyBorder="1" applyAlignment="1">
      <alignment horizontal="right" vertical="top"/>
    </xf>
    <xf numFmtId="0" fontId="13" fillId="0" borderId="0" xfId="0" applyFont="1" applyBorder="1" applyAlignment="1">
      <alignment vertical="top"/>
    </xf>
    <xf numFmtId="3" fontId="9" fillId="0" borderId="0" xfId="0" applyNumberFormat="1" applyFont="1" applyBorder="1" applyAlignment="1">
      <alignment vertical="center"/>
    </xf>
    <xf numFmtId="43" fontId="16" fillId="0" borderId="10" xfId="1" applyFont="1" applyBorder="1" applyAlignment="1">
      <alignment horizontal="right" vertical="top"/>
    </xf>
    <xf numFmtId="0" fontId="9" fillId="0" borderId="7" xfId="0" applyFont="1" applyBorder="1" applyAlignment="1">
      <alignment vertical="center"/>
    </xf>
    <xf numFmtId="0" fontId="9" fillId="0" borderId="2" xfId="0" applyFont="1" applyBorder="1" applyAlignment="1">
      <alignment vertical="top"/>
    </xf>
    <xf numFmtId="43" fontId="13" fillId="0" borderId="9" xfId="1" applyFont="1" applyBorder="1" applyAlignment="1">
      <alignment horizontal="left" vertical="top"/>
    </xf>
    <xf numFmtId="0" fontId="7" fillId="0" borderId="7" xfId="0" applyFont="1" applyBorder="1"/>
    <xf numFmtId="0" fontId="7" fillId="0" borderId="2" xfId="0" applyFont="1" applyBorder="1"/>
    <xf numFmtId="0" fontId="0" fillId="0" borderId="6" xfId="0" applyBorder="1" applyAlignment="1">
      <alignment horizontal="right"/>
    </xf>
    <xf numFmtId="166" fontId="10" fillId="0" borderId="10" xfId="0" applyNumberFormat="1" applyFont="1" applyBorder="1" applyAlignment="1">
      <alignment vertical="top"/>
    </xf>
    <xf numFmtId="166" fontId="10" fillId="0" borderId="0" xfId="0" applyNumberFormat="1" applyFont="1" applyBorder="1" applyAlignment="1">
      <alignment vertical="top"/>
    </xf>
    <xf numFmtId="43" fontId="12" fillId="0" borderId="12" xfId="1" applyFont="1" applyBorder="1" applyAlignment="1">
      <alignment horizontal="right" vertical="top"/>
    </xf>
    <xf numFmtId="166" fontId="10" fillId="0" borderId="10" xfId="0" applyNumberFormat="1" applyFont="1" applyBorder="1" applyAlignment="1">
      <alignment vertical="center"/>
    </xf>
    <xf numFmtId="166" fontId="10" fillId="0" borderId="0" xfId="0" applyNumberFormat="1" applyFont="1" applyBorder="1" applyAlignment="1">
      <alignment vertical="center"/>
    </xf>
    <xf numFmtId="165" fontId="16" fillId="0" borderId="2" xfId="0" applyNumberFormat="1" applyFont="1" applyBorder="1" applyAlignment="1">
      <alignment vertical="center"/>
    </xf>
    <xf numFmtId="43" fontId="13" fillId="0" borderId="9" xfId="1" applyFont="1" applyBorder="1" applyAlignment="1">
      <alignment vertical="center"/>
    </xf>
    <xf numFmtId="165" fontId="11" fillId="0" borderId="7" xfId="0" applyNumberFormat="1" applyFont="1" applyBorder="1" applyAlignment="1">
      <alignment vertical="top"/>
    </xf>
    <xf numFmtId="165" fontId="11" fillId="0" borderId="2" xfId="0" applyNumberFormat="1" applyFont="1" applyBorder="1" applyAlignment="1">
      <alignment vertical="top"/>
    </xf>
    <xf numFmtId="43" fontId="12" fillId="0" borderId="6" xfId="1" applyFont="1" applyBorder="1" applyAlignment="1">
      <alignment horizontal="right" vertical="top"/>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8" fontId="10" fillId="0" borderId="0" xfId="0" applyNumberFormat="1" applyFont="1" applyBorder="1" applyAlignment="1">
      <alignment horizontal="centerContinuous" vertical="center"/>
    </xf>
    <xf numFmtId="43" fontId="10" fillId="0" borderId="11" xfId="1" applyFont="1" applyBorder="1" applyAlignment="1">
      <alignment horizontal="centerContinuous" vertical="center"/>
    </xf>
    <xf numFmtId="43" fontId="16" fillId="0" borderId="16" xfId="1" applyFont="1" applyBorder="1" applyAlignment="1">
      <alignment horizontal="right" vertical="top"/>
    </xf>
    <xf numFmtId="165" fontId="11" fillId="0" borderId="17" xfId="0" applyNumberFormat="1" applyFont="1" applyBorder="1" applyAlignment="1">
      <alignment horizontal="centerContinuous" vertical="top"/>
    </xf>
    <xf numFmtId="168" fontId="11" fillId="0" borderId="18" xfId="0" applyNumberFormat="1" applyFont="1" applyBorder="1" applyAlignment="1">
      <alignment horizontal="centerContinuous" vertical="top"/>
    </xf>
    <xf numFmtId="169" fontId="11" fillId="0" borderId="0" xfId="0" applyNumberFormat="1" applyFont="1" applyBorder="1" applyAlignment="1">
      <alignment horizontal="centerContinuous" vertical="center"/>
    </xf>
    <xf numFmtId="170" fontId="7" fillId="0" borderId="11" xfId="1" applyNumberFormat="1" applyFont="1" applyBorder="1" applyAlignment="1">
      <alignment horizontal="centerContinuous" vertical="center"/>
    </xf>
    <xf numFmtId="0" fontId="0" fillId="0" borderId="20" xfId="0" applyBorder="1" applyAlignment="1">
      <alignment horizontal="center"/>
    </xf>
    <xf numFmtId="0" fontId="7" fillId="0" borderId="20" xfId="0" applyFont="1" applyBorder="1" applyAlignment="1">
      <alignment horizontal="center"/>
    </xf>
    <xf numFmtId="0" fontId="8" fillId="3" borderId="6" xfId="0" applyFont="1" applyFill="1" applyBorder="1" applyAlignment="1">
      <alignment horizontal="center"/>
    </xf>
    <xf numFmtId="0" fontId="6" fillId="3" borderId="2" xfId="0" applyFont="1" applyFill="1" applyBorder="1"/>
    <xf numFmtId="0" fontId="8" fillId="3" borderId="2" xfId="0" applyFont="1" applyFill="1" applyBorder="1" applyAlignment="1">
      <alignment horizontal="center"/>
    </xf>
    <xf numFmtId="0" fontId="2" fillId="0" borderId="19" xfId="0" applyFont="1" applyBorder="1" applyAlignment="1">
      <alignment horizontal="center"/>
    </xf>
    <xf numFmtId="165" fontId="4" fillId="0" borderId="1" xfId="0" applyNumberFormat="1" applyFont="1" applyBorder="1" applyAlignment="1">
      <alignment horizontal="left" vertical="top" wrapText="1"/>
    </xf>
    <xf numFmtId="165" fontId="4" fillId="2" borderId="1" xfId="0" applyNumberFormat="1" applyFont="1" applyFill="1" applyBorder="1" applyAlignment="1">
      <alignment horizontal="left" vertical="top" wrapText="1"/>
    </xf>
    <xf numFmtId="0" fontId="9" fillId="0" borderId="22" xfId="0" applyFont="1" applyBorder="1"/>
    <xf numFmtId="0" fontId="13" fillId="0" borderId="23" xfId="0" applyFont="1" applyBorder="1"/>
    <xf numFmtId="165" fontId="7" fillId="0" borderId="24" xfId="0" applyNumberFormat="1" applyFont="1" applyBorder="1" applyAlignment="1">
      <alignment vertical="center"/>
    </xf>
    <xf numFmtId="165" fontId="7" fillId="0" borderId="22" xfId="0" applyNumberFormat="1" applyFont="1" applyBorder="1" applyAlignment="1">
      <alignment vertical="center"/>
    </xf>
    <xf numFmtId="166" fontId="9" fillId="0" borderId="21" xfId="0" applyNumberFormat="1" applyFont="1" applyBorder="1" applyAlignment="1">
      <alignment horizontal="right" vertical="center"/>
    </xf>
    <xf numFmtId="0" fontId="13" fillId="0" borderId="22" xfId="0" applyFont="1" applyBorder="1"/>
    <xf numFmtId="0" fontId="8" fillId="0" borderId="0" xfId="0" applyFont="1" applyBorder="1"/>
    <xf numFmtId="0" fontId="8" fillId="0" borderId="1" xfId="0" applyFont="1" applyBorder="1" applyAlignment="1">
      <alignment horizontal="left" vertical="top"/>
    </xf>
    <xf numFmtId="165" fontId="4" fillId="4" borderId="1" xfId="0" applyNumberFormat="1" applyFont="1" applyFill="1" applyBorder="1" applyAlignment="1">
      <alignment horizontal="left" vertical="top" wrapText="1"/>
    </xf>
    <xf numFmtId="0" fontId="9" fillId="0" borderId="1" xfId="0" applyFont="1" applyBorder="1" applyAlignment="1">
      <alignment horizontal="center"/>
    </xf>
    <xf numFmtId="43" fontId="21" fillId="0" borderId="10" xfId="1" applyFont="1" applyBorder="1" applyAlignment="1">
      <alignment horizontal="right" vertical="center"/>
    </xf>
    <xf numFmtId="43" fontId="22" fillId="0" borderId="10" xfId="1" applyFont="1" applyBorder="1" applyAlignment="1">
      <alignment horizontal="right" vertical="center"/>
    </xf>
    <xf numFmtId="0" fontId="20" fillId="0" borderId="10" xfId="1" applyNumberFormat="1" applyFont="1" applyBorder="1" applyAlignment="1">
      <alignment horizontal="left" wrapText="1"/>
    </xf>
    <xf numFmtId="43" fontId="21" fillId="0" borderId="10" xfId="1" applyFont="1" applyBorder="1" applyAlignment="1">
      <alignment horizontal="right" vertical="top"/>
    </xf>
    <xf numFmtId="43" fontId="22" fillId="0" borderId="10" xfId="1" applyFont="1" applyBorder="1" applyAlignment="1">
      <alignment horizontal="right" vertical="top"/>
    </xf>
    <xf numFmtId="165" fontId="21" fillId="0" borderId="10" xfId="0" applyNumberFormat="1" applyFont="1" applyBorder="1" applyAlignment="1">
      <alignment vertical="center"/>
    </xf>
    <xf numFmtId="164" fontId="10" fillId="0" borderId="25" xfId="0" applyNumberFormat="1" applyFont="1" applyBorder="1" applyAlignment="1">
      <alignment horizontal="center" vertical="center"/>
    </xf>
    <xf numFmtId="165" fontId="7" fillId="0" borderId="20" xfId="0" applyNumberFormat="1" applyFont="1" applyBorder="1" applyAlignment="1">
      <alignment vertical="center"/>
    </xf>
    <xf numFmtId="165" fontId="7" fillId="0" borderId="8" xfId="0" applyNumberFormat="1" applyFont="1" applyBorder="1" applyAlignment="1">
      <alignment vertical="center"/>
    </xf>
    <xf numFmtId="165" fontId="21" fillId="0" borderId="8" xfId="0" applyNumberFormat="1" applyFont="1" applyBorder="1" applyAlignment="1">
      <alignment vertical="center"/>
    </xf>
    <xf numFmtId="43" fontId="23" fillId="0" borderId="10" xfId="1" applyFont="1" applyBorder="1" applyAlignment="1">
      <alignment horizontal="right" vertical="center"/>
    </xf>
    <xf numFmtId="0" fontId="0" fillId="0" borderId="0" xfId="0" applyAlignment="1">
      <alignment horizontal="center"/>
    </xf>
    <xf numFmtId="49" fontId="25" fillId="9" borderId="29" xfId="0" applyNumberFormat="1" applyFont="1" applyFill="1" applyBorder="1" applyAlignment="1">
      <alignment horizontal="right" vertical="center" wrapText="1"/>
    </xf>
    <xf numFmtId="49" fontId="25" fillId="9" borderId="29" xfId="0" applyNumberFormat="1" applyFont="1" applyFill="1" applyBorder="1" applyAlignment="1">
      <alignment horizontal="left" vertical="center" wrapText="1"/>
    </xf>
    <xf numFmtId="49" fontId="0" fillId="9" borderId="29" xfId="0" applyNumberFormat="1" applyFill="1" applyBorder="1" applyAlignment="1">
      <alignment horizontal="right" vertical="center" wrapText="1"/>
    </xf>
    <xf numFmtId="171" fontId="25" fillId="10" borderId="29" xfId="0" applyNumberFormat="1" applyFont="1" applyFill="1" applyBorder="1" applyAlignment="1">
      <alignment horizontal="right" vertical="center" wrapText="1"/>
    </xf>
    <xf numFmtId="49" fontId="25" fillId="11" borderId="29" xfId="0" applyNumberFormat="1" applyFont="1" applyFill="1" applyBorder="1" applyAlignment="1">
      <alignment horizontal="left" vertical="center" wrapText="1"/>
    </xf>
    <xf numFmtId="49" fontId="25" fillId="12" borderId="29" xfId="0" applyNumberFormat="1" applyFont="1" applyFill="1" applyBorder="1" applyAlignment="1">
      <alignment horizontal="left" vertical="center" wrapText="1" indent="3"/>
    </xf>
    <xf numFmtId="49" fontId="25" fillId="12" borderId="29" xfId="0" applyNumberFormat="1" applyFont="1" applyFill="1" applyBorder="1" applyAlignment="1">
      <alignment horizontal="left" vertical="center" wrapText="1"/>
    </xf>
    <xf numFmtId="171" fontId="25" fillId="13" borderId="29" xfId="0" applyNumberFormat="1" applyFont="1" applyFill="1" applyBorder="1" applyAlignment="1">
      <alignment horizontal="right" vertical="center" wrapText="1"/>
    </xf>
    <xf numFmtId="171" fontId="25" fillId="8" borderId="29" xfId="0" applyNumberFormat="1" applyFont="1" applyFill="1" applyBorder="1" applyAlignment="1">
      <alignment horizontal="right" vertical="center" wrapText="1"/>
    </xf>
    <xf numFmtId="49" fontId="25" fillId="14" borderId="29" xfId="0" applyNumberFormat="1" applyFont="1" applyFill="1" applyBorder="1" applyAlignment="1">
      <alignment horizontal="left" vertical="center" wrapText="1" indent="1"/>
    </xf>
    <xf numFmtId="49" fontId="25" fillId="14" borderId="29" xfId="0" applyNumberFormat="1" applyFont="1" applyFill="1" applyBorder="1" applyAlignment="1">
      <alignment horizontal="left" vertical="center" wrapText="1"/>
    </xf>
    <xf numFmtId="49" fontId="25" fillId="8" borderId="29" xfId="0" applyNumberFormat="1" applyFont="1" applyFill="1" applyBorder="1" applyAlignment="1">
      <alignment horizontal="right" vertical="center" wrapText="1"/>
    </xf>
    <xf numFmtId="0" fontId="10" fillId="0" borderId="2" xfId="0" applyFont="1" applyBorder="1" applyAlignment="1">
      <alignment horizontal="center" vertical="center"/>
    </xf>
    <xf numFmtId="0" fontId="10" fillId="2" borderId="22" xfId="1" applyNumberFormat="1" applyFont="1" applyFill="1" applyBorder="1" applyAlignment="1">
      <alignment horizontal="left" vertical="top" wrapText="1"/>
    </xf>
    <xf numFmtId="43" fontId="21" fillId="0" borderId="0" xfId="1" applyFont="1" applyBorder="1" applyAlignment="1">
      <alignment horizontal="right" vertical="center"/>
    </xf>
    <xf numFmtId="3" fontId="10" fillId="0" borderId="2" xfId="1" applyNumberFormat="1" applyFont="1" applyBorder="1" applyAlignment="1">
      <alignment horizontal="center" vertical="center"/>
    </xf>
    <xf numFmtId="9" fontId="14" fillId="0" borderId="0" xfId="3" applyFont="1" applyBorder="1" applyAlignment="1">
      <alignment horizontal="right" vertical="center"/>
    </xf>
    <xf numFmtId="0" fontId="9" fillId="0" borderId="20" xfId="0" applyFont="1" applyBorder="1"/>
    <xf numFmtId="165" fontId="9" fillId="0" borderId="8" xfId="2" applyNumberFormat="1" applyFont="1" applyBorder="1" applyAlignment="1">
      <alignment horizontal="right" vertical="center"/>
    </xf>
    <xf numFmtId="3" fontId="14" fillId="0" borderId="8" xfId="0" applyNumberFormat="1" applyFont="1" applyBorder="1" applyAlignment="1">
      <alignment horizontal="right" vertical="center"/>
    </xf>
    <xf numFmtId="165" fontId="16" fillId="0" borderId="8" xfId="0" applyNumberFormat="1" applyFont="1" applyBorder="1" applyAlignment="1">
      <alignment horizontal="right" vertical="center"/>
    </xf>
    <xf numFmtId="165" fontId="9" fillId="0" borderId="25" xfId="0" applyNumberFormat="1" applyFont="1" applyBorder="1" applyAlignment="1">
      <alignment vertical="center"/>
    </xf>
    <xf numFmtId="168" fontId="9" fillId="0" borderId="8" xfId="0" applyNumberFormat="1" applyFont="1" applyBorder="1" applyAlignment="1">
      <alignment vertical="center"/>
    </xf>
    <xf numFmtId="165" fontId="9" fillId="0" borderId="8" xfId="0" applyNumberFormat="1" applyFont="1" applyBorder="1" applyAlignment="1">
      <alignment vertical="center"/>
    </xf>
    <xf numFmtId="3" fontId="14" fillId="0" borderId="8" xfId="0" applyNumberFormat="1" applyFont="1" applyBorder="1" applyAlignment="1">
      <alignment vertical="center"/>
    </xf>
    <xf numFmtId="165" fontId="16" fillId="0" borderId="8" xfId="0" applyNumberFormat="1" applyFont="1" applyBorder="1" applyAlignment="1">
      <alignment vertical="center"/>
    </xf>
    <xf numFmtId="168" fontId="9" fillId="0" borderId="25" xfId="0" applyNumberFormat="1" applyFont="1" applyBorder="1" applyAlignment="1">
      <alignment vertical="top"/>
    </xf>
    <xf numFmtId="0" fontId="9" fillId="0" borderId="8" xfId="0" applyFont="1" applyBorder="1" applyAlignment="1">
      <alignment vertical="top"/>
    </xf>
    <xf numFmtId="3" fontId="9" fillId="0" borderId="8" xfId="0" applyNumberFormat="1" applyFont="1" applyBorder="1" applyAlignment="1">
      <alignment vertical="center"/>
    </xf>
    <xf numFmtId="0" fontId="9" fillId="0" borderId="25" xfId="0" applyFont="1" applyBorder="1" applyAlignment="1">
      <alignment vertical="top"/>
    </xf>
    <xf numFmtId="165" fontId="16" fillId="0" borderId="25" xfId="0" applyNumberFormat="1" applyFont="1" applyBorder="1" applyAlignment="1">
      <alignment vertical="center"/>
    </xf>
    <xf numFmtId="0" fontId="10" fillId="2" borderId="20" xfId="1" applyNumberFormat="1" applyFont="1" applyFill="1" applyBorder="1" applyAlignment="1">
      <alignment horizontal="left" vertical="top" wrapText="1"/>
    </xf>
    <xf numFmtId="43" fontId="21" fillId="0" borderId="8" xfId="1" applyFont="1" applyBorder="1" applyAlignment="1">
      <alignment horizontal="right" vertical="center"/>
    </xf>
    <xf numFmtId="165" fontId="9" fillId="0" borderId="25" xfId="2" applyNumberFormat="1" applyFont="1" applyBorder="1" applyAlignment="1">
      <alignment horizontal="right" vertical="center"/>
    </xf>
    <xf numFmtId="3" fontId="9" fillId="0" borderId="2" xfId="0" applyNumberFormat="1" applyFont="1" applyBorder="1" applyAlignment="1">
      <alignment horizontal="right" vertical="center"/>
    </xf>
    <xf numFmtId="165" fontId="9" fillId="0" borderId="2" xfId="2" applyNumberFormat="1" applyFont="1" applyBorder="1" applyAlignment="1">
      <alignment horizontal="right" vertical="center"/>
    </xf>
    <xf numFmtId="43" fontId="13" fillId="0" borderId="9" xfId="1" applyFont="1" applyBorder="1" applyAlignment="1">
      <alignment horizontal="left" vertical="center" wrapText="1"/>
    </xf>
    <xf numFmtId="172" fontId="13" fillId="0" borderId="11" xfId="1" applyNumberFormat="1" applyFont="1" applyBorder="1" applyAlignment="1">
      <alignment horizontal="left" vertical="center" wrapText="1"/>
    </xf>
    <xf numFmtId="0" fontId="9" fillId="0" borderId="26" xfId="0" applyFont="1" applyBorder="1" applyAlignment="1">
      <alignment vertical="center"/>
    </xf>
    <xf numFmtId="43" fontId="9" fillId="0" borderId="25" xfId="1" applyFont="1" applyBorder="1" applyAlignment="1">
      <alignment horizontal="right" vertical="center"/>
    </xf>
    <xf numFmtId="164" fontId="10" fillId="0" borderId="31" xfId="1" applyNumberFormat="1" applyFont="1" applyBorder="1" applyAlignment="1">
      <alignment horizontal="left" vertical="center"/>
    </xf>
    <xf numFmtId="9" fontId="14" fillId="0" borderId="2" xfId="3" applyFont="1" applyBorder="1" applyAlignment="1">
      <alignment horizontal="right" vertical="center"/>
    </xf>
    <xf numFmtId="165" fontId="12" fillId="2" borderId="21" xfId="0" applyNumberFormat="1" applyFont="1" applyFill="1" applyBorder="1" applyAlignment="1">
      <alignment vertical="center"/>
    </xf>
    <xf numFmtId="165" fontId="12" fillId="2" borderId="20" xfId="0" applyNumberFormat="1" applyFont="1" applyFill="1" applyBorder="1" applyAlignment="1">
      <alignment vertical="center"/>
    </xf>
    <xf numFmtId="43" fontId="9" fillId="0" borderId="8" xfId="1" applyFont="1" applyBorder="1" applyAlignment="1">
      <alignment horizontal="right" vertical="center"/>
    </xf>
    <xf numFmtId="43" fontId="16" fillId="0" borderId="8" xfId="1" applyFont="1" applyBorder="1" applyAlignment="1">
      <alignment horizontal="right" vertical="center"/>
    </xf>
    <xf numFmtId="0" fontId="12" fillId="0" borderId="8" xfId="1" applyNumberFormat="1" applyFont="1" applyBorder="1" applyAlignment="1">
      <alignment horizontal="left" wrapText="1"/>
    </xf>
    <xf numFmtId="43" fontId="9" fillId="0" borderId="8" xfId="1" applyFont="1" applyBorder="1" applyAlignment="1">
      <alignment horizontal="right" vertical="top"/>
    </xf>
    <xf numFmtId="43" fontId="16" fillId="0" borderId="8" xfId="1" applyFont="1" applyBorder="1" applyAlignment="1">
      <alignment horizontal="right" vertical="top"/>
    </xf>
    <xf numFmtId="0" fontId="9" fillId="0" borderId="25" xfId="0" applyFont="1" applyBorder="1" applyAlignment="1">
      <alignment vertical="center"/>
    </xf>
    <xf numFmtId="43" fontId="16" fillId="0" borderId="35" xfId="1" applyFont="1" applyBorder="1" applyAlignment="1">
      <alignment horizontal="right" vertical="top"/>
    </xf>
    <xf numFmtId="173" fontId="25" fillId="10" borderId="29" xfId="0" applyNumberFormat="1" applyFont="1" applyFill="1" applyBorder="1" applyAlignment="1">
      <alignment horizontal="right" vertical="center" wrapText="1"/>
    </xf>
    <xf numFmtId="173" fontId="25" fillId="13" borderId="29" xfId="0" applyNumberFormat="1" applyFont="1" applyFill="1" applyBorder="1" applyAlignment="1">
      <alignment horizontal="right" vertical="center" wrapText="1"/>
    </xf>
    <xf numFmtId="173" fontId="25" fillId="8" borderId="29" xfId="0" applyNumberFormat="1" applyFont="1" applyFill="1" applyBorder="1" applyAlignment="1">
      <alignment horizontal="right" vertical="center" wrapText="1"/>
    </xf>
    <xf numFmtId="49" fontId="25" fillId="13" borderId="29" xfId="0" applyNumberFormat="1" applyFont="1" applyFill="1" applyBorder="1" applyAlignment="1">
      <alignment horizontal="right" vertical="center" wrapText="1"/>
    </xf>
    <xf numFmtId="171" fontId="25" fillId="16" borderId="29" xfId="0" applyNumberFormat="1" applyFont="1" applyFill="1" applyBorder="1" applyAlignment="1">
      <alignment horizontal="right" vertical="center" wrapText="1"/>
    </xf>
    <xf numFmtId="173" fontId="25" fillId="16" borderId="29" xfId="0" applyNumberFormat="1" applyFont="1" applyFill="1" applyBorder="1" applyAlignment="1">
      <alignment horizontal="right" vertical="center" wrapText="1"/>
    </xf>
    <xf numFmtId="49" fontId="25" fillId="16" borderId="29" xfId="0" applyNumberFormat="1" applyFont="1" applyFill="1" applyBorder="1" applyAlignment="1">
      <alignment horizontal="right" vertical="center" wrapText="1"/>
    </xf>
    <xf numFmtId="49" fontId="25" fillId="15" borderId="29" xfId="0" applyNumberFormat="1" applyFont="1" applyFill="1" applyBorder="1" applyAlignment="1">
      <alignment horizontal="left" vertical="center" wrapText="1"/>
    </xf>
    <xf numFmtId="49" fontId="0" fillId="0" borderId="0" xfId="0" applyNumberFormat="1"/>
    <xf numFmtId="43" fontId="28" fillId="0" borderId="10" xfId="1" applyFont="1" applyBorder="1" applyAlignment="1">
      <alignment horizontal="right" vertical="center"/>
    </xf>
    <xf numFmtId="43" fontId="28" fillId="0" borderId="8" xfId="1" applyFont="1" applyBorder="1" applyAlignment="1">
      <alignment horizontal="right" vertical="center"/>
    </xf>
    <xf numFmtId="0" fontId="10" fillId="15" borderId="25" xfId="0" applyFont="1" applyFill="1" applyBorder="1" applyAlignment="1">
      <alignment horizontal="center" vertical="center"/>
    </xf>
    <xf numFmtId="3" fontId="10" fillId="15" borderId="2" xfId="1" applyNumberFormat="1" applyFont="1" applyFill="1" applyBorder="1" applyAlignment="1">
      <alignment horizontal="center" vertical="center"/>
    </xf>
    <xf numFmtId="172" fontId="2" fillId="0" borderId="0" xfId="1" applyNumberFormat="1" applyFont="1" applyBorder="1" applyAlignment="1">
      <alignment horizontal="center"/>
    </xf>
    <xf numFmtId="165" fontId="7" fillId="0" borderId="37" xfId="0" applyNumberFormat="1" applyFont="1" applyBorder="1" applyAlignment="1">
      <alignment vertical="center"/>
    </xf>
    <xf numFmtId="165" fontId="7" fillId="0" borderId="21" xfId="0" applyNumberFormat="1" applyFont="1" applyBorder="1" applyAlignment="1">
      <alignment vertical="center"/>
    </xf>
    <xf numFmtId="165" fontId="7" fillId="0" borderId="12" xfId="0" applyNumberFormat="1" applyFont="1" applyBorder="1" applyAlignment="1">
      <alignment vertical="center"/>
    </xf>
    <xf numFmtId="3" fontId="10" fillId="17" borderId="2" xfId="1" applyNumberFormat="1" applyFont="1" applyFill="1" applyBorder="1" applyAlignment="1">
      <alignment horizontal="right" vertical="center"/>
    </xf>
    <xf numFmtId="174" fontId="10" fillId="0" borderId="25" xfId="2" applyNumberFormat="1" applyFont="1" applyBorder="1" applyAlignment="1">
      <alignment horizontal="center" vertical="center"/>
    </xf>
    <xf numFmtId="174" fontId="10" fillId="0" borderId="31" xfId="2" applyNumberFormat="1" applyFont="1" applyBorder="1" applyAlignment="1">
      <alignment horizontal="left" vertical="center"/>
    </xf>
    <xf numFmtId="167" fontId="10" fillId="0" borderId="25" xfId="3" applyNumberFormat="1" applyFont="1" applyBorder="1" applyAlignment="1">
      <alignment horizontal="center" vertical="center"/>
    </xf>
    <xf numFmtId="0" fontId="29" fillId="0" borderId="0" xfId="0" applyFont="1"/>
    <xf numFmtId="0" fontId="30" fillId="0" borderId="0" xfId="0" applyFont="1"/>
    <xf numFmtId="0" fontId="19" fillId="0" borderId="0" xfId="0" applyFont="1"/>
    <xf numFmtId="0" fontId="19" fillId="0" borderId="0" xfId="0" applyFont="1" applyBorder="1"/>
    <xf numFmtId="0" fontId="31" fillId="0" borderId="0" xfId="0" applyFont="1"/>
    <xf numFmtId="0" fontId="31" fillId="0" borderId="0" xfId="0" applyFont="1" applyBorder="1"/>
    <xf numFmtId="0" fontId="31" fillId="0" borderId="1" xfId="0" applyFont="1" applyBorder="1" applyAlignment="1">
      <alignment horizontal="left" vertical="top"/>
    </xf>
    <xf numFmtId="0" fontId="32" fillId="0" borderId="1" xfId="0" applyFont="1" applyBorder="1" applyAlignment="1">
      <alignment horizontal="left" vertical="top"/>
    </xf>
    <xf numFmtId="0" fontId="32" fillId="0" borderId="0" xfId="0" applyFont="1" applyBorder="1"/>
    <xf numFmtId="174" fontId="11" fillId="0" borderId="10" xfId="2" applyNumberFormat="1" applyFont="1" applyBorder="1" applyAlignment="1">
      <alignment vertical="center"/>
    </xf>
    <xf numFmtId="174" fontId="11" fillId="0" borderId="25" xfId="2" applyNumberFormat="1" applyFont="1" applyBorder="1" applyAlignment="1">
      <alignment horizontal="center" vertical="center"/>
    </xf>
    <xf numFmtId="164" fontId="11" fillId="0" borderId="25" xfId="0" applyNumberFormat="1" applyFont="1" applyBorder="1" applyAlignment="1">
      <alignment horizontal="right" vertical="center"/>
    </xf>
    <xf numFmtId="0" fontId="34" fillId="0" borderId="0" xfId="0" applyFont="1" applyBorder="1" applyAlignment="1">
      <alignment horizontal="center"/>
    </xf>
    <xf numFmtId="0" fontId="35" fillId="0" borderId="0" xfId="0" applyFont="1"/>
    <xf numFmtId="166" fontId="10" fillId="0" borderId="20" xfId="0" applyNumberFormat="1" applyFont="1" applyBorder="1" applyAlignment="1">
      <alignment vertical="top"/>
    </xf>
    <xf numFmtId="166" fontId="10" fillId="0" borderId="8" xfId="0" applyNumberFormat="1" applyFont="1" applyBorder="1" applyAlignment="1">
      <alignment vertical="top"/>
    </xf>
    <xf numFmtId="166" fontId="10" fillId="0" borderId="25" xfId="0" applyNumberFormat="1" applyFont="1" applyBorder="1" applyAlignment="1">
      <alignment vertical="center"/>
    </xf>
    <xf numFmtId="164" fontId="10" fillId="0" borderId="1" xfId="0" applyNumberFormat="1" applyFont="1" applyBorder="1" applyAlignment="1">
      <alignment horizontal="center" vertical="center"/>
    </xf>
    <xf numFmtId="164" fontId="10" fillId="0" borderId="0" xfId="0" applyNumberFormat="1" applyFont="1" applyBorder="1" applyAlignment="1">
      <alignment horizontal="center" vertical="center"/>
    </xf>
    <xf numFmtId="165" fontId="7" fillId="0" borderId="25" xfId="0" applyNumberFormat="1" applyFont="1" applyBorder="1" applyAlignment="1">
      <alignment vertical="center"/>
    </xf>
    <xf numFmtId="3" fontId="15" fillId="0" borderId="20" xfId="1" applyNumberFormat="1" applyFont="1" applyBorder="1" applyAlignment="1">
      <alignment vertical="center"/>
    </xf>
    <xf numFmtId="167" fontId="11" fillId="0" borderId="8" xfId="3" applyNumberFormat="1" applyFont="1" applyBorder="1" applyAlignment="1">
      <alignment vertical="center"/>
    </xf>
    <xf numFmtId="0" fontId="7" fillId="0" borderId="8" xfId="0" applyFont="1" applyBorder="1" applyAlignment="1">
      <alignment vertical="center"/>
    </xf>
    <xf numFmtId="0" fontId="7" fillId="0" borderId="25" xfId="0" applyFont="1" applyBorder="1" applyAlignment="1">
      <alignment vertical="center"/>
    </xf>
    <xf numFmtId="0" fontId="7" fillId="0" borderId="20" xfId="0" applyFont="1" applyBorder="1" applyAlignment="1">
      <alignment vertical="center"/>
    </xf>
    <xf numFmtId="0" fontId="11" fillId="0" borderId="8" xfId="0" applyFont="1" applyBorder="1" applyAlignment="1">
      <alignment vertical="center"/>
    </xf>
    <xf numFmtId="0" fontId="11" fillId="0" borderId="8" xfId="0" applyFont="1" applyBorder="1" applyAlignment="1">
      <alignment vertical="top"/>
    </xf>
    <xf numFmtId="0" fontId="11" fillId="0" borderId="25" xfId="0" applyFont="1" applyBorder="1" applyAlignment="1">
      <alignment vertical="top"/>
    </xf>
    <xf numFmtId="167" fontId="11" fillId="0" borderId="20" xfId="3" applyNumberFormat="1" applyFont="1" applyBorder="1" applyAlignment="1">
      <alignment vertical="center"/>
    </xf>
    <xf numFmtId="0" fontId="7" fillId="0" borderId="25" xfId="0" applyFont="1" applyBorder="1"/>
    <xf numFmtId="166" fontId="10" fillId="0" borderId="8" xfId="0" applyNumberFormat="1" applyFont="1" applyBorder="1" applyAlignment="1">
      <alignment vertical="center"/>
    </xf>
    <xf numFmtId="165" fontId="11" fillId="0" borderId="25" xfId="0" applyNumberFormat="1" applyFont="1" applyBorder="1" applyAlignment="1">
      <alignment vertical="top"/>
    </xf>
    <xf numFmtId="167" fontId="10" fillId="0" borderId="1" xfId="3" applyNumberFormat="1" applyFont="1" applyBorder="1" applyAlignment="1">
      <alignment horizontal="center" vertical="center"/>
    </xf>
    <xf numFmtId="165" fontId="21" fillId="0" borderId="25" xfId="0" applyNumberFormat="1" applyFont="1" applyBorder="1" applyAlignment="1">
      <alignment vertical="center"/>
    </xf>
    <xf numFmtId="165" fontId="11" fillId="0" borderId="8" xfId="0" applyNumberFormat="1" applyFont="1" applyBorder="1" applyAlignment="1">
      <alignment vertical="top"/>
    </xf>
    <xf numFmtId="0" fontId="10" fillId="0" borderId="0" xfId="0" applyFont="1" applyBorder="1" applyAlignment="1">
      <alignment vertical="center"/>
    </xf>
    <xf numFmtId="0" fontId="13" fillId="0" borderId="20" xfId="0" applyFont="1" applyBorder="1"/>
    <xf numFmtId="0" fontId="13" fillId="0" borderId="8" xfId="0" applyFont="1" applyBorder="1" applyAlignment="1">
      <alignment vertical="center"/>
    </xf>
    <xf numFmtId="0" fontId="0" fillId="0" borderId="8" xfId="0" applyBorder="1"/>
    <xf numFmtId="0" fontId="13" fillId="0" borderId="8" xfId="0" quotePrefix="1" applyFont="1" applyBorder="1" applyAlignment="1">
      <alignment vertical="center"/>
    </xf>
    <xf numFmtId="0" fontId="13" fillId="0" borderId="8" xfId="0" applyFont="1" applyBorder="1"/>
    <xf numFmtId="0" fontId="13" fillId="0" borderId="25" xfId="0" applyFont="1" applyBorder="1"/>
    <xf numFmtId="0" fontId="13" fillId="0" borderId="8" xfId="0" applyFont="1" applyBorder="1" applyAlignment="1">
      <alignment vertical="top"/>
    </xf>
    <xf numFmtId="43" fontId="9" fillId="0" borderId="20" xfId="1" applyFont="1" applyBorder="1" applyAlignment="1">
      <alignment horizontal="right" vertical="center"/>
    </xf>
    <xf numFmtId="43" fontId="9" fillId="0" borderId="25" xfId="1" applyFont="1" applyBorder="1" applyAlignment="1">
      <alignment horizontal="right" vertical="top"/>
    </xf>
    <xf numFmtId="43" fontId="16" fillId="0" borderId="20" xfId="1" applyFont="1" applyBorder="1" applyAlignment="1">
      <alignment horizontal="right" vertical="top"/>
    </xf>
    <xf numFmtId="43" fontId="16" fillId="0" borderId="20" xfId="1" applyFont="1" applyBorder="1" applyAlignment="1">
      <alignment horizontal="right" vertical="center"/>
    </xf>
    <xf numFmtId="168" fontId="9" fillId="0" borderId="0" xfId="2" applyNumberFormat="1" applyFont="1" applyBorder="1" applyAlignment="1">
      <alignment horizontal="right" vertical="center"/>
    </xf>
    <xf numFmtId="168" fontId="9" fillId="0" borderId="2" xfId="2" applyNumberFormat="1" applyFont="1" applyBorder="1" applyAlignment="1">
      <alignment horizontal="right" vertical="center"/>
    </xf>
    <xf numFmtId="0" fontId="33" fillId="0" borderId="0" xfId="0" applyFont="1"/>
    <xf numFmtId="0" fontId="1" fillId="0" borderId="0" xfId="0" applyFont="1" applyAlignment="1">
      <alignment horizontal="center" vertical="center"/>
    </xf>
    <xf numFmtId="0" fontId="33" fillId="0" borderId="0" xfId="0" applyFont="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30" fillId="0" borderId="0" xfId="0" applyFont="1" applyAlignment="1">
      <alignment horizontal="center"/>
    </xf>
    <xf numFmtId="0" fontId="1" fillId="0" borderId="1" xfId="0" applyFont="1" applyBorder="1" applyAlignment="1">
      <alignment vertical="center"/>
    </xf>
    <xf numFmtId="0" fontId="0" fillId="0" borderId="1" xfId="0" applyBorder="1" applyAlignment="1">
      <alignment horizontal="center" vertical="center"/>
    </xf>
    <xf numFmtId="167" fontId="0" fillId="0" borderId="1" xfId="3" applyNumberFormat="1" applyFont="1" applyBorder="1" applyAlignment="1">
      <alignment vertical="center"/>
    </xf>
    <xf numFmtId="0" fontId="29" fillId="0" borderId="1" xfId="0" applyFont="1" applyBorder="1" applyAlignment="1">
      <alignment wrapText="1"/>
    </xf>
    <xf numFmtId="0" fontId="0" fillId="0" borderId="0" xfId="0" applyAlignment="1">
      <alignment horizontal="center" vertical="center"/>
    </xf>
    <xf numFmtId="167" fontId="0" fillId="0" borderId="0" xfId="3" applyNumberFormat="1" applyFont="1" applyAlignment="1">
      <alignment horizontal="right" vertical="center"/>
    </xf>
    <xf numFmtId="0" fontId="29" fillId="0" borderId="0" xfId="0" applyFont="1" applyAlignment="1">
      <alignment wrapText="1"/>
    </xf>
    <xf numFmtId="167" fontId="0" fillId="0" borderId="1" xfId="3" applyNumberFormat="1" applyFont="1" applyBorder="1" applyAlignment="1">
      <alignment horizontal="right" vertical="center"/>
    </xf>
    <xf numFmtId="0" fontId="1" fillId="0" borderId="0" xfId="0" applyFont="1" applyAlignment="1">
      <alignment vertical="center"/>
    </xf>
    <xf numFmtId="167" fontId="0" fillId="2" borderId="1" xfId="3" applyNumberFormat="1" applyFont="1" applyFill="1" applyBorder="1" applyAlignment="1">
      <alignment horizontal="right" vertical="center"/>
    </xf>
    <xf numFmtId="0" fontId="0" fillId="0" borderId="0" xfId="0" applyAlignment="1">
      <alignment horizontal="right" vertical="center"/>
    </xf>
    <xf numFmtId="0" fontId="0" fillId="0" borderId="1" xfId="0" applyBorder="1"/>
    <xf numFmtId="43" fontId="0" fillId="0" borderId="1" xfId="1" applyNumberFormat="1" applyFont="1" applyBorder="1"/>
    <xf numFmtId="43" fontId="29" fillId="0" borderId="0" xfId="0" applyNumberFormat="1" applyFont="1"/>
    <xf numFmtId="43" fontId="0" fillId="0" borderId="0" xfId="1" applyNumberFormat="1" applyFont="1"/>
    <xf numFmtId="0" fontId="37" fillId="0" borderId="0" xfId="0" applyFont="1"/>
    <xf numFmtId="0" fontId="38" fillId="0" borderId="0" xfId="0" applyFont="1"/>
    <xf numFmtId="0" fontId="40" fillId="0" borderId="0" xfId="0" applyFont="1"/>
    <xf numFmtId="167" fontId="40" fillId="0" borderId="0" xfId="3" applyNumberFormat="1" applyFont="1"/>
    <xf numFmtId="0" fontId="41" fillId="0" borderId="0" xfId="0" applyFont="1"/>
    <xf numFmtId="0" fontId="9" fillId="0" borderId="21" xfId="0" applyFont="1" applyBorder="1"/>
    <xf numFmtId="0" fontId="13" fillId="0" borderId="24" xfId="0" applyFont="1" applyBorder="1"/>
    <xf numFmtId="3" fontId="9" fillId="0" borderId="12" xfId="0" applyNumberFormat="1" applyFont="1" applyBorder="1" applyAlignment="1">
      <alignment horizontal="right" vertical="center"/>
    </xf>
    <xf numFmtId="43" fontId="13" fillId="0" borderId="10" xfId="1" applyFont="1" applyBorder="1" applyAlignment="1">
      <alignment horizontal="left" vertical="center" wrapText="1"/>
    </xf>
    <xf numFmtId="3" fontId="9" fillId="0" borderId="6" xfId="0" applyNumberFormat="1" applyFont="1" applyBorder="1" applyAlignment="1">
      <alignment horizontal="right" vertical="center"/>
    </xf>
    <xf numFmtId="43" fontId="13" fillId="0" borderId="7" xfId="1" applyFont="1" applyBorder="1" applyAlignment="1">
      <alignment horizontal="left" vertical="center" wrapText="1"/>
    </xf>
    <xf numFmtId="175" fontId="9" fillId="0" borderId="0" xfId="0" applyNumberFormat="1" applyFont="1" applyBorder="1" applyAlignment="1">
      <alignment horizontal="right" vertical="center"/>
    </xf>
    <xf numFmtId="175" fontId="9" fillId="0" borderId="0" xfId="0" applyNumberFormat="1" applyFont="1" applyBorder="1" applyAlignment="1">
      <alignment vertical="center"/>
    </xf>
    <xf numFmtId="167" fontId="0" fillId="18" borderId="1" xfId="3" applyNumberFormat="1" applyFont="1" applyFill="1" applyBorder="1" applyAlignment="1">
      <alignment horizontal="right" vertical="center"/>
    </xf>
    <xf numFmtId="167" fontId="0" fillId="15" borderId="1" xfId="3" applyNumberFormat="1" applyFont="1" applyFill="1" applyBorder="1" applyAlignment="1">
      <alignment horizontal="right" vertical="center"/>
    </xf>
    <xf numFmtId="0" fontId="24" fillId="0" borderId="1" xfId="0" applyFont="1" applyBorder="1" applyAlignment="1">
      <alignment horizontal="left" vertical="top" wrapText="1"/>
    </xf>
    <xf numFmtId="0" fontId="0" fillId="0" borderId="0" xfId="0" applyAlignment="1">
      <alignment horizontal="center"/>
    </xf>
    <xf numFmtId="0" fontId="1" fillId="0" borderId="1" xfId="0" applyFont="1" applyBorder="1" applyAlignment="1">
      <alignment horizontal="left" vertical="top"/>
    </xf>
    <xf numFmtId="0" fontId="1" fillId="0" borderId="1" xfId="0" applyFont="1" applyFill="1" applyBorder="1" applyAlignment="1">
      <alignment horizontal="left" vertical="top"/>
    </xf>
    <xf numFmtId="0" fontId="33" fillId="0" borderId="1" xfId="0" applyFont="1" applyBorder="1" applyAlignment="1">
      <alignment horizontal="left" vertical="top"/>
    </xf>
    <xf numFmtId="0" fontId="9" fillId="0" borderId="22" xfId="0" applyFont="1" applyBorder="1" applyAlignment="1"/>
    <xf numFmtId="9" fontId="1" fillId="0" borderId="0" xfId="3" applyNumberFormat="1" applyFont="1"/>
    <xf numFmtId="9" fontId="9" fillId="0" borderId="0" xfId="3" applyFont="1" applyBorder="1" applyAlignment="1">
      <alignment horizontal="right" vertical="center"/>
    </xf>
    <xf numFmtId="9" fontId="9" fillId="0" borderId="2" xfId="3" applyFont="1" applyBorder="1" applyAlignment="1">
      <alignment horizontal="right" vertical="center"/>
    </xf>
    <xf numFmtId="4" fontId="9" fillId="0" borderId="0" xfId="0" applyNumberFormat="1" applyFont="1" applyBorder="1" applyAlignment="1">
      <alignment horizontal="right" vertical="center"/>
    </xf>
    <xf numFmtId="0" fontId="2" fillId="0" borderId="20" xfId="0" applyFont="1" applyBorder="1" applyAlignment="1">
      <alignment horizontal="left" vertical="top"/>
    </xf>
    <xf numFmtId="165" fontId="24" fillId="0" borderId="20" xfId="0" applyNumberFormat="1" applyFont="1" applyBorder="1" applyAlignment="1">
      <alignment horizontal="left" vertical="top" wrapText="1"/>
    </xf>
    <xf numFmtId="0" fontId="42" fillId="19" borderId="20" xfId="0" applyFont="1" applyFill="1" applyBorder="1" applyAlignment="1">
      <alignment horizontal="left" vertical="top" wrapText="1"/>
    </xf>
    <xf numFmtId="0" fontId="2" fillId="4" borderId="25" xfId="0" applyFont="1" applyFill="1" applyBorder="1" applyAlignment="1">
      <alignment horizontal="left" vertical="top"/>
    </xf>
    <xf numFmtId="165" fontId="24" fillId="0" borderId="25" xfId="0" applyNumberFormat="1" applyFont="1" applyBorder="1" applyAlignment="1">
      <alignment horizontal="left" vertical="top" wrapText="1"/>
    </xf>
    <xf numFmtId="0" fontId="2" fillId="4" borderId="20" xfId="0" applyFont="1" applyFill="1" applyBorder="1" applyAlignment="1">
      <alignment horizontal="left" vertical="top"/>
    </xf>
    <xf numFmtId="0" fontId="2" fillId="4" borderId="8" xfId="0" applyFont="1" applyFill="1" applyBorder="1" applyAlignment="1">
      <alignment horizontal="left" vertical="top"/>
    </xf>
    <xf numFmtId="165" fontId="24" fillId="0" borderId="8" xfId="0" applyNumberFormat="1" applyFont="1" applyBorder="1" applyAlignment="1">
      <alignment horizontal="left" vertical="top" wrapText="1"/>
    </xf>
    <xf numFmtId="165" fontId="24" fillId="0" borderId="25" xfId="0" quotePrefix="1" applyNumberFormat="1" applyFont="1" applyBorder="1" applyAlignment="1">
      <alignment horizontal="left" vertical="top" wrapText="1"/>
    </xf>
    <xf numFmtId="165" fontId="42" fillId="19" borderId="20" xfId="0" applyNumberFormat="1" applyFont="1" applyFill="1" applyBorder="1" applyAlignment="1">
      <alignment horizontal="left" vertical="top" wrapText="1"/>
    </xf>
    <xf numFmtId="0" fontId="2" fillId="0" borderId="8" xfId="0" applyFont="1" applyBorder="1" applyAlignment="1">
      <alignment horizontal="left" vertical="top"/>
    </xf>
    <xf numFmtId="0" fontId="42" fillId="19" borderId="8" xfId="0" applyFont="1" applyFill="1" applyBorder="1" applyAlignment="1">
      <alignment horizontal="left" vertical="top" wrapText="1"/>
    </xf>
    <xf numFmtId="165" fontId="42" fillId="19" borderId="8" xfId="0" applyNumberFormat="1" applyFont="1" applyFill="1" applyBorder="1" applyAlignment="1">
      <alignment horizontal="left" vertical="top" wrapText="1"/>
    </xf>
    <xf numFmtId="0" fontId="2" fillId="0" borderId="25" xfId="0" applyFont="1" applyBorder="1" applyAlignment="1">
      <alignment horizontal="left" vertical="top"/>
    </xf>
    <xf numFmtId="0" fontId="42" fillId="19" borderId="25" xfId="0" applyFont="1" applyFill="1" applyBorder="1" applyAlignment="1">
      <alignment horizontal="left" vertical="top" wrapText="1"/>
    </xf>
    <xf numFmtId="165" fontId="42" fillId="19" borderId="25" xfId="0" quotePrefix="1" applyNumberFormat="1" applyFont="1" applyFill="1" applyBorder="1" applyAlignment="1">
      <alignment horizontal="left" vertical="top" wrapText="1"/>
    </xf>
    <xf numFmtId="0" fontId="2" fillId="0" borderId="20" xfId="0" applyFont="1" applyFill="1" applyBorder="1" applyAlignment="1">
      <alignment horizontal="left" vertical="top"/>
    </xf>
    <xf numFmtId="0" fontId="43" fillId="19" borderId="20" xfId="0" applyFont="1" applyFill="1" applyBorder="1" applyAlignment="1">
      <alignment horizontal="left" vertical="top" wrapText="1"/>
    </xf>
    <xf numFmtId="0" fontId="2" fillId="0" borderId="8" xfId="0" applyFont="1" applyFill="1" applyBorder="1" applyAlignment="1">
      <alignment horizontal="left" vertical="top"/>
    </xf>
    <xf numFmtId="0" fontId="2" fillId="0" borderId="25" xfId="0" applyFont="1" applyFill="1" applyBorder="1" applyAlignment="1">
      <alignment horizontal="left" vertical="top"/>
    </xf>
    <xf numFmtId="0" fontId="8" fillId="3" borderId="38" xfId="0" applyFont="1" applyFill="1" applyBorder="1" applyAlignment="1">
      <alignment horizontal="center"/>
    </xf>
    <xf numFmtId="0" fontId="24" fillId="0" borderId="39" xfId="0" applyFont="1" applyBorder="1" applyAlignment="1">
      <alignment horizontal="left" vertical="top" wrapText="1"/>
    </xf>
    <xf numFmtId="0" fontId="24" fillId="0" borderId="40" xfId="0" applyFont="1" applyBorder="1" applyAlignment="1">
      <alignment horizontal="left" vertical="top" wrapText="1"/>
    </xf>
    <xf numFmtId="0" fontId="24" fillId="0" borderId="41" xfId="0" applyFont="1" applyBorder="1" applyAlignment="1">
      <alignment horizontal="left" vertical="top" wrapText="1"/>
    </xf>
    <xf numFmtId="0" fontId="42" fillId="19" borderId="39" xfId="0" applyFont="1" applyFill="1" applyBorder="1" applyAlignment="1">
      <alignment horizontal="left" vertical="top" wrapText="1"/>
    </xf>
    <xf numFmtId="0" fontId="42" fillId="19" borderId="40" xfId="0" applyFont="1" applyFill="1" applyBorder="1" applyAlignment="1">
      <alignment horizontal="left" vertical="top" wrapText="1"/>
    </xf>
    <xf numFmtId="0" fontId="42" fillId="19" borderId="41" xfId="0" applyFont="1" applyFill="1" applyBorder="1" applyAlignment="1">
      <alignment horizontal="left" vertical="top" wrapText="1"/>
    </xf>
    <xf numFmtId="0" fontId="43" fillId="19" borderId="39" xfId="0" applyFont="1" applyFill="1" applyBorder="1" applyAlignment="1">
      <alignment horizontal="left" vertical="top" wrapText="1"/>
    </xf>
    <xf numFmtId="0" fontId="42" fillId="19" borderId="42" xfId="0" applyFont="1" applyFill="1" applyBorder="1" applyAlignment="1">
      <alignment horizontal="left" vertical="top" wrapText="1"/>
    </xf>
    <xf numFmtId="165" fontId="42" fillId="19" borderId="43" xfId="0" quotePrefix="1" applyNumberFormat="1" applyFont="1" applyFill="1" applyBorder="1" applyAlignment="1">
      <alignment horizontal="left" vertical="top" wrapText="1"/>
    </xf>
    <xf numFmtId="0" fontId="8" fillId="3" borderId="46" xfId="0" applyFont="1" applyFill="1" applyBorder="1" applyAlignment="1">
      <alignment horizontal="center"/>
    </xf>
    <xf numFmtId="0" fontId="8" fillId="3" borderId="47" xfId="0" applyFont="1" applyFill="1" applyBorder="1" applyAlignment="1">
      <alignment horizontal="center"/>
    </xf>
    <xf numFmtId="0" fontId="24" fillId="0" borderId="48" xfId="0" applyFont="1" applyBorder="1" applyAlignment="1">
      <alignment horizontal="left" vertical="top" wrapText="1"/>
    </xf>
    <xf numFmtId="165" fontId="24" fillId="0" borderId="49" xfId="0" applyNumberFormat="1" applyFont="1" applyBorder="1" applyAlignment="1">
      <alignment horizontal="left" vertical="top" wrapText="1"/>
    </xf>
    <xf numFmtId="0" fontId="24" fillId="0" borderId="50" xfId="0" applyFont="1" applyBorder="1" applyAlignment="1">
      <alignment horizontal="left" vertical="top" wrapText="1"/>
    </xf>
    <xf numFmtId="165" fontId="24" fillId="0" borderId="51" xfId="0" applyNumberFormat="1" applyFont="1" applyBorder="1" applyAlignment="1">
      <alignment horizontal="left" vertical="top" wrapText="1"/>
    </xf>
    <xf numFmtId="0" fontId="24" fillId="0" borderId="52" xfId="0" applyFont="1" applyBorder="1" applyAlignment="1">
      <alignment horizontal="left" vertical="top" wrapText="1"/>
    </xf>
    <xf numFmtId="165" fontId="24" fillId="0" borderId="53" xfId="0" quotePrefix="1" applyNumberFormat="1" applyFont="1" applyBorder="1" applyAlignment="1">
      <alignment horizontal="left" vertical="top" wrapText="1"/>
    </xf>
    <xf numFmtId="0" fontId="42" fillId="19" borderId="48" xfId="0" applyFont="1" applyFill="1" applyBorder="1" applyAlignment="1">
      <alignment horizontal="left" vertical="top" wrapText="1"/>
    </xf>
    <xf numFmtId="0" fontId="42" fillId="19" borderId="50" xfId="0" applyFont="1" applyFill="1" applyBorder="1" applyAlignment="1">
      <alignment horizontal="left" vertical="top" wrapText="1"/>
    </xf>
    <xf numFmtId="0" fontId="42" fillId="19" borderId="52" xfId="0" applyFont="1" applyFill="1" applyBorder="1" applyAlignment="1">
      <alignment horizontal="left" vertical="top" wrapText="1"/>
    </xf>
    <xf numFmtId="0" fontId="43" fillId="19" borderId="48" xfId="0" applyFont="1" applyFill="1" applyBorder="1" applyAlignment="1">
      <alignment horizontal="left" vertical="top" wrapText="1"/>
    </xf>
    <xf numFmtId="0" fontId="42" fillId="19" borderId="54" xfId="0" applyFont="1" applyFill="1" applyBorder="1" applyAlignment="1">
      <alignment horizontal="left" vertical="top" wrapText="1"/>
    </xf>
    <xf numFmtId="165" fontId="42" fillId="19" borderId="55" xfId="0" quotePrefix="1" applyNumberFormat="1" applyFont="1" applyFill="1" applyBorder="1" applyAlignment="1">
      <alignment horizontal="left" vertical="top" wrapText="1"/>
    </xf>
    <xf numFmtId="165" fontId="24" fillId="0" borderId="55" xfId="0" quotePrefix="1" applyNumberFormat="1" applyFont="1" applyBorder="1" applyAlignment="1">
      <alignment horizontal="left" vertical="top" wrapText="1"/>
    </xf>
    <xf numFmtId="165" fontId="24" fillId="0" borderId="56" xfId="0" quotePrefix="1" applyNumberFormat="1" applyFont="1" applyBorder="1" applyAlignment="1">
      <alignment horizontal="left" vertical="top" wrapText="1"/>
    </xf>
    <xf numFmtId="165" fontId="24" fillId="0" borderId="53" xfId="0" applyNumberFormat="1" applyFont="1" applyBorder="1" applyAlignment="1">
      <alignment horizontal="left" vertical="top" wrapText="1"/>
    </xf>
    <xf numFmtId="49" fontId="0" fillId="20" borderId="0" xfId="0" applyNumberFormat="1" applyFill="1"/>
    <xf numFmtId="49" fontId="0" fillId="5" borderId="0" xfId="0" applyNumberFormat="1" applyFill="1"/>
    <xf numFmtId="49" fontId="0" fillId="21" borderId="0" xfId="0" applyNumberFormat="1" applyFill="1"/>
    <xf numFmtId="0" fontId="0" fillId="0" borderId="0" xfId="0" applyAlignment="1">
      <alignment horizontal="center"/>
    </xf>
    <xf numFmtId="0" fontId="1" fillId="0" borderId="1" xfId="0" applyFont="1" applyBorder="1" applyAlignment="1">
      <alignment horizontal="center"/>
    </xf>
    <xf numFmtId="0" fontId="44" fillId="0" borderId="0" xfId="0" applyFont="1" applyAlignment="1">
      <alignment vertical="center"/>
    </xf>
    <xf numFmtId="0" fontId="46" fillId="0" borderId="0" xfId="0" applyFont="1"/>
    <xf numFmtId="0" fontId="48" fillId="0" borderId="60" xfId="0" applyFont="1" applyBorder="1" applyAlignment="1">
      <alignment horizontal="center" vertical="center"/>
    </xf>
    <xf numFmtId="0" fontId="45" fillId="0" borderId="60" xfId="0" applyFont="1" applyBorder="1" applyAlignment="1">
      <alignment horizontal="center" vertical="center"/>
    </xf>
    <xf numFmtId="0" fontId="49" fillId="0" borderId="19" xfId="0" applyFont="1" applyBorder="1" applyAlignment="1">
      <alignment horizontal="center" vertical="center"/>
    </xf>
    <xf numFmtId="164" fontId="50" fillId="0" borderId="65" xfId="1" applyNumberFormat="1" applyFont="1" applyBorder="1" applyAlignment="1">
      <alignment horizontal="center" vertical="center"/>
    </xf>
    <xf numFmtId="164" fontId="50" fillId="0" borderId="67" xfId="1" applyNumberFormat="1" applyFont="1" applyBorder="1" applyAlignment="1">
      <alignment horizontal="center" vertical="center"/>
    </xf>
    <xf numFmtId="164" fontId="50" fillId="0" borderId="64" xfId="1" applyNumberFormat="1" applyFont="1" applyBorder="1" applyAlignment="1">
      <alignment horizontal="center" vertical="center"/>
    </xf>
    <xf numFmtId="0" fontId="51" fillId="0" borderId="69" xfId="0" applyFont="1" applyBorder="1" applyAlignment="1">
      <alignment horizontal="center" vertical="center"/>
    </xf>
    <xf numFmtId="164" fontId="33" fillId="0" borderId="19" xfId="1" applyNumberFormat="1" applyFont="1" applyBorder="1" applyAlignment="1">
      <alignment horizontal="center"/>
    </xf>
    <xf numFmtId="164" fontId="1" fillId="0" borderId="19" xfId="1" applyNumberFormat="1" applyFont="1" applyBorder="1" applyAlignment="1">
      <alignment horizontal="center"/>
    </xf>
    <xf numFmtId="164" fontId="1" fillId="0" borderId="45" xfId="1" applyNumberFormat="1" applyFont="1" applyBorder="1" applyAlignment="1"/>
    <xf numFmtId="3" fontId="0" fillId="0" borderId="1" xfId="0" applyNumberFormat="1" applyBorder="1" applyAlignment="1">
      <alignment horizontal="right"/>
    </xf>
    <xf numFmtId="3" fontId="0" fillId="0" borderId="20" xfId="0" applyNumberFormat="1" applyBorder="1" applyAlignment="1">
      <alignment horizontal="right"/>
    </xf>
    <xf numFmtId="0" fontId="0" fillId="0" borderId="0" xfId="0" applyAlignment="1">
      <alignment horizontal="right"/>
    </xf>
    <xf numFmtId="0" fontId="4" fillId="0" borderId="19" xfId="0" applyFont="1" applyBorder="1" applyAlignment="1">
      <alignment horizontal="center"/>
    </xf>
    <xf numFmtId="164" fontId="0" fillId="0" borderId="20" xfId="1" applyNumberFormat="1" applyFont="1" applyBorder="1" applyAlignment="1">
      <alignment horizontal="center"/>
    </xf>
    <xf numFmtId="164" fontId="7" fillId="0" borderId="20" xfId="1" applyNumberFormat="1" applyFont="1" applyBorder="1" applyAlignment="1">
      <alignment horizontal="center"/>
    </xf>
    <xf numFmtId="167" fontId="0" fillId="23" borderId="1" xfId="3" applyNumberFormat="1" applyFont="1" applyFill="1" applyBorder="1" applyAlignment="1">
      <alignment horizontal="right" vertical="center"/>
    </xf>
    <xf numFmtId="0" fontId="53" fillId="0" borderId="3" xfId="0" applyFont="1" applyBorder="1" applyAlignment="1">
      <alignment horizontal="center" wrapText="1"/>
    </xf>
    <xf numFmtId="0" fontId="54" fillId="0" borderId="1" xfId="0" applyFont="1" applyBorder="1" applyAlignment="1">
      <alignment vertical="top" wrapText="1"/>
    </xf>
    <xf numFmtId="0" fontId="11" fillId="0" borderId="2" xfId="0" applyFont="1" applyBorder="1" applyAlignment="1">
      <alignment horizontal="right" vertical="center"/>
    </xf>
    <xf numFmtId="166" fontId="9" fillId="0" borderId="22" xfId="0" applyNumberFormat="1" applyFont="1" applyBorder="1" applyAlignment="1">
      <alignment horizontal="right" vertical="center"/>
    </xf>
    <xf numFmtId="166" fontId="9" fillId="0" borderId="0" xfId="0" applyNumberFormat="1" applyFont="1" applyBorder="1" applyAlignment="1">
      <alignment horizontal="right" vertical="center"/>
    </xf>
    <xf numFmtId="166" fontId="14" fillId="0" borderId="0" xfId="1" applyNumberFormat="1" applyFont="1" applyBorder="1" applyAlignment="1">
      <alignment horizontal="right" vertical="center"/>
    </xf>
    <xf numFmtId="166" fontId="16" fillId="0" borderId="0" xfId="0" applyNumberFormat="1" applyFont="1" applyBorder="1" applyAlignment="1">
      <alignment horizontal="right" vertical="center"/>
    </xf>
    <xf numFmtId="166" fontId="9" fillId="0" borderId="2" xfId="0" applyNumberFormat="1" applyFont="1" applyBorder="1" applyAlignment="1">
      <alignment horizontal="right" vertical="center"/>
    </xf>
    <xf numFmtId="0" fontId="9" fillId="0" borderId="0" xfId="0" applyFont="1" applyBorder="1" applyAlignment="1">
      <alignment horizontal="right" vertical="center"/>
    </xf>
    <xf numFmtId="0" fontId="9" fillId="0" borderId="2" xfId="0" applyFont="1" applyBorder="1" applyAlignment="1">
      <alignment horizontal="right" vertical="center"/>
    </xf>
    <xf numFmtId="0" fontId="9" fillId="0" borderId="0" xfId="0" applyFont="1" applyBorder="1" applyAlignment="1">
      <alignment horizontal="right" vertical="top"/>
    </xf>
    <xf numFmtId="0" fontId="0" fillId="0" borderId="2" xfId="0" applyBorder="1" applyAlignment="1">
      <alignment horizontal="right"/>
    </xf>
    <xf numFmtId="43" fontId="12" fillId="0" borderId="0" xfId="1" applyFont="1" applyBorder="1" applyAlignment="1">
      <alignment horizontal="right" vertical="top"/>
    </xf>
    <xf numFmtId="43" fontId="12" fillId="0" borderId="2" xfId="1" applyFont="1" applyBorder="1" applyAlignment="1">
      <alignment horizontal="right" vertical="top"/>
    </xf>
    <xf numFmtId="0" fontId="0" fillId="0" borderId="10" xfId="0" applyBorder="1"/>
    <xf numFmtId="165" fontId="9" fillId="0" borderId="20" xfId="2" applyNumberFormat="1" applyFont="1" applyBorder="1" applyAlignment="1">
      <alignment horizontal="right" vertical="center"/>
    </xf>
    <xf numFmtId="3" fontId="9" fillId="0" borderId="22" xfId="0" applyNumberFormat="1" applyFont="1" applyBorder="1" applyAlignment="1">
      <alignment horizontal="right" vertical="center"/>
    </xf>
    <xf numFmtId="165" fontId="9" fillId="0" borderId="22" xfId="2" applyNumberFormat="1" applyFont="1" applyBorder="1" applyAlignment="1">
      <alignment horizontal="right" vertical="center"/>
    </xf>
    <xf numFmtId="43" fontId="13" fillId="0" borderId="23" xfId="1" applyFont="1" applyBorder="1" applyAlignment="1">
      <alignment horizontal="left" vertical="center" wrapText="1"/>
    </xf>
    <xf numFmtId="168" fontId="16" fillId="0" borderId="8" xfId="0" applyNumberFormat="1" applyFont="1" applyBorder="1" applyAlignment="1">
      <alignment vertical="center"/>
    </xf>
    <xf numFmtId="0" fontId="55" fillId="0" borderId="0" xfId="0" applyFont="1"/>
    <xf numFmtId="3" fontId="0" fillId="0" borderId="0" xfId="0" applyNumberFormat="1"/>
    <xf numFmtId="3" fontId="0" fillId="0" borderId="71" xfId="0" applyNumberFormat="1" applyBorder="1" applyAlignment="1">
      <alignment horizontal="right"/>
    </xf>
    <xf numFmtId="3" fontId="0" fillId="0" borderId="21" xfId="0" applyNumberFormat="1" applyBorder="1" applyAlignment="1">
      <alignment horizontal="right"/>
    </xf>
    <xf numFmtId="3" fontId="0" fillId="0" borderId="72" xfId="0" applyNumberFormat="1" applyBorder="1" applyAlignment="1">
      <alignment horizontal="right"/>
    </xf>
    <xf numFmtId="3" fontId="0" fillId="0" borderId="48" xfId="0" applyNumberFormat="1" applyBorder="1" applyAlignment="1">
      <alignment horizontal="right"/>
    </xf>
    <xf numFmtId="3" fontId="0" fillId="0" borderId="73" xfId="0" applyNumberFormat="1" applyBorder="1" applyAlignment="1">
      <alignment horizontal="right"/>
    </xf>
    <xf numFmtId="3" fontId="0" fillId="0" borderId="74" xfId="0" applyNumberFormat="1" applyBorder="1"/>
    <xf numFmtId="43" fontId="0" fillId="0" borderId="1" xfId="1" applyFont="1" applyBorder="1"/>
    <xf numFmtId="43" fontId="0" fillId="0" borderId="0" xfId="1" applyFont="1"/>
    <xf numFmtId="165" fontId="4" fillId="0" borderId="44" xfId="0" applyNumberFormat="1" applyFont="1" applyBorder="1" applyAlignment="1">
      <alignment horizontal="center"/>
    </xf>
    <xf numFmtId="165" fontId="4" fillId="0" borderId="57" xfId="0" applyNumberFormat="1" applyFont="1" applyBorder="1" applyAlignment="1">
      <alignment horizontal="center"/>
    </xf>
    <xf numFmtId="165" fontId="33" fillId="0" borderId="44" xfId="0" applyNumberFormat="1" applyFont="1" applyBorder="1" applyAlignment="1">
      <alignment horizontal="center"/>
    </xf>
    <xf numFmtId="165" fontId="33" fillId="0" borderId="57" xfId="0" applyNumberFormat="1" applyFont="1" applyBorder="1" applyAlignment="1">
      <alignment horizontal="center"/>
    </xf>
    <xf numFmtId="165" fontId="4" fillId="0" borderId="1" xfId="0" applyNumberFormat="1" applyFont="1" applyBorder="1" applyAlignment="1">
      <alignment horizontal="center"/>
    </xf>
    <xf numFmtId="0" fontId="4" fillId="0" borderId="0" xfId="0" applyFont="1"/>
    <xf numFmtId="165" fontId="16" fillId="0" borderId="12" xfId="0" applyNumberFormat="1" applyFont="1" applyBorder="1" applyAlignment="1">
      <alignment vertical="center"/>
    </xf>
    <xf numFmtId="0" fontId="9" fillId="0" borderId="76" xfId="0" applyFont="1" applyBorder="1" applyAlignment="1">
      <alignment vertical="center"/>
    </xf>
    <xf numFmtId="3" fontId="10" fillId="0" borderId="25" xfId="1" applyNumberFormat="1" applyFont="1" applyBorder="1" applyAlignment="1">
      <alignment horizontal="right" vertical="center"/>
    </xf>
    <xf numFmtId="165" fontId="11" fillId="0" borderId="35" xfId="0" applyNumberFormat="1" applyFont="1" applyBorder="1" applyAlignment="1">
      <alignment horizontal="centerContinuous" vertical="top"/>
    </xf>
    <xf numFmtId="8" fontId="10" fillId="0" borderId="8" xfId="0" applyNumberFormat="1" applyFont="1" applyBorder="1" applyAlignment="1">
      <alignment horizontal="centerContinuous" vertical="center"/>
    </xf>
    <xf numFmtId="169" fontId="11" fillId="0" borderId="8" xfId="0" applyNumberFormat="1" applyFont="1" applyBorder="1" applyAlignment="1">
      <alignment horizontal="centerContinuous" vertical="center"/>
    </xf>
    <xf numFmtId="165" fontId="11" fillId="0" borderId="0" xfId="0" applyNumberFormat="1" applyFont="1" applyBorder="1" applyAlignment="1">
      <alignment vertical="center"/>
    </xf>
    <xf numFmtId="0" fontId="7" fillId="0" borderId="12" xfId="0" applyFont="1" applyBorder="1" applyAlignment="1">
      <alignment vertical="center"/>
    </xf>
    <xf numFmtId="0" fontId="11" fillId="0" borderId="12" xfId="0" applyFont="1" applyBorder="1" applyAlignment="1">
      <alignment vertical="top"/>
    </xf>
    <xf numFmtId="166" fontId="10" fillId="0" borderId="12" xfId="0" applyNumberFormat="1" applyFont="1" applyBorder="1" applyAlignment="1">
      <alignment vertical="center"/>
    </xf>
    <xf numFmtId="3" fontId="15" fillId="0" borderId="12" xfId="1" applyNumberFormat="1" applyFont="1" applyBorder="1" applyAlignment="1">
      <alignment vertical="center"/>
    </xf>
    <xf numFmtId="167" fontId="11" fillId="0" borderId="12" xfId="3" applyNumberFormat="1" applyFont="1" applyBorder="1" applyAlignment="1">
      <alignment vertical="center"/>
    </xf>
    <xf numFmtId="165" fontId="7" fillId="0" borderId="6" xfId="0" applyNumberFormat="1" applyFont="1" applyBorder="1" applyAlignment="1">
      <alignment vertical="center"/>
    </xf>
    <xf numFmtId="0" fontId="7" fillId="0" borderId="6" xfId="0" applyFont="1" applyBorder="1" applyAlignment="1">
      <alignment vertical="center"/>
    </xf>
    <xf numFmtId="0" fontId="11" fillId="0" borderId="12" xfId="0" applyFont="1" applyBorder="1" applyAlignment="1">
      <alignment vertical="center"/>
    </xf>
    <xf numFmtId="0" fontId="7" fillId="0" borderId="6" xfId="0" applyFont="1" applyBorder="1"/>
    <xf numFmtId="166" fontId="10" fillId="0" borderId="12" xfId="0" applyNumberFormat="1" applyFont="1" applyBorder="1" applyAlignment="1">
      <alignment vertical="top"/>
    </xf>
    <xf numFmtId="165" fontId="11" fillId="0" borderId="6" xfId="0" applyNumberFormat="1" applyFont="1" applyBorder="1" applyAlignment="1">
      <alignment vertical="top"/>
    </xf>
    <xf numFmtId="3" fontId="15" fillId="0" borderId="8" xfId="1" applyNumberFormat="1" applyFont="1" applyBorder="1" applyAlignment="1">
      <alignment vertical="center"/>
    </xf>
    <xf numFmtId="165" fontId="11" fillId="0" borderId="17" xfId="0" applyNumberFormat="1" applyFont="1" applyBorder="1" applyAlignment="1">
      <alignment horizontal="center" vertical="top"/>
    </xf>
    <xf numFmtId="168" fontId="11" fillId="0" borderId="18" xfId="0" applyNumberFormat="1" applyFont="1" applyBorder="1" applyAlignment="1">
      <alignment horizontal="center" vertical="top"/>
    </xf>
    <xf numFmtId="8" fontId="10" fillId="0" borderId="0" xfId="0" applyNumberFormat="1" applyFont="1" applyBorder="1" applyAlignment="1">
      <alignment horizontal="center" vertical="center"/>
    </xf>
    <xf numFmtId="43" fontId="10" fillId="0" borderId="11" xfId="1" applyFont="1" applyBorder="1" applyAlignment="1">
      <alignment horizontal="center" vertical="center"/>
    </xf>
    <xf numFmtId="169" fontId="11" fillId="0" borderId="0" xfId="0" applyNumberFormat="1" applyFont="1" applyBorder="1" applyAlignment="1">
      <alignment horizontal="center" vertical="center"/>
    </xf>
    <xf numFmtId="170" fontId="7" fillId="0" borderId="11" xfId="1" applyNumberFormat="1" applyFont="1" applyBorder="1" applyAlignment="1">
      <alignment horizontal="center" vertical="center"/>
    </xf>
    <xf numFmtId="176" fontId="7" fillId="0" borderId="77" xfId="0" applyNumberFormat="1" applyFont="1" applyBorder="1" applyAlignment="1">
      <alignment vertical="center"/>
    </xf>
    <xf numFmtId="176" fontId="7" fillId="0" borderId="78" xfId="0" applyNumberFormat="1" applyFont="1" applyBorder="1" applyAlignment="1">
      <alignment vertical="center"/>
    </xf>
    <xf numFmtId="176" fontId="7" fillId="0" borderId="31" xfId="0" applyNumberFormat="1" applyFont="1" applyBorder="1" applyAlignment="1">
      <alignment vertical="center"/>
    </xf>
    <xf numFmtId="176" fontId="15" fillId="0" borderId="78" xfId="1" applyNumberFormat="1" applyFont="1" applyBorder="1" applyAlignment="1">
      <alignment vertical="center"/>
    </xf>
    <xf numFmtId="176" fontId="11" fillId="0" borderId="78" xfId="0" applyNumberFormat="1" applyFont="1" applyBorder="1" applyAlignment="1">
      <alignment vertical="center"/>
    </xf>
    <xf numFmtId="176" fontId="11" fillId="0" borderId="78" xfId="0" applyNumberFormat="1" applyFont="1" applyBorder="1" applyAlignment="1">
      <alignment vertical="top"/>
    </xf>
    <xf numFmtId="176" fontId="7" fillId="0" borderId="31" xfId="0" applyNumberFormat="1" applyFont="1" applyBorder="1"/>
    <xf numFmtId="176" fontId="10" fillId="0" borderId="78" xfId="0" applyNumberFormat="1" applyFont="1" applyBorder="1" applyAlignment="1">
      <alignment vertical="top"/>
    </xf>
    <xf numFmtId="176" fontId="10" fillId="0" borderId="78" xfId="0" applyNumberFormat="1" applyFont="1" applyBorder="1" applyAlignment="1">
      <alignment vertical="center"/>
    </xf>
    <xf numFmtId="176" fontId="11" fillId="0" borderId="31" xfId="0" applyNumberFormat="1" applyFont="1" applyBorder="1" applyAlignment="1">
      <alignment vertical="top"/>
    </xf>
    <xf numFmtId="176" fontId="16" fillId="0" borderId="78" xfId="0" applyNumberFormat="1" applyFont="1" applyBorder="1" applyAlignment="1">
      <alignment vertical="center"/>
    </xf>
    <xf numFmtId="176" fontId="9" fillId="0" borderId="79" xfId="0" applyNumberFormat="1" applyFont="1" applyBorder="1" applyAlignment="1">
      <alignment vertical="center"/>
    </xf>
    <xf numFmtId="165" fontId="7" fillId="0" borderId="31" xfId="0" applyNumberFormat="1" applyFont="1" applyBorder="1" applyAlignment="1">
      <alignment vertical="center"/>
    </xf>
    <xf numFmtId="174" fontId="11" fillId="0" borderId="0" xfId="2" applyNumberFormat="1" applyFont="1" applyBorder="1" applyAlignment="1">
      <alignment vertical="center"/>
    </xf>
    <xf numFmtId="166" fontId="20" fillId="0" borderId="20" xfId="0" applyNumberFormat="1" applyFont="1" applyBorder="1" applyAlignment="1">
      <alignment vertical="top"/>
    </xf>
    <xf numFmtId="166" fontId="20" fillId="0" borderId="8" xfId="0" applyNumberFormat="1" applyFont="1" applyBorder="1" applyAlignment="1">
      <alignment vertical="top"/>
    </xf>
    <xf numFmtId="166" fontId="20" fillId="0" borderId="8" xfId="0" applyNumberFormat="1" applyFont="1" applyBorder="1" applyAlignment="1">
      <alignment vertical="center"/>
    </xf>
    <xf numFmtId="166" fontId="9" fillId="0" borderId="20" xfId="0" applyNumberFormat="1" applyFont="1" applyBorder="1" applyAlignment="1">
      <alignment horizontal="right" vertical="center"/>
    </xf>
    <xf numFmtId="166" fontId="9" fillId="0" borderId="8" xfId="0" applyNumberFormat="1" applyFont="1" applyBorder="1" applyAlignment="1">
      <alignment horizontal="right" vertical="center"/>
    </xf>
    <xf numFmtId="166" fontId="9" fillId="0" borderId="25" xfId="0" applyNumberFormat="1" applyFont="1" applyBorder="1" applyAlignment="1">
      <alignment horizontal="right" vertical="center"/>
    </xf>
    <xf numFmtId="0" fontId="13" fillId="0" borderId="25" xfId="0" quotePrefix="1" applyFont="1" applyBorder="1" applyAlignment="1">
      <alignment vertical="center"/>
    </xf>
    <xf numFmtId="166" fontId="14" fillId="0" borderId="8" xfId="1" applyNumberFormat="1" applyFont="1" applyBorder="1" applyAlignment="1">
      <alignment horizontal="right" vertical="center"/>
    </xf>
    <xf numFmtId="166" fontId="16" fillId="0" borderId="8" xfId="0" applyNumberFormat="1" applyFont="1" applyBorder="1" applyAlignment="1">
      <alignment horizontal="right" vertical="center"/>
    </xf>
    <xf numFmtId="0" fontId="9" fillId="0" borderId="8" xfId="0" applyFont="1" applyBorder="1" applyAlignment="1">
      <alignment horizontal="right" vertical="center"/>
    </xf>
    <xf numFmtId="0" fontId="9" fillId="0" borderId="25" xfId="0" applyFont="1" applyBorder="1" applyAlignment="1">
      <alignment horizontal="right" vertical="center"/>
    </xf>
    <xf numFmtId="0" fontId="9" fillId="0" borderId="8" xfId="0" applyFont="1" applyBorder="1" applyAlignment="1">
      <alignment horizontal="right" vertical="top"/>
    </xf>
    <xf numFmtId="0" fontId="0" fillId="0" borderId="25" xfId="0" applyBorder="1" applyAlignment="1">
      <alignment horizontal="right"/>
    </xf>
    <xf numFmtId="43" fontId="12" fillId="0" borderId="8" xfId="1" applyFont="1" applyBorder="1" applyAlignment="1">
      <alignment horizontal="right" vertical="top"/>
    </xf>
    <xf numFmtId="43" fontId="12" fillId="0" borderId="25" xfId="1" applyFont="1" applyBorder="1" applyAlignment="1">
      <alignment horizontal="right" vertical="top"/>
    </xf>
    <xf numFmtId="164" fontId="0" fillId="0" borderId="0" xfId="1" applyNumberFormat="1" applyFont="1"/>
    <xf numFmtId="177" fontId="25" fillId="8" borderId="29" xfId="0" applyNumberFormat="1" applyFont="1" applyFill="1" applyBorder="1" applyAlignment="1">
      <alignment horizontal="right" vertical="center" wrapText="1"/>
    </xf>
    <xf numFmtId="178" fontId="25" fillId="8" borderId="29" xfId="0" applyNumberFormat="1" applyFont="1" applyFill="1" applyBorder="1" applyAlignment="1">
      <alignment horizontal="right" vertical="center" wrapText="1"/>
    </xf>
    <xf numFmtId="177" fontId="25" fillId="15" borderId="29" xfId="0" applyNumberFormat="1" applyFont="1" applyFill="1" applyBorder="1" applyAlignment="1">
      <alignment horizontal="right" vertical="center" wrapText="1"/>
    </xf>
    <xf numFmtId="177" fontId="25" fillId="13" borderId="29" xfId="0" applyNumberFormat="1" applyFont="1" applyFill="1" applyBorder="1" applyAlignment="1">
      <alignment horizontal="right" vertical="center" wrapText="1"/>
    </xf>
    <xf numFmtId="178" fontId="25" fillId="13" borderId="29" xfId="0" applyNumberFormat="1" applyFont="1" applyFill="1" applyBorder="1" applyAlignment="1">
      <alignment horizontal="right" vertical="center" wrapText="1"/>
    </xf>
    <xf numFmtId="49" fontId="0" fillId="9" borderId="80" xfId="0" applyNumberFormat="1" applyFill="1" applyBorder="1" applyAlignment="1">
      <alignment horizontal="left" vertical="center" wrapText="1"/>
    </xf>
    <xf numFmtId="49" fontId="0" fillId="9" borderId="81" xfId="0" applyNumberFormat="1" applyFill="1" applyBorder="1" applyAlignment="1">
      <alignment horizontal="left" vertical="center" wrapText="1"/>
    </xf>
    <xf numFmtId="49" fontId="0" fillId="9" borderId="36" xfId="0" applyNumberFormat="1" applyFill="1" applyBorder="1" applyAlignment="1">
      <alignment horizontal="left" vertical="center" wrapText="1"/>
    </xf>
    <xf numFmtId="49" fontId="0" fillId="9" borderId="82" xfId="0" applyNumberFormat="1" applyFill="1" applyBorder="1" applyAlignment="1">
      <alignment horizontal="left" vertical="center" wrapText="1"/>
    </xf>
    <xf numFmtId="49" fontId="0" fillId="9" borderId="83" xfId="0" applyNumberFormat="1" applyFill="1" applyBorder="1" applyAlignment="1">
      <alignment horizontal="left" vertical="center" wrapText="1"/>
    </xf>
    <xf numFmtId="49" fontId="0" fillId="9" borderId="84" xfId="0" applyNumberFormat="1" applyFill="1" applyBorder="1" applyAlignment="1">
      <alignment horizontal="left" vertical="center" wrapText="1"/>
    </xf>
    <xf numFmtId="49" fontId="25" fillId="9" borderId="27" xfId="0" applyNumberFormat="1" applyFont="1" applyFill="1" applyBorder="1" applyAlignment="1">
      <alignment horizontal="left" vertical="center" wrapText="1"/>
    </xf>
    <xf numFmtId="49" fontId="25" fillId="14" borderId="85" xfId="0" applyNumberFormat="1" applyFont="1" applyFill="1" applyBorder="1" applyAlignment="1">
      <alignment horizontal="center" vertical="center" wrapText="1"/>
    </xf>
    <xf numFmtId="177" fontId="0" fillId="15" borderId="29" xfId="0" applyNumberFormat="1" applyFill="1" applyBorder="1"/>
    <xf numFmtId="6" fontId="0" fillId="0" borderId="0" xfId="0" applyNumberFormat="1"/>
    <xf numFmtId="0" fontId="56" fillId="0" borderId="0" xfId="0" applyFont="1" applyBorder="1" applyAlignment="1">
      <alignment horizontal="center"/>
    </xf>
    <xf numFmtId="1"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179" fontId="25" fillId="13" borderId="29" xfId="0" applyNumberFormat="1" applyFont="1" applyFill="1" applyBorder="1" applyAlignment="1">
      <alignment horizontal="right" vertical="center" wrapText="1"/>
    </xf>
    <xf numFmtId="0" fontId="0" fillId="0" borderId="0" xfId="0" applyFont="1"/>
    <xf numFmtId="164" fontId="0" fillId="0" borderId="0" xfId="0" applyNumberFormat="1"/>
    <xf numFmtId="3" fontId="0" fillId="0" borderId="1" xfId="0" applyNumberFormat="1" applyBorder="1"/>
    <xf numFmtId="3" fontId="0" fillId="0" borderId="25" xfId="0" applyNumberFormat="1" applyBorder="1"/>
    <xf numFmtId="3" fontId="0" fillId="0" borderId="71" xfId="0" applyNumberFormat="1" applyBorder="1"/>
    <xf numFmtId="0" fontId="8" fillId="3" borderId="46" xfId="0" applyFont="1" applyFill="1" applyBorder="1" applyAlignment="1">
      <alignment horizontal="left"/>
    </xf>
    <xf numFmtId="0" fontId="8" fillId="3" borderId="38" xfId="0" applyFont="1" applyFill="1" applyBorder="1" applyAlignment="1">
      <alignment horizontal="left"/>
    </xf>
    <xf numFmtId="0" fontId="57" fillId="0" borderId="0" xfId="0" applyFont="1" applyAlignment="1">
      <alignment horizontal="left"/>
    </xf>
    <xf numFmtId="171" fontId="25" fillId="25" borderId="29" xfId="0" applyNumberFormat="1" applyFont="1" applyFill="1" applyBorder="1" applyAlignment="1">
      <alignment horizontal="right" vertical="center" wrapText="1"/>
    </xf>
    <xf numFmtId="49" fontId="25" fillId="24" borderId="29" xfId="0" applyNumberFormat="1" applyFont="1" applyFill="1" applyBorder="1" applyAlignment="1">
      <alignment horizontal="center" vertical="center" wrapText="1"/>
    </xf>
    <xf numFmtId="0" fontId="0" fillId="15" borderId="0" xfId="0" applyFill="1"/>
    <xf numFmtId="179" fontId="25" fillId="4" borderId="0" xfId="0" applyNumberFormat="1" applyFont="1" applyFill="1" applyBorder="1" applyAlignment="1">
      <alignment horizontal="right" vertical="center" wrapText="1"/>
    </xf>
    <xf numFmtId="171" fontId="27" fillId="15" borderId="29" xfId="0" applyNumberFormat="1" applyFont="1" applyFill="1" applyBorder="1" applyAlignment="1">
      <alignment horizontal="right" vertical="center" wrapText="1"/>
    </xf>
    <xf numFmtId="49" fontId="58" fillId="15" borderId="29" xfId="0" applyNumberFormat="1" applyFont="1" applyFill="1" applyBorder="1" applyAlignment="1">
      <alignment horizontal="center" vertical="center" wrapText="1"/>
    </xf>
    <xf numFmtId="0" fontId="59" fillId="0" borderId="0" xfId="0" applyFont="1" applyAlignment="1">
      <alignment horizontal="center" wrapText="1"/>
    </xf>
    <xf numFmtId="0" fontId="1" fillId="0" borderId="0" xfId="0" applyFont="1" applyAlignment="1">
      <alignment horizontal="right"/>
    </xf>
    <xf numFmtId="10" fontId="30" fillId="25" borderId="44" xfId="3" applyNumberFormat="1" applyFont="1" applyFill="1" applyBorder="1" applyAlignment="1">
      <alignment horizontal="center"/>
    </xf>
    <xf numFmtId="49" fontId="25" fillId="11" borderId="0" xfId="0" applyNumberFormat="1" applyFont="1" applyFill="1" applyBorder="1" applyAlignment="1">
      <alignment horizontal="left" vertical="center" wrapText="1"/>
    </xf>
    <xf numFmtId="0" fontId="1" fillId="0" borderId="2" xfId="0" applyFont="1" applyBorder="1" applyAlignment="1">
      <alignment horizontal="center"/>
    </xf>
    <xf numFmtId="0" fontId="1" fillId="0" borderId="0" xfId="0" applyFont="1" applyAlignment="1">
      <alignment horizontal="center" vertical="center" wrapText="1"/>
    </xf>
    <xf numFmtId="0" fontId="1" fillId="0" borderId="0" xfId="0" applyFont="1" applyAlignment="1">
      <alignment horizontal="center" wrapText="1"/>
    </xf>
    <xf numFmtId="0" fontId="0" fillId="0" borderId="86" xfId="0" applyBorder="1" applyAlignment="1">
      <alignment horizontal="right"/>
    </xf>
    <xf numFmtId="164" fontId="0" fillId="0" borderId="87" xfId="1" applyNumberFormat="1" applyFont="1" applyBorder="1"/>
    <xf numFmtId="180" fontId="0" fillId="0" borderId="87" xfId="2" applyNumberFormat="1" applyFont="1" applyBorder="1"/>
    <xf numFmtId="180" fontId="0" fillId="0" borderId="87" xfId="2" applyNumberFormat="1" applyFont="1" applyBorder="1" applyAlignment="1">
      <alignment horizontal="center"/>
    </xf>
    <xf numFmtId="174" fontId="0" fillId="0" borderId="88" xfId="0" applyNumberFormat="1" applyBorder="1"/>
    <xf numFmtId="0" fontId="0" fillId="0" borderId="74" xfId="0" applyBorder="1" applyAlignment="1">
      <alignment horizontal="right"/>
    </xf>
    <xf numFmtId="164" fontId="0" fillId="0" borderId="0" xfId="1" applyNumberFormat="1" applyFont="1" applyBorder="1"/>
    <xf numFmtId="180" fontId="0" fillId="0" borderId="0" xfId="2" applyNumberFormat="1" applyFont="1" applyBorder="1"/>
    <xf numFmtId="180" fontId="0" fillId="0" borderId="0" xfId="2" applyNumberFormat="1" applyFont="1" applyBorder="1" applyAlignment="1">
      <alignment horizontal="center"/>
    </xf>
    <xf numFmtId="180" fontId="0" fillId="0" borderId="0" xfId="0" applyNumberFormat="1" applyBorder="1"/>
    <xf numFmtId="174" fontId="0" fillId="0" borderId="89" xfId="0" applyNumberFormat="1" applyBorder="1"/>
    <xf numFmtId="164" fontId="0" fillId="0" borderId="0" xfId="0" applyNumberFormat="1" applyBorder="1"/>
    <xf numFmtId="174" fontId="0" fillId="0" borderId="89" xfId="2" applyNumberFormat="1" applyFont="1" applyBorder="1"/>
    <xf numFmtId="164" fontId="0" fillId="0" borderId="87" xfId="0" applyNumberFormat="1" applyBorder="1"/>
    <xf numFmtId="174" fontId="0" fillId="0" borderId="88" xfId="2" applyNumberFormat="1" applyFont="1" applyBorder="1"/>
    <xf numFmtId="0" fontId="0" fillId="0" borderId="90" xfId="0" applyBorder="1" applyAlignment="1">
      <alignment horizontal="right"/>
    </xf>
    <xf numFmtId="164" fontId="0" fillId="0" borderId="70" xfId="0" applyNumberFormat="1" applyBorder="1"/>
    <xf numFmtId="180" fontId="0" fillId="0" borderId="70" xfId="2" applyNumberFormat="1" applyFont="1" applyBorder="1" applyAlignment="1">
      <alignment horizontal="center"/>
    </xf>
    <xf numFmtId="180" fontId="0" fillId="0" borderId="70" xfId="2" applyNumberFormat="1" applyFont="1" applyBorder="1"/>
    <xf numFmtId="174" fontId="0" fillId="0" borderId="91" xfId="2" applyNumberFormat="1" applyFont="1" applyBorder="1"/>
    <xf numFmtId="0" fontId="0" fillId="0" borderId="58" xfId="0" applyBorder="1" applyAlignment="1">
      <alignment horizontal="right"/>
    </xf>
    <xf numFmtId="164" fontId="0" fillId="0" borderId="59" xfId="0" applyNumberFormat="1" applyBorder="1"/>
    <xf numFmtId="180" fontId="0" fillId="0" borderId="59" xfId="2" applyNumberFormat="1" applyFont="1" applyBorder="1"/>
    <xf numFmtId="180" fontId="0" fillId="0" borderId="59" xfId="2" applyNumberFormat="1" applyFont="1" applyBorder="1" applyAlignment="1">
      <alignment horizontal="center"/>
    </xf>
    <xf numFmtId="174" fontId="0" fillId="0" borderId="44" xfId="0" applyNumberFormat="1" applyBorder="1"/>
    <xf numFmtId="174" fontId="0" fillId="15" borderId="44" xfId="0" applyNumberFormat="1" applyFill="1" applyBorder="1"/>
    <xf numFmtId="174" fontId="0" fillId="0" borderId="0" xfId="0" applyNumberFormat="1" applyBorder="1"/>
    <xf numFmtId="0" fontId="1" fillId="0" borderId="0" xfId="0" applyFont="1" applyBorder="1" applyAlignment="1">
      <alignment horizontal="center"/>
    </xf>
    <xf numFmtId="174" fontId="1" fillId="0" borderId="0" xfId="0" applyNumberFormat="1" applyFont="1" applyBorder="1" applyAlignment="1">
      <alignment horizontal="center"/>
    </xf>
    <xf numFmtId="0" fontId="0" fillId="0" borderId="86" xfId="0" applyBorder="1" applyAlignment="1">
      <alignment horizontal="right" vertical="center" wrapText="1"/>
    </xf>
    <xf numFmtId="164" fontId="0" fillId="0" borderId="92" xfId="1" applyNumberFormat="1" applyFont="1" applyBorder="1"/>
    <xf numFmtId="180" fontId="0" fillId="0" borderId="0" xfId="2" applyNumberFormat="1" applyFont="1"/>
    <xf numFmtId="0" fontId="0" fillId="0" borderId="74" xfId="0" applyBorder="1" applyAlignment="1">
      <alignment horizontal="right" vertical="center" wrapText="1"/>
    </xf>
    <xf numFmtId="164" fontId="0" fillId="0" borderId="93" xfId="1" applyNumberFormat="1" applyFont="1" applyBorder="1"/>
    <xf numFmtId="164" fontId="0" fillId="0" borderId="94" xfId="1" applyNumberFormat="1" applyFont="1" applyBorder="1"/>
    <xf numFmtId="174" fontId="0" fillId="0" borderId="0" xfId="2" applyNumberFormat="1" applyFont="1"/>
    <xf numFmtId="0" fontId="1" fillId="0" borderId="4" xfId="0" applyFont="1" applyBorder="1" applyAlignment="1">
      <alignment horizontal="center"/>
    </xf>
    <xf numFmtId="0" fontId="0" fillId="0" borderId="4" xfId="0" applyBorder="1"/>
    <xf numFmtId="180" fontId="0" fillId="0" borderId="4" xfId="0" applyNumberFormat="1" applyBorder="1"/>
    <xf numFmtId="174" fontId="0" fillId="0" borderId="74" xfId="2" applyNumberFormat="1" applyFont="1" applyBorder="1"/>
    <xf numFmtId="174" fontId="0" fillId="15" borderId="74" xfId="0" applyNumberFormat="1" applyFill="1" applyBorder="1"/>
    <xf numFmtId="174" fontId="0" fillId="15" borderId="3" xfId="0" applyNumberFormat="1" applyFill="1" applyBorder="1"/>
    <xf numFmtId="0" fontId="0" fillId="0" borderId="90" xfId="0" applyBorder="1"/>
    <xf numFmtId="174" fontId="0" fillId="0" borderId="74" xfId="2" applyNumberFormat="1" applyFont="1" applyBorder="1" applyAlignment="1">
      <alignment horizontal="center"/>
    </xf>
    <xf numFmtId="174" fontId="0" fillId="0" borderId="93" xfId="2" applyNumberFormat="1" applyFont="1" applyBorder="1" applyAlignment="1"/>
    <xf numFmtId="0" fontId="4" fillId="0" borderId="0" xfId="0" applyFont="1" applyAlignment="1">
      <alignment horizontal="center"/>
    </xf>
    <xf numFmtId="174" fontId="0" fillId="0" borderId="0" xfId="2" applyNumberFormat="1" applyFont="1" applyBorder="1"/>
    <xf numFmtId="174" fontId="0" fillId="0" borderId="96" xfId="2" applyNumberFormat="1" applyFont="1" applyBorder="1" applyAlignment="1">
      <alignment horizontal="center"/>
    </xf>
    <xf numFmtId="174" fontId="0" fillId="0" borderId="74" xfId="0" applyNumberFormat="1" applyBorder="1" applyAlignment="1">
      <alignment horizontal="center"/>
    </xf>
    <xf numFmtId="174" fontId="0" fillId="0" borderId="95" xfId="2" applyNumberFormat="1" applyFont="1" applyBorder="1"/>
    <xf numFmtId="174" fontId="0" fillId="0" borderId="74" xfId="0" applyNumberFormat="1" applyFill="1" applyBorder="1"/>
    <xf numFmtId="174" fontId="0" fillId="0" borderId="74" xfId="0" applyNumberFormat="1" applyBorder="1" applyAlignment="1">
      <alignment horizontal="center" wrapText="1"/>
    </xf>
    <xf numFmtId="174" fontId="0" fillId="0" borderId="97" xfId="2" applyNumberFormat="1" applyFont="1" applyBorder="1" applyAlignment="1"/>
    <xf numFmtId="174" fontId="0" fillId="0" borderId="90" xfId="0" applyNumberFormat="1" applyBorder="1" applyAlignment="1">
      <alignment horizontal="center" wrapText="1"/>
    </xf>
    <xf numFmtId="174" fontId="0" fillId="0" borderId="94" xfId="0" applyNumberFormat="1" applyBorder="1" applyAlignment="1">
      <alignment horizontal="right" wrapText="1"/>
    </xf>
    <xf numFmtId="174" fontId="1" fillId="0" borderId="96" xfId="0" applyNumberFormat="1" applyFont="1" applyBorder="1" applyAlignment="1">
      <alignment horizontal="center"/>
    </xf>
    <xf numFmtId="0" fontId="0" fillId="0" borderId="58" xfId="0" applyBorder="1" applyAlignment="1">
      <alignment horizontal="center"/>
    </xf>
    <xf numFmtId="0" fontId="0" fillId="0" borderId="60" xfId="0" applyBorder="1" applyAlignment="1">
      <alignment horizontal="center"/>
    </xf>
    <xf numFmtId="174" fontId="0" fillId="26" borderId="93" xfId="2" applyNumberFormat="1" applyFont="1" applyFill="1" applyBorder="1" applyAlignment="1"/>
    <xf numFmtId="174" fontId="0" fillId="26" borderId="74" xfId="2" applyNumberFormat="1" applyFont="1" applyFill="1" applyBorder="1"/>
    <xf numFmtId="174" fontId="0" fillId="20" borderId="93" xfId="2" applyNumberFormat="1" applyFont="1" applyFill="1" applyBorder="1" applyAlignment="1"/>
    <xf numFmtId="174" fontId="0" fillId="20" borderId="90" xfId="2" applyNumberFormat="1" applyFont="1" applyFill="1" applyBorder="1"/>
    <xf numFmtId="174" fontId="0" fillId="23" borderId="93" xfId="2" applyNumberFormat="1" applyFont="1" applyFill="1" applyBorder="1" applyAlignment="1"/>
    <xf numFmtId="174" fontId="0" fillId="23" borderId="89" xfId="2" applyNumberFormat="1" applyFont="1" applyFill="1" applyBorder="1"/>
    <xf numFmtId="174" fontId="0" fillId="27" borderId="94" xfId="2" applyNumberFormat="1" applyFont="1" applyFill="1" applyBorder="1" applyAlignment="1"/>
    <xf numFmtId="174" fontId="0" fillId="27" borderId="89" xfId="2" applyNumberFormat="1" applyFont="1" applyFill="1" applyBorder="1"/>
    <xf numFmtId="165" fontId="9" fillId="22" borderId="0" xfId="2" applyNumberFormat="1" applyFont="1" applyFill="1" applyBorder="1" applyAlignment="1">
      <alignment horizontal="right" vertical="center"/>
    </xf>
    <xf numFmtId="174" fontId="0" fillId="28" borderId="74" xfId="2" applyNumberFormat="1" applyFont="1" applyFill="1" applyBorder="1"/>
    <xf numFmtId="174" fontId="0" fillId="28" borderId="93" xfId="2" applyNumberFormat="1" applyFont="1" applyFill="1" applyBorder="1" applyAlignment="1"/>
    <xf numFmtId="49" fontId="25" fillId="9" borderId="27" xfId="0" applyNumberFormat="1" applyFont="1" applyFill="1" applyBorder="1" applyAlignment="1">
      <alignment horizontal="left" vertical="center"/>
    </xf>
    <xf numFmtId="49" fontId="25" fillId="9" borderId="29" xfId="0" applyNumberFormat="1" applyFont="1" applyFill="1" applyBorder="1" applyAlignment="1">
      <alignment horizontal="left" vertical="center"/>
    </xf>
    <xf numFmtId="49" fontId="0" fillId="9" borderId="29" xfId="0" applyNumberFormat="1" applyFill="1" applyBorder="1" applyAlignment="1">
      <alignment horizontal="center" vertical="center"/>
    </xf>
    <xf numFmtId="49" fontId="25" fillId="12" borderId="29" xfId="0" applyNumberFormat="1" applyFont="1" applyFill="1" applyBorder="1" applyAlignment="1">
      <alignment horizontal="left" vertical="center"/>
    </xf>
    <xf numFmtId="171" fontId="0" fillId="0" borderId="0" xfId="0" applyNumberFormat="1"/>
    <xf numFmtId="0" fontId="0" fillId="0" borderId="2" xfId="0" applyBorder="1"/>
    <xf numFmtId="49" fontId="0" fillId="15" borderId="0" xfId="0" applyNumberFormat="1" applyFill="1"/>
    <xf numFmtId="49" fontId="62" fillId="9" borderId="29" xfId="0" applyNumberFormat="1" applyFont="1" applyFill="1" applyBorder="1" applyAlignment="1">
      <alignment horizontal="right" vertical="center"/>
    </xf>
    <xf numFmtId="0" fontId="33" fillId="0" borderId="4" xfId="0" applyFont="1" applyBorder="1"/>
    <xf numFmtId="0" fontId="63" fillId="0" borderId="0" xfId="0" applyFont="1"/>
    <xf numFmtId="174" fontId="0" fillId="29" borderId="93" xfId="2" applyNumberFormat="1" applyFont="1" applyFill="1" applyBorder="1" applyAlignment="1"/>
    <xf numFmtId="164" fontId="0" fillId="29" borderId="97" xfId="1" applyNumberFormat="1" applyFont="1" applyFill="1" applyBorder="1" applyAlignment="1"/>
    <xf numFmtId="181" fontId="25" fillId="13" borderId="29" xfId="0" applyNumberFormat="1" applyFont="1" applyFill="1" applyBorder="1" applyAlignment="1">
      <alignment horizontal="right" vertical="center" wrapText="1"/>
    </xf>
    <xf numFmtId="164" fontId="65" fillId="8" borderId="29" xfId="1" applyNumberFormat="1" applyFont="1" applyFill="1" applyBorder="1" applyAlignment="1">
      <alignment horizontal="right" vertical="center"/>
    </xf>
    <xf numFmtId="164" fontId="65" fillId="15" borderId="29" xfId="1" applyNumberFormat="1" applyFont="1" applyFill="1" applyBorder="1" applyAlignment="1">
      <alignment horizontal="right" vertical="center"/>
    </xf>
    <xf numFmtId="164" fontId="65" fillId="13" borderId="29" xfId="1" applyNumberFormat="1" applyFont="1" applyFill="1" applyBorder="1" applyAlignment="1">
      <alignment horizontal="right" vertical="center"/>
    </xf>
    <xf numFmtId="49" fontId="64" fillId="12" borderId="29" xfId="0" applyNumberFormat="1" applyFont="1" applyFill="1" applyBorder="1" applyAlignment="1">
      <alignment horizontal="left" vertical="center"/>
    </xf>
    <xf numFmtId="49" fontId="64" fillId="14" borderId="29" xfId="0" applyNumberFormat="1" applyFont="1" applyFill="1" applyBorder="1" applyAlignment="1">
      <alignment horizontal="left" vertical="center"/>
    </xf>
    <xf numFmtId="49" fontId="64" fillId="11" borderId="29" xfId="0" applyNumberFormat="1" applyFont="1" applyFill="1" applyBorder="1" applyAlignment="1">
      <alignment horizontal="left" vertical="center"/>
    </xf>
    <xf numFmtId="49" fontId="62" fillId="15" borderId="29" xfId="0" applyNumberFormat="1" applyFont="1" applyFill="1" applyBorder="1" applyAlignment="1">
      <alignment horizontal="right" vertical="center"/>
    </xf>
    <xf numFmtId="0" fontId="1" fillId="0" borderId="1" xfId="0" applyFont="1" applyBorder="1" applyAlignment="1">
      <alignment horizontal="center"/>
    </xf>
    <xf numFmtId="0" fontId="0" fillId="0" borderId="0" xfId="0" applyAlignment="1">
      <alignment horizontal="center"/>
    </xf>
    <xf numFmtId="0" fontId="8" fillId="3" borderId="38" xfId="0" applyFont="1" applyFill="1" applyBorder="1" applyAlignment="1"/>
    <xf numFmtId="0" fontId="8" fillId="3" borderId="46" xfId="0" applyFont="1" applyFill="1" applyBorder="1" applyAlignment="1"/>
    <xf numFmtId="0" fontId="57" fillId="0" borderId="0" xfId="0" applyFont="1"/>
    <xf numFmtId="0" fontId="4" fillId="0" borderId="0" xfId="0" applyFont="1" applyBorder="1" applyAlignment="1">
      <alignment horizontal="center"/>
    </xf>
    <xf numFmtId="164" fontId="1" fillId="0" borderId="0" xfId="1" applyNumberFormat="1" applyFont="1" applyBorder="1" applyAlignment="1">
      <alignment horizontal="center"/>
    </xf>
    <xf numFmtId="0" fontId="66" fillId="0" borderId="0" xfId="0" applyFont="1" applyAlignment="1">
      <alignment horizontal="center"/>
    </xf>
    <xf numFmtId="0" fontId="16" fillId="0" borderId="1" xfId="0" applyFont="1"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67" fillId="0" borderId="0" xfId="0" applyFont="1" applyAlignment="1">
      <alignment vertical="center"/>
    </xf>
    <xf numFmtId="164" fontId="0" fillId="0" borderId="20" xfId="1" applyNumberFormat="1" applyFont="1" applyBorder="1" applyAlignment="1">
      <alignment horizontal="right"/>
    </xf>
    <xf numFmtId="164" fontId="68" fillId="0" borderId="0" xfId="1" applyNumberFormat="1" applyFont="1"/>
    <xf numFmtId="3" fontId="10" fillId="0" borderId="9" xfId="1" applyNumberFormat="1" applyFont="1" applyBorder="1" applyAlignment="1">
      <alignment horizontal="left" vertical="center"/>
    </xf>
    <xf numFmtId="182" fontId="25" fillId="4" borderId="29" xfId="0" applyNumberFormat="1" applyFont="1" applyFill="1" applyBorder="1" applyAlignment="1">
      <alignment horizontal="right" vertical="center" wrapText="1"/>
    </xf>
    <xf numFmtId="182" fontId="0" fillId="0" borderId="0" xfId="0" applyNumberFormat="1"/>
    <xf numFmtId="182" fontId="0" fillId="0" borderId="0" xfId="0" applyNumberFormat="1" applyFill="1"/>
    <xf numFmtId="0" fontId="1" fillId="0" borderId="1" xfId="0" applyFont="1" applyBorder="1" applyAlignment="1">
      <alignment horizontal="center"/>
    </xf>
    <xf numFmtId="0" fontId="57" fillId="15" borderId="0" xfId="0" applyFont="1" applyFill="1"/>
    <xf numFmtId="0" fontId="24" fillId="0" borderId="98" xfId="0" applyFont="1" applyBorder="1" applyAlignment="1">
      <alignment horizontal="left" vertical="top" wrapText="1"/>
    </xf>
    <xf numFmtId="165" fontId="24" fillId="0" borderId="99" xfId="0" applyNumberFormat="1" applyFont="1" applyBorder="1" applyAlignment="1">
      <alignment horizontal="left" vertical="top" wrapText="1"/>
    </xf>
    <xf numFmtId="0" fontId="4" fillId="0" borderId="100" xfId="0" applyFont="1" applyBorder="1" applyAlignment="1">
      <alignment horizontal="center"/>
    </xf>
    <xf numFmtId="164" fontId="1" fillId="0" borderId="100" xfId="1" applyNumberFormat="1" applyFont="1" applyBorder="1" applyAlignment="1">
      <alignment horizontal="center"/>
    </xf>
    <xf numFmtId="0" fontId="6" fillId="3" borderId="59" xfId="0" applyFont="1" applyFill="1" applyBorder="1"/>
    <xf numFmtId="0" fontId="8" fillId="3" borderId="59" xfId="0" applyFont="1" applyFill="1" applyBorder="1" applyAlignment="1">
      <alignment horizontal="center"/>
    </xf>
    <xf numFmtId="0" fontId="1" fillId="0" borderId="0" xfId="0" applyFont="1" applyAlignment="1">
      <alignment horizontal="right" wrapText="1"/>
    </xf>
    <xf numFmtId="0" fontId="56" fillId="3" borderId="58" xfId="0" applyFont="1" applyFill="1" applyBorder="1" applyAlignment="1">
      <alignment horizontal="center"/>
    </xf>
    <xf numFmtId="3" fontId="1" fillId="0" borderId="1" xfId="0" applyNumberFormat="1" applyFont="1" applyBorder="1" applyAlignment="1">
      <alignment horizontal="right"/>
    </xf>
    <xf numFmtId="3" fontId="1" fillId="0" borderId="20" xfId="0" applyNumberFormat="1" applyFont="1" applyBorder="1" applyAlignment="1">
      <alignment horizontal="right"/>
    </xf>
    <xf numFmtId="3" fontId="0" fillId="15" borderId="20" xfId="0" applyNumberFormat="1" applyFill="1" applyBorder="1" applyAlignment="1">
      <alignment horizontal="right"/>
    </xf>
    <xf numFmtId="164" fontId="0" fillId="15" borderId="20" xfId="1" applyNumberFormat="1" applyFont="1" applyFill="1" applyBorder="1" applyAlignment="1">
      <alignment horizontal="right"/>
    </xf>
    <xf numFmtId="3" fontId="0" fillId="15" borderId="1" xfId="0" applyNumberFormat="1" applyFill="1" applyBorder="1" applyAlignment="1">
      <alignment horizontal="right"/>
    </xf>
    <xf numFmtId="0" fontId="0" fillId="0" borderId="0" xfId="0" applyFont="1" applyAlignment="1">
      <alignment horizontal="left"/>
    </xf>
    <xf numFmtId="0" fontId="0" fillId="4" borderId="0" xfId="0" applyFill="1"/>
    <xf numFmtId="0" fontId="8" fillId="3" borderId="0" xfId="0" applyFont="1" applyFill="1" applyBorder="1" applyAlignment="1">
      <alignment horizontal="center" wrapText="1"/>
    </xf>
    <xf numFmtId="0" fontId="56" fillId="3" borderId="0" xfId="0" applyFont="1" applyFill="1" applyBorder="1" applyAlignment="1">
      <alignment horizontal="center"/>
    </xf>
    <xf numFmtId="164" fontId="1" fillId="0" borderId="102" xfId="1" applyNumberFormat="1" applyFont="1" applyBorder="1" applyAlignment="1"/>
    <xf numFmtId="164" fontId="1" fillId="0" borderId="75" xfId="1" applyNumberFormat="1" applyFont="1" applyBorder="1" applyAlignment="1"/>
    <xf numFmtId="164" fontId="1" fillId="0" borderId="103" xfId="1" applyNumberFormat="1" applyFont="1" applyBorder="1" applyAlignment="1"/>
    <xf numFmtId="0" fontId="2" fillId="0" borderId="0" xfId="0" applyFont="1" applyFill="1" applyBorder="1" applyAlignment="1">
      <alignment horizontal="left" vertical="top"/>
    </xf>
    <xf numFmtId="0" fontId="54" fillId="0" borderId="0" xfId="0" applyFont="1" applyBorder="1" applyAlignment="1">
      <alignment horizontal="left" vertical="top" wrapText="1"/>
    </xf>
    <xf numFmtId="165" fontId="4" fillId="0" borderId="0" xfId="0" applyNumberFormat="1" applyFont="1" applyBorder="1" applyAlignment="1">
      <alignment horizontal="center"/>
    </xf>
    <xf numFmtId="165" fontId="0" fillId="0" borderId="0" xfId="0" applyNumberFormat="1" applyBorder="1" applyAlignment="1">
      <alignment horizontal="center"/>
    </xf>
    <xf numFmtId="168" fontId="4" fillId="0" borderId="0" xfId="0" applyNumberFormat="1" applyFont="1" applyBorder="1" applyAlignment="1">
      <alignment horizontal="center"/>
    </xf>
    <xf numFmtId="164" fontId="1" fillId="0" borderId="103" xfId="1" applyNumberFormat="1" applyFont="1" applyBorder="1" applyAlignment="1">
      <alignment horizontal="center"/>
    </xf>
    <xf numFmtId="164" fontId="1" fillId="0" borderId="101" xfId="1" applyNumberFormat="1" applyFont="1" applyBorder="1" applyAlignment="1">
      <alignment horizontal="center"/>
    </xf>
    <xf numFmtId="0" fontId="0" fillId="0" borderId="0" xfId="0" applyAlignment="1">
      <alignment horizontal="center"/>
    </xf>
    <xf numFmtId="0" fontId="0" fillId="30" borderId="0" xfId="0" applyFill="1"/>
    <xf numFmtId="164" fontId="0" fillId="31" borderId="0" xfId="1" applyNumberFormat="1" applyFont="1" applyFill="1"/>
    <xf numFmtId="164" fontId="0" fillId="22" borderId="0" xfId="1" applyNumberFormat="1" applyFont="1" applyFill="1"/>
    <xf numFmtId="164" fontId="0" fillId="32" borderId="0" xfId="1" applyNumberFormat="1" applyFont="1" applyFill="1"/>
    <xf numFmtId="167" fontId="9" fillId="0" borderId="0" xfId="3" applyNumberFormat="1" applyFont="1" applyBorder="1" applyAlignment="1">
      <alignment horizontal="right" vertical="center"/>
    </xf>
    <xf numFmtId="164" fontId="16" fillId="0" borderId="8" xfId="1" applyNumberFormat="1" applyFont="1" applyBorder="1" applyAlignment="1">
      <alignment vertical="center"/>
    </xf>
    <xf numFmtId="0" fontId="0" fillId="0" borderId="0" xfId="0" applyAlignment="1">
      <alignment horizontal="center"/>
    </xf>
    <xf numFmtId="165" fontId="11" fillId="0" borderId="0" xfId="0" applyNumberFormat="1" applyFont="1" applyBorder="1" applyAlignment="1">
      <alignment vertical="top"/>
    </xf>
    <xf numFmtId="165" fontId="21" fillId="0" borderId="12" xfId="0" applyNumberFormat="1" applyFont="1" applyBorder="1" applyAlignment="1">
      <alignment vertical="center"/>
    </xf>
    <xf numFmtId="165" fontId="11" fillId="0" borderId="10" xfId="0" applyNumberFormat="1" applyFont="1" applyBorder="1" applyAlignment="1">
      <alignment vertical="top"/>
    </xf>
    <xf numFmtId="6" fontId="11" fillId="0" borderId="0" xfId="0" applyNumberFormat="1" applyFont="1" applyBorder="1" applyAlignment="1">
      <alignment horizontal="centerContinuous" vertical="center"/>
    </xf>
    <xf numFmtId="169" fontId="10" fillId="0" borderId="32" xfId="0" applyNumberFormat="1" applyFont="1" applyBorder="1" applyAlignment="1">
      <alignment horizontal="centerContinuous" vertical="center"/>
    </xf>
    <xf numFmtId="169" fontId="10" fillId="0" borderId="33" xfId="0" applyNumberFormat="1" applyFont="1" applyBorder="1" applyAlignment="1">
      <alignment horizontal="centerContinuous" vertical="center"/>
    </xf>
    <xf numFmtId="170" fontId="69" fillId="0" borderId="34" xfId="1" applyNumberFormat="1" applyFont="1" applyBorder="1" applyAlignment="1">
      <alignment horizontal="centerContinuous" vertical="center"/>
    </xf>
    <xf numFmtId="43" fontId="16" fillId="0" borderId="25" xfId="1" applyFont="1" applyBorder="1" applyAlignment="1">
      <alignment horizontal="right" vertical="center"/>
    </xf>
    <xf numFmtId="169" fontId="11" fillId="0" borderId="2" xfId="0" applyNumberFormat="1" applyFont="1" applyBorder="1" applyAlignment="1">
      <alignment horizontal="centerContinuous" vertical="center"/>
    </xf>
    <xf numFmtId="170" fontId="7" fillId="0" borderId="9" xfId="1" applyNumberFormat="1" applyFont="1" applyBorder="1" applyAlignment="1">
      <alignment horizontal="centerContinuous" vertical="center"/>
    </xf>
    <xf numFmtId="43" fontId="16" fillId="0" borderId="7" xfId="1" applyFont="1" applyBorder="1" applyAlignment="1">
      <alignment horizontal="right" vertical="center"/>
    </xf>
    <xf numFmtId="6" fontId="1" fillId="0" borderId="0" xfId="0" applyNumberFormat="1" applyFont="1"/>
    <xf numFmtId="165" fontId="33" fillId="0" borderId="0"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right"/>
    </xf>
    <xf numFmtId="0" fontId="4" fillId="0" borderId="104" xfId="0" applyFont="1" applyBorder="1" applyAlignment="1">
      <alignment horizontal="center"/>
    </xf>
    <xf numFmtId="0" fontId="24" fillId="0" borderId="24" xfId="0" applyFont="1" applyBorder="1" applyAlignment="1">
      <alignment horizontal="left" vertical="top" wrapText="1"/>
    </xf>
    <xf numFmtId="0" fontId="24" fillId="0" borderId="10" xfId="0" applyFont="1" applyBorder="1" applyAlignment="1">
      <alignment horizontal="left" vertical="top" wrapText="1"/>
    </xf>
    <xf numFmtId="0" fontId="24" fillId="0" borderId="7" xfId="0" applyFont="1" applyBorder="1" applyAlignment="1">
      <alignment horizontal="left" vertical="top" wrapText="1"/>
    </xf>
    <xf numFmtId="0" fontId="42" fillId="19" borderId="24" xfId="0" applyFont="1" applyFill="1" applyBorder="1" applyAlignment="1">
      <alignment horizontal="left" vertical="top" wrapText="1"/>
    </xf>
    <xf numFmtId="0" fontId="42" fillId="19" borderId="10" xfId="0" applyFont="1" applyFill="1" applyBorder="1" applyAlignment="1">
      <alignment horizontal="left" vertical="top" wrapText="1"/>
    </xf>
    <xf numFmtId="0" fontId="42" fillId="19" borderId="7" xfId="0" applyFont="1" applyFill="1" applyBorder="1" applyAlignment="1">
      <alignment horizontal="left" vertical="top" wrapText="1"/>
    </xf>
    <xf numFmtId="0" fontId="24" fillId="0" borderId="105" xfId="0" applyFont="1" applyBorder="1" applyAlignment="1">
      <alignment horizontal="left" vertical="top" wrapText="1"/>
    </xf>
    <xf numFmtId="165" fontId="4" fillId="0" borderId="5" xfId="0" applyNumberFormat="1" applyFont="1" applyBorder="1" applyAlignment="1">
      <alignment horizontal="center"/>
    </xf>
    <xf numFmtId="0" fontId="7" fillId="0" borderId="106" xfId="0" applyFont="1" applyBorder="1" applyAlignment="1">
      <alignment horizontal="center" wrapText="1"/>
    </xf>
    <xf numFmtId="0" fontId="0" fillId="0" borderId="106" xfId="0" applyBorder="1" applyAlignment="1">
      <alignment horizontal="center" wrapText="1"/>
    </xf>
    <xf numFmtId="0" fontId="16" fillId="0" borderId="106" xfId="0" applyFont="1" applyBorder="1" applyAlignment="1">
      <alignment horizontal="center"/>
    </xf>
    <xf numFmtId="3" fontId="1" fillId="0" borderId="107" xfId="0" applyNumberFormat="1" applyFont="1" applyBorder="1" applyAlignment="1">
      <alignment horizontal="right"/>
    </xf>
    <xf numFmtId="0" fontId="8" fillId="3" borderId="108" xfId="0" applyFont="1" applyFill="1" applyBorder="1" applyAlignment="1">
      <alignment horizontal="center"/>
    </xf>
    <xf numFmtId="165" fontId="24" fillId="0" borderId="107" xfId="0" applyNumberFormat="1" applyFont="1" applyBorder="1" applyAlignment="1">
      <alignment horizontal="left" vertical="top" wrapText="1"/>
    </xf>
    <xf numFmtId="165" fontId="24" fillId="0" borderId="109" xfId="0" applyNumberFormat="1" applyFont="1" applyBorder="1" applyAlignment="1">
      <alignment horizontal="left" vertical="top" wrapText="1"/>
    </xf>
    <xf numFmtId="0" fontId="43" fillId="19" borderId="107" xfId="0" applyFont="1" applyFill="1" applyBorder="1" applyAlignment="1">
      <alignment horizontal="left" vertical="top" wrapText="1"/>
    </xf>
    <xf numFmtId="165" fontId="42" fillId="19" borderId="109" xfId="0" applyNumberFormat="1" applyFont="1" applyFill="1" applyBorder="1" applyAlignment="1">
      <alignment horizontal="left" vertical="top" wrapText="1"/>
    </xf>
    <xf numFmtId="165" fontId="42" fillId="19" borderId="110" xfId="0" quotePrefix="1" applyNumberFormat="1" applyFont="1" applyFill="1" applyBorder="1" applyAlignment="1">
      <alignment horizontal="left" vertical="top" wrapText="1"/>
    </xf>
    <xf numFmtId="0" fontId="0" fillId="0" borderId="111" xfId="0" applyBorder="1" applyAlignment="1">
      <alignment horizontal="center"/>
    </xf>
    <xf numFmtId="165" fontId="4" fillId="0" borderId="106" xfId="0" applyNumberFormat="1" applyFont="1" applyBorder="1" applyAlignment="1">
      <alignment horizontal="center"/>
    </xf>
    <xf numFmtId="165" fontId="4" fillId="0" borderId="111" xfId="0" applyNumberFormat="1" applyFont="1" applyBorder="1" applyAlignment="1">
      <alignment horizontal="center"/>
    </xf>
    <xf numFmtId="0" fontId="43" fillId="19" borderId="24" xfId="0" applyFont="1" applyFill="1" applyBorder="1" applyAlignment="1">
      <alignment horizontal="left" vertical="top" wrapText="1"/>
    </xf>
    <xf numFmtId="0" fontId="42" fillId="19" borderId="105" xfId="0" applyFont="1" applyFill="1" applyBorder="1" applyAlignment="1">
      <alignment horizontal="left" vertical="top" wrapText="1"/>
    </xf>
    <xf numFmtId="165" fontId="0" fillId="0" borderId="5" xfId="0" applyNumberFormat="1" applyBorder="1" applyAlignment="1">
      <alignment horizontal="center"/>
    </xf>
    <xf numFmtId="165" fontId="42" fillId="19" borderId="107" xfId="0" applyNumberFormat="1" applyFont="1" applyFill="1" applyBorder="1" applyAlignment="1">
      <alignment horizontal="left" vertical="top" wrapText="1"/>
    </xf>
    <xf numFmtId="165" fontId="42" fillId="19" borderId="112" xfId="0" quotePrefix="1" applyNumberFormat="1" applyFont="1" applyFill="1" applyBorder="1" applyAlignment="1">
      <alignment horizontal="left" vertical="top" wrapText="1"/>
    </xf>
    <xf numFmtId="0" fontId="42" fillId="19" borderId="107" xfId="0" applyFont="1" applyFill="1" applyBorder="1" applyAlignment="1">
      <alignment horizontal="left" vertical="top" wrapText="1"/>
    </xf>
    <xf numFmtId="0" fontId="42" fillId="19" borderId="109" xfId="0" applyFont="1" applyFill="1" applyBorder="1" applyAlignment="1">
      <alignment horizontal="left" vertical="top" wrapText="1"/>
    </xf>
    <xf numFmtId="0" fontId="42" fillId="19" borderId="112" xfId="0" applyFont="1" applyFill="1" applyBorder="1" applyAlignment="1">
      <alignment horizontal="left" vertical="top" wrapText="1"/>
    </xf>
    <xf numFmtId="165" fontId="24" fillId="0" borderId="110" xfId="0" quotePrefix="1" applyNumberFormat="1" applyFont="1" applyBorder="1" applyAlignment="1">
      <alignment horizontal="left" vertical="top" wrapText="1"/>
    </xf>
    <xf numFmtId="3" fontId="1" fillId="0" borderId="106" xfId="0" applyNumberFormat="1" applyFont="1" applyBorder="1" applyAlignment="1">
      <alignment horizontal="right"/>
    </xf>
    <xf numFmtId="165" fontId="42" fillId="19" borderId="113" xfId="0" quotePrefix="1" applyNumberFormat="1" applyFont="1" applyFill="1" applyBorder="1" applyAlignment="1">
      <alignment horizontal="left" vertical="top" wrapText="1"/>
    </xf>
    <xf numFmtId="168" fontId="4" fillId="0" borderId="111" xfId="0" applyNumberFormat="1" applyFont="1" applyBorder="1" applyAlignment="1">
      <alignment horizontal="center"/>
    </xf>
    <xf numFmtId="0" fontId="4" fillId="0" borderId="114" xfId="0" applyFont="1" applyBorder="1" applyAlignment="1">
      <alignment horizontal="center"/>
    </xf>
    <xf numFmtId="0" fontId="56" fillId="3" borderId="59" xfId="0" applyFont="1" applyFill="1" applyBorder="1" applyAlignment="1">
      <alignment horizontal="center"/>
    </xf>
    <xf numFmtId="0" fontId="24" fillId="0" borderId="115" xfId="0" applyFont="1" applyBorder="1" applyAlignment="1">
      <alignment horizontal="left" vertical="top" wrapText="1"/>
    </xf>
    <xf numFmtId="0" fontId="8" fillId="3" borderId="116" xfId="0" applyFont="1" applyFill="1" applyBorder="1" applyAlignment="1">
      <alignment horizontal="center"/>
    </xf>
    <xf numFmtId="165" fontId="24" fillId="0" borderId="117" xfId="0" applyNumberFormat="1" applyFont="1" applyBorder="1" applyAlignment="1">
      <alignment horizontal="left" vertical="top" wrapText="1"/>
    </xf>
    <xf numFmtId="0" fontId="0" fillId="0" borderId="111" xfId="0" applyBorder="1"/>
    <xf numFmtId="0" fontId="2" fillId="0" borderId="10" xfId="0" applyFont="1" applyBorder="1" applyAlignment="1">
      <alignment horizontal="left"/>
    </xf>
    <xf numFmtId="0" fontId="2" fillId="0" borderId="0" xfId="0" applyFont="1" applyBorder="1" applyAlignment="1">
      <alignment horizontal="left"/>
    </xf>
    <xf numFmtId="174" fontId="7" fillId="0" borderId="24" xfId="2" applyNumberFormat="1" applyFont="1" applyBorder="1" applyAlignment="1">
      <alignment vertical="center"/>
    </xf>
    <xf numFmtId="174" fontId="7" fillId="0" borderId="10" xfId="2" applyNumberFormat="1" applyFont="1" applyBorder="1" applyAlignment="1">
      <alignment vertical="center"/>
    </xf>
    <xf numFmtId="174" fontId="7" fillId="0" borderId="7" xfId="2" applyNumberFormat="1" applyFont="1" applyBorder="1" applyAlignment="1">
      <alignment vertical="center"/>
    </xf>
    <xf numFmtId="174" fontId="15" fillId="0" borderId="10" xfId="2" applyNumberFormat="1" applyFont="1" applyBorder="1" applyAlignment="1">
      <alignment vertical="center"/>
    </xf>
    <xf numFmtId="174" fontId="11" fillId="0" borderId="10" xfId="2" applyNumberFormat="1" applyFont="1" applyBorder="1" applyAlignment="1">
      <alignment vertical="top"/>
    </xf>
    <xf numFmtId="174" fontId="7" fillId="0" borderId="7" xfId="2" applyNumberFormat="1" applyFont="1" applyBorder="1"/>
    <xf numFmtId="174" fontId="10" fillId="0" borderId="10" xfId="2" applyNumberFormat="1" applyFont="1" applyBorder="1" applyAlignment="1">
      <alignment vertical="top"/>
    </xf>
    <xf numFmtId="174" fontId="10" fillId="0" borderId="10" xfId="2" applyNumberFormat="1" applyFont="1" applyBorder="1" applyAlignment="1">
      <alignment vertical="center"/>
    </xf>
    <xf numFmtId="174" fontId="11" fillId="0" borderId="7" xfId="2" applyNumberFormat="1" applyFont="1" applyBorder="1" applyAlignment="1">
      <alignment vertical="top"/>
    </xf>
    <xf numFmtId="174" fontId="16" fillId="0" borderId="8" xfId="2" applyNumberFormat="1" applyFont="1" applyBorder="1" applyAlignment="1">
      <alignment vertical="center"/>
    </xf>
    <xf numFmtId="174" fontId="9" fillId="0" borderId="26" xfId="2" applyNumberFormat="1" applyFont="1" applyBorder="1" applyAlignment="1">
      <alignment vertical="center"/>
    </xf>
    <xf numFmtId="0" fontId="0" fillId="0" borderId="0" xfId="0" applyAlignment="1">
      <alignment horizontal="left"/>
    </xf>
    <xf numFmtId="0" fontId="0" fillId="0" borderId="0" xfId="0" applyAlignment="1">
      <alignment horizontal="center" wrapText="1"/>
    </xf>
    <xf numFmtId="0" fontId="8" fillId="3" borderId="0" xfId="0" applyFont="1" applyFill="1" applyBorder="1" applyAlignment="1">
      <alignment horizontal="center" wrapText="1"/>
    </xf>
    <xf numFmtId="0" fontId="0" fillId="0" borderId="2" xfId="0" applyBorder="1" applyAlignment="1">
      <alignment wrapText="1"/>
    </xf>
    <xf numFmtId="0" fontId="59" fillId="0" borderId="0" xfId="0" applyFont="1" applyAlignment="1">
      <alignment horizontal="center" wrapText="1"/>
    </xf>
    <xf numFmtId="0" fontId="0" fillId="0" borderId="0" xfId="0" applyAlignment="1">
      <alignment horizontal="center"/>
    </xf>
    <xf numFmtId="0" fontId="0" fillId="0" borderId="0" xfId="0" applyFont="1" applyAlignment="1">
      <alignment horizontal="left" wrapText="1"/>
    </xf>
    <xf numFmtId="3" fontId="52" fillId="0" borderId="58" xfId="0" applyNumberFormat="1" applyFont="1" applyBorder="1" applyAlignment="1">
      <alignment horizontal="center"/>
    </xf>
    <xf numFmtId="0" fontId="0" fillId="0" borderId="59" xfId="0" applyBorder="1" applyAlignment="1"/>
    <xf numFmtId="0" fontId="0" fillId="0" borderId="60" xfId="0" applyBorder="1" applyAlignment="1"/>
    <xf numFmtId="43" fontId="13" fillId="0" borderId="11" xfId="1" applyFont="1" applyBorder="1" applyAlignment="1">
      <alignment vertical="center" wrapText="1"/>
    </xf>
    <xf numFmtId="0" fontId="0" fillId="0" borderId="11" xfId="0" applyBorder="1" applyAlignment="1">
      <alignment vertical="center" wrapText="1"/>
    </xf>
    <xf numFmtId="0" fontId="18" fillId="5" borderId="12" xfId="0" applyFont="1" applyFill="1" applyBorder="1" applyAlignment="1">
      <alignment horizontal="center"/>
    </xf>
    <xf numFmtId="0" fontId="10" fillId="0" borderId="0" xfId="0" applyFont="1" applyBorder="1" applyAlignment="1">
      <alignment horizontal="center" vertical="center"/>
    </xf>
    <xf numFmtId="0" fontId="18" fillId="6" borderId="12" xfId="0" applyFont="1" applyFill="1" applyBorder="1" applyAlignment="1">
      <alignment horizontal="center"/>
    </xf>
    <xf numFmtId="0" fontId="18" fillId="7" borderId="12" xfId="0" applyFont="1" applyFill="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9" fontId="1" fillId="0" borderId="1" xfId="3" applyFont="1" applyBorder="1" applyAlignment="1">
      <alignment horizontal="center" vertical="center" wrapText="1"/>
    </xf>
    <xf numFmtId="0" fontId="1" fillId="0" borderId="1" xfId="0" applyFont="1" applyBorder="1" applyAlignment="1">
      <alignment horizontal="center" wrapText="1"/>
    </xf>
    <xf numFmtId="0" fontId="45" fillId="22" borderId="58" xfId="0" applyFont="1" applyFill="1" applyBorder="1" applyAlignment="1">
      <alignment horizontal="center" vertical="center"/>
    </xf>
    <xf numFmtId="0" fontId="45" fillId="22" borderId="59" xfId="0" applyFont="1" applyFill="1" applyBorder="1" applyAlignment="1">
      <alignment horizontal="center" vertical="center"/>
    </xf>
    <xf numFmtId="0" fontId="45" fillId="22" borderId="60" xfId="0" applyFont="1" applyFill="1" applyBorder="1" applyAlignment="1">
      <alignment horizontal="center" vertical="center"/>
    </xf>
    <xf numFmtId="0" fontId="45" fillId="18" borderId="58" xfId="0" applyFont="1" applyFill="1" applyBorder="1" applyAlignment="1">
      <alignment horizontal="center" vertical="center"/>
    </xf>
    <xf numFmtId="0" fontId="45" fillId="18" borderId="59" xfId="0" applyFont="1" applyFill="1" applyBorder="1" applyAlignment="1">
      <alignment horizontal="center" vertical="center"/>
    </xf>
    <xf numFmtId="0" fontId="45" fillId="18" borderId="60" xfId="0" applyFont="1" applyFill="1" applyBorder="1" applyAlignment="1">
      <alignment horizontal="center" vertical="center"/>
    </xf>
    <xf numFmtId="0" fontId="45" fillId="6" borderId="58" xfId="0" applyFont="1" applyFill="1" applyBorder="1" applyAlignment="1">
      <alignment horizontal="center" vertical="center"/>
    </xf>
    <xf numFmtId="0" fontId="45" fillId="6" borderId="59" xfId="0" applyFont="1" applyFill="1" applyBorder="1" applyAlignment="1">
      <alignment horizontal="center" vertical="center"/>
    </xf>
    <xf numFmtId="0" fontId="45" fillId="6" borderId="60" xfId="0" applyFont="1" applyFill="1" applyBorder="1" applyAlignment="1">
      <alignment horizontal="center" vertical="center"/>
    </xf>
    <xf numFmtId="0" fontId="45" fillId="15" borderId="58" xfId="0" applyFont="1" applyFill="1" applyBorder="1" applyAlignment="1">
      <alignment horizontal="center" vertical="center"/>
    </xf>
    <xf numFmtId="0" fontId="45" fillId="15" borderId="59" xfId="0" applyFont="1" applyFill="1" applyBorder="1" applyAlignment="1">
      <alignment horizontal="center" vertical="center"/>
    </xf>
    <xf numFmtId="0" fontId="45" fillId="15" borderId="60" xfId="0" applyFont="1" applyFill="1" applyBorder="1" applyAlignment="1">
      <alignment horizontal="center" vertical="center"/>
    </xf>
    <xf numFmtId="0" fontId="45" fillId="0" borderId="58" xfId="0" applyFont="1" applyBorder="1" applyAlignment="1">
      <alignment horizontal="center" vertical="center"/>
    </xf>
    <xf numFmtId="0" fontId="45" fillId="0" borderId="60" xfId="0" applyFont="1" applyBorder="1" applyAlignment="1">
      <alignment horizontal="center" vertical="center"/>
    </xf>
    <xf numFmtId="0" fontId="48" fillId="0" borderId="58" xfId="0" applyFont="1" applyBorder="1" applyAlignment="1">
      <alignment horizontal="center" vertical="center"/>
    </xf>
    <xf numFmtId="0" fontId="48" fillId="0" borderId="60" xfId="0" applyFont="1" applyBorder="1" applyAlignment="1">
      <alignment horizontal="center" vertical="center"/>
    </xf>
    <xf numFmtId="164" fontId="50" fillId="0" borderId="61" xfId="1" applyNumberFormat="1" applyFont="1" applyBorder="1" applyAlignment="1">
      <alignment horizontal="center" vertical="center"/>
    </xf>
    <xf numFmtId="164" fontId="50" fillId="0" borderId="62" xfId="1" applyNumberFormat="1" applyFont="1" applyBorder="1" applyAlignment="1">
      <alignment horizontal="center" vertical="center"/>
    </xf>
    <xf numFmtId="164" fontId="50" fillId="0" borderId="63" xfId="1" applyNumberFormat="1" applyFont="1" applyBorder="1" applyAlignment="1">
      <alignment horizontal="center" vertical="center"/>
    </xf>
    <xf numFmtId="164" fontId="50" fillId="0" borderId="64" xfId="1" applyNumberFormat="1" applyFont="1" applyBorder="1" applyAlignment="1">
      <alignment horizontal="center" vertical="center"/>
    </xf>
    <xf numFmtId="164" fontId="50" fillId="0" borderId="66" xfId="1" applyNumberFormat="1" applyFont="1" applyBorder="1" applyAlignment="1">
      <alignment horizontal="center" vertical="center"/>
    </xf>
    <xf numFmtId="164" fontId="50" fillId="0" borderId="68" xfId="1" applyNumberFormat="1" applyFont="1" applyBorder="1" applyAlignment="1">
      <alignment horizontal="center" vertical="center"/>
    </xf>
    <xf numFmtId="164" fontId="50" fillId="0" borderId="67" xfId="1" applyNumberFormat="1" applyFont="1" applyBorder="1" applyAlignment="1">
      <alignment horizontal="center" vertical="center"/>
    </xf>
    <xf numFmtId="0" fontId="0" fillId="0" borderId="0" xfId="0" applyAlignment="1">
      <alignment horizontal="left" wrapText="1"/>
    </xf>
    <xf numFmtId="49" fontId="0" fillId="9" borderId="27" xfId="0" applyNumberFormat="1" applyFill="1" applyBorder="1" applyAlignment="1">
      <alignment horizontal="left" vertical="center" wrapText="1"/>
    </xf>
    <xf numFmtId="49" fontId="0" fillId="9" borderId="28" xfId="0" applyNumberFormat="1" applyFill="1" applyBorder="1" applyAlignment="1">
      <alignment horizontal="left" vertical="center" wrapText="1"/>
    </xf>
    <xf numFmtId="49" fontId="25" fillId="10" borderId="27" xfId="0" applyNumberFormat="1" applyFont="1" applyFill="1" applyBorder="1" applyAlignment="1">
      <alignment horizontal="left" vertical="center" wrapText="1"/>
    </xf>
    <xf numFmtId="49" fontId="25" fillId="10" borderId="30" xfId="0" applyNumberFormat="1" applyFont="1" applyFill="1" applyBorder="1" applyAlignment="1">
      <alignment horizontal="left" vertical="center" wrapText="1"/>
    </xf>
    <xf numFmtId="49" fontId="25" fillId="10" borderId="28" xfId="0" applyNumberFormat="1" applyFont="1" applyFill="1" applyBorder="1" applyAlignment="1">
      <alignment horizontal="left" vertical="center" wrapText="1"/>
    </xf>
    <xf numFmtId="0" fontId="33" fillId="0" borderId="0" xfId="0" applyFont="1" applyAlignment="1">
      <alignment horizontal="center"/>
    </xf>
    <xf numFmtId="0" fontId="4" fillId="0" borderId="0" xfId="0" applyFont="1" applyAlignment="1">
      <alignment horizontal="center"/>
    </xf>
    <xf numFmtId="0" fontId="33" fillId="0" borderId="90" xfId="0" applyFont="1" applyBorder="1" applyAlignment="1">
      <alignment horizontal="center" wrapText="1"/>
    </xf>
    <xf numFmtId="0" fontId="0" fillId="0" borderId="70" xfId="0" applyBorder="1" applyAlignment="1">
      <alignment horizontal="center" wrapText="1"/>
    </xf>
    <xf numFmtId="0" fontId="0" fillId="29" borderId="74" xfId="0" applyFill="1" applyBorder="1" applyAlignment="1">
      <alignment wrapText="1"/>
    </xf>
    <xf numFmtId="0" fontId="0" fillId="0" borderId="0" xfId="0" applyAlignment="1">
      <alignment wrapText="1"/>
    </xf>
    <xf numFmtId="0" fontId="0" fillId="0" borderId="74" xfId="0" applyBorder="1" applyAlignment="1">
      <alignment wrapText="1"/>
    </xf>
    <xf numFmtId="3" fontId="70" fillId="0" borderId="0" xfId="0" applyNumberFormat="1" applyFont="1" applyFill="1" applyBorder="1" applyAlignment="1">
      <alignment vertical="center"/>
    </xf>
    <xf numFmtId="3" fontId="70" fillId="0" borderId="0" xfId="4" applyNumberFormat="1" applyFont="1" applyFill="1" applyBorder="1" applyAlignment="1">
      <alignment vertical="center"/>
    </xf>
    <xf numFmtId="0" fontId="0" fillId="0" borderId="0" xfId="0" applyFill="1"/>
    <xf numFmtId="3" fontId="72" fillId="0" borderId="0" xfId="0" applyNumberFormat="1" applyFont="1" applyFill="1" applyBorder="1" applyAlignment="1">
      <alignment vertical="center"/>
    </xf>
  </cellXfs>
  <cellStyles count="5">
    <cellStyle name="Comma" xfId="1" builtinId="3"/>
    <cellStyle name="Currency" xfId="2" builtinId="4"/>
    <cellStyle name="Normal" xfId="0" builtinId="0"/>
    <cellStyle name="Normal 5" xfId="4"/>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48</xdr:col>
      <xdr:colOff>594360</xdr:colOff>
      <xdr:row>14</xdr:row>
      <xdr:rowOff>76200</xdr:rowOff>
    </xdr:from>
    <xdr:ext cx="1039515" cy="593304"/>
    <xdr:sp macro="" textlink="">
      <xdr:nvSpPr>
        <xdr:cNvPr id="6" name="TextBox 5"/>
        <xdr:cNvSpPr txBox="1"/>
      </xdr:nvSpPr>
      <xdr:spPr>
        <a:xfrm>
          <a:off x="43357800" y="7787640"/>
          <a:ext cx="1039515" cy="593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200">
              <a:solidFill>
                <a:srgbClr val="FF0000"/>
              </a:solidFill>
            </a:rPr>
            <a:t>Draft</a:t>
          </a:r>
        </a:p>
      </xdr:txBody>
    </xdr:sp>
    <xdr:clientData/>
  </xdr:oneCellAnchor>
  <xdr:twoCellAnchor editAs="oneCell">
    <xdr:from>
      <xdr:col>32</xdr:col>
      <xdr:colOff>137160</xdr:colOff>
      <xdr:row>9</xdr:row>
      <xdr:rowOff>58502</xdr:rowOff>
    </xdr:from>
    <xdr:to>
      <xdr:col>45</xdr:col>
      <xdr:colOff>355522</xdr:colOff>
      <xdr:row>18</xdr:row>
      <xdr:rowOff>548640</xdr:rowOff>
    </xdr:to>
    <xdr:pic>
      <xdr:nvPicPr>
        <xdr:cNvPr id="2" name="Picture 1"/>
        <xdr:cNvPicPr>
          <a:picLocks noChangeAspect="1"/>
        </xdr:cNvPicPr>
      </xdr:nvPicPr>
      <xdr:blipFill>
        <a:blip xmlns:r="http://schemas.openxmlformats.org/officeDocument/2006/relationships" r:embed="rId1"/>
        <a:stretch>
          <a:fillRect/>
        </a:stretch>
      </xdr:blipFill>
      <xdr:spPr>
        <a:xfrm>
          <a:off x="34777680" y="3563702"/>
          <a:ext cx="8143162" cy="8262538"/>
        </a:xfrm>
        <a:prstGeom prst="rect">
          <a:avLst/>
        </a:prstGeom>
      </xdr:spPr>
    </xdr:pic>
    <xdr:clientData/>
  </xdr:twoCellAnchor>
  <xdr:twoCellAnchor editAs="oneCell">
    <xdr:from>
      <xdr:col>37</xdr:col>
      <xdr:colOff>-1</xdr:colOff>
      <xdr:row>9</xdr:row>
      <xdr:rowOff>0</xdr:rowOff>
    </xdr:from>
    <xdr:to>
      <xdr:col>53</xdr:col>
      <xdr:colOff>265176</xdr:colOff>
      <xdr:row>12</xdr:row>
      <xdr:rowOff>563880</xdr:rowOff>
    </xdr:to>
    <xdr:pic>
      <xdr:nvPicPr>
        <xdr:cNvPr id="4" name="Picture 3"/>
        <xdr:cNvPicPr>
          <a:picLocks noChangeAspect="1"/>
        </xdr:cNvPicPr>
      </xdr:nvPicPr>
      <xdr:blipFill>
        <a:blip xmlns:r="http://schemas.openxmlformats.org/officeDocument/2006/relationships" r:embed="rId2"/>
        <a:stretch>
          <a:fillRect/>
        </a:stretch>
      </xdr:blipFill>
      <xdr:spPr>
        <a:xfrm>
          <a:off x="36057839" y="1661160"/>
          <a:ext cx="10018777" cy="2636520"/>
        </a:xfrm>
        <a:prstGeom prst="rect">
          <a:avLst/>
        </a:prstGeom>
      </xdr:spPr>
    </xdr:pic>
    <xdr:clientData/>
  </xdr:twoCellAnchor>
  <xdr:twoCellAnchor editAs="oneCell">
    <xdr:from>
      <xdr:col>37</xdr:col>
      <xdr:colOff>0</xdr:colOff>
      <xdr:row>12</xdr:row>
      <xdr:rowOff>960120</xdr:rowOff>
    </xdr:from>
    <xdr:to>
      <xdr:col>53</xdr:col>
      <xdr:colOff>28732</xdr:colOff>
      <xdr:row>12</xdr:row>
      <xdr:rowOff>3459480</xdr:rowOff>
    </xdr:to>
    <xdr:pic>
      <xdr:nvPicPr>
        <xdr:cNvPr id="5" name="Picture 4"/>
        <xdr:cNvPicPr>
          <a:picLocks noChangeAspect="1"/>
        </xdr:cNvPicPr>
      </xdr:nvPicPr>
      <xdr:blipFill>
        <a:blip xmlns:r="http://schemas.openxmlformats.org/officeDocument/2006/relationships" r:embed="rId3"/>
        <a:stretch>
          <a:fillRect/>
        </a:stretch>
      </xdr:blipFill>
      <xdr:spPr>
        <a:xfrm>
          <a:off x="36057840" y="4693920"/>
          <a:ext cx="9782332" cy="2499360"/>
        </a:xfrm>
        <a:prstGeom prst="rect">
          <a:avLst/>
        </a:prstGeom>
      </xdr:spPr>
    </xdr:pic>
    <xdr:clientData/>
  </xdr:twoCellAnchor>
  <xdr:oneCellAnchor>
    <xdr:from>
      <xdr:col>13</xdr:col>
      <xdr:colOff>914400</xdr:colOff>
      <xdr:row>0</xdr:row>
      <xdr:rowOff>0</xdr:rowOff>
    </xdr:from>
    <xdr:ext cx="4933389" cy="396240"/>
    <xdr:sp macro="" textlink="">
      <xdr:nvSpPr>
        <xdr:cNvPr id="8" name="TextBox 7"/>
        <xdr:cNvSpPr txBox="1"/>
      </xdr:nvSpPr>
      <xdr:spPr>
        <a:xfrm>
          <a:off x="16901160" y="0"/>
          <a:ext cx="4933389" cy="396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800">
              <a:solidFill>
                <a:srgbClr val="FF0000"/>
              </a:solidFill>
            </a:rPr>
            <a:t>Final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203200</xdr:colOff>
      <xdr:row>2</xdr:row>
      <xdr:rowOff>461434</xdr:rowOff>
    </xdr:from>
    <xdr:to>
      <xdr:col>3</xdr:col>
      <xdr:colOff>135467</xdr:colOff>
      <xdr:row>3</xdr:row>
      <xdr:rowOff>899160</xdr:rowOff>
    </xdr:to>
    <xdr:sp macro="" textlink="">
      <xdr:nvSpPr>
        <xdr:cNvPr id="2" name="Rectangle 1"/>
        <xdr:cNvSpPr/>
      </xdr:nvSpPr>
      <xdr:spPr>
        <a:xfrm>
          <a:off x="1757680" y="60960"/>
          <a:ext cx="2256367" cy="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6000">
              <a:solidFill>
                <a:srgbClr val="FF0000"/>
              </a:solidFill>
            </a:rPr>
            <a:t>Draft </a:t>
          </a:r>
        </a:p>
      </xdr:txBody>
    </xdr:sp>
    <xdr:clientData/>
  </xdr:twoCellAnchor>
  <xdr:oneCellAnchor>
    <xdr:from>
      <xdr:col>13</xdr:col>
      <xdr:colOff>914400</xdr:colOff>
      <xdr:row>0</xdr:row>
      <xdr:rowOff>0</xdr:rowOff>
    </xdr:from>
    <xdr:ext cx="4750509" cy="396240"/>
    <xdr:sp macro="" textlink="">
      <xdr:nvSpPr>
        <xdr:cNvPr id="3" name="TextBox 2"/>
        <xdr:cNvSpPr txBox="1"/>
      </xdr:nvSpPr>
      <xdr:spPr>
        <a:xfrm>
          <a:off x="16901160" y="0"/>
          <a:ext cx="4750509" cy="396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800">
              <a:solidFill>
                <a:srgbClr val="FF0000"/>
              </a:solidFill>
            </a:rPr>
            <a:t>Final</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398144</xdr:colOff>
      <xdr:row>2</xdr:row>
      <xdr:rowOff>22225</xdr:rowOff>
    </xdr:from>
    <xdr:to>
      <xdr:col>11</xdr:col>
      <xdr:colOff>114300</xdr:colOff>
      <xdr:row>2</xdr:row>
      <xdr:rowOff>176741</xdr:rowOff>
    </xdr:to>
    <xdr:sp macro="" textlink="">
      <xdr:nvSpPr>
        <xdr:cNvPr id="2" name="Rectangle 1"/>
        <xdr:cNvSpPr/>
      </xdr:nvSpPr>
      <xdr:spPr>
        <a:xfrm>
          <a:off x="5360669" y="508000"/>
          <a:ext cx="1916431" cy="154516"/>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6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488157</xdr:rowOff>
    </xdr:from>
    <xdr:to>
      <xdr:col>16</xdr:col>
      <xdr:colOff>197908</xdr:colOff>
      <xdr:row>4</xdr:row>
      <xdr:rowOff>254001</xdr:rowOff>
    </xdr:to>
    <xdr:sp macro="" textlink="">
      <xdr:nvSpPr>
        <xdr:cNvPr id="2" name="Rectangle 1"/>
        <xdr:cNvSpPr/>
      </xdr:nvSpPr>
      <xdr:spPr>
        <a:xfrm>
          <a:off x="3702844" y="678657"/>
          <a:ext cx="7496439" cy="1742282"/>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66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17</xdr:col>
      <xdr:colOff>8467</xdr:colOff>
      <xdr:row>4</xdr:row>
      <xdr:rowOff>237066</xdr:rowOff>
    </xdr:to>
    <xdr:sp macro="" textlink="">
      <xdr:nvSpPr>
        <xdr:cNvPr id="3" name="Rectangle 2"/>
        <xdr:cNvSpPr/>
      </xdr:nvSpPr>
      <xdr:spPr>
        <a:xfrm>
          <a:off x="2895600" y="711200"/>
          <a:ext cx="5215467" cy="1642533"/>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66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57</xdr:row>
      <xdr:rowOff>130627</xdr:rowOff>
    </xdr:from>
    <xdr:to>
      <xdr:col>5</xdr:col>
      <xdr:colOff>664029</xdr:colOff>
      <xdr:row>71</xdr:row>
      <xdr:rowOff>13880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1462656"/>
          <a:ext cx="6172200" cy="2474053"/>
        </a:xfrm>
        <a:prstGeom prst="rect">
          <a:avLst/>
        </a:prstGeom>
      </xdr:spPr>
    </xdr:pic>
    <xdr:clientData/>
  </xdr:twoCellAnchor>
  <xdr:twoCellAnchor editAs="oneCell">
    <xdr:from>
      <xdr:col>0</xdr:col>
      <xdr:colOff>0</xdr:colOff>
      <xdr:row>70</xdr:row>
      <xdr:rowOff>0</xdr:rowOff>
    </xdr:from>
    <xdr:to>
      <xdr:col>10</xdr:col>
      <xdr:colOff>544609</xdr:colOff>
      <xdr:row>87</xdr:row>
      <xdr:rowOff>0</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13378543"/>
          <a:ext cx="10352638" cy="31459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G-181053-NWN-RJA-WP2-1-4-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eter Set Costs"/>
      <sheetName val="Source Data - WA"/>
      <sheetName val="IHS PP Const. Cost Table A20"/>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election activeCell="F5" sqref="F5"/>
    </sheetView>
  </sheetViews>
  <sheetFormatPr defaultRowHeight="14.4" x14ac:dyDescent="0.3"/>
  <sheetData>
    <row r="1" spans="1:3" x14ac:dyDescent="0.3">
      <c r="A1" s="780" t="s">
        <v>594</v>
      </c>
    </row>
    <row r="2" spans="1:3" x14ac:dyDescent="0.3">
      <c r="A2" s="781" t="s">
        <v>597</v>
      </c>
      <c r="B2" s="782"/>
      <c r="C2" s="782"/>
    </row>
    <row r="3" spans="1:3" x14ac:dyDescent="0.3">
      <c r="A3" s="780" t="s">
        <v>598</v>
      </c>
    </row>
    <row r="4" spans="1:3" x14ac:dyDescent="0.3">
      <c r="A4" s="780"/>
    </row>
    <row r="6" spans="1:3" x14ac:dyDescent="0.3">
      <c r="A6" s="780" t="s">
        <v>595</v>
      </c>
    </row>
    <row r="7" spans="1:3" x14ac:dyDescent="0.3">
      <c r="A7" s="783" t="s">
        <v>599</v>
      </c>
    </row>
    <row r="8" spans="1:3" x14ac:dyDescent="0.3">
      <c r="A8" s="783" t="s">
        <v>600</v>
      </c>
    </row>
    <row r="9" spans="1:3" x14ac:dyDescent="0.3">
      <c r="A9" s="783" t="s">
        <v>596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workbookViewId="0">
      <selection activeCell="D26" sqref="D26"/>
    </sheetView>
  </sheetViews>
  <sheetFormatPr defaultRowHeight="14.4" x14ac:dyDescent="0.3"/>
  <cols>
    <col min="1" max="1" width="53.5546875" customWidth="1"/>
    <col min="6" max="6" width="15.33203125" bestFit="1" customWidth="1"/>
    <col min="11" max="11" width="15.33203125" bestFit="1" customWidth="1"/>
    <col min="16" max="16" width="15.33203125" bestFit="1" customWidth="1"/>
    <col min="19" max="19" width="10" bestFit="1" customWidth="1"/>
  </cols>
  <sheetData>
    <row r="1" spans="1:21" ht="15" thickBot="1" x14ac:dyDescent="0.35"/>
    <row r="2" spans="1:21" ht="16.2" thickBot="1" x14ac:dyDescent="0.35">
      <c r="A2" s="359"/>
      <c r="B2" s="744" t="s">
        <v>0</v>
      </c>
      <c r="C2" s="745"/>
      <c r="D2" s="745"/>
      <c r="E2" s="745"/>
      <c r="F2" s="746"/>
      <c r="G2" s="747" t="s">
        <v>1</v>
      </c>
      <c r="H2" s="748"/>
      <c r="I2" s="748"/>
      <c r="J2" s="748"/>
      <c r="K2" s="749"/>
      <c r="L2" s="750" t="s">
        <v>252</v>
      </c>
      <c r="M2" s="751"/>
      <c r="N2" s="751"/>
      <c r="O2" s="751"/>
      <c r="P2" s="752"/>
      <c r="Q2" s="753" t="s">
        <v>3</v>
      </c>
      <c r="R2" s="754"/>
      <c r="S2" s="754"/>
      <c r="T2" s="754"/>
      <c r="U2" s="755"/>
    </row>
    <row r="3" spans="1:21" ht="15" thickBot="1" x14ac:dyDescent="0.35">
      <c r="A3" s="360"/>
      <c r="B3" s="756" t="s">
        <v>362</v>
      </c>
      <c r="C3" s="757"/>
      <c r="D3" s="756" t="s">
        <v>23</v>
      </c>
      <c r="E3" s="757"/>
      <c r="F3" s="361" t="s">
        <v>53</v>
      </c>
      <c r="G3" s="756" t="s">
        <v>22</v>
      </c>
      <c r="H3" s="757"/>
      <c r="I3" s="756" t="s">
        <v>23</v>
      </c>
      <c r="J3" s="757"/>
      <c r="K3" s="361" t="s">
        <v>53</v>
      </c>
      <c r="L3" s="756" t="s">
        <v>22</v>
      </c>
      <c r="M3" s="757"/>
      <c r="N3" s="756" t="s">
        <v>23</v>
      </c>
      <c r="O3" s="757"/>
      <c r="P3" s="361" t="s">
        <v>53</v>
      </c>
      <c r="Q3" s="756" t="s">
        <v>22</v>
      </c>
      <c r="R3" s="757"/>
      <c r="S3" s="362" t="s">
        <v>23</v>
      </c>
      <c r="T3" s="758" t="s">
        <v>53</v>
      </c>
      <c r="U3" s="759"/>
    </row>
    <row r="4" spans="1:21" ht="22.2" thickTop="1" thickBot="1" x14ac:dyDescent="0.35">
      <c r="A4" s="363" t="s">
        <v>358</v>
      </c>
      <c r="B4" s="760">
        <v>6957485</v>
      </c>
      <c r="C4" s="761"/>
      <c r="D4" s="762">
        <v>693226</v>
      </c>
      <c r="E4" s="763"/>
      <c r="F4" s="364">
        <v>23142</v>
      </c>
      <c r="G4" s="764">
        <v>6937370</v>
      </c>
      <c r="H4" s="761"/>
      <c r="I4" s="762">
        <v>693226</v>
      </c>
      <c r="J4" s="763"/>
      <c r="K4" s="365">
        <v>23142</v>
      </c>
      <c r="L4" s="765">
        <v>6139122</v>
      </c>
      <c r="M4" s="763"/>
      <c r="N4" s="762">
        <v>654481</v>
      </c>
      <c r="O4" s="763"/>
      <c r="P4" s="365">
        <v>23142</v>
      </c>
      <c r="Q4" s="765">
        <v>17178</v>
      </c>
      <c r="R4" s="763"/>
      <c r="S4" s="366">
        <v>2059</v>
      </c>
      <c r="T4" s="762">
        <v>0</v>
      </c>
      <c r="U4" s="766"/>
    </row>
    <row r="5" spans="1:21" ht="22.2" thickTop="1" thickBot="1" x14ac:dyDescent="0.35">
      <c r="A5" s="363" t="s">
        <v>359</v>
      </c>
      <c r="B5" s="760">
        <v>853325</v>
      </c>
      <c r="C5" s="761"/>
      <c r="D5" s="762">
        <v>68580</v>
      </c>
      <c r="E5" s="763"/>
      <c r="F5" s="364">
        <v>1915</v>
      </c>
      <c r="G5" s="764">
        <v>846712</v>
      </c>
      <c r="H5" s="761"/>
      <c r="I5" s="762">
        <v>68580</v>
      </c>
      <c r="J5" s="763"/>
      <c r="K5" s="365">
        <v>1915</v>
      </c>
      <c r="L5" s="765">
        <v>744805</v>
      </c>
      <c r="M5" s="763"/>
      <c r="N5" s="762">
        <v>69296</v>
      </c>
      <c r="O5" s="763"/>
      <c r="P5" s="365">
        <v>1915</v>
      </c>
      <c r="Q5" s="765">
        <v>2629</v>
      </c>
      <c r="R5" s="763"/>
      <c r="S5" s="366">
        <v>230</v>
      </c>
      <c r="T5" s="762">
        <v>0</v>
      </c>
      <c r="U5" s="766"/>
    </row>
    <row r="6" spans="1:21" ht="22.2" thickTop="1" thickBot="1" x14ac:dyDescent="0.35">
      <c r="A6" s="367" t="s">
        <v>360</v>
      </c>
      <c r="B6" s="760">
        <f>B4/12</f>
        <v>579790.41666666663</v>
      </c>
      <c r="C6" s="761"/>
      <c r="D6" s="760">
        <f>D4/12</f>
        <v>57768.833333333336</v>
      </c>
      <c r="E6" s="761"/>
      <c r="F6" s="364">
        <f>F4/12</f>
        <v>1928.5</v>
      </c>
      <c r="G6" s="760">
        <f>G4/12</f>
        <v>578114.16666666663</v>
      </c>
      <c r="H6" s="761"/>
      <c r="I6" s="760">
        <f>I4/12</f>
        <v>57768.833333333336</v>
      </c>
      <c r="J6" s="761"/>
      <c r="K6" s="364">
        <f>K4/12</f>
        <v>1928.5</v>
      </c>
      <c r="L6" s="760">
        <f>L4/12</f>
        <v>511593.5</v>
      </c>
      <c r="M6" s="761"/>
      <c r="N6" s="760">
        <f>N4/12</f>
        <v>54540.083333333336</v>
      </c>
      <c r="O6" s="761"/>
      <c r="P6" s="364">
        <f>P4/12</f>
        <v>1928.5</v>
      </c>
      <c r="Q6" s="760">
        <f>Q4/12</f>
        <v>1431.5</v>
      </c>
      <c r="R6" s="761"/>
      <c r="S6" s="366">
        <f>S4/12</f>
        <v>171.58333333333334</v>
      </c>
      <c r="T6" s="762"/>
      <c r="U6" s="766">
        <f>U4/12</f>
        <v>0</v>
      </c>
    </row>
    <row r="7" spans="1:21" ht="22.2" thickTop="1" thickBot="1" x14ac:dyDescent="0.35">
      <c r="A7" s="367" t="s">
        <v>361</v>
      </c>
      <c r="B7" s="760">
        <f>B5/12</f>
        <v>71110.416666666672</v>
      </c>
      <c r="C7" s="761"/>
      <c r="D7" s="760">
        <f>D5/12</f>
        <v>5715</v>
      </c>
      <c r="E7" s="761"/>
      <c r="F7" s="364">
        <f>F5/12</f>
        <v>159.58333333333334</v>
      </c>
      <c r="G7" s="760">
        <f>G5/12</f>
        <v>70559.333333333328</v>
      </c>
      <c r="H7" s="761"/>
      <c r="I7" s="760">
        <f>I5/12</f>
        <v>5715</v>
      </c>
      <c r="J7" s="761"/>
      <c r="K7" s="364">
        <f>K5/12</f>
        <v>159.58333333333334</v>
      </c>
      <c r="L7" s="760">
        <f>L5/12</f>
        <v>62067.083333333336</v>
      </c>
      <c r="M7" s="761"/>
      <c r="N7" s="760">
        <f>N5/12</f>
        <v>5774.666666666667</v>
      </c>
      <c r="O7" s="761"/>
      <c r="P7" s="364">
        <f>P5/12</f>
        <v>159.58333333333334</v>
      </c>
      <c r="Q7" s="760">
        <f>Q5/12</f>
        <v>219.08333333333334</v>
      </c>
      <c r="R7" s="761"/>
      <c r="S7" s="366">
        <f>S5/12</f>
        <v>19.166666666666668</v>
      </c>
      <c r="T7" s="762"/>
      <c r="U7" s="766">
        <f>U5/12</f>
        <v>0</v>
      </c>
    </row>
    <row r="8" spans="1:21" ht="15" thickTop="1" x14ac:dyDescent="0.3"/>
  </sheetData>
  <mergeCells count="44">
    <mergeCell ref="Q7:R7"/>
    <mergeCell ref="T7:U7"/>
    <mergeCell ref="B7:C7"/>
    <mergeCell ref="D7:E7"/>
    <mergeCell ref="G7:H7"/>
    <mergeCell ref="I7:J7"/>
    <mergeCell ref="L7:M7"/>
    <mergeCell ref="N7:O7"/>
    <mergeCell ref="N6:O6"/>
    <mergeCell ref="Q6:R6"/>
    <mergeCell ref="T6:U6"/>
    <mergeCell ref="B5:C5"/>
    <mergeCell ref="D5:E5"/>
    <mergeCell ref="G5:H5"/>
    <mergeCell ref="I5:J5"/>
    <mergeCell ref="L5:M5"/>
    <mergeCell ref="N5:O5"/>
    <mergeCell ref="B6:C6"/>
    <mergeCell ref="D6:E6"/>
    <mergeCell ref="G6:H6"/>
    <mergeCell ref="I6:J6"/>
    <mergeCell ref="L6:M6"/>
    <mergeCell ref="N4:O4"/>
    <mergeCell ref="Q4:R4"/>
    <mergeCell ref="T4:U4"/>
    <mergeCell ref="Q5:R5"/>
    <mergeCell ref="T5:U5"/>
    <mergeCell ref="B4:C4"/>
    <mergeCell ref="D4:E4"/>
    <mergeCell ref="G4:H4"/>
    <mergeCell ref="I4:J4"/>
    <mergeCell ref="L4:M4"/>
    <mergeCell ref="B2:F2"/>
    <mergeCell ref="G2:K2"/>
    <mergeCell ref="L2:P2"/>
    <mergeCell ref="Q2:U2"/>
    <mergeCell ref="B3:C3"/>
    <mergeCell ref="D3:E3"/>
    <mergeCell ref="G3:H3"/>
    <mergeCell ref="I3:J3"/>
    <mergeCell ref="L3:M3"/>
    <mergeCell ref="N3:O3"/>
    <mergeCell ref="Q3:R3"/>
    <mergeCell ref="T3:U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80" zoomScaleNormal="80" workbookViewId="0">
      <selection activeCell="F24" sqref="F24"/>
    </sheetView>
  </sheetViews>
  <sheetFormatPr defaultRowHeight="14.4" x14ac:dyDescent="0.3"/>
  <cols>
    <col min="1" max="1" width="39.21875" customWidth="1"/>
    <col min="2" max="2" width="19.5546875" customWidth="1"/>
    <col min="3" max="3" width="22.21875" customWidth="1"/>
    <col min="4" max="4" width="16.21875" customWidth="1"/>
    <col min="5" max="5" width="18.6640625" customWidth="1"/>
    <col min="6" max="6" width="26" customWidth="1"/>
    <col min="7" max="7" width="32.44140625" customWidth="1"/>
    <col min="8" max="8" width="14.77734375" customWidth="1"/>
    <col min="9" max="9" width="10.6640625" customWidth="1"/>
    <col min="11" max="11" width="10.77734375" customWidth="1"/>
    <col min="12" max="12" width="14.6640625" customWidth="1"/>
    <col min="14" max="14" width="11.21875" bestFit="1" customWidth="1"/>
    <col min="15" max="15" width="10.21875" bestFit="1" customWidth="1"/>
    <col min="16" max="16" width="15.21875" customWidth="1"/>
    <col min="17" max="17" width="11.21875" bestFit="1" customWidth="1"/>
  </cols>
  <sheetData>
    <row r="1" spans="1:11" ht="28.8" customHeight="1" x14ac:dyDescent="0.55000000000000004">
      <c r="A1" s="590" t="s">
        <v>493</v>
      </c>
    </row>
    <row r="2" spans="1:11" ht="25.8" customHeight="1" x14ac:dyDescent="0.3">
      <c r="A2" t="s">
        <v>590</v>
      </c>
    </row>
    <row r="3" spans="1:11" ht="15.6" customHeight="1" thickBot="1" x14ac:dyDescent="0.4">
      <c r="D3" s="620" t="s">
        <v>522</v>
      </c>
      <c r="E3" s="501"/>
      <c r="F3" s="501"/>
    </row>
    <row r="4" spans="1:11" ht="36.6" thickBot="1" x14ac:dyDescent="0.35">
      <c r="B4" s="141"/>
      <c r="C4" s="768"/>
      <c r="D4" s="769"/>
      <c r="E4" s="140"/>
      <c r="F4" s="504" t="s">
        <v>592</v>
      </c>
      <c r="H4" s="500" t="s">
        <v>54</v>
      </c>
      <c r="I4" s="500" t="s">
        <v>392</v>
      </c>
      <c r="K4" s="500" t="s">
        <v>484</v>
      </c>
    </row>
    <row r="5" spans="1:11" ht="15" thickBot="1" x14ac:dyDescent="0.35">
      <c r="A5" t="s">
        <v>220</v>
      </c>
      <c r="B5" s="141" t="s">
        <v>413</v>
      </c>
      <c r="C5" s="141" t="s">
        <v>55</v>
      </c>
      <c r="D5" s="141" t="s">
        <v>56</v>
      </c>
      <c r="E5" s="142"/>
      <c r="F5" s="140" t="s">
        <v>57</v>
      </c>
      <c r="H5" s="140" t="s">
        <v>57</v>
      </c>
      <c r="I5" s="490"/>
    </row>
    <row r="6" spans="1:11" ht="15" thickBot="1" x14ac:dyDescent="0.35">
      <c r="A6" s="354" t="s">
        <v>325</v>
      </c>
      <c r="B6" s="144" t="s">
        <v>409</v>
      </c>
      <c r="C6" s="144" t="s">
        <v>133</v>
      </c>
      <c r="D6" s="149" t="s">
        <v>67</v>
      </c>
      <c r="E6" s="150" t="s">
        <v>68</v>
      </c>
      <c r="F6" s="503">
        <f>'BI DATA  Download For Forecasti'!F3</f>
        <v>796597.60000000009</v>
      </c>
      <c r="H6" s="499">
        <v>774642.57</v>
      </c>
      <c r="I6" s="593">
        <f>F6/H6</f>
        <v>1.0283421423638004</v>
      </c>
      <c r="K6" s="499">
        <f>F6-H6</f>
        <v>21955.030000000144</v>
      </c>
    </row>
    <row r="7" spans="1:11" ht="15" thickBot="1" x14ac:dyDescent="0.35">
      <c r="A7" s="354" t="s">
        <v>326</v>
      </c>
      <c r="B7" s="144" t="s">
        <v>409</v>
      </c>
      <c r="C7" s="144" t="s">
        <v>133</v>
      </c>
      <c r="D7" s="149" t="s">
        <v>85</v>
      </c>
      <c r="E7" s="150" t="s">
        <v>86</v>
      </c>
      <c r="F7" s="503">
        <f>'BI DATA  Download For Forecasti'!F4</f>
        <v>74565.150000000009</v>
      </c>
      <c r="H7" s="499">
        <v>54027.9</v>
      </c>
      <c r="I7" s="593">
        <f t="shared" ref="I7:I20" si="0">F7/H7</f>
        <v>1.3801230475365507</v>
      </c>
      <c r="K7" s="499">
        <f t="shared" ref="K7:K21" si="1">F7-H7</f>
        <v>20537.250000000007</v>
      </c>
    </row>
    <row r="8" spans="1:11" ht="21" thickBot="1" x14ac:dyDescent="0.35">
      <c r="A8" s="355" t="s">
        <v>327</v>
      </c>
      <c r="B8" s="144" t="s">
        <v>490</v>
      </c>
      <c r="C8" s="144" t="s">
        <v>489</v>
      </c>
      <c r="D8" s="149" t="s">
        <v>67</v>
      </c>
      <c r="E8" s="150" t="s">
        <v>68</v>
      </c>
      <c r="F8" s="503">
        <f>'BI DATA  Download For Forecasti'!F5</f>
        <v>1142231.25</v>
      </c>
      <c r="H8" s="499">
        <f>'BI DATA  Download For Forecasti'!H27</f>
        <v>1091626.83</v>
      </c>
      <c r="I8" s="593">
        <f t="shared" si="0"/>
        <v>1.0463568855301952</v>
      </c>
      <c r="K8" s="499">
        <f t="shared" si="1"/>
        <v>50604.419999999925</v>
      </c>
    </row>
    <row r="9" spans="1:11" ht="21" thickBot="1" x14ac:dyDescent="0.35">
      <c r="A9" s="355" t="s">
        <v>328</v>
      </c>
      <c r="B9" s="144" t="s">
        <v>490</v>
      </c>
      <c r="C9" s="144" t="s">
        <v>489</v>
      </c>
      <c r="D9" s="149" t="s">
        <v>85</v>
      </c>
      <c r="E9" s="150" t="s">
        <v>86</v>
      </c>
      <c r="F9" s="503">
        <f>'BI DATA  Download For Forecasti'!F6</f>
        <v>27986</v>
      </c>
      <c r="H9" s="499">
        <f>'BI DATA  Download For Forecasti'!H28</f>
        <v>32908.129999999997</v>
      </c>
      <c r="I9" s="593">
        <f t="shared" si="0"/>
        <v>0.85042814647930476</v>
      </c>
      <c r="K9" s="499">
        <f t="shared" si="1"/>
        <v>-4922.1299999999974</v>
      </c>
    </row>
    <row r="10" spans="1:11" ht="15" thickBot="1" x14ac:dyDescent="0.35">
      <c r="A10" s="356" t="s">
        <v>329</v>
      </c>
      <c r="B10" s="144" t="s">
        <v>404</v>
      </c>
      <c r="C10" s="144" t="s">
        <v>158</v>
      </c>
      <c r="D10" s="149" t="s">
        <v>67</v>
      </c>
      <c r="E10" s="150" t="s">
        <v>68</v>
      </c>
      <c r="F10" s="503">
        <f>'BI DATA  Download For Forecasti'!F7</f>
        <v>10004715.469999999</v>
      </c>
      <c r="H10" s="499">
        <v>10109186.58</v>
      </c>
      <c r="I10" s="593">
        <f t="shared" si="0"/>
        <v>0.98966572540992692</v>
      </c>
      <c r="K10" s="499">
        <f t="shared" si="1"/>
        <v>-104471.11000000127</v>
      </c>
    </row>
    <row r="11" spans="1:11" ht="15" thickBot="1" x14ac:dyDescent="0.35">
      <c r="A11" s="356" t="s">
        <v>330</v>
      </c>
      <c r="B11" s="144" t="s">
        <v>404</v>
      </c>
      <c r="C11" s="144" t="s">
        <v>158</v>
      </c>
      <c r="D11" s="149" t="s">
        <v>85</v>
      </c>
      <c r="E11" s="150" t="s">
        <v>86</v>
      </c>
      <c r="F11" s="503">
        <f>'BI DATA  Download For Forecasti'!F8</f>
        <v>2034279.56</v>
      </c>
      <c r="H11" s="499">
        <v>1817606.43</v>
      </c>
      <c r="I11" s="593">
        <f t="shared" si="0"/>
        <v>1.1192079464639659</v>
      </c>
      <c r="K11" s="499">
        <f t="shared" si="1"/>
        <v>216673.13000000012</v>
      </c>
    </row>
    <row r="12" spans="1:11" ht="15" thickBot="1" x14ac:dyDescent="0.35">
      <c r="A12" s="354" t="s">
        <v>331</v>
      </c>
      <c r="B12" s="144" t="s">
        <v>405</v>
      </c>
      <c r="C12" s="144" t="s">
        <v>88</v>
      </c>
      <c r="D12" s="149" t="s">
        <v>67</v>
      </c>
      <c r="E12" s="150" t="s">
        <v>68</v>
      </c>
      <c r="F12" s="503">
        <f>'BI DATA  Download For Forecasti'!F9</f>
        <v>1461724.04</v>
      </c>
      <c r="H12" s="499">
        <v>1480804.48</v>
      </c>
      <c r="I12" s="593">
        <f t="shared" si="0"/>
        <v>0.98711481477959873</v>
      </c>
      <c r="K12" s="499">
        <f t="shared" si="1"/>
        <v>-19080.439999999944</v>
      </c>
    </row>
    <row r="13" spans="1:11" ht="15" thickBot="1" x14ac:dyDescent="0.35">
      <c r="A13" s="354" t="s">
        <v>332</v>
      </c>
      <c r="B13" s="144" t="s">
        <v>405</v>
      </c>
      <c r="C13" s="144" t="s">
        <v>88</v>
      </c>
      <c r="D13" s="149" t="s">
        <v>85</v>
      </c>
      <c r="E13" s="150" t="s">
        <v>86</v>
      </c>
      <c r="F13" s="503">
        <f>'BI DATA  Download For Forecasti'!F10</f>
        <v>3362301.65</v>
      </c>
      <c r="H13" s="499">
        <v>3410326.75</v>
      </c>
      <c r="I13" s="593">
        <f t="shared" si="0"/>
        <v>0.98591774233949869</v>
      </c>
      <c r="K13" s="499">
        <f t="shared" si="1"/>
        <v>-48025.100000000093</v>
      </c>
    </row>
    <row r="14" spans="1:11" ht="15" thickBot="1" x14ac:dyDescent="0.35">
      <c r="A14" s="355" t="s">
        <v>333</v>
      </c>
      <c r="B14" s="144" t="s">
        <v>406</v>
      </c>
      <c r="C14" s="144" t="s">
        <v>177</v>
      </c>
      <c r="D14" s="149" t="s">
        <v>67</v>
      </c>
      <c r="E14" s="150" t="s">
        <v>68</v>
      </c>
      <c r="F14" s="503">
        <f>'BI DATA  Download For Forecasti'!F11</f>
        <v>16517488.470000001</v>
      </c>
      <c r="H14" s="499">
        <v>16278121.609999999</v>
      </c>
      <c r="I14" s="593">
        <f t="shared" si="0"/>
        <v>1.014704820724091</v>
      </c>
      <c r="K14" s="499">
        <f t="shared" si="1"/>
        <v>239366.86000000127</v>
      </c>
    </row>
    <row r="15" spans="1:11" ht="15" thickBot="1" x14ac:dyDescent="0.35">
      <c r="A15" s="355" t="s">
        <v>334</v>
      </c>
      <c r="B15" s="144" t="s">
        <v>406</v>
      </c>
      <c r="C15" s="144" t="s">
        <v>177</v>
      </c>
      <c r="D15" s="149" t="s">
        <v>85</v>
      </c>
      <c r="E15" s="150" t="s">
        <v>86</v>
      </c>
      <c r="F15" s="503">
        <f>'BI DATA  Download For Forecasti'!F12</f>
        <v>2209512.3600000003</v>
      </c>
      <c r="H15" s="499">
        <v>2054621.13</v>
      </c>
      <c r="I15" s="593">
        <f t="shared" si="0"/>
        <v>1.0753867599911233</v>
      </c>
      <c r="K15" s="499">
        <f t="shared" si="1"/>
        <v>154891.23000000045</v>
      </c>
    </row>
    <row r="16" spans="1:11" ht="15" thickBot="1" x14ac:dyDescent="0.35">
      <c r="A16" s="356" t="s">
        <v>335</v>
      </c>
      <c r="B16" s="144" t="s">
        <v>407</v>
      </c>
      <c r="C16" s="144" t="s">
        <v>217</v>
      </c>
      <c r="D16" s="149" t="s">
        <v>67</v>
      </c>
      <c r="E16" s="150" t="s">
        <v>68</v>
      </c>
      <c r="F16" s="503">
        <f>'BI DATA  Download For Forecasti'!F13</f>
        <v>1883939.55</v>
      </c>
      <c r="H16" s="499">
        <v>1970854.31</v>
      </c>
      <c r="I16" s="593">
        <f t="shared" si="0"/>
        <v>0.95589995690751994</v>
      </c>
      <c r="K16" s="499">
        <f t="shared" si="1"/>
        <v>-86914.760000000009</v>
      </c>
    </row>
    <row r="17" spans="1:17" ht="15" thickBot="1" x14ac:dyDescent="0.35">
      <c r="A17" s="356" t="s">
        <v>336</v>
      </c>
      <c r="B17" s="144" t="s">
        <v>407</v>
      </c>
      <c r="C17" s="144" t="s">
        <v>217</v>
      </c>
      <c r="D17" s="149" t="s">
        <v>85</v>
      </c>
      <c r="E17" s="150" t="s">
        <v>86</v>
      </c>
      <c r="F17" s="503">
        <f>'BI DATA  Download For Forecasti'!F14</f>
        <v>95595.23</v>
      </c>
      <c r="H17" s="499">
        <v>87131.11</v>
      </c>
      <c r="I17" s="593">
        <f t="shared" si="0"/>
        <v>1.0971423410077066</v>
      </c>
      <c r="K17" s="499">
        <f t="shared" si="1"/>
        <v>8464.1199999999953</v>
      </c>
    </row>
    <row r="18" spans="1:17" ht="15" thickBot="1" x14ac:dyDescent="0.35">
      <c r="A18" s="354" t="str">
        <f>C18&amp;D18</f>
        <v>OFFICE SERVICESPayroll</v>
      </c>
      <c r="B18" s="144" t="s">
        <v>412</v>
      </c>
      <c r="C18" s="144" t="s">
        <v>398</v>
      </c>
      <c r="D18" s="149" t="s">
        <v>67</v>
      </c>
      <c r="E18" s="150" t="s">
        <v>68</v>
      </c>
      <c r="F18" s="503">
        <f>'BI DATA  Download For Forecasti'!F15</f>
        <v>988740.82</v>
      </c>
      <c r="H18" s="499">
        <v>949000</v>
      </c>
      <c r="I18" s="593">
        <f t="shared" si="0"/>
        <v>1.0418765226554267</v>
      </c>
      <c r="K18" s="499">
        <f t="shared" si="1"/>
        <v>39740.819999999949</v>
      </c>
    </row>
    <row r="19" spans="1:17" ht="15" thickBot="1" x14ac:dyDescent="0.35">
      <c r="A19" s="354" t="str">
        <f>C19&amp;D19</f>
        <v>OFFICE SERVICESNon-Payroll</v>
      </c>
      <c r="B19" s="144" t="s">
        <v>412</v>
      </c>
      <c r="C19" s="144" t="s">
        <v>398</v>
      </c>
      <c r="D19" s="149" t="s">
        <v>85</v>
      </c>
      <c r="E19" s="150" t="s">
        <v>86</v>
      </c>
      <c r="F19" s="503">
        <f>'BI DATA  Download For Forecasti'!F16</f>
        <v>445461.98</v>
      </c>
      <c r="H19" s="499">
        <v>451000</v>
      </c>
      <c r="I19" s="593">
        <f t="shared" si="0"/>
        <v>0.987720576496674</v>
      </c>
      <c r="K19" s="499">
        <f t="shared" si="1"/>
        <v>-5538.0200000000186</v>
      </c>
    </row>
    <row r="20" spans="1:17" ht="21" thickBot="1" x14ac:dyDescent="0.35">
      <c r="A20" s="355" t="str">
        <f>C20&amp;D20</f>
        <v>TREASURY (CASH MANAGEMENT)Payroll</v>
      </c>
      <c r="B20" s="144" t="s">
        <v>410</v>
      </c>
      <c r="C20" s="144" t="s">
        <v>411</v>
      </c>
      <c r="D20" s="149" t="s">
        <v>67</v>
      </c>
      <c r="E20" s="150" t="s">
        <v>68</v>
      </c>
      <c r="F20" s="503">
        <f>'BI DATA  Download For Forecasti'!F17</f>
        <v>509746.41000000003</v>
      </c>
      <c r="H20" s="499">
        <v>486000</v>
      </c>
      <c r="I20" s="593">
        <f t="shared" si="0"/>
        <v>1.0488609259259261</v>
      </c>
      <c r="K20" s="499">
        <f t="shared" si="1"/>
        <v>23746.410000000033</v>
      </c>
    </row>
    <row r="21" spans="1:17" ht="15" thickBot="1" x14ac:dyDescent="0.35">
      <c r="A21" s="355" t="str">
        <f>C21&amp;D21</f>
        <v>TREASURYNon-Payroll</v>
      </c>
      <c r="B21" s="144" t="s">
        <v>410</v>
      </c>
      <c r="C21" s="144" t="s">
        <v>399</v>
      </c>
      <c r="D21" s="149" t="s">
        <v>85</v>
      </c>
      <c r="E21" s="150" t="s">
        <v>86</v>
      </c>
      <c r="F21" s="503">
        <f>'BI DATA  Download For Forecasti'!F18</f>
        <v>2489322.62</v>
      </c>
      <c r="H21" s="499">
        <v>2235000</v>
      </c>
      <c r="I21" s="593">
        <f>F21/H21</f>
        <v>1.1137908814317674</v>
      </c>
      <c r="K21" s="499">
        <f t="shared" si="1"/>
        <v>254322.62000000011</v>
      </c>
    </row>
    <row r="22" spans="1:17" x14ac:dyDescent="0.3">
      <c r="F22" s="585">
        <f>SUM(F6:F21)</f>
        <v>44044208.159999982</v>
      </c>
      <c r="H22" s="585">
        <f>SUM(H6:H21)</f>
        <v>43282857.830000006</v>
      </c>
      <c r="K22" s="585">
        <f>SUM(K6:K21)</f>
        <v>761350.33000000066</v>
      </c>
    </row>
    <row r="23" spans="1:17" x14ac:dyDescent="0.3">
      <c r="B23" s="508" t="s">
        <v>414</v>
      </c>
    </row>
    <row r="24" spans="1:17" x14ac:dyDescent="0.3">
      <c r="C24" s="487"/>
      <c r="D24" s="487"/>
    </row>
    <row r="25" spans="1:17" ht="18" x14ac:dyDescent="0.35">
      <c r="B25" s="498" t="s">
        <v>591</v>
      </c>
      <c r="C25" s="487"/>
      <c r="D25" s="487"/>
    </row>
    <row r="26" spans="1:17" ht="18.600000000000001" thickBot="1" x14ac:dyDescent="0.4">
      <c r="B26" s="17" t="s">
        <v>22</v>
      </c>
      <c r="C26" s="17" t="s">
        <v>23</v>
      </c>
      <c r="D26" s="17" t="s">
        <v>53</v>
      </c>
      <c r="E26" s="17" t="s">
        <v>34</v>
      </c>
      <c r="G26" s="498" t="s">
        <v>524</v>
      </c>
      <c r="H26" s="610"/>
      <c r="I26" s="610"/>
    </row>
    <row r="27" spans="1:17" ht="15" thickBot="1" x14ac:dyDescent="0.35">
      <c r="A27">
        <v>2015</v>
      </c>
      <c r="B27" s="147">
        <v>646839</v>
      </c>
      <c r="C27" s="147">
        <v>66416</v>
      </c>
      <c r="D27" s="147">
        <v>1159</v>
      </c>
      <c r="E27" s="147">
        <f>SUM(B27:D27)</f>
        <v>714414</v>
      </c>
      <c r="G27" s="17" t="s">
        <v>22</v>
      </c>
      <c r="H27" s="17" t="s">
        <v>23</v>
      </c>
      <c r="I27" s="17" t="s">
        <v>53</v>
      </c>
      <c r="J27" s="17" t="s">
        <v>34</v>
      </c>
      <c r="N27" s="468" t="s">
        <v>22</v>
      </c>
      <c r="O27" s="468" t="s">
        <v>23</v>
      </c>
      <c r="P27" s="468" t="s">
        <v>53</v>
      </c>
      <c r="Q27" s="468" t="s">
        <v>34</v>
      </c>
    </row>
    <row r="28" spans="1:17" ht="58.2" thickBot="1" x14ac:dyDescent="0.35">
      <c r="A28" s="627" t="s">
        <v>593</v>
      </c>
      <c r="B28" s="503">
        <v>646839</v>
      </c>
      <c r="C28" s="503">
        <v>66416</v>
      </c>
      <c r="D28" s="503">
        <v>1159</v>
      </c>
      <c r="E28" s="503">
        <v>714414</v>
      </c>
      <c r="G28" s="147">
        <f>'2015 - 2016 Customers'!D45</f>
        <v>5198</v>
      </c>
      <c r="H28" s="147">
        <f>SUM('2015 - 2016 Customers'!D46)</f>
        <v>539</v>
      </c>
      <c r="I28" s="147">
        <f>SUM('2015 - 2016 Customers'!D47,'2015 - 2016 Customers'!D48,'2015 - 2016 Customers'!D50,'2015 - 2016 Customers'!D51,'2015 - 2016 Customers'!D52,'2015 - 2016 Customers'!D53,'2015 - 2016 Customers'!D49)</f>
        <v>124</v>
      </c>
      <c r="J28" s="147">
        <f>SUM(G28:I28)</f>
        <v>5861</v>
      </c>
      <c r="N28" s="468">
        <v>648673.5</v>
      </c>
      <c r="O28" s="468">
        <v>63483.833333333336</v>
      </c>
      <c r="P28" s="468">
        <v>2088.0833333333335</v>
      </c>
      <c r="Q28" s="468">
        <v>714245.41666666674</v>
      </c>
    </row>
    <row r="29" spans="1:17" ht="15" thickBot="1" x14ac:dyDescent="0.35">
      <c r="A29" s="373" t="s">
        <v>392</v>
      </c>
      <c r="B29" s="616">
        <f>B28/B27</f>
        <v>1</v>
      </c>
      <c r="C29" s="616">
        <f t="shared" ref="C29:E29" si="2">C28/C27</f>
        <v>1</v>
      </c>
      <c r="D29" s="616">
        <f t="shared" si="2"/>
        <v>1</v>
      </c>
      <c r="E29" s="616">
        <f t="shared" si="2"/>
        <v>1</v>
      </c>
    </row>
    <row r="30" spans="1:17" ht="15" thickBot="1" x14ac:dyDescent="0.35">
      <c r="A30" s="373"/>
      <c r="B30" s="502"/>
      <c r="C30" s="502"/>
      <c r="D30" s="502"/>
      <c r="E30" s="502"/>
    </row>
    <row r="31" spans="1:17" ht="15" thickBot="1" x14ac:dyDescent="0.35">
      <c r="A31" s="506" t="s">
        <v>401</v>
      </c>
      <c r="B31" s="503">
        <v>583071</v>
      </c>
      <c r="C31" s="503">
        <v>91928</v>
      </c>
      <c r="D31" s="503">
        <v>123754</v>
      </c>
      <c r="E31" s="503"/>
      <c r="F31" s="373"/>
      <c r="G31" s="373"/>
    </row>
    <row r="32" spans="1:17" ht="15" thickBot="1" x14ac:dyDescent="0.35">
      <c r="A32" s="373"/>
      <c r="B32" s="373"/>
      <c r="C32" s="373"/>
      <c r="D32" s="373"/>
      <c r="E32" s="373"/>
      <c r="F32" s="373"/>
      <c r="G32" s="373"/>
    </row>
    <row r="33" spans="1:16" ht="15" thickBot="1" x14ac:dyDescent="0.35">
      <c r="A33" s="506" t="s">
        <v>403</v>
      </c>
      <c r="B33" s="507">
        <v>0.9859</v>
      </c>
      <c r="C33" s="373"/>
      <c r="D33" s="373"/>
      <c r="E33" s="373"/>
      <c r="F33" s="373"/>
      <c r="G33" s="373"/>
    </row>
    <row r="34" spans="1:16" x14ac:dyDescent="0.3">
      <c r="A34" s="506"/>
      <c r="C34" s="373"/>
      <c r="D34" s="373"/>
      <c r="E34" s="373"/>
      <c r="F34" s="373"/>
      <c r="G34" s="373"/>
    </row>
    <row r="36" spans="1:16" ht="21" x14ac:dyDescent="0.4">
      <c r="B36" s="497" t="s">
        <v>0</v>
      </c>
      <c r="C36" s="19"/>
      <c r="D36" s="20"/>
      <c r="E36" s="492"/>
      <c r="F36" s="496" t="s">
        <v>1</v>
      </c>
      <c r="G36" s="20"/>
      <c r="H36" s="20"/>
      <c r="J36" s="496" t="s">
        <v>252</v>
      </c>
      <c r="K36" s="20"/>
      <c r="L36" s="20"/>
      <c r="N36" s="496" t="s">
        <v>3</v>
      </c>
      <c r="O36" s="20"/>
      <c r="P36" s="20"/>
    </row>
    <row r="37" spans="1:16" ht="17.399999999999999" customHeight="1" x14ac:dyDescent="0.4">
      <c r="A37" s="7"/>
      <c r="B37" s="17" t="s">
        <v>22</v>
      </c>
      <c r="C37" s="17" t="s">
        <v>23</v>
      </c>
      <c r="D37" s="127" t="s">
        <v>53</v>
      </c>
      <c r="E37" s="492"/>
      <c r="F37" s="17" t="s">
        <v>22</v>
      </c>
      <c r="G37" s="17" t="s">
        <v>23</v>
      </c>
      <c r="H37" s="127" t="s">
        <v>53</v>
      </c>
      <c r="J37" s="17" t="s">
        <v>22</v>
      </c>
      <c r="K37" s="17" t="s">
        <v>23</v>
      </c>
      <c r="L37" s="127" t="s">
        <v>53</v>
      </c>
      <c r="N37" s="17" t="s">
        <v>22</v>
      </c>
      <c r="O37" s="17" t="s">
        <v>23</v>
      </c>
      <c r="P37" s="127" t="s">
        <v>53</v>
      </c>
    </row>
    <row r="38" spans="1:16" x14ac:dyDescent="0.3">
      <c r="A38" s="491" t="s">
        <v>400</v>
      </c>
      <c r="B38" s="371">
        <f>'2015Summary METER to CASH (Base'!D6</f>
        <v>6957485</v>
      </c>
      <c r="C38" s="371">
        <f>'2015Summary METER to CASH (Base'!E6</f>
        <v>693226</v>
      </c>
      <c r="D38" s="371">
        <f>'2015Summary METER to CASH (Base'!F6</f>
        <v>23142</v>
      </c>
      <c r="E38" s="492"/>
      <c r="F38" s="371">
        <f>'2015Summary METER to CASH (Base'!H6</f>
        <v>6937370</v>
      </c>
      <c r="G38" s="371">
        <f>'2015Summary METER to CASH (Base'!I6</f>
        <v>693226</v>
      </c>
      <c r="H38" s="371">
        <f>'2015Summary METER to CASH (Base'!J6</f>
        <v>23142</v>
      </c>
      <c r="J38" s="371">
        <f>'2015Summary METER to CASH (Base'!L6</f>
        <v>6139122</v>
      </c>
      <c r="K38" s="371">
        <f>'2015Summary METER to CASH (Base'!M6</f>
        <v>654481</v>
      </c>
      <c r="L38" s="371">
        <f>'2015Summary METER to CASH (Base'!N6</f>
        <v>23142</v>
      </c>
      <c r="N38" s="371">
        <f>'2015Summary METER to CASH (Base'!P6</f>
        <v>130756.86812123199</v>
      </c>
      <c r="O38" s="371">
        <f>'2015Summary METER to CASH (Base'!Q6</f>
        <v>6266.4316472939427</v>
      </c>
      <c r="P38" s="371">
        <f>'2015Summary METER to CASH (Base'!R6</f>
        <v>20.487267645737127</v>
      </c>
    </row>
    <row r="39" spans="1:16" x14ac:dyDescent="0.3">
      <c r="A39" s="491" t="s">
        <v>394</v>
      </c>
      <c r="B39" s="371">
        <f>'2015Summary METER to CASH (Base'!D7</f>
        <v>853325</v>
      </c>
      <c r="C39" s="371">
        <f>'2015Summary METER to CASH (Base'!E7</f>
        <v>68580</v>
      </c>
      <c r="D39" s="371">
        <f>'2015Summary METER to CASH (Base'!F7</f>
        <v>1915</v>
      </c>
      <c r="E39" s="492"/>
      <c r="F39" s="371">
        <f>'2015Summary METER to CASH (Base'!H7</f>
        <v>846712</v>
      </c>
      <c r="G39" s="371">
        <f>'2015Summary METER to CASH (Base'!I7</f>
        <v>68580</v>
      </c>
      <c r="H39" s="371">
        <f>'2015Summary METER to CASH (Base'!J7</f>
        <v>1915</v>
      </c>
      <c r="J39" s="371">
        <f>'2015Summary METER to CASH (Base'!L7</f>
        <v>744805</v>
      </c>
      <c r="K39" s="371">
        <f>'2015Summary METER to CASH (Base'!M7</f>
        <v>69296</v>
      </c>
      <c r="L39" s="371">
        <f>'2015Summary METER to CASH (Base'!N7</f>
        <v>1915</v>
      </c>
      <c r="N39" s="371">
        <f>'2015Summary METER to CASH (Base'!P7</f>
        <v>16037.131878768014</v>
      </c>
      <c r="O39" s="371">
        <f>'2015Summary METER to CASH (Base'!Q7</f>
        <v>768.56835270605734</v>
      </c>
      <c r="P39" s="371">
        <f>'2015Summary METER to CASH (Base'!R7</f>
        <v>2.5127323542628739</v>
      </c>
    </row>
    <row r="40" spans="1:16" ht="15" thickBot="1" x14ac:dyDescent="0.35">
      <c r="A40" s="373" t="s">
        <v>339</v>
      </c>
      <c r="B40" s="495">
        <f>SUM(B38:B39)</f>
        <v>7810810</v>
      </c>
      <c r="C40" s="495">
        <f t="shared" ref="C40:D40" si="3">SUM(C38:C39)</f>
        <v>761806</v>
      </c>
      <c r="D40" s="495">
        <f t="shared" si="3"/>
        <v>25057</v>
      </c>
      <c r="E40" s="492"/>
      <c r="F40" s="495">
        <f>SUM(F38:F39)</f>
        <v>7784082</v>
      </c>
      <c r="G40" s="495">
        <f t="shared" ref="G40" si="4">SUM(G38:G39)</f>
        <v>761806</v>
      </c>
      <c r="H40" s="495">
        <f t="shared" ref="H40" si="5">SUM(H38:H39)</f>
        <v>25057</v>
      </c>
      <c r="J40" s="495">
        <f>SUM(J38:J39)</f>
        <v>6883927</v>
      </c>
      <c r="K40" s="495">
        <f t="shared" ref="K40" si="6">SUM(K38:K39)</f>
        <v>723777</v>
      </c>
      <c r="L40" s="495">
        <f t="shared" ref="L40" si="7">SUM(L38:L39)</f>
        <v>25057</v>
      </c>
      <c r="N40" s="493">
        <f>SUM(N38:N39)</f>
        <v>146794</v>
      </c>
      <c r="O40" s="493">
        <f t="shared" ref="O40" si="8">SUM(O38:O39)</f>
        <v>7035</v>
      </c>
      <c r="P40" s="493">
        <f t="shared" ref="P40" si="9">SUM(P38:P39)</f>
        <v>23</v>
      </c>
    </row>
    <row r="41" spans="1:16" x14ac:dyDescent="0.3">
      <c r="A41" s="373" t="s">
        <v>392</v>
      </c>
      <c r="B41" s="494">
        <f>B40*$B29</f>
        <v>7810810</v>
      </c>
      <c r="C41" s="494">
        <f t="shared" ref="C41:D41" si="10">C40*$B29</f>
        <v>761806</v>
      </c>
      <c r="D41" s="494">
        <f t="shared" si="10"/>
        <v>25057</v>
      </c>
      <c r="F41" s="493">
        <f>F40*$B29</f>
        <v>7784082</v>
      </c>
      <c r="G41" s="493">
        <f t="shared" ref="G41" si="11">G40*$B29</f>
        <v>761806</v>
      </c>
      <c r="H41" s="493">
        <f t="shared" ref="H41" si="12">H40*$B29</f>
        <v>25057</v>
      </c>
      <c r="J41" s="493">
        <f>J40*$B29</f>
        <v>6883927</v>
      </c>
      <c r="K41" s="493">
        <f t="shared" ref="K41" si="13">K40*$B29</f>
        <v>723777</v>
      </c>
      <c r="L41" s="493">
        <f t="shared" ref="L41" si="14">L40*$B29</f>
        <v>25057</v>
      </c>
      <c r="N41" s="493">
        <f>N40*$B29</f>
        <v>146794</v>
      </c>
      <c r="O41" s="493">
        <f t="shared" ref="O41" si="15">O40*$B29</f>
        <v>7035</v>
      </c>
      <c r="P41" s="493">
        <f t="shared" ref="P41" si="16">P40*$B29</f>
        <v>23</v>
      </c>
    </row>
    <row r="42" spans="1:16" x14ac:dyDescent="0.3">
      <c r="B42" s="618">
        <f>$B29</f>
        <v>1</v>
      </c>
      <c r="C42" s="617">
        <f>$C29</f>
        <v>1</v>
      </c>
      <c r="D42" s="617">
        <f>$D29</f>
        <v>1</v>
      </c>
      <c r="E42" s="617"/>
      <c r="F42" s="617">
        <f>$B29</f>
        <v>1</v>
      </c>
      <c r="G42" s="617">
        <f>$C29</f>
        <v>1</v>
      </c>
      <c r="H42" s="617">
        <f>$D29</f>
        <v>1</v>
      </c>
      <c r="I42" s="617"/>
      <c r="J42" s="617">
        <f>$B29</f>
        <v>1</v>
      </c>
      <c r="K42" s="617">
        <f>$C29</f>
        <v>1</v>
      </c>
      <c r="L42" s="617">
        <f>$D29</f>
        <v>1</v>
      </c>
      <c r="M42" s="617"/>
      <c r="N42" s="617">
        <f>$B29</f>
        <v>1</v>
      </c>
      <c r="O42" s="617">
        <f>$C29</f>
        <v>1</v>
      </c>
      <c r="P42" s="617">
        <f>$D29</f>
        <v>1</v>
      </c>
    </row>
  </sheetData>
  <mergeCells count="1">
    <mergeCell ref="C4:D4"/>
  </mergeCells>
  <pageMargins left="0.7" right="0.7" top="0.75" bottom="0.75" header="0.3" footer="0.3"/>
  <pageSetup paperSize="17"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2"/>
  <sheetViews>
    <sheetView topLeftCell="D1" zoomScale="70" zoomScaleNormal="70" workbookViewId="0">
      <selection activeCell="L14" sqref="L14"/>
    </sheetView>
  </sheetViews>
  <sheetFormatPr defaultRowHeight="14.4" x14ac:dyDescent="0.3"/>
  <cols>
    <col min="1" max="1" width="31.109375" customWidth="1"/>
    <col min="2" max="2" width="11.21875" customWidth="1"/>
    <col min="3" max="3" width="31.109375" customWidth="1"/>
    <col min="4" max="11" width="17.5546875" customWidth="1"/>
    <col min="12" max="12" width="22.77734375" customWidth="1"/>
    <col min="13" max="18" width="17.5546875" customWidth="1"/>
  </cols>
  <sheetData>
    <row r="1" spans="1:7" ht="18" x14ac:dyDescent="0.35">
      <c r="A1" s="398" t="s">
        <v>455</v>
      </c>
      <c r="D1" t="s">
        <v>456</v>
      </c>
      <c r="E1" t="s">
        <v>488</v>
      </c>
    </row>
    <row r="2" spans="1:7" ht="15" thickBot="1" x14ac:dyDescent="0.35">
      <c r="A2" s="2" t="s">
        <v>511</v>
      </c>
    </row>
    <row r="3" spans="1:7" ht="15" thickBot="1" x14ac:dyDescent="0.35">
      <c r="A3" s="199" t="str">
        <f>B3&amp;D3</f>
        <v>11325Payroll</v>
      </c>
      <c r="B3" s="144" t="s">
        <v>409</v>
      </c>
      <c r="C3" s="144" t="s">
        <v>133</v>
      </c>
      <c r="D3" s="150" t="s">
        <v>67</v>
      </c>
      <c r="E3" s="150" t="s">
        <v>68</v>
      </c>
      <c r="F3" s="503">
        <f>VLOOKUP(A3,A$34:R$370,12,FALSE)*1000</f>
        <v>796597.60000000009</v>
      </c>
    </row>
    <row r="4" spans="1:7" ht="15" thickBot="1" x14ac:dyDescent="0.35">
      <c r="A4" s="199" t="str">
        <f>B4&amp;D4</f>
        <v>11325Non-Payroll</v>
      </c>
      <c r="B4" s="144" t="s">
        <v>409</v>
      </c>
      <c r="C4" s="144" t="s">
        <v>133</v>
      </c>
      <c r="D4" s="150" t="s">
        <v>85</v>
      </c>
      <c r="E4" s="150" t="s">
        <v>86</v>
      </c>
      <c r="F4" s="503">
        <f t="shared" ref="F4:F18" si="0">VLOOKUP(A4,A$34:R$370,12,FALSE)*1000</f>
        <v>74565.150000000009</v>
      </c>
    </row>
    <row r="5" spans="1:7" ht="15" thickBot="1" x14ac:dyDescent="0.35">
      <c r="A5" s="587" t="s">
        <v>506</v>
      </c>
      <c r="B5" s="144" t="s">
        <v>408</v>
      </c>
      <c r="C5" s="144" t="s">
        <v>155</v>
      </c>
      <c r="D5" s="149" t="s">
        <v>67</v>
      </c>
      <c r="E5" s="150" t="s">
        <v>68</v>
      </c>
      <c r="F5" s="503">
        <f>F27</f>
        <v>1142231.25</v>
      </c>
      <c r="G5" t="s">
        <v>491</v>
      </c>
    </row>
    <row r="6" spans="1:7" ht="15" thickBot="1" x14ac:dyDescent="0.35">
      <c r="A6" s="587" t="s">
        <v>507</v>
      </c>
      <c r="B6" s="144" t="s">
        <v>408</v>
      </c>
      <c r="C6" s="144" t="s">
        <v>155</v>
      </c>
      <c r="D6" s="149" t="s">
        <v>85</v>
      </c>
      <c r="E6" s="150" t="s">
        <v>86</v>
      </c>
      <c r="F6" s="503">
        <f>F28</f>
        <v>27986</v>
      </c>
      <c r="G6" t="s">
        <v>491</v>
      </c>
    </row>
    <row r="7" spans="1:7" ht="15" thickBot="1" x14ac:dyDescent="0.35">
      <c r="A7" s="199" t="str">
        <f t="shared" ref="A7:A18" si="1">B7&amp;D7</f>
        <v>13400Payroll</v>
      </c>
      <c r="B7" s="144" t="s">
        <v>404</v>
      </c>
      <c r="C7" s="144" t="s">
        <v>158</v>
      </c>
      <c r="D7" s="149" t="s">
        <v>67</v>
      </c>
      <c r="E7" s="150" t="s">
        <v>68</v>
      </c>
      <c r="F7" s="503">
        <f t="shared" si="0"/>
        <v>10004715.469999999</v>
      </c>
    </row>
    <row r="8" spans="1:7" ht="15" thickBot="1" x14ac:dyDescent="0.35">
      <c r="A8" s="199" t="str">
        <f t="shared" si="1"/>
        <v>13400Non-Payroll</v>
      </c>
      <c r="B8" s="144" t="s">
        <v>404</v>
      </c>
      <c r="C8" s="144" t="s">
        <v>158</v>
      </c>
      <c r="D8" s="149" t="s">
        <v>85</v>
      </c>
      <c r="E8" s="150" t="s">
        <v>86</v>
      </c>
      <c r="F8" s="503">
        <f t="shared" si="0"/>
        <v>2034279.56</v>
      </c>
    </row>
    <row r="9" spans="1:7" ht="15" thickBot="1" x14ac:dyDescent="0.35">
      <c r="A9" s="199" t="str">
        <f t="shared" si="1"/>
        <v>13600Payroll</v>
      </c>
      <c r="B9" s="144" t="s">
        <v>405</v>
      </c>
      <c r="C9" s="144" t="s">
        <v>88</v>
      </c>
      <c r="D9" s="149" t="s">
        <v>67</v>
      </c>
      <c r="E9" s="150" t="s">
        <v>68</v>
      </c>
      <c r="F9" s="503">
        <f t="shared" si="0"/>
        <v>1461724.04</v>
      </c>
    </row>
    <row r="10" spans="1:7" ht="15" thickBot="1" x14ac:dyDescent="0.35">
      <c r="A10" s="199" t="str">
        <f t="shared" si="1"/>
        <v>13600Non-Payroll</v>
      </c>
      <c r="B10" s="144" t="s">
        <v>405</v>
      </c>
      <c r="C10" s="144" t="s">
        <v>88</v>
      </c>
      <c r="D10" s="149" t="s">
        <v>85</v>
      </c>
      <c r="E10" s="150" t="s">
        <v>86</v>
      </c>
      <c r="F10" s="503">
        <f t="shared" si="0"/>
        <v>3362301.65</v>
      </c>
    </row>
    <row r="11" spans="1:7" ht="15" thickBot="1" x14ac:dyDescent="0.35">
      <c r="A11" s="199" t="str">
        <f t="shared" si="1"/>
        <v>13510Payroll</v>
      </c>
      <c r="B11" s="144" t="s">
        <v>406</v>
      </c>
      <c r="C11" s="144" t="s">
        <v>177</v>
      </c>
      <c r="D11" s="149" t="s">
        <v>67</v>
      </c>
      <c r="E11" s="150" t="s">
        <v>68</v>
      </c>
      <c r="F11" s="503">
        <f t="shared" si="0"/>
        <v>16517488.470000001</v>
      </c>
    </row>
    <row r="12" spans="1:7" ht="15" thickBot="1" x14ac:dyDescent="0.35">
      <c r="A12" s="199" t="str">
        <f t="shared" si="1"/>
        <v>13510Non-Payroll</v>
      </c>
      <c r="B12" s="144" t="s">
        <v>406</v>
      </c>
      <c r="C12" s="144" t="s">
        <v>177</v>
      </c>
      <c r="D12" s="149" t="s">
        <v>85</v>
      </c>
      <c r="E12" s="150" t="s">
        <v>86</v>
      </c>
      <c r="F12" s="503">
        <f t="shared" si="0"/>
        <v>2209512.3600000003</v>
      </c>
    </row>
    <row r="13" spans="1:7" ht="15" thickBot="1" x14ac:dyDescent="0.35">
      <c r="A13" s="199" t="str">
        <f t="shared" si="1"/>
        <v>13520Payroll</v>
      </c>
      <c r="B13" s="144" t="s">
        <v>407</v>
      </c>
      <c r="C13" s="144" t="s">
        <v>217</v>
      </c>
      <c r="D13" s="149" t="s">
        <v>67</v>
      </c>
      <c r="E13" s="150" t="s">
        <v>68</v>
      </c>
      <c r="F13" s="503">
        <f t="shared" si="0"/>
        <v>1883939.55</v>
      </c>
    </row>
    <row r="14" spans="1:7" ht="15" thickBot="1" x14ac:dyDescent="0.35">
      <c r="A14" s="199" t="str">
        <f t="shared" si="1"/>
        <v>13520Non-Payroll</v>
      </c>
      <c r="B14" s="144" t="s">
        <v>407</v>
      </c>
      <c r="C14" s="144" t="s">
        <v>217</v>
      </c>
      <c r="D14" s="149" t="s">
        <v>85</v>
      </c>
      <c r="E14" s="150" t="s">
        <v>86</v>
      </c>
      <c r="F14" s="503">
        <f t="shared" si="0"/>
        <v>95595.23</v>
      </c>
    </row>
    <row r="15" spans="1:7" ht="15" thickBot="1" x14ac:dyDescent="0.35">
      <c r="A15" s="199" t="str">
        <f t="shared" si="1"/>
        <v>16400Payroll</v>
      </c>
      <c r="B15" s="144" t="s">
        <v>412</v>
      </c>
      <c r="C15" s="144" t="s">
        <v>398</v>
      </c>
      <c r="D15" s="149" t="s">
        <v>67</v>
      </c>
      <c r="E15" s="150" t="s">
        <v>68</v>
      </c>
      <c r="F15" s="503">
        <f t="shared" si="0"/>
        <v>988740.82</v>
      </c>
    </row>
    <row r="16" spans="1:7" ht="15" thickBot="1" x14ac:dyDescent="0.35">
      <c r="A16" s="199" t="str">
        <f t="shared" si="1"/>
        <v>16400Non-Payroll</v>
      </c>
      <c r="B16" s="144" t="s">
        <v>412</v>
      </c>
      <c r="C16" s="144" t="s">
        <v>398</v>
      </c>
      <c r="D16" s="149" t="s">
        <v>85</v>
      </c>
      <c r="E16" s="150" t="s">
        <v>86</v>
      </c>
      <c r="F16" s="503">
        <f t="shared" si="0"/>
        <v>445461.98</v>
      </c>
    </row>
    <row r="17" spans="1:8" ht="15" thickBot="1" x14ac:dyDescent="0.35">
      <c r="A17" s="199" t="str">
        <f t="shared" si="1"/>
        <v>42030Payroll</v>
      </c>
      <c r="B17" s="144" t="s">
        <v>410</v>
      </c>
      <c r="C17" s="144" t="s">
        <v>411</v>
      </c>
      <c r="D17" s="149" t="s">
        <v>67</v>
      </c>
      <c r="E17" s="150" t="s">
        <v>68</v>
      </c>
      <c r="F17" s="503">
        <f t="shared" si="0"/>
        <v>509746.41000000003</v>
      </c>
    </row>
    <row r="18" spans="1:8" ht="15" thickBot="1" x14ac:dyDescent="0.35">
      <c r="A18" s="199" t="str">
        <f t="shared" si="1"/>
        <v>42030Non-Payroll</v>
      </c>
      <c r="B18" s="144" t="s">
        <v>410</v>
      </c>
      <c r="C18" s="144" t="s">
        <v>399</v>
      </c>
      <c r="D18" s="149" t="s">
        <v>85</v>
      </c>
      <c r="E18" s="150" t="s">
        <v>86</v>
      </c>
      <c r="F18" s="503">
        <f t="shared" si="0"/>
        <v>2489322.62</v>
      </c>
    </row>
    <row r="19" spans="1:8" x14ac:dyDescent="0.3">
      <c r="F19" s="585">
        <f>SUM(F5:F18)</f>
        <v>43173045.409999982</v>
      </c>
    </row>
    <row r="20" spans="1:8" ht="15" thickBot="1" x14ac:dyDescent="0.35">
      <c r="F20" s="585"/>
    </row>
    <row r="21" spans="1:8" ht="21" thickBot="1" x14ac:dyDescent="0.35">
      <c r="C21" s="478"/>
      <c r="D21" s="479"/>
      <c r="E21" s="140"/>
      <c r="F21" s="141" t="s">
        <v>485</v>
      </c>
      <c r="H21" s="141" t="s">
        <v>54</v>
      </c>
    </row>
    <row r="22" spans="1:8" ht="15" thickBot="1" x14ac:dyDescent="0.35">
      <c r="C22" s="480" t="s">
        <v>55</v>
      </c>
      <c r="D22" s="141" t="s">
        <v>56</v>
      </c>
      <c r="E22" s="142"/>
      <c r="F22" s="140" t="s">
        <v>384</v>
      </c>
      <c r="H22" s="140" t="s">
        <v>384</v>
      </c>
    </row>
    <row r="23" spans="1:8" ht="15" thickBot="1" x14ac:dyDescent="0.35">
      <c r="A23" s="587" t="str">
        <f t="shared" ref="A23:A26" si="2">B23&amp;D23</f>
        <v>11320Payroll</v>
      </c>
      <c r="B23" s="144" t="s">
        <v>487</v>
      </c>
      <c r="C23" s="144" t="s">
        <v>385</v>
      </c>
      <c r="D23" s="150" t="s">
        <v>67</v>
      </c>
      <c r="E23" s="150" t="s">
        <v>68</v>
      </c>
      <c r="F23" s="503">
        <f t="shared" ref="F23:F26" si="3">VLOOKUP(A23,A$34:R$370,12,FALSE)*1000</f>
        <v>697627</v>
      </c>
      <c r="H23" s="469">
        <v>669413.53</v>
      </c>
    </row>
    <row r="24" spans="1:8" ht="15" thickBot="1" x14ac:dyDescent="0.35">
      <c r="A24" s="587" t="str">
        <f t="shared" si="2"/>
        <v>11320Non-Payroll</v>
      </c>
      <c r="B24" s="144" t="s">
        <v>487</v>
      </c>
      <c r="C24" s="144" t="s">
        <v>385</v>
      </c>
      <c r="D24" s="150" t="s">
        <v>85</v>
      </c>
      <c r="E24" s="150" t="s">
        <v>86</v>
      </c>
      <c r="F24" s="503">
        <f t="shared" si="3"/>
        <v>22367.97</v>
      </c>
      <c r="H24" s="471">
        <v>24947.64</v>
      </c>
    </row>
    <row r="25" spans="1:8" ht="15" thickBot="1" x14ac:dyDescent="0.35">
      <c r="A25" s="587" t="str">
        <f t="shared" si="2"/>
        <v>11348Payroll</v>
      </c>
      <c r="B25" s="144" t="s">
        <v>408</v>
      </c>
      <c r="C25" s="144" t="s">
        <v>155</v>
      </c>
      <c r="D25" s="150" t="s">
        <v>67</v>
      </c>
      <c r="E25" s="150" t="s">
        <v>68</v>
      </c>
      <c r="F25" s="503">
        <f t="shared" si="3"/>
        <v>444604.25</v>
      </c>
      <c r="H25" s="472">
        <v>422213.3</v>
      </c>
    </row>
    <row r="26" spans="1:8" ht="15" thickBot="1" x14ac:dyDescent="0.35">
      <c r="A26" s="587" t="str">
        <f t="shared" si="2"/>
        <v>11348Non-Payroll</v>
      </c>
      <c r="B26" s="144" t="s">
        <v>408</v>
      </c>
      <c r="C26" s="144" t="s">
        <v>155</v>
      </c>
      <c r="D26" s="150" t="s">
        <v>85</v>
      </c>
      <c r="E26" s="150" t="s">
        <v>86</v>
      </c>
      <c r="F26" s="503">
        <f t="shared" si="3"/>
        <v>5618.03</v>
      </c>
      <c r="H26" s="471">
        <v>7960.49</v>
      </c>
    </row>
    <row r="27" spans="1:8" ht="15" thickBot="1" x14ac:dyDescent="0.35">
      <c r="D27" s="481" t="s">
        <v>34</v>
      </c>
      <c r="E27" s="150" t="s">
        <v>67</v>
      </c>
      <c r="F27" s="482">
        <f>F23+F25</f>
        <v>1142231.25</v>
      </c>
      <c r="H27" s="482">
        <f>H23+H25</f>
        <v>1091626.83</v>
      </c>
    </row>
    <row r="28" spans="1:8" ht="15" thickBot="1" x14ac:dyDescent="0.35">
      <c r="D28" s="481" t="s">
        <v>34</v>
      </c>
      <c r="E28" s="150" t="s">
        <v>85</v>
      </c>
      <c r="F28" s="482">
        <f>F24+F26</f>
        <v>27986</v>
      </c>
      <c r="H28" s="482">
        <f>H24+H26</f>
        <v>32908.129999999997</v>
      </c>
    </row>
    <row r="29" spans="1:8" x14ac:dyDescent="0.3">
      <c r="F29" s="585"/>
    </row>
    <row r="30" spans="1:8" s="586" customFormat="1" x14ac:dyDescent="0.3"/>
    <row r="31" spans="1:8" ht="15.6" x14ac:dyDescent="0.3">
      <c r="B31" s="589" t="s">
        <v>492</v>
      </c>
      <c r="C31" s="549"/>
      <c r="D31" s="549"/>
    </row>
    <row r="32" spans="1:8" ht="15" thickBot="1" x14ac:dyDescent="0.35"/>
    <row r="33" spans="1:18" ht="15" thickBot="1" x14ac:dyDescent="0.35">
      <c r="B33" s="581" t="s">
        <v>55</v>
      </c>
      <c r="C33" s="582" t="s">
        <v>56</v>
      </c>
      <c r="D33" s="583" t="s">
        <v>457</v>
      </c>
      <c r="E33" s="588" t="s">
        <v>509</v>
      </c>
      <c r="F33" s="588" t="s">
        <v>458</v>
      </c>
      <c r="G33" s="588" t="s">
        <v>459</v>
      </c>
      <c r="H33" s="588" t="s">
        <v>460</v>
      </c>
      <c r="I33" s="588" t="s">
        <v>461</v>
      </c>
      <c r="J33" s="588" t="s">
        <v>462</v>
      </c>
      <c r="K33" s="588" t="s">
        <v>463</v>
      </c>
      <c r="L33" s="600" t="s">
        <v>508</v>
      </c>
      <c r="M33" s="588" t="s">
        <v>464</v>
      </c>
      <c r="N33" s="588" t="s">
        <v>465</v>
      </c>
      <c r="O33" s="588" t="s">
        <v>466</v>
      </c>
      <c r="P33" s="588" t="s">
        <v>467</v>
      </c>
      <c r="Q33" s="588" t="s">
        <v>468</v>
      </c>
      <c r="R33" s="588" t="s">
        <v>469</v>
      </c>
    </row>
    <row r="34" spans="1:18" ht="15.6" thickBot="1" x14ac:dyDescent="0.35">
      <c r="A34" s="199" t="str">
        <f>RIGHT(B34,5)&amp;C34</f>
        <v>42030SALARY PAYROLL</v>
      </c>
      <c r="B34" s="597" t="s">
        <v>470</v>
      </c>
      <c r="C34" s="597" t="s">
        <v>59</v>
      </c>
      <c r="D34" s="597" t="s">
        <v>60</v>
      </c>
      <c r="E34" s="594">
        <v>19.0413</v>
      </c>
      <c r="F34" s="594">
        <v>21.460930000000001</v>
      </c>
      <c r="G34" s="594">
        <v>-2.4196300000000002</v>
      </c>
      <c r="H34" s="594">
        <v>-11.274581297269037</v>
      </c>
      <c r="I34" s="594">
        <v>0</v>
      </c>
      <c r="J34" s="594">
        <v>19.0413</v>
      </c>
      <c r="K34" s="594">
        <v>0</v>
      </c>
      <c r="L34" s="595">
        <v>273.10063000000002</v>
      </c>
      <c r="M34" s="594">
        <v>256.28106000000002</v>
      </c>
      <c r="N34" s="594">
        <v>16.819569999999999</v>
      </c>
      <c r="O34" s="594">
        <v>6.5629391418936693</v>
      </c>
      <c r="P34" s="594">
        <v>142.01231000000001</v>
      </c>
      <c r="Q34" s="594">
        <v>131.08832000000001</v>
      </c>
      <c r="R34" s="594">
        <v>92.307716140945814</v>
      </c>
    </row>
    <row r="35" spans="1:18" ht="15.6" thickBot="1" x14ac:dyDescent="0.35">
      <c r="A35" s="199" t="str">
        <f t="shared" ref="A35:A98" si="4">RIGHT(B35,5)&amp;C35</f>
        <v>42030VACATION, SICK &amp; HOL</v>
      </c>
      <c r="B35" s="597" t="s">
        <v>470</v>
      </c>
      <c r="C35" s="597" t="s">
        <v>61</v>
      </c>
      <c r="D35" s="597" t="s">
        <v>62</v>
      </c>
      <c r="E35" s="596">
        <v>3.3008600000000001</v>
      </c>
      <c r="F35" s="596">
        <v>3.3264499999999999</v>
      </c>
      <c r="G35" s="596">
        <v>-2.5590000000000002E-2</v>
      </c>
      <c r="H35" s="596">
        <v>-0.76928858091959895</v>
      </c>
      <c r="I35" s="596">
        <v>0</v>
      </c>
      <c r="J35" s="596">
        <v>3.3008600000000001</v>
      </c>
      <c r="K35" s="596">
        <v>0</v>
      </c>
      <c r="L35" s="595">
        <v>40.847410000000004</v>
      </c>
      <c r="M35" s="596">
        <v>39.723590000000002</v>
      </c>
      <c r="N35" s="596">
        <v>1.12382</v>
      </c>
      <c r="O35" s="596">
        <v>2.8290997868017467</v>
      </c>
      <c r="P35" s="596">
        <v>20.360009999999999</v>
      </c>
      <c r="Q35" s="596">
        <v>20.487400000000001</v>
      </c>
      <c r="R35" s="596">
        <v>100.62568731547775</v>
      </c>
    </row>
    <row r="36" spans="1:18" ht="15.6" thickBot="1" x14ac:dyDescent="0.35">
      <c r="A36" s="199" t="str">
        <f t="shared" si="4"/>
        <v>42030PAYROLL OVERHEAD</v>
      </c>
      <c r="B36" s="597" t="s">
        <v>470</v>
      </c>
      <c r="C36" s="597" t="s">
        <v>63</v>
      </c>
      <c r="D36" s="597" t="s">
        <v>64</v>
      </c>
      <c r="E36" s="594">
        <v>15.864520000000001</v>
      </c>
      <c r="F36" s="594">
        <v>16.048480000000001</v>
      </c>
      <c r="G36" s="594">
        <v>-0.18396000000000001</v>
      </c>
      <c r="H36" s="594">
        <v>-1.1462767813525019</v>
      </c>
      <c r="I36" s="594">
        <v>0</v>
      </c>
      <c r="J36" s="594">
        <v>15.864520000000001</v>
      </c>
      <c r="K36" s="594">
        <v>0</v>
      </c>
      <c r="L36" s="595">
        <v>196.32196999999999</v>
      </c>
      <c r="M36" s="594">
        <v>191.64696000000001</v>
      </c>
      <c r="N36" s="594">
        <v>4.6750100000000003</v>
      </c>
      <c r="O36" s="594">
        <v>2.4393864635264761</v>
      </c>
      <c r="P36" s="594">
        <v>97.855239999999995</v>
      </c>
      <c r="Q36" s="594">
        <v>98.466729999999998</v>
      </c>
      <c r="R36" s="594">
        <v>100.624892443164</v>
      </c>
    </row>
    <row r="37" spans="1:18" ht="15.6" thickBot="1" x14ac:dyDescent="0.35">
      <c r="A37" s="199" t="str">
        <f t="shared" si="4"/>
        <v>42030SALARY PAYROLL ZTFSO</v>
      </c>
      <c r="B37" s="597" t="s">
        <v>470</v>
      </c>
      <c r="C37" s="597" t="s">
        <v>65</v>
      </c>
      <c r="D37" s="597" t="s">
        <v>66</v>
      </c>
      <c r="E37" s="596"/>
      <c r="F37" s="596">
        <v>-0.56893000000000005</v>
      </c>
      <c r="G37" s="596">
        <v>0.56893000000000005</v>
      </c>
      <c r="H37" s="596">
        <v>100</v>
      </c>
      <c r="I37" s="596">
        <v>0</v>
      </c>
      <c r="J37" s="596">
        <v>0</v>
      </c>
      <c r="K37" s="596">
        <v>0</v>
      </c>
      <c r="L37" s="595">
        <v>-0.52359999999999995</v>
      </c>
      <c r="M37" s="596">
        <v>-6.7940199999999997</v>
      </c>
      <c r="N37" s="596">
        <v>6.2704199999999997</v>
      </c>
      <c r="O37" s="596">
        <v>92.293222569259441</v>
      </c>
      <c r="P37" s="596">
        <v>-0.41398000000000001</v>
      </c>
      <c r="Q37" s="596">
        <v>-0.10962</v>
      </c>
      <c r="R37" s="596">
        <v>-26.479540074399729</v>
      </c>
    </row>
    <row r="38" spans="1:18" ht="15.6" thickBot="1" x14ac:dyDescent="0.35">
      <c r="A38" s="199" t="str">
        <f t="shared" si="4"/>
        <v>42030Payroll</v>
      </c>
      <c r="B38" s="597" t="s">
        <v>470</v>
      </c>
      <c r="C38" s="598" t="s">
        <v>67</v>
      </c>
      <c r="D38" s="598" t="s">
        <v>68</v>
      </c>
      <c r="E38" s="594">
        <v>38.206679999999999</v>
      </c>
      <c r="F38" s="594">
        <v>40.266930000000002</v>
      </c>
      <c r="G38" s="594">
        <v>-2.0602499999999999</v>
      </c>
      <c r="H38" s="594">
        <v>-5.1164814402289922</v>
      </c>
      <c r="I38" s="594">
        <v>0</v>
      </c>
      <c r="J38" s="594">
        <v>38.206679999999999</v>
      </c>
      <c r="K38" s="594">
        <v>0</v>
      </c>
      <c r="L38" s="595">
        <v>509.74641000000003</v>
      </c>
      <c r="M38" s="594">
        <v>480.85759000000002</v>
      </c>
      <c r="N38" s="594">
        <v>28.888819999999999</v>
      </c>
      <c r="O38" s="594">
        <v>6.0077704086983426</v>
      </c>
      <c r="P38" s="594">
        <v>259.81358</v>
      </c>
      <c r="Q38" s="594">
        <v>249.93283</v>
      </c>
      <c r="R38" s="594">
        <v>96.196984776546316</v>
      </c>
    </row>
    <row r="39" spans="1:18" ht="15.6" thickBot="1" x14ac:dyDescent="0.35">
      <c r="A39" s="199" t="str">
        <f t="shared" si="4"/>
        <v>42030EDUCATION</v>
      </c>
      <c r="B39" s="597" t="s">
        <v>470</v>
      </c>
      <c r="C39" s="597" t="s">
        <v>69</v>
      </c>
      <c r="D39" s="597" t="s">
        <v>70</v>
      </c>
      <c r="E39" s="596"/>
      <c r="F39" s="596">
        <v>0.2</v>
      </c>
      <c r="G39" s="596">
        <v>-0.2</v>
      </c>
      <c r="H39" s="596">
        <v>-100</v>
      </c>
      <c r="I39" s="596">
        <v>0.2</v>
      </c>
      <c r="J39" s="596">
        <v>-0.2</v>
      </c>
      <c r="K39" s="596">
        <v>-100</v>
      </c>
      <c r="L39" s="595"/>
      <c r="M39" s="596">
        <v>2.4</v>
      </c>
      <c r="N39" s="596">
        <v>-2.4</v>
      </c>
      <c r="O39" s="596">
        <v>-100</v>
      </c>
      <c r="P39" s="596">
        <v>0.6</v>
      </c>
      <c r="Q39" s="596">
        <v>-0.6</v>
      </c>
      <c r="R39" s="596">
        <v>-100</v>
      </c>
    </row>
    <row r="40" spans="1:18" ht="15.6" thickBot="1" x14ac:dyDescent="0.35">
      <c r="A40" s="199" t="str">
        <f t="shared" si="4"/>
        <v>42030MATERIALS - CONS INV</v>
      </c>
      <c r="B40" s="597" t="s">
        <v>470</v>
      </c>
      <c r="C40" s="597" t="s">
        <v>165</v>
      </c>
      <c r="D40" s="597" t="s">
        <v>166</v>
      </c>
      <c r="E40" s="594"/>
      <c r="F40" s="594"/>
      <c r="G40" s="594"/>
      <c r="H40" s="594"/>
      <c r="I40" s="594"/>
      <c r="J40" s="594"/>
      <c r="K40" s="594"/>
      <c r="L40" s="595">
        <v>3.3300000000000001E-3</v>
      </c>
      <c r="M40" s="594"/>
      <c r="N40" s="594">
        <v>3.3300000000000001E-3</v>
      </c>
      <c r="O40" s="594">
        <v>0</v>
      </c>
      <c r="P40" s="594">
        <v>2.0899999999999998E-3</v>
      </c>
      <c r="Q40" s="594">
        <v>1.24E-3</v>
      </c>
      <c r="R40" s="594">
        <v>59.330143540669859</v>
      </c>
    </row>
    <row r="41" spans="1:18" ht="15.6" thickBot="1" x14ac:dyDescent="0.35">
      <c r="A41" s="199" t="str">
        <f t="shared" si="4"/>
        <v>42030MILEAGE REIMBURSE</v>
      </c>
      <c r="B41" s="597" t="s">
        <v>470</v>
      </c>
      <c r="C41" s="597" t="s">
        <v>137</v>
      </c>
      <c r="D41" s="597" t="s">
        <v>138</v>
      </c>
      <c r="E41" s="596"/>
      <c r="F41" s="596"/>
      <c r="G41" s="596"/>
      <c r="H41" s="596"/>
      <c r="I41" s="596"/>
      <c r="J41" s="596"/>
      <c r="K41" s="596"/>
      <c r="L41" s="595">
        <v>1.187E-2</v>
      </c>
      <c r="M41" s="596"/>
      <c r="N41" s="596">
        <v>1.187E-2</v>
      </c>
      <c r="O41" s="596">
        <v>0</v>
      </c>
      <c r="P41" s="596">
        <v>1.187E-2</v>
      </c>
      <c r="Q41" s="596">
        <v>0</v>
      </c>
      <c r="R41" s="596">
        <v>0</v>
      </c>
    </row>
    <row r="42" spans="1:18" ht="15.6" thickBot="1" x14ac:dyDescent="0.35">
      <c r="A42" s="199" t="str">
        <f t="shared" si="4"/>
        <v>42030DUES/MEMBERSHIP</v>
      </c>
      <c r="B42" s="597" t="s">
        <v>470</v>
      </c>
      <c r="C42" s="597" t="s">
        <v>139</v>
      </c>
      <c r="D42" s="597" t="s">
        <v>140</v>
      </c>
      <c r="E42" s="594"/>
      <c r="F42" s="594">
        <v>0.11</v>
      </c>
      <c r="G42" s="594">
        <v>-0.11</v>
      </c>
      <c r="H42" s="594">
        <v>-100</v>
      </c>
      <c r="I42" s="594">
        <v>0.11</v>
      </c>
      <c r="J42" s="594">
        <v>-0.11</v>
      </c>
      <c r="K42" s="594">
        <v>-100</v>
      </c>
      <c r="L42" s="595">
        <v>1.595</v>
      </c>
      <c r="M42" s="594">
        <v>1.7250000000000001</v>
      </c>
      <c r="N42" s="594">
        <v>-0.13</v>
      </c>
      <c r="O42" s="594">
        <v>-7.5362318840579707</v>
      </c>
      <c r="P42" s="594">
        <v>1.125</v>
      </c>
      <c r="Q42" s="594">
        <v>0.47</v>
      </c>
      <c r="R42" s="594">
        <v>41.777777777777779</v>
      </c>
    </row>
    <row r="43" spans="1:18" ht="15.6" thickBot="1" x14ac:dyDescent="0.35">
      <c r="A43" s="199" t="str">
        <f t="shared" si="4"/>
        <v>42030OTHER CONTRACT WORK</v>
      </c>
      <c r="B43" s="597" t="s">
        <v>470</v>
      </c>
      <c r="C43" s="597" t="s">
        <v>101</v>
      </c>
      <c r="D43" s="597" t="s">
        <v>102</v>
      </c>
      <c r="E43" s="596"/>
      <c r="F43" s="596"/>
      <c r="G43" s="596"/>
      <c r="H43" s="596"/>
      <c r="I43" s="596"/>
      <c r="J43" s="596"/>
      <c r="K43" s="596"/>
      <c r="L43" s="595">
        <v>3.9E-2</v>
      </c>
      <c r="M43" s="596"/>
      <c r="N43" s="596">
        <v>3.9E-2</v>
      </c>
      <c r="O43" s="596">
        <v>0</v>
      </c>
      <c r="P43" s="596">
        <v>3.9E-2</v>
      </c>
      <c r="Q43" s="596">
        <v>0</v>
      </c>
      <c r="R43" s="596">
        <v>0</v>
      </c>
    </row>
    <row r="44" spans="1:18" ht="15.6" thickBot="1" x14ac:dyDescent="0.35">
      <c r="A44" s="199" t="str">
        <f t="shared" si="4"/>
        <v>42030MISCELLANEOUS</v>
      </c>
      <c r="B44" s="597" t="s">
        <v>470</v>
      </c>
      <c r="C44" s="597" t="s">
        <v>103</v>
      </c>
      <c r="D44" s="597" t="s">
        <v>104</v>
      </c>
      <c r="E44" s="594"/>
      <c r="F44" s="594"/>
      <c r="G44" s="594"/>
      <c r="H44" s="594"/>
      <c r="I44" s="594"/>
      <c r="J44" s="594"/>
      <c r="K44" s="594"/>
      <c r="L44" s="595">
        <v>1.47</v>
      </c>
      <c r="M44" s="594"/>
      <c r="N44" s="594">
        <v>1.47</v>
      </c>
      <c r="O44" s="594">
        <v>0</v>
      </c>
      <c r="P44" s="594">
        <v>1.3939999999999999</v>
      </c>
      <c r="Q44" s="594">
        <v>7.5999999999999998E-2</v>
      </c>
      <c r="R44" s="594">
        <v>5.4519368723098998</v>
      </c>
    </row>
    <row r="45" spans="1:18" ht="15.6" thickBot="1" x14ac:dyDescent="0.35">
      <c r="A45" s="199" t="str">
        <f t="shared" si="4"/>
        <v>42030BANK CHARGES</v>
      </c>
      <c r="B45" s="597" t="s">
        <v>470</v>
      </c>
      <c r="C45" s="597" t="s">
        <v>105</v>
      </c>
      <c r="D45" s="597" t="s">
        <v>106</v>
      </c>
      <c r="E45" s="596">
        <v>185.30284</v>
      </c>
      <c r="F45" s="596">
        <v>193.39234999999999</v>
      </c>
      <c r="G45" s="596">
        <v>-8.0895100000000006</v>
      </c>
      <c r="H45" s="596">
        <v>-4.1829524280562289</v>
      </c>
      <c r="I45" s="596">
        <v>193.39234999999999</v>
      </c>
      <c r="J45" s="596">
        <v>-8.0895100000000006</v>
      </c>
      <c r="K45" s="596">
        <v>-4.1829524280562289</v>
      </c>
      <c r="L45" s="595">
        <v>1931.6827800000001</v>
      </c>
      <c r="M45" s="596">
        <v>2092.8646699999999</v>
      </c>
      <c r="N45" s="596">
        <v>-161.18189000000001</v>
      </c>
      <c r="O45" s="596">
        <v>-7.7014960551653822</v>
      </c>
      <c r="P45" s="596">
        <v>1564.12844</v>
      </c>
      <c r="Q45" s="596">
        <v>367.55434000000002</v>
      </c>
      <c r="R45" s="596">
        <v>23.498987078068858</v>
      </c>
    </row>
    <row r="46" spans="1:18" ht="15.6" thickBot="1" x14ac:dyDescent="0.35">
      <c r="A46" s="199" t="str">
        <f t="shared" si="4"/>
        <v>42030OFFICE SUPPLIES</v>
      </c>
      <c r="B46" s="597" t="s">
        <v>470</v>
      </c>
      <c r="C46" s="597" t="s">
        <v>73</v>
      </c>
      <c r="D46" s="597" t="s">
        <v>74</v>
      </c>
      <c r="E46" s="594">
        <v>5.3299999999999997E-3</v>
      </c>
      <c r="F46" s="594"/>
      <c r="G46" s="594">
        <v>5.3299999999999997E-3</v>
      </c>
      <c r="H46" s="594">
        <v>0</v>
      </c>
      <c r="I46" s="594"/>
      <c r="J46" s="594">
        <v>5.3299999999999997E-3</v>
      </c>
      <c r="K46" s="594">
        <v>0</v>
      </c>
      <c r="L46" s="595">
        <v>0.15334</v>
      </c>
      <c r="M46" s="594"/>
      <c r="N46" s="594">
        <v>0.15334</v>
      </c>
      <c r="O46" s="594">
        <v>0</v>
      </c>
      <c r="P46" s="594">
        <v>0.10366</v>
      </c>
      <c r="Q46" s="594">
        <v>4.9680000000000002E-2</v>
      </c>
      <c r="R46" s="594">
        <v>47.925911634188694</v>
      </c>
    </row>
    <row r="47" spans="1:18" ht="15.6" thickBot="1" x14ac:dyDescent="0.35">
      <c r="A47" s="199" t="str">
        <f t="shared" si="4"/>
        <v>42030REFRESHMENTS</v>
      </c>
      <c r="B47" s="597" t="s">
        <v>470</v>
      </c>
      <c r="C47" s="597" t="s">
        <v>113</v>
      </c>
      <c r="D47" s="597" t="s">
        <v>114</v>
      </c>
      <c r="E47" s="596">
        <v>0.15257999999999999</v>
      </c>
      <c r="F47" s="596"/>
      <c r="G47" s="596">
        <v>0.15257999999999999</v>
      </c>
      <c r="H47" s="596">
        <v>0</v>
      </c>
      <c r="I47" s="596"/>
      <c r="J47" s="596">
        <v>0.15257999999999999</v>
      </c>
      <c r="K47" s="596">
        <v>0</v>
      </c>
      <c r="L47" s="595">
        <v>0.86678999999999995</v>
      </c>
      <c r="M47" s="596"/>
      <c r="N47" s="596">
        <v>0.86678999999999995</v>
      </c>
      <c r="O47" s="596">
        <v>0</v>
      </c>
      <c r="P47" s="596">
        <v>0.29918</v>
      </c>
      <c r="Q47" s="596">
        <v>0.56760999999999995</v>
      </c>
      <c r="R47" s="596">
        <v>189.72190654455511</v>
      </c>
    </row>
    <row r="48" spans="1:18" ht="15.6" thickBot="1" x14ac:dyDescent="0.35">
      <c r="A48" s="199" t="str">
        <f t="shared" si="4"/>
        <v>42030CASH DISCOUNT</v>
      </c>
      <c r="B48" s="597" t="s">
        <v>470</v>
      </c>
      <c r="C48" s="597" t="s">
        <v>496</v>
      </c>
      <c r="D48" s="597" t="s">
        <v>497</v>
      </c>
      <c r="E48" s="594"/>
      <c r="F48" s="594"/>
      <c r="G48" s="594"/>
      <c r="H48" s="594"/>
      <c r="I48" s="594"/>
      <c r="J48" s="594"/>
      <c r="K48" s="594"/>
      <c r="L48" s="595">
        <v>0.16631000000000001</v>
      </c>
      <c r="M48" s="594"/>
      <c r="N48" s="594">
        <v>0.16631000000000001</v>
      </c>
      <c r="O48" s="594">
        <v>0</v>
      </c>
      <c r="P48" s="594">
        <v>0.16631000000000001</v>
      </c>
      <c r="Q48" s="594">
        <v>0</v>
      </c>
      <c r="R48" s="594">
        <v>0</v>
      </c>
    </row>
    <row r="49" spans="1:18" ht="15.6" thickBot="1" x14ac:dyDescent="0.35">
      <c r="A49" s="199" t="str">
        <f t="shared" si="4"/>
        <v>42030PROFESSIONAL SERVICE</v>
      </c>
      <c r="B49" s="597" t="s">
        <v>470</v>
      </c>
      <c r="C49" s="597" t="s">
        <v>149</v>
      </c>
      <c r="D49" s="597" t="s">
        <v>150</v>
      </c>
      <c r="E49" s="596">
        <v>133.05267000000001</v>
      </c>
      <c r="F49" s="596"/>
      <c r="G49" s="596">
        <v>133.05267000000001</v>
      </c>
      <c r="H49" s="596">
        <v>0</v>
      </c>
      <c r="I49" s="596"/>
      <c r="J49" s="596">
        <v>133.05267000000001</v>
      </c>
      <c r="K49" s="596">
        <v>0</v>
      </c>
      <c r="L49" s="595">
        <v>550.62571000000003</v>
      </c>
      <c r="M49" s="596">
        <v>543.41600000000005</v>
      </c>
      <c r="N49" s="596">
        <v>7.2097100000000003</v>
      </c>
      <c r="O49" s="596">
        <v>1.3267386311775877</v>
      </c>
      <c r="P49" s="596">
        <v>456.64213999999998</v>
      </c>
      <c r="Q49" s="596">
        <v>93.98357</v>
      </c>
      <c r="R49" s="596">
        <v>20.581449184694169</v>
      </c>
    </row>
    <row r="50" spans="1:18" ht="15.6" thickBot="1" x14ac:dyDescent="0.35">
      <c r="A50" s="199" t="str">
        <f t="shared" si="4"/>
        <v>42030MEALS AND ENTERTAIN</v>
      </c>
      <c r="B50" s="597" t="s">
        <v>470</v>
      </c>
      <c r="C50" s="597" t="s">
        <v>75</v>
      </c>
      <c r="D50" s="597" t="s">
        <v>76</v>
      </c>
      <c r="E50" s="594">
        <v>0.10332</v>
      </c>
      <c r="F50" s="594">
        <v>0.2</v>
      </c>
      <c r="G50" s="594">
        <v>-9.6680000000000002E-2</v>
      </c>
      <c r="H50" s="594">
        <v>-48.34</v>
      </c>
      <c r="I50" s="594">
        <v>0.2</v>
      </c>
      <c r="J50" s="594">
        <v>-9.6680000000000002E-2</v>
      </c>
      <c r="K50" s="594">
        <v>-48.34</v>
      </c>
      <c r="L50" s="595">
        <v>0.88482000000000005</v>
      </c>
      <c r="M50" s="594">
        <v>2.4</v>
      </c>
      <c r="N50" s="594">
        <v>-1.51518</v>
      </c>
      <c r="O50" s="594">
        <v>-63.1325</v>
      </c>
      <c r="P50" s="594">
        <v>1.2503500000000001</v>
      </c>
      <c r="Q50" s="594">
        <v>-0.36553000000000002</v>
      </c>
      <c r="R50" s="594">
        <v>-29.234214419962409</v>
      </c>
    </row>
    <row r="51" spans="1:18" ht="15.6" thickBot="1" x14ac:dyDescent="0.35">
      <c r="A51" s="199" t="str">
        <f t="shared" si="4"/>
        <v>42030CONFERENCE TRAVEL</v>
      </c>
      <c r="B51" s="597" t="s">
        <v>470</v>
      </c>
      <c r="C51" s="597" t="s">
        <v>77</v>
      </c>
      <c r="D51" s="597" t="s">
        <v>78</v>
      </c>
      <c r="E51" s="596">
        <v>0.5</v>
      </c>
      <c r="F51" s="596">
        <v>1</v>
      </c>
      <c r="G51" s="596">
        <v>-0.5</v>
      </c>
      <c r="H51" s="596">
        <v>-50</v>
      </c>
      <c r="I51" s="596">
        <v>1</v>
      </c>
      <c r="J51" s="596">
        <v>-0.5</v>
      </c>
      <c r="K51" s="596">
        <v>-50</v>
      </c>
      <c r="L51" s="595">
        <v>1.8236699999999999</v>
      </c>
      <c r="M51" s="596">
        <v>15</v>
      </c>
      <c r="N51" s="596">
        <v>-13.17633</v>
      </c>
      <c r="O51" s="596">
        <v>-87.842200000000005</v>
      </c>
      <c r="P51" s="596">
        <v>7.3236699999999999</v>
      </c>
      <c r="Q51" s="596">
        <v>-5.5</v>
      </c>
      <c r="R51" s="596">
        <v>-75.098959947676505</v>
      </c>
    </row>
    <row r="52" spans="1:18" ht="15.6" thickBot="1" x14ac:dyDescent="0.35">
      <c r="A52" s="199" t="str">
        <f t="shared" si="4"/>
        <v>42030MISC. EXPENSE BUDGET</v>
      </c>
      <c r="B52" s="597" t="s">
        <v>470</v>
      </c>
      <c r="C52" s="597" t="s">
        <v>83</v>
      </c>
      <c r="D52" s="597" t="s">
        <v>84</v>
      </c>
      <c r="E52" s="594"/>
      <c r="F52" s="594">
        <v>0.25</v>
      </c>
      <c r="G52" s="594">
        <v>-0.25</v>
      </c>
      <c r="H52" s="594">
        <v>-100</v>
      </c>
      <c r="I52" s="594">
        <v>0.25</v>
      </c>
      <c r="J52" s="594">
        <v>-0.25</v>
      </c>
      <c r="K52" s="594">
        <v>-100</v>
      </c>
      <c r="L52" s="595"/>
      <c r="M52" s="594">
        <v>3</v>
      </c>
      <c r="N52" s="594">
        <v>-3</v>
      </c>
      <c r="O52" s="594">
        <v>-100</v>
      </c>
      <c r="P52" s="594">
        <v>0.75</v>
      </c>
      <c r="Q52" s="594">
        <v>-0.75</v>
      </c>
      <c r="R52" s="594">
        <v>-100</v>
      </c>
    </row>
    <row r="53" spans="1:18" ht="15.6" thickBot="1" x14ac:dyDescent="0.35">
      <c r="A53" s="199" t="str">
        <f t="shared" si="4"/>
        <v>42030Non-Payroll</v>
      </c>
      <c r="B53" s="597" t="s">
        <v>470</v>
      </c>
      <c r="C53" s="597" t="s">
        <v>85</v>
      </c>
      <c r="D53" s="597" t="s">
        <v>86</v>
      </c>
      <c r="E53" s="596">
        <v>319.11673999999999</v>
      </c>
      <c r="F53" s="596">
        <v>195.15235000000001</v>
      </c>
      <c r="G53" s="596">
        <v>123.96438999999999</v>
      </c>
      <c r="H53" s="596">
        <v>63.521853567225811</v>
      </c>
      <c r="I53" s="596">
        <v>195.15235000000001</v>
      </c>
      <c r="J53" s="596">
        <v>123.96438999999999</v>
      </c>
      <c r="K53" s="596">
        <v>63.521853567225811</v>
      </c>
      <c r="L53" s="595">
        <v>2489.3226199999999</v>
      </c>
      <c r="M53" s="596">
        <v>2660.8056700000002</v>
      </c>
      <c r="N53" s="596">
        <v>-171.48304999999999</v>
      </c>
      <c r="O53" s="596">
        <v>-6.4447791859974499</v>
      </c>
      <c r="P53" s="596">
        <v>2033.8357100000001</v>
      </c>
      <c r="Q53" s="596">
        <v>455.48691000000002</v>
      </c>
      <c r="R53" s="596">
        <v>22.395462315881947</v>
      </c>
    </row>
    <row r="54" spans="1:18" ht="15.6" thickBot="1" x14ac:dyDescent="0.35">
      <c r="A54" s="199" t="str">
        <f t="shared" si="4"/>
        <v>42030EXPENSE ACCOUNTS</v>
      </c>
      <c r="B54" s="597" t="s">
        <v>470</v>
      </c>
      <c r="C54" s="597" t="s">
        <v>87</v>
      </c>
      <c r="D54" s="597" t="s">
        <v>87</v>
      </c>
      <c r="E54" s="594">
        <v>357.32342</v>
      </c>
      <c r="F54" s="594">
        <v>235.41927999999999</v>
      </c>
      <c r="G54" s="594">
        <v>121.90414</v>
      </c>
      <c r="H54" s="594">
        <v>51.781714734664043</v>
      </c>
      <c r="I54" s="594">
        <v>195.15235000000001</v>
      </c>
      <c r="J54" s="594">
        <v>162.17106999999999</v>
      </c>
      <c r="K54" s="594">
        <v>83.0997269569134</v>
      </c>
      <c r="L54" s="595">
        <v>2999.0690300000001</v>
      </c>
      <c r="M54" s="594">
        <v>3141.6632599999998</v>
      </c>
      <c r="N54" s="594">
        <v>-142.59423000000001</v>
      </c>
      <c r="O54" s="594">
        <v>-4.5388133036256724</v>
      </c>
      <c r="P54" s="594">
        <v>2293.6492899999998</v>
      </c>
      <c r="Q54" s="594">
        <v>705.41974000000005</v>
      </c>
      <c r="R54" s="594">
        <v>30.755344466808175</v>
      </c>
    </row>
    <row r="55" spans="1:18" ht="15.6" thickBot="1" x14ac:dyDescent="0.35">
      <c r="A55" s="199" t="str">
        <f t="shared" si="4"/>
        <v>13600SALARY PAYROLL</v>
      </c>
      <c r="B55" s="597" t="s">
        <v>471</v>
      </c>
      <c r="C55" s="598" t="s">
        <v>59</v>
      </c>
      <c r="D55" s="598" t="s">
        <v>60</v>
      </c>
      <c r="E55" s="596">
        <v>19.179349999999999</v>
      </c>
      <c r="F55" s="596">
        <v>21.305980000000002</v>
      </c>
      <c r="G55" s="596">
        <v>-2.12663</v>
      </c>
      <c r="H55" s="596">
        <v>-9.9813761206947529</v>
      </c>
      <c r="I55" s="596">
        <v>0</v>
      </c>
      <c r="J55" s="596">
        <v>19.179349999999999</v>
      </c>
      <c r="K55" s="596">
        <v>0</v>
      </c>
      <c r="L55" s="595">
        <v>255.47377</v>
      </c>
      <c r="M55" s="596">
        <v>254.43065000000001</v>
      </c>
      <c r="N55" s="596">
        <v>1.04312</v>
      </c>
      <c r="O55" s="596">
        <v>0.40998205208374072</v>
      </c>
      <c r="P55" s="596">
        <v>130.13561999999999</v>
      </c>
      <c r="Q55" s="596">
        <v>125.33815</v>
      </c>
      <c r="R55" s="596">
        <v>96.313484348097774</v>
      </c>
    </row>
    <row r="56" spans="1:18" ht="15.6" thickBot="1" x14ac:dyDescent="0.35">
      <c r="A56" s="199" t="str">
        <f t="shared" si="4"/>
        <v>13600HOURLY DOUBLE PAY</v>
      </c>
      <c r="B56" s="597" t="s">
        <v>471</v>
      </c>
      <c r="C56" s="599" t="s">
        <v>89</v>
      </c>
      <c r="D56" s="599" t="s">
        <v>90</v>
      </c>
      <c r="E56" s="594">
        <v>0.41711999999999999</v>
      </c>
      <c r="F56" s="594"/>
      <c r="G56" s="594">
        <v>0.41711999999999999</v>
      </c>
      <c r="H56" s="594">
        <v>0</v>
      </c>
      <c r="I56" s="594"/>
      <c r="J56" s="594">
        <v>0.41711999999999999</v>
      </c>
      <c r="K56" s="594">
        <v>0</v>
      </c>
      <c r="L56" s="595">
        <v>0.41711999999999999</v>
      </c>
      <c r="M56" s="594"/>
      <c r="N56" s="594">
        <v>0.41711999999999999</v>
      </c>
      <c r="O56" s="594">
        <v>0</v>
      </c>
      <c r="P56" s="594"/>
      <c r="Q56" s="594">
        <v>0.41711999999999999</v>
      </c>
      <c r="R56" s="594">
        <v>0</v>
      </c>
    </row>
    <row r="57" spans="1:18" ht="15.6" thickBot="1" x14ac:dyDescent="0.35">
      <c r="A57" s="199" t="str">
        <f t="shared" si="4"/>
        <v>13600HOURLY REGULAR  PAY</v>
      </c>
      <c r="B57" s="597" t="s">
        <v>471</v>
      </c>
      <c r="C57" s="597" t="s">
        <v>91</v>
      </c>
      <c r="D57" s="597" t="s">
        <v>92</v>
      </c>
      <c r="E57" s="594">
        <v>37.759410000000003</v>
      </c>
      <c r="F57" s="594">
        <v>47.019590000000001</v>
      </c>
      <c r="G57" s="594">
        <v>-9.2601800000000001</v>
      </c>
      <c r="H57" s="594">
        <v>-19.694301885660849</v>
      </c>
      <c r="I57" s="594">
        <v>0</v>
      </c>
      <c r="J57" s="594">
        <v>37.759410000000003</v>
      </c>
      <c r="K57" s="594">
        <v>0</v>
      </c>
      <c r="L57" s="595">
        <v>545.12893999999994</v>
      </c>
      <c r="M57" s="594">
        <v>549.12328000000002</v>
      </c>
      <c r="N57" s="594">
        <v>-3.9943399999999998</v>
      </c>
      <c r="O57" s="594">
        <v>-0.72740314342527967</v>
      </c>
      <c r="P57" s="594">
        <v>274.03748000000002</v>
      </c>
      <c r="Q57" s="594">
        <v>271.09145999999998</v>
      </c>
      <c r="R57" s="594">
        <v>98.924957272268017</v>
      </c>
    </row>
    <row r="58" spans="1:18" ht="15.6" thickBot="1" x14ac:dyDescent="0.35">
      <c r="A58" s="199" t="str">
        <f t="shared" si="4"/>
        <v>13600HOURLY OVERTIME PAY</v>
      </c>
      <c r="B58" s="597" t="s">
        <v>471</v>
      </c>
      <c r="C58" s="597" t="s">
        <v>93</v>
      </c>
      <c r="D58" s="597" t="s">
        <v>94</v>
      </c>
      <c r="E58" s="596">
        <v>1.65601</v>
      </c>
      <c r="F58" s="596">
        <v>1.0609999999999999</v>
      </c>
      <c r="G58" s="596">
        <v>0.59501000000000004</v>
      </c>
      <c r="H58" s="596">
        <v>56.080113100848259</v>
      </c>
      <c r="I58" s="596">
        <v>0</v>
      </c>
      <c r="J58" s="596">
        <v>1.65601</v>
      </c>
      <c r="K58" s="596">
        <v>0</v>
      </c>
      <c r="L58" s="595">
        <v>6.1458599999999999</v>
      </c>
      <c r="M58" s="596">
        <v>12.391</v>
      </c>
      <c r="N58" s="596">
        <v>-6.2451400000000001</v>
      </c>
      <c r="O58" s="596">
        <v>-50.400613348398032</v>
      </c>
      <c r="P58" s="596">
        <v>1.74857</v>
      </c>
      <c r="Q58" s="596">
        <v>4.3972899999999999</v>
      </c>
      <c r="R58" s="596">
        <v>251.47920872484372</v>
      </c>
    </row>
    <row r="59" spans="1:18" ht="15.6" thickBot="1" x14ac:dyDescent="0.35">
      <c r="A59" s="199" t="str">
        <f t="shared" si="4"/>
        <v>13600VACATION, SICK &amp; HOL</v>
      </c>
      <c r="B59" s="597" t="s">
        <v>471</v>
      </c>
      <c r="C59" s="597" t="s">
        <v>61</v>
      </c>
      <c r="D59" s="597" t="s">
        <v>62</v>
      </c>
      <c r="E59" s="594">
        <v>10.471159999999999</v>
      </c>
      <c r="F59" s="594">
        <v>10.59046</v>
      </c>
      <c r="G59" s="594">
        <v>-0.1193</v>
      </c>
      <c r="H59" s="594">
        <v>-1.1264855350947929</v>
      </c>
      <c r="I59" s="594">
        <v>0</v>
      </c>
      <c r="J59" s="594">
        <v>10.471159999999999</v>
      </c>
      <c r="K59" s="594">
        <v>0</v>
      </c>
      <c r="L59" s="595">
        <v>125.51504</v>
      </c>
      <c r="M59" s="594">
        <v>124.55082</v>
      </c>
      <c r="N59" s="594">
        <v>0.96421999999999997</v>
      </c>
      <c r="O59" s="594">
        <v>0.77415788992798285</v>
      </c>
      <c r="P59" s="594">
        <v>62.382730000000002</v>
      </c>
      <c r="Q59" s="594">
        <v>63.132309999999997</v>
      </c>
      <c r="R59" s="594">
        <v>101.20158255337655</v>
      </c>
    </row>
    <row r="60" spans="1:18" ht="15.6" thickBot="1" x14ac:dyDescent="0.35">
      <c r="A60" s="199" t="str">
        <f t="shared" si="4"/>
        <v>13600PAYROLL OVERHEAD</v>
      </c>
      <c r="B60" s="597" t="s">
        <v>471</v>
      </c>
      <c r="C60" s="597" t="s">
        <v>63</v>
      </c>
      <c r="D60" s="597" t="s">
        <v>64</v>
      </c>
      <c r="E60" s="596">
        <v>50.656239999999997</v>
      </c>
      <c r="F60" s="596">
        <v>51.093859999999999</v>
      </c>
      <c r="G60" s="596">
        <v>-0.43762000000000001</v>
      </c>
      <c r="H60" s="596">
        <v>-0.85650213156727639</v>
      </c>
      <c r="I60" s="596">
        <v>0</v>
      </c>
      <c r="J60" s="596">
        <v>50.656239999999997</v>
      </c>
      <c r="K60" s="596">
        <v>0</v>
      </c>
      <c r="L60" s="595">
        <v>602.74692000000005</v>
      </c>
      <c r="M60" s="596">
        <v>600.89760999999999</v>
      </c>
      <c r="N60" s="596">
        <v>1.84931</v>
      </c>
      <c r="O60" s="596">
        <v>0.30775792235219573</v>
      </c>
      <c r="P60" s="596">
        <v>298.54899999999998</v>
      </c>
      <c r="Q60" s="596">
        <v>304.19792000000001</v>
      </c>
      <c r="R60" s="596">
        <v>101.89212491081867</v>
      </c>
    </row>
    <row r="61" spans="1:18" ht="15.6" thickBot="1" x14ac:dyDescent="0.35">
      <c r="A61" s="199" t="str">
        <f t="shared" si="4"/>
        <v>13600SALARY PAYROLL ZTFSO</v>
      </c>
      <c r="B61" s="597" t="s">
        <v>471</v>
      </c>
      <c r="C61" s="597" t="s">
        <v>65</v>
      </c>
      <c r="D61" s="597" t="s">
        <v>66</v>
      </c>
      <c r="E61" s="594">
        <v>-4.8882000000000003</v>
      </c>
      <c r="F61" s="594">
        <v>-5.9545899999999996</v>
      </c>
      <c r="G61" s="594">
        <v>1.0663899999999999</v>
      </c>
      <c r="H61" s="594">
        <v>17.908705721132772</v>
      </c>
      <c r="I61" s="594">
        <v>0</v>
      </c>
      <c r="J61" s="594">
        <v>-4.8882000000000003</v>
      </c>
      <c r="K61" s="594">
        <v>0</v>
      </c>
      <c r="L61" s="595">
        <v>-73.810010000000005</v>
      </c>
      <c r="M61" s="594">
        <v>-71.108220000000003</v>
      </c>
      <c r="N61" s="594">
        <v>-2.7017899999999999</v>
      </c>
      <c r="O61" s="594">
        <v>-3.7995466628190102</v>
      </c>
      <c r="P61" s="594">
        <v>-38.390920000000001</v>
      </c>
      <c r="Q61" s="594">
        <v>-35.419089999999997</v>
      </c>
      <c r="R61" s="594">
        <v>-92.259028957889001</v>
      </c>
    </row>
    <row r="62" spans="1:18" ht="15.6" thickBot="1" x14ac:dyDescent="0.35">
      <c r="A62" s="199" t="str">
        <f t="shared" si="4"/>
        <v>13600HRLY - OT ZTFSO</v>
      </c>
      <c r="B62" s="597" t="s">
        <v>471</v>
      </c>
      <c r="C62" s="598" t="s">
        <v>97</v>
      </c>
      <c r="D62" s="598" t="s">
        <v>98</v>
      </c>
      <c r="E62" s="596"/>
      <c r="F62" s="596"/>
      <c r="G62" s="596"/>
      <c r="H62" s="596"/>
      <c r="I62" s="596"/>
      <c r="J62" s="596"/>
      <c r="K62" s="596"/>
      <c r="L62" s="595">
        <v>0.10639999999999999</v>
      </c>
      <c r="M62" s="596"/>
      <c r="N62" s="596">
        <v>0.10639999999999999</v>
      </c>
      <c r="O62" s="596">
        <v>0</v>
      </c>
      <c r="P62" s="596">
        <v>0.10639999999999999</v>
      </c>
      <c r="Q62" s="596">
        <v>0</v>
      </c>
      <c r="R62" s="596">
        <v>0</v>
      </c>
    </row>
    <row r="63" spans="1:18" ht="15.6" thickBot="1" x14ac:dyDescent="0.35">
      <c r="A63" s="199" t="str">
        <f t="shared" si="4"/>
        <v>13600Payroll</v>
      </c>
      <c r="B63" s="597" t="s">
        <v>471</v>
      </c>
      <c r="C63" s="597" t="s">
        <v>67</v>
      </c>
      <c r="D63" s="597" t="s">
        <v>68</v>
      </c>
      <c r="E63" s="594">
        <v>115.25109</v>
      </c>
      <c r="F63" s="594">
        <v>125.1163</v>
      </c>
      <c r="G63" s="594">
        <v>-9.8652099999999994</v>
      </c>
      <c r="H63" s="594">
        <v>-7.884831952351532</v>
      </c>
      <c r="I63" s="594">
        <v>0</v>
      </c>
      <c r="J63" s="594">
        <v>115.25109</v>
      </c>
      <c r="K63" s="594">
        <v>0</v>
      </c>
      <c r="L63" s="595">
        <v>1461.7240400000001</v>
      </c>
      <c r="M63" s="594">
        <v>1470.28514</v>
      </c>
      <c r="N63" s="594">
        <v>-8.5610999999999997</v>
      </c>
      <c r="O63" s="594">
        <v>-0.58227480963318445</v>
      </c>
      <c r="P63" s="594">
        <v>728.56888000000004</v>
      </c>
      <c r="Q63" s="594">
        <v>733.15516000000002</v>
      </c>
      <c r="R63" s="594">
        <v>100.62949161375106</v>
      </c>
    </row>
    <row r="64" spans="1:18" ht="15.6" thickBot="1" x14ac:dyDescent="0.35">
      <c r="A64" s="199" t="str">
        <f t="shared" si="4"/>
        <v>13600MATERIALS - CONS INV</v>
      </c>
      <c r="B64" s="597" t="s">
        <v>471</v>
      </c>
      <c r="C64" s="597" t="s">
        <v>165</v>
      </c>
      <c r="D64" s="597" t="s">
        <v>166</v>
      </c>
      <c r="E64" s="596"/>
      <c r="F64" s="596"/>
      <c r="G64" s="596"/>
      <c r="H64" s="596"/>
      <c r="I64" s="596"/>
      <c r="J64" s="596"/>
      <c r="K64" s="596"/>
      <c r="L64" s="595">
        <v>1.094E-2</v>
      </c>
      <c r="M64" s="596"/>
      <c r="N64" s="596">
        <v>1.094E-2</v>
      </c>
      <c r="O64" s="596">
        <v>0</v>
      </c>
      <c r="P64" s="596">
        <v>1.094E-2</v>
      </c>
      <c r="Q64" s="596">
        <v>0</v>
      </c>
      <c r="R64" s="596">
        <v>0</v>
      </c>
    </row>
    <row r="65" spans="1:18" ht="15.6" thickBot="1" x14ac:dyDescent="0.35">
      <c r="A65" s="199" t="str">
        <f t="shared" si="4"/>
        <v>13600OTHER CONTRACT WORK</v>
      </c>
      <c r="B65" s="597" t="s">
        <v>471</v>
      </c>
      <c r="C65" s="597" t="s">
        <v>101</v>
      </c>
      <c r="D65" s="597" t="s">
        <v>102</v>
      </c>
      <c r="E65" s="594">
        <v>22.826779999999999</v>
      </c>
      <c r="F65" s="594">
        <v>21.408000000000001</v>
      </c>
      <c r="G65" s="594">
        <v>1.4187799999999999</v>
      </c>
      <c r="H65" s="594">
        <v>6.6273355754857999</v>
      </c>
      <c r="I65" s="594">
        <v>21.408000000000001</v>
      </c>
      <c r="J65" s="594">
        <v>1.4187799999999999</v>
      </c>
      <c r="K65" s="594">
        <v>6.6273355754857999</v>
      </c>
      <c r="L65" s="595">
        <v>246.67071999999999</v>
      </c>
      <c r="M65" s="594">
        <v>256.89600000000002</v>
      </c>
      <c r="N65" s="594">
        <v>-10.22528</v>
      </c>
      <c r="O65" s="594">
        <v>-3.9803188839063277</v>
      </c>
      <c r="P65" s="594">
        <v>189.33336</v>
      </c>
      <c r="Q65" s="594">
        <v>57.337359999999997</v>
      </c>
      <c r="R65" s="594">
        <v>30.283812636082729</v>
      </c>
    </row>
    <row r="66" spans="1:18" ht="15.6" thickBot="1" x14ac:dyDescent="0.35">
      <c r="A66" s="199" t="str">
        <f t="shared" si="4"/>
        <v>13600MISCELLANEOUS</v>
      </c>
      <c r="B66" s="597" t="s">
        <v>471</v>
      </c>
      <c r="C66" s="597" t="s">
        <v>103</v>
      </c>
      <c r="D66" s="597" t="s">
        <v>104</v>
      </c>
      <c r="E66" s="596">
        <v>0.19588</v>
      </c>
      <c r="F66" s="596"/>
      <c r="G66" s="596">
        <v>0.19588</v>
      </c>
      <c r="H66" s="596">
        <v>0</v>
      </c>
      <c r="I66" s="596"/>
      <c r="J66" s="596">
        <v>0.19588</v>
      </c>
      <c r="K66" s="596">
        <v>0</v>
      </c>
      <c r="L66" s="595">
        <v>0.35676000000000002</v>
      </c>
      <c r="M66" s="596"/>
      <c r="N66" s="596">
        <v>0.35676000000000002</v>
      </c>
      <c r="O66" s="596">
        <v>0</v>
      </c>
      <c r="P66" s="596">
        <v>0.16088</v>
      </c>
      <c r="Q66" s="596">
        <v>0.19588</v>
      </c>
      <c r="R66" s="596">
        <v>121.75534559920438</v>
      </c>
    </row>
    <row r="67" spans="1:18" ht="15.6" thickBot="1" x14ac:dyDescent="0.35">
      <c r="A67" s="199" t="str">
        <f t="shared" si="4"/>
        <v>13600BANK CHARGES</v>
      </c>
      <c r="B67" s="597" t="s">
        <v>471</v>
      </c>
      <c r="C67" s="597" t="s">
        <v>105</v>
      </c>
      <c r="D67" s="597" t="s">
        <v>106</v>
      </c>
      <c r="E67" s="594"/>
      <c r="F67" s="594"/>
      <c r="G67" s="594"/>
      <c r="H67" s="594"/>
      <c r="I67" s="594"/>
      <c r="J67" s="594"/>
      <c r="K67" s="594"/>
      <c r="L67" s="595">
        <v>1.2275799999999999</v>
      </c>
      <c r="M67" s="594"/>
      <c r="N67" s="594">
        <v>1.2275799999999999</v>
      </c>
      <c r="O67" s="594">
        <v>0</v>
      </c>
      <c r="P67" s="594">
        <v>1.2275799999999999</v>
      </c>
      <c r="Q67" s="594">
        <v>0</v>
      </c>
      <c r="R67" s="594">
        <v>0</v>
      </c>
    </row>
    <row r="68" spans="1:18" ht="15.6" thickBot="1" x14ac:dyDescent="0.35">
      <c r="A68" s="199" t="str">
        <f t="shared" si="4"/>
        <v>13600TELEPHONE</v>
      </c>
      <c r="B68" s="597" t="s">
        <v>471</v>
      </c>
      <c r="C68" s="597" t="s">
        <v>107</v>
      </c>
      <c r="D68" s="597" t="s">
        <v>108</v>
      </c>
      <c r="E68" s="596"/>
      <c r="F68" s="596">
        <v>0</v>
      </c>
      <c r="G68" s="596">
        <v>0</v>
      </c>
      <c r="H68" s="596">
        <v>0</v>
      </c>
      <c r="I68" s="596">
        <v>0</v>
      </c>
      <c r="J68" s="596">
        <v>0</v>
      </c>
      <c r="K68" s="596">
        <v>0</v>
      </c>
      <c r="L68" s="595"/>
      <c r="M68" s="596">
        <v>0</v>
      </c>
      <c r="N68" s="596">
        <v>0</v>
      </c>
      <c r="O68" s="596">
        <v>0</v>
      </c>
      <c r="P68" s="596">
        <v>0</v>
      </c>
      <c r="Q68" s="596">
        <v>0</v>
      </c>
      <c r="R68" s="596">
        <v>0</v>
      </c>
    </row>
    <row r="69" spans="1:18" ht="15.6" thickBot="1" x14ac:dyDescent="0.35">
      <c r="A69" s="199" t="str">
        <f t="shared" si="4"/>
        <v>13600POSTAGE</v>
      </c>
      <c r="B69" s="597" t="s">
        <v>471</v>
      </c>
      <c r="C69" s="597" t="s">
        <v>109</v>
      </c>
      <c r="D69" s="597" t="s">
        <v>110</v>
      </c>
      <c r="E69" s="594">
        <v>217.21205</v>
      </c>
      <c r="F69" s="594">
        <v>229.3</v>
      </c>
      <c r="G69" s="594">
        <v>-12.087949999999999</v>
      </c>
      <c r="H69" s="594">
        <v>-5.2716746620148278</v>
      </c>
      <c r="I69" s="594">
        <v>229.3</v>
      </c>
      <c r="J69" s="594">
        <v>-12.087949999999999</v>
      </c>
      <c r="K69" s="594">
        <v>-5.2716746620148278</v>
      </c>
      <c r="L69" s="595">
        <v>2614.5281300000001</v>
      </c>
      <c r="M69" s="594">
        <v>2751.6</v>
      </c>
      <c r="N69" s="594">
        <v>-137.07186999999999</v>
      </c>
      <c r="O69" s="594">
        <v>-4.9815332897223437</v>
      </c>
      <c r="P69" s="594">
        <v>2011.3269299999999</v>
      </c>
      <c r="Q69" s="594">
        <v>603.20119999999997</v>
      </c>
      <c r="R69" s="594">
        <v>29.990211486901337</v>
      </c>
    </row>
    <row r="70" spans="1:18" ht="15.6" thickBot="1" x14ac:dyDescent="0.35">
      <c r="A70" s="199" t="str">
        <f t="shared" si="4"/>
        <v>13600OFFICE SUPPLIES</v>
      </c>
      <c r="B70" s="597" t="s">
        <v>471</v>
      </c>
      <c r="C70" s="597" t="s">
        <v>73</v>
      </c>
      <c r="D70" s="597" t="s">
        <v>74</v>
      </c>
      <c r="E70" s="596">
        <v>8.7510000000000004E-2</v>
      </c>
      <c r="F70" s="596">
        <v>0</v>
      </c>
      <c r="G70" s="596">
        <v>8.7510000000000004E-2</v>
      </c>
      <c r="H70" s="596">
        <v>0</v>
      </c>
      <c r="I70" s="596">
        <v>0</v>
      </c>
      <c r="J70" s="596">
        <v>8.7510000000000004E-2</v>
      </c>
      <c r="K70" s="596">
        <v>0</v>
      </c>
      <c r="L70" s="595">
        <v>3.0785499999999999</v>
      </c>
      <c r="M70" s="596">
        <v>0</v>
      </c>
      <c r="N70" s="596">
        <v>3.0785499999999999</v>
      </c>
      <c r="O70" s="596">
        <v>0</v>
      </c>
      <c r="P70" s="596">
        <v>1.4138599999999999</v>
      </c>
      <c r="Q70" s="596">
        <v>1.66469</v>
      </c>
      <c r="R70" s="596">
        <v>117.74079470386036</v>
      </c>
    </row>
    <row r="71" spans="1:18" ht="15.6" thickBot="1" x14ac:dyDescent="0.35">
      <c r="A71" s="199" t="str">
        <f t="shared" si="4"/>
        <v>13600PRINTING</v>
      </c>
      <c r="B71" s="597" t="s">
        <v>471</v>
      </c>
      <c r="C71" s="597" t="s">
        <v>111</v>
      </c>
      <c r="D71" s="597" t="s">
        <v>112</v>
      </c>
      <c r="E71" s="594">
        <v>15.002700000000001</v>
      </c>
      <c r="F71" s="594">
        <v>26.75</v>
      </c>
      <c r="G71" s="594">
        <v>-11.747299999999999</v>
      </c>
      <c r="H71" s="594">
        <v>-43.915140186915885</v>
      </c>
      <c r="I71" s="594">
        <v>26.75</v>
      </c>
      <c r="J71" s="594">
        <v>-11.747299999999999</v>
      </c>
      <c r="K71" s="594">
        <v>-43.915140186915885</v>
      </c>
      <c r="L71" s="595">
        <v>320.01618000000002</v>
      </c>
      <c r="M71" s="594">
        <v>321</v>
      </c>
      <c r="N71" s="594">
        <v>-0.98382000000000003</v>
      </c>
      <c r="O71" s="594">
        <v>-0.3064859813084112</v>
      </c>
      <c r="P71" s="594">
        <v>246.49602999999999</v>
      </c>
      <c r="Q71" s="594">
        <v>73.520150000000001</v>
      </c>
      <c r="R71" s="594">
        <v>29.82609902479971</v>
      </c>
    </row>
    <row r="72" spans="1:18" ht="15.6" thickBot="1" x14ac:dyDescent="0.35">
      <c r="A72" s="199" t="str">
        <f t="shared" si="4"/>
        <v>13600REFRESHMENTS</v>
      </c>
      <c r="B72" s="597" t="s">
        <v>471</v>
      </c>
      <c r="C72" s="597" t="s">
        <v>113</v>
      </c>
      <c r="D72" s="597" t="s">
        <v>114</v>
      </c>
      <c r="E72" s="596"/>
      <c r="F72" s="596"/>
      <c r="G72" s="596"/>
      <c r="H72" s="596"/>
      <c r="I72" s="596"/>
      <c r="J72" s="596"/>
      <c r="K72" s="596"/>
      <c r="L72" s="595">
        <v>0.58387</v>
      </c>
      <c r="M72" s="596"/>
      <c r="N72" s="596">
        <v>0.58387</v>
      </c>
      <c r="O72" s="596">
        <v>0</v>
      </c>
      <c r="P72" s="596">
        <v>0.18465999999999999</v>
      </c>
      <c r="Q72" s="596">
        <v>0.39921000000000001</v>
      </c>
      <c r="R72" s="596">
        <v>216.18650492797573</v>
      </c>
    </row>
    <row r="73" spans="1:18" ht="15.6" thickBot="1" x14ac:dyDescent="0.35">
      <c r="A73" s="199" t="str">
        <f t="shared" si="4"/>
        <v>13600PAYSTATION COMMISSIO</v>
      </c>
      <c r="B73" s="597" t="s">
        <v>471</v>
      </c>
      <c r="C73" s="597" t="s">
        <v>115</v>
      </c>
      <c r="D73" s="597" t="s">
        <v>116</v>
      </c>
      <c r="E73" s="594">
        <v>3.0166499999999998</v>
      </c>
      <c r="F73" s="594">
        <v>4.6669999999999998</v>
      </c>
      <c r="G73" s="594">
        <v>-1.65035</v>
      </c>
      <c r="H73" s="594">
        <v>-35.362116991643454</v>
      </c>
      <c r="I73" s="594">
        <v>4.6669999999999998</v>
      </c>
      <c r="J73" s="594">
        <v>-1.65035</v>
      </c>
      <c r="K73" s="594">
        <v>-35.362116991643454</v>
      </c>
      <c r="L73" s="595">
        <v>43.478250000000003</v>
      </c>
      <c r="M73" s="594">
        <v>56.003999999999998</v>
      </c>
      <c r="N73" s="594">
        <v>-12.52575</v>
      </c>
      <c r="O73" s="594">
        <v>-22.365813156203128</v>
      </c>
      <c r="P73" s="594">
        <v>39.60145</v>
      </c>
      <c r="Q73" s="594">
        <v>3.8767999999999998</v>
      </c>
      <c r="R73" s="594">
        <v>9.789540534500631</v>
      </c>
    </row>
    <row r="74" spans="1:18" ht="15.6" thickBot="1" x14ac:dyDescent="0.35">
      <c r="A74" s="199" t="str">
        <f t="shared" si="4"/>
        <v>13600CASH RECEIPTS</v>
      </c>
      <c r="B74" s="597" t="s">
        <v>471</v>
      </c>
      <c r="C74" s="598" t="s">
        <v>117</v>
      </c>
      <c r="D74" s="598" t="s">
        <v>118</v>
      </c>
      <c r="E74" s="596">
        <v>-3.5183200000000001</v>
      </c>
      <c r="F74" s="596">
        <v>-3.75</v>
      </c>
      <c r="G74" s="596">
        <v>0.23168</v>
      </c>
      <c r="H74" s="596">
        <v>6.1781333333333333</v>
      </c>
      <c r="I74" s="596">
        <v>-3.75</v>
      </c>
      <c r="J74" s="596">
        <v>0.23168</v>
      </c>
      <c r="K74" s="596">
        <v>6.1781333333333333</v>
      </c>
      <c r="L74" s="595">
        <v>-40.299140000000001</v>
      </c>
      <c r="M74" s="596">
        <v>-45</v>
      </c>
      <c r="N74" s="596">
        <v>4.7008599999999996</v>
      </c>
      <c r="O74" s="596">
        <v>10.446355555555556</v>
      </c>
      <c r="P74" s="596">
        <v>-32.031370000000003</v>
      </c>
      <c r="Q74" s="596">
        <v>-8.2677700000000005</v>
      </c>
      <c r="R74" s="596">
        <v>-25.81147793553632</v>
      </c>
    </row>
    <row r="75" spans="1:18" ht="15.6" thickBot="1" x14ac:dyDescent="0.35">
      <c r="A75" s="199" t="str">
        <f t="shared" si="4"/>
        <v>13600PROFESSIONAL SERVICE</v>
      </c>
      <c r="B75" s="597" t="s">
        <v>471</v>
      </c>
      <c r="C75" s="599" t="s">
        <v>149</v>
      </c>
      <c r="D75" s="599" t="s">
        <v>150</v>
      </c>
      <c r="E75" s="594"/>
      <c r="F75" s="594"/>
      <c r="G75" s="594"/>
      <c r="H75" s="594"/>
      <c r="I75" s="594"/>
      <c r="J75" s="594"/>
      <c r="K75" s="594"/>
      <c r="L75" s="595">
        <v>0.49</v>
      </c>
      <c r="M75" s="594"/>
      <c r="N75" s="594">
        <v>0.49</v>
      </c>
      <c r="O75" s="594">
        <v>0</v>
      </c>
      <c r="P75" s="594">
        <v>0.49</v>
      </c>
      <c r="Q75" s="594">
        <v>0</v>
      </c>
      <c r="R75" s="594">
        <v>0</v>
      </c>
    </row>
    <row r="76" spans="1:18" ht="15.6" thickBot="1" x14ac:dyDescent="0.35">
      <c r="A76" s="199" t="str">
        <f t="shared" si="4"/>
        <v>13600CUSTOMER RECOVERY</v>
      </c>
      <c r="B76" s="597" t="s">
        <v>471</v>
      </c>
      <c r="C76" s="597" t="s">
        <v>171</v>
      </c>
      <c r="D76" s="597" t="s">
        <v>172</v>
      </c>
      <c r="E76" s="594">
        <v>0.02</v>
      </c>
      <c r="F76" s="594"/>
      <c r="G76" s="594">
        <v>0.02</v>
      </c>
      <c r="H76" s="594">
        <v>0</v>
      </c>
      <c r="I76" s="594"/>
      <c r="J76" s="594">
        <v>0.02</v>
      </c>
      <c r="K76" s="594">
        <v>0</v>
      </c>
      <c r="L76" s="595">
        <v>0.02</v>
      </c>
      <c r="M76" s="594"/>
      <c r="N76" s="594">
        <v>0.02</v>
      </c>
      <c r="O76" s="594">
        <v>0</v>
      </c>
      <c r="P76" s="594"/>
      <c r="Q76" s="594">
        <v>0.02</v>
      </c>
      <c r="R76" s="594">
        <v>0</v>
      </c>
    </row>
    <row r="77" spans="1:18" ht="15.6" thickBot="1" x14ac:dyDescent="0.35">
      <c r="A77" s="199" t="str">
        <f t="shared" si="4"/>
        <v>13600COLLECTION FEES</v>
      </c>
      <c r="B77" s="597" t="s">
        <v>471</v>
      </c>
      <c r="C77" s="597" t="s">
        <v>119</v>
      </c>
      <c r="D77" s="597" t="s">
        <v>120</v>
      </c>
      <c r="E77" s="596">
        <v>12.13818</v>
      </c>
      <c r="F77" s="596">
        <v>14.25</v>
      </c>
      <c r="G77" s="596">
        <v>-2.1118199999999998</v>
      </c>
      <c r="H77" s="596">
        <v>-14.81978947368421</v>
      </c>
      <c r="I77" s="596">
        <v>14.25</v>
      </c>
      <c r="J77" s="596">
        <v>-2.1118199999999998</v>
      </c>
      <c r="K77" s="596">
        <v>-14.81978947368421</v>
      </c>
      <c r="L77" s="595">
        <v>159.09326999999999</v>
      </c>
      <c r="M77" s="596">
        <v>171</v>
      </c>
      <c r="N77" s="596">
        <v>-11.90673</v>
      </c>
      <c r="O77" s="596">
        <v>-6.9630000000000001</v>
      </c>
      <c r="P77" s="596">
        <v>122.75060999999999</v>
      </c>
      <c r="Q77" s="596">
        <v>36.342660000000002</v>
      </c>
      <c r="R77" s="596">
        <v>29.606907859765421</v>
      </c>
    </row>
    <row r="78" spans="1:18" ht="15.6" thickBot="1" x14ac:dyDescent="0.35">
      <c r="A78" s="199" t="str">
        <f t="shared" si="4"/>
        <v>13600MEALS AND ENTERTAIN</v>
      </c>
      <c r="B78" s="597" t="s">
        <v>471</v>
      </c>
      <c r="C78" s="597" t="s">
        <v>75</v>
      </c>
      <c r="D78" s="597" t="s">
        <v>76</v>
      </c>
      <c r="E78" s="594">
        <v>0.53222000000000003</v>
      </c>
      <c r="F78" s="594">
        <v>0</v>
      </c>
      <c r="G78" s="594">
        <v>0.53222000000000003</v>
      </c>
      <c r="H78" s="594">
        <v>0</v>
      </c>
      <c r="I78" s="594">
        <v>0</v>
      </c>
      <c r="J78" s="594">
        <v>0.53222000000000003</v>
      </c>
      <c r="K78" s="594">
        <v>0</v>
      </c>
      <c r="L78" s="595">
        <v>1.6361699999999999</v>
      </c>
      <c r="M78" s="594">
        <v>0</v>
      </c>
      <c r="N78" s="594">
        <v>1.6361699999999999</v>
      </c>
      <c r="O78" s="594">
        <v>0</v>
      </c>
      <c r="P78" s="594">
        <v>0.63458000000000003</v>
      </c>
      <c r="Q78" s="594">
        <v>1.00159</v>
      </c>
      <c r="R78" s="594">
        <v>157.83510353304547</v>
      </c>
    </row>
    <row r="79" spans="1:18" ht="15.6" thickBot="1" x14ac:dyDescent="0.35">
      <c r="A79" s="199" t="str">
        <f t="shared" si="4"/>
        <v>13600CONFERENCE TRAVEL</v>
      </c>
      <c r="B79" s="597" t="s">
        <v>471</v>
      </c>
      <c r="C79" s="597" t="s">
        <v>77</v>
      </c>
      <c r="D79" s="597" t="s">
        <v>78</v>
      </c>
      <c r="E79" s="596"/>
      <c r="F79" s="596">
        <v>3.468</v>
      </c>
      <c r="G79" s="596">
        <v>-3.468</v>
      </c>
      <c r="H79" s="596">
        <v>-100</v>
      </c>
      <c r="I79" s="596">
        <v>3.468</v>
      </c>
      <c r="J79" s="596">
        <v>-3.468</v>
      </c>
      <c r="K79" s="596">
        <v>-100</v>
      </c>
      <c r="L79" s="595">
        <v>5.7434099999999999</v>
      </c>
      <c r="M79" s="596">
        <v>15</v>
      </c>
      <c r="N79" s="596">
        <v>-9.2565899999999992</v>
      </c>
      <c r="O79" s="596">
        <v>-61.710599999999999</v>
      </c>
      <c r="P79" s="596">
        <v>14.840590000000001</v>
      </c>
      <c r="Q79" s="596">
        <v>-9.0971799999999998</v>
      </c>
      <c r="R79" s="596">
        <v>-61.299314919420318</v>
      </c>
    </row>
    <row r="80" spans="1:18" ht="15.6" thickBot="1" x14ac:dyDescent="0.35">
      <c r="A80" s="199" t="str">
        <f t="shared" si="4"/>
        <v>13600BUSINESS TRAVEL</v>
      </c>
      <c r="B80" s="597" t="s">
        <v>471</v>
      </c>
      <c r="C80" s="597" t="s">
        <v>79</v>
      </c>
      <c r="D80" s="597" t="s">
        <v>80</v>
      </c>
      <c r="E80" s="594">
        <v>0.15389</v>
      </c>
      <c r="F80" s="594"/>
      <c r="G80" s="594">
        <v>0.15389</v>
      </c>
      <c r="H80" s="594">
        <v>0</v>
      </c>
      <c r="I80" s="594"/>
      <c r="J80" s="594">
        <v>0.15389</v>
      </c>
      <c r="K80" s="594">
        <v>0</v>
      </c>
      <c r="L80" s="595">
        <v>0.32846999999999998</v>
      </c>
      <c r="M80" s="594"/>
      <c r="N80" s="594">
        <v>0.32846999999999998</v>
      </c>
      <c r="O80" s="594">
        <v>0</v>
      </c>
      <c r="P80" s="594"/>
      <c r="Q80" s="594">
        <v>0.32846999999999998</v>
      </c>
      <c r="R80" s="594">
        <v>0</v>
      </c>
    </row>
    <row r="81" spans="1:18" ht="15.6" thickBot="1" x14ac:dyDescent="0.35">
      <c r="A81" s="199" t="str">
        <f t="shared" si="4"/>
        <v>13600EMPLOYEE AWARDS</v>
      </c>
      <c r="B81" s="597" t="s">
        <v>471</v>
      </c>
      <c r="C81" s="597" t="s">
        <v>81</v>
      </c>
      <c r="D81" s="597" t="s">
        <v>82</v>
      </c>
      <c r="E81" s="596">
        <v>0.72499999999999998</v>
      </c>
      <c r="F81" s="596"/>
      <c r="G81" s="596">
        <v>0.72499999999999998</v>
      </c>
      <c r="H81" s="596">
        <v>0</v>
      </c>
      <c r="I81" s="596"/>
      <c r="J81" s="596">
        <v>0.72499999999999998</v>
      </c>
      <c r="K81" s="596">
        <v>0</v>
      </c>
      <c r="L81" s="595">
        <v>4.5169800000000002</v>
      </c>
      <c r="M81" s="596"/>
      <c r="N81" s="596">
        <v>4.5169800000000002</v>
      </c>
      <c r="O81" s="596">
        <v>0</v>
      </c>
      <c r="P81" s="596">
        <v>0.27594000000000002</v>
      </c>
      <c r="Q81" s="596">
        <v>4.2410399999999999</v>
      </c>
      <c r="R81" s="596">
        <v>1536.9428136551423</v>
      </c>
    </row>
    <row r="82" spans="1:18" ht="15.6" thickBot="1" x14ac:dyDescent="0.35">
      <c r="A82" s="199" t="str">
        <f t="shared" si="4"/>
        <v>13600EMPLOYEE AWRDS MLS &amp;</v>
      </c>
      <c r="B82" s="597" t="s">
        <v>471</v>
      </c>
      <c r="C82" s="597" t="s">
        <v>123</v>
      </c>
      <c r="D82" s="597" t="s">
        <v>124</v>
      </c>
      <c r="E82" s="594"/>
      <c r="F82" s="594">
        <v>0</v>
      </c>
      <c r="G82" s="594">
        <v>0</v>
      </c>
      <c r="H82" s="594">
        <v>0</v>
      </c>
      <c r="I82" s="594">
        <v>0</v>
      </c>
      <c r="J82" s="594">
        <v>0</v>
      </c>
      <c r="K82" s="594">
        <v>0</v>
      </c>
      <c r="L82" s="595">
        <v>0.82150999999999996</v>
      </c>
      <c r="M82" s="594">
        <v>0</v>
      </c>
      <c r="N82" s="594">
        <v>0.82150999999999996</v>
      </c>
      <c r="O82" s="594">
        <v>0</v>
      </c>
      <c r="P82" s="594">
        <v>0.39219999999999999</v>
      </c>
      <c r="Q82" s="594">
        <v>0.42931000000000002</v>
      </c>
      <c r="R82" s="594">
        <v>109.46200917899031</v>
      </c>
    </row>
    <row r="83" spans="1:18" ht="15.6" thickBot="1" x14ac:dyDescent="0.35">
      <c r="A83" s="199" t="str">
        <f t="shared" si="4"/>
        <v>13600MISC. EXPENSE BUDGET</v>
      </c>
      <c r="B83" s="597" t="s">
        <v>471</v>
      </c>
      <c r="C83" s="597" t="s">
        <v>83</v>
      </c>
      <c r="D83" s="597" t="s">
        <v>84</v>
      </c>
      <c r="E83" s="596"/>
      <c r="F83" s="596">
        <v>0.83299999999999996</v>
      </c>
      <c r="G83" s="596">
        <v>-0.83299999999999996</v>
      </c>
      <c r="H83" s="596">
        <v>-100</v>
      </c>
      <c r="I83" s="596">
        <v>0.83299999999999996</v>
      </c>
      <c r="J83" s="596">
        <v>-0.83299999999999996</v>
      </c>
      <c r="K83" s="596">
        <v>-100</v>
      </c>
      <c r="L83" s="595"/>
      <c r="M83" s="596">
        <v>9.9960000000000004</v>
      </c>
      <c r="N83" s="596">
        <v>-9.9960000000000004</v>
      </c>
      <c r="O83" s="596">
        <v>-100</v>
      </c>
      <c r="P83" s="596">
        <v>2.4990000000000001</v>
      </c>
      <c r="Q83" s="596">
        <v>-2.4990000000000001</v>
      </c>
      <c r="R83" s="596">
        <v>-100</v>
      </c>
    </row>
    <row r="84" spans="1:18" ht="15.6" thickBot="1" x14ac:dyDescent="0.35">
      <c r="A84" s="199" t="str">
        <f t="shared" si="4"/>
        <v>13600Non-Payroll</v>
      </c>
      <c r="B84" s="597" t="s">
        <v>471</v>
      </c>
      <c r="C84" s="597" t="s">
        <v>85</v>
      </c>
      <c r="D84" s="597" t="s">
        <v>86</v>
      </c>
      <c r="E84" s="594">
        <v>268.39254</v>
      </c>
      <c r="F84" s="594">
        <v>296.92599999999999</v>
      </c>
      <c r="G84" s="594">
        <v>-28.533460000000002</v>
      </c>
      <c r="H84" s="594">
        <v>-9.6096199052962685</v>
      </c>
      <c r="I84" s="594">
        <v>296.92599999999999</v>
      </c>
      <c r="J84" s="594">
        <v>-28.533460000000002</v>
      </c>
      <c r="K84" s="594">
        <v>-9.6096199052962685</v>
      </c>
      <c r="L84" s="595">
        <v>3362.3016499999999</v>
      </c>
      <c r="M84" s="594">
        <v>3536.4960000000001</v>
      </c>
      <c r="N84" s="594">
        <v>-174.19434999999999</v>
      </c>
      <c r="O84" s="594">
        <v>-4.9256198791119798</v>
      </c>
      <c r="P84" s="594">
        <v>2599.6072399999998</v>
      </c>
      <c r="Q84" s="594">
        <v>762.69440999999995</v>
      </c>
      <c r="R84" s="594">
        <v>29.338832353767408</v>
      </c>
    </row>
    <row r="85" spans="1:18" ht="15.6" thickBot="1" x14ac:dyDescent="0.35">
      <c r="A85" s="199" t="str">
        <f t="shared" si="4"/>
        <v>13600EXPENSE ACCOUNTS</v>
      </c>
      <c r="B85" s="597" t="s">
        <v>471</v>
      </c>
      <c r="C85" s="597" t="s">
        <v>87</v>
      </c>
      <c r="D85" s="597" t="s">
        <v>87</v>
      </c>
      <c r="E85" s="596">
        <v>383.64362999999997</v>
      </c>
      <c r="F85" s="596">
        <v>422.04230000000001</v>
      </c>
      <c r="G85" s="596">
        <v>-38.398670000000003</v>
      </c>
      <c r="H85" s="596">
        <v>-9.0982989145874722</v>
      </c>
      <c r="I85" s="596">
        <v>296.92599999999999</v>
      </c>
      <c r="J85" s="596">
        <v>86.71763</v>
      </c>
      <c r="K85" s="596">
        <v>29.205131918390439</v>
      </c>
      <c r="L85" s="595">
        <v>4824.0256900000004</v>
      </c>
      <c r="M85" s="596">
        <v>5006.7811400000001</v>
      </c>
      <c r="N85" s="596">
        <v>-182.75545</v>
      </c>
      <c r="O85" s="596">
        <v>-3.6501585527662987</v>
      </c>
      <c r="P85" s="596">
        <v>3328.1761200000001</v>
      </c>
      <c r="Q85" s="596">
        <v>1495.8495700000001</v>
      </c>
      <c r="R85" s="596">
        <v>44.94502442376757</v>
      </c>
    </row>
    <row r="86" spans="1:18" ht="15.6" thickBot="1" x14ac:dyDescent="0.35">
      <c r="A86" s="199" t="str">
        <f t="shared" si="4"/>
        <v>13520SALARY PAYROLL</v>
      </c>
      <c r="B86" s="597" t="s">
        <v>472</v>
      </c>
      <c r="C86" s="598" t="s">
        <v>59</v>
      </c>
      <c r="D86" s="598" t="s">
        <v>60</v>
      </c>
      <c r="E86" s="594">
        <v>148.02269999999999</v>
      </c>
      <c r="F86" s="594">
        <v>158.17398</v>
      </c>
      <c r="G86" s="594">
        <v>-10.15128</v>
      </c>
      <c r="H86" s="594">
        <v>-6.4177938748206245</v>
      </c>
      <c r="I86" s="594">
        <v>0</v>
      </c>
      <c r="J86" s="594">
        <v>148.02269999999999</v>
      </c>
      <c r="K86" s="594">
        <v>0</v>
      </c>
      <c r="L86" s="595">
        <v>1837.46766</v>
      </c>
      <c r="M86" s="594">
        <v>1888.87374</v>
      </c>
      <c r="N86" s="594">
        <v>-51.406080000000003</v>
      </c>
      <c r="O86" s="594">
        <v>-2.7215201795330164</v>
      </c>
      <c r="P86" s="594">
        <v>931.60154999999997</v>
      </c>
      <c r="Q86" s="594">
        <v>905.86611000000005</v>
      </c>
      <c r="R86" s="594">
        <v>97.237505669671762</v>
      </c>
    </row>
    <row r="87" spans="1:18" ht="15.6" thickBot="1" x14ac:dyDescent="0.35">
      <c r="A87" s="199" t="str">
        <f t="shared" si="4"/>
        <v>13520HOURLY REGULAR  PAY</v>
      </c>
      <c r="B87" s="597" t="s">
        <v>472</v>
      </c>
      <c r="C87" s="597" t="s">
        <v>91</v>
      </c>
      <c r="D87" s="597" t="s">
        <v>92</v>
      </c>
      <c r="E87" s="596">
        <v>16.667059999999999</v>
      </c>
      <c r="F87" s="596">
        <v>29.34226</v>
      </c>
      <c r="G87" s="596">
        <v>-12.6752</v>
      </c>
      <c r="H87" s="596">
        <v>-43.197763226145497</v>
      </c>
      <c r="I87" s="596">
        <v>0</v>
      </c>
      <c r="J87" s="596">
        <v>16.667059999999999</v>
      </c>
      <c r="K87" s="596">
        <v>0</v>
      </c>
      <c r="L87" s="595">
        <v>219.14523</v>
      </c>
      <c r="M87" s="596">
        <v>342.67671000000001</v>
      </c>
      <c r="N87" s="596">
        <v>-123.53148</v>
      </c>
      <c r="O87" s="596">
        <v>-36.048986229615664</v>
      </c>
      <c r="P87" s="596">
        <v>113.80458</v>
      </c>
      <c r="Q87" s="596">
        <v>105.34065</v>
      </c>
      <c r="R87" s="596">
        <v>92.562750989459303</v>
      </c>
    </row>
    <row r="88" spans="1:18" ht="15.6" thickBot="1" x14ac:dyDescent="0.35">
      <c r="A88" s="199" t="str">
        <f t="shared" si="4"/>
        <v>13520HOURLY OVERTIME PAY</v>
      </c>
      <c r="B88" s="597" t="s">
        <v>472</v>
      </c>
      <c r="C88" s="597" t="s">
        <v>93</v>
      </c>
      <c r="D88" s="597" t="s">
        <v>94</v>
      </c>
      <c r="E88" s="594"/>
      <c r="F88" s="594">
        <v>1.0609999999999999</v>
      </c>
      <c r="G88" s="594">
        <v>-1.0609999999999999</v>
      </c>
      <c r="H88" s="594">
        <v>-100</v>
      </c>
      <c r="I88" s="594"/>
      <c r="J88" s="594"/>
      <c r="K88" s="594"/>
      <c r="L88" s="595">
        <v>-0.34533999999999998</v>
      </c>
      <c r="M88" s="594">
        <v>12.391</v>
      </c>
      <c r="N88" s="594">
        <v>-12.73634</v>
      </c>
      <c r="O88" s="594">
        <v>-102.78702283915746</v>
      </c>
      <c r="P88" s="594">
        <v>-0.34628999999999999</v>
      </c>
      <c r="Q88" s="594">
        <v>9.5E-4</v>
      </c>
      <c r="R88" s="594">
        <v>0.27433653873920705</v>
      </c>
    </row>
    <row r="89" spans="1:18" ht="15.6" thickBot="1" x14ac:dyDescent="0.35">
      <c r="A89" s="199" t="str">
        <f t="shared" si="4"/>
        <v>13520SALARY BONUS PAYROLL</v>
      </c>
      <c r="B89" s="597" t="s">
        <v>472</v>
      </c>
      <c r="C89" s="597" t="s">
        <v>134</v>
      </c>
      <c r="D89" s="597" t="s">
        <v>135</v>
      </c>
      <c r="E89" s="596"/>
      <c r="F89" s="596"/>
      <c r="G89" s="596"/>
      <c r="H89" s="596"/>
      <c r="I89" s="596"/>
      <c r="J89" s="596"/>
      <c r="K89" s="596"/>
      <c r="L89" s="595">
        <v>3.4275899999999999</v>
      </c>
      <c r="M89" s="596"/>
      <c r="N89" s="596">
        <v>3.4275899999999999</v>
      </c>
      <c r="O89" s="596">
        <v>0</v>
      </c>
      <c r="P89" s="596">
        <v>1.6</v>
      </c>
      <c r="Q89" s="596">
        <v>1.82759</v>
      </c>
      <c r="R89" s="596">
        <v>114.22437499999999</v>
      </c>
    </row>
    <row r="90" spans="1:18" ht="15.6" thickBot="1" x14ac:dyDescent="0.35">
      <c r="A90" s="199" t="str">
        <f t="shared" si="4"/>
        <v>13520VACATION, SICK &amp; HOL</v>
      </c>
      <c r="B90" s="597" t="s">
        <v>472</v>
      </c>
      <c r="C90" s="597" t="s">
        <v>61</v>
      </c>
      <c r="D90" s="597" t="s">
        <v>62</v>
      </c>
      <c r="E90" s="594">
        <v>27.293790000000001</v>
      </c>
      <c r="F90" s="594">
        <v>29.065020000000001</v>
      </c>
      <c r="G90" s="594">
        <v>-1.7712300000000001</v>
      </c>
      <c r="H90" s="594">
        <v>-6.0940264276439517</v>
      </c>
      <c r="I90" s="594">
        <v>0</v>
      </c>
      <c r="J90" s="594">
        <v>27.293790000000001</v>
      </c>
      <c r="K90" s="594">
        <v>0</v>
      </c>
      <c r="L90" s="595">
        <v>324.06425999999999</v>
      </c>
      <c r="M90" s="594">
        <v>345.89030000000002</v>
      </c>
      <c r="N90" s="594">
        <v>-21.826039999999999</v>
      </c>
      <c r="O90" s="594">
        <v>-6.3101046776969465</v>
      </c>
      <c r="P90" s="594">
        <v>161.18798000000001</v>
      </c>
      <c r="Q90" s="594">
        <v>162.87628000000001</v>
      </c>
      <c r="R90" s="594">
        <v>101.0474106071681</v>
      </c>
    </row>
    <row r="91" spans="1:18" ht="15.6" thickBot="1" x14ac:dyDescent="0.35">
      <c r="A91" s="199" t="str">
        <f t="shared" si="4"/>
        <v>13520PAYROLL OVERHEAD</v>
      </c>
      <c r="B91" s="597" t="s">
        <v>472</v>
      </c>
      <c r="C91" s="597" t="s">
        <v>63</v>
      </c>
      <c r="D91" s="597" t="s">
        <v>64</v>
      </c>
      <c r="E91" s="596">
        <v>131.18031999999999</v>
      </c>
      <c r="F91" s="596">
        <v>140.22463999999999</v>
      </c>
      <c r="G91" s="596">
        <v>-9.0443200000000008</v>
      </c>
      <c r="H91" s="596">
        <v>-6.4498792794190809</v>
      </c>
      <c r="I91" s="596">
        <v>0</v>
      </c>
      <c r="J91" s="596">
        <v>131.18031999999999</v>
      </c>
      <c r="K91" s="596">
        <v>0</v>
      </c>
      <c r="L91" s="595">
        <v>1557.0441000000001</v>
      </c>
      <c r="M91" s="596">
        <v>1668.7534499999999</v>
      </c>
      <c r="N91" s="596">
        <v>-111.70935</v>
      </c>
      <c r="O91" s="596">
        <v>-6.6941794187751338</v>
      </c>
      <c r="P91" s="596">
        <v>773.88343999999995</v>
      </c>
      <c r="Q91" s="596">
        <v>783.16066000000001</v>
      </c>
      <c r="R91" s="596">
        <v>101.19878776576483</v>
      </c>
    </row>
    <row r="92" spans="1:18" ht="15.6" thickBot="1" x14ac:dyDescent="0.35">
      <c r="A92" s="199" t="str">
        <f t="shared" si="4"/>
        <v>13520COMMISSIONS</v>
      </c>
      <c r="B92" s="597" t="s">
        <v>472</v>
      </c>
      <c r="C92" s="597" t="s">
        <v>180</v>
      </c>
      <c r="D92" s="597" t="s">
        <v>181</v>
      </c>
      <c r="E92" s="594"/>
      <c r="F92" s="594"/>
      <c r="G92" s="594"/>
      <c r="H92" s="594"/>
      <c r="I92" s="594"/>
      <c r="J92" s="594"/>
      <c r="K92" s="594"/>
      <c r="L92" s="595">
        <v>0.35270000000000001</v>
      </c>
      <c r="M92" s="594"/>
      <c r="N92" s="594">
        <v>0.35270000000000001</v>
      </c>
      <c r="O92" s="594">
        <v>0</v>
      </c>
      <c r="P92" s="594"/>
      <c r="Q92" s="594">
        <v>0.35270000000000001</v>
      </c>
      <c r="R92" s="594">
        <v>0</v>
      </c>
    </row>
    <row r="93" spans="1:18" ht="15.6" thickBot="1" x14ac:dyDescent="0.35">
      <c r="A93" s="199" t="str">
        <f t="shared" si="4"/>
        <v>13520NWN/580105</v>
      </c>
      <c r="B93" s="597" t="s">
        <v>472</v>
      </c>
      <c r="C93" s="597" t="s">
        <v>156</v>
      </c>
      <c r="D93" s="597" t="s">
        <v>157</v>
      </c>
      <c r="E93" s="596"/>
      <c r="F93" s="596"/>
      <c r="G93" s="596"/>
      <c r="H93" s="596"/>
      <c r="I93" s="596"/>
      <c r="J93" s="596"/>
      <c r="K93" s="596"/>
      <c r="L93" s="595">
        <v>137.61148</v>
      </c>
      <c r="M93" s="596"/>
      <c r="N93" s="596">
        <v>137.61148</v>
      </c>
      <c r="O93" s="596">
        <v>0</v>
      </c>
      <c r="P93" s="596">
        <v>137.61148</v>
      </c>
      <c r="Q93" s="596">
        <v>0</v>
      </c>
      <c r="R93" s="596">
        <v>0</v>
      </c>
    </row>
    <row r="94" spans="1:18" ht="15.6" thickBot="1" x14ac:dyDescent="0.35">
      <c r="A94" s="199" t="str">
        <f t="shared" si="4"/>
        <v>13520NWN/580305</v>
      </c>
      <c r="B94" s="597" t="s">
        <v>472</v>
      </c>
      <c r="C94" s="597" t="s">
        <v>184</v>
      </c>
      <c r="D94" s="597" t="s">
        <v>185</v>
      </c>
      <c r="E94" s="594">
        <v>2.2361499999999999</v>
      </c>
      <c r="F94" s="594"/>
      <c r="G94" s="594">
        <v>2.2361499999999999</v>
      </c>
      <c r="H94" s="594">
        <v>0</v>
      </c>
      <c r="I94" s="594"/>
      <c r="J94" s="594">
        <v>2.2361499999999999</v>
      </c>
      <c r="K94" s="594">
        <v>0</v>
      </c>
      <c r="L94" s="595">
        <v>35.854390000000002</v>
      </c>
      <c r="M94" s="594"/>
      <c r="N94" s="594">
        <v>35.854390000000002</v>
      </c>
      <c r="O94" s="594">
        <v>0</v>
      </c>
      <c r="P94" s="594">
        <v>84.974930000000001</v>
      </c>
      <c r="Q94" s="594">
        <v>-49.120539999999998</v>
      </c>
      <c r="R94" s="594">
        <v>-57.805919934267671</v>
      </c>
    </row>
    <row r="95" spans="1:18" ht="15.6" thickBot="1" x14ac:dyDescent="0.35">
      <c r="A95" s="199" t="str">
        <f t="shared" si="4"/>
        <v>13520SALARY PAYROLL ZTFSO</v>
      </c>
      <c r="B95" s="597" t="s">
        <v>472</v>
      </c>
      <c r="C95" s="597" t="s">
        <v>65</v>
      </c>
      <c r="D95" s="597" t="s">
        <v>66</v>
      </c>
      <c r="E95" s="596">
        <v>-148.33873</v>
      </c>
      <c r="F95" s="596">
        <v>-159.51598000000001</v>
      </c>
      <c r="G95" s="596">
        <v>11.177250000000001</v>
      </c>
      <c r="H95" s="596">
        <v>7.0069782350332552</v>
      </c>
      <c r="I95" s="596">
        <v>0</v>
      </c>
      <c r="J95" s="596">
        <v>-148.33873</v>
      </c>
      <c r="K95" s="596">
        <v>0</v>
      </c>
      <c r="L95" s="595">
        <v>-1983.43193</v>
      </c>
      <c r="M95" s="596">
        <v>-1904.8995600000001</v>
      </c>
      <c r="N95" s="596">
        <v>-78.53237</v>
      </c>
      <c r="O95" s="596">
        <v>-4.1226514850998237</v>
      </c>
      <c r="P95" s="596">
        <v>-1076.1475499999999</v>
      </c>
      <c r="Q95" s="596">
        <v>-907.28438000000006</v>
      </c>
      <c r="R95" s="596">
        <v>-84.308548581465431</v>
      </c>
    </row>
    <row r="96" spans="1:18" ht="15.6" thickBot="1" x14ac:dyDescent="0.35">
      <c r="A96" s="199" t="str">
        <f t="shared" si="4"/>
        <v>13520HRLY - REGULAR ZTFSO</v>
      </c>
      <c r="B96" s="597" t="s">
        <v>472</v>
      </c>
      <c r="C96" s="597" t="s">
        <v>163</v>
      </c>
      <c r="D96" s="597" t="s">
        <v>164</v>
      </c>
      <c r="E96" s="594">
        <v>-21.314630000000001</v>
      </c>
      <c r="F96" s="594">
        <v>-29.591190000000001</v>
      </c>
      <c r="G96" s="594">
        <v>8.2765599999999999</v>
      </c>
      <c r="H96" s="594">
        <v>27.969676109679941</v>
      </c>
      <c r="I96" s="594">
        <v>0</v>
      </c>
      <c r="J96" s="594">
        <v>-21.314630000000001</v>
      </c>
      <c r="K96" s="594">
        <v>0</v>
      </c>
      <c r="L96" s="595">
        <v>-247.25058999999999</v>
      </c>
      <c r="M96" s="594">
        <v>-345.58390000000003</v>
      </c>
      <c r="N96" s="594">
        <v>98.333309999999997</v>
      </c>
      <c r="O96" s="594">
        <v>28.454250906943294</v>
      </c>
      <c r="P96" s="594">
        <v>-190.45967999999999</v>
      </c>
      <c r="Q96" s="594">
        <v>-56.790909999999997</v>
      </c>
      <c r="R96" s="594">
        <v>-29.817812357975189</v>
      </c>
    </row>
    <row r="97" spans="1:18" ht="15.6" thickBot="1" x14ac:dyDescent="0.35">
      <c r="A97" s="199" t="str">
        <f t="shared" si="4"/>
        <v>13520Payroll</v>
      </c>
      <c r="B97" s="597" t="s">
        <v>472</v>
      </c>
      <c r="C97" s="597" t="s">
        <v>67</v>
      </c>
      <c r="D97" s="597" t="s">
        <v>68</v>
      </c>
      <c r="E97" s="596">
        <v>155.74665999999999</v>
      </c>
      <c r="F97" s="596">
        <v>168.75972999999999</v>
      </c>
      <c r="G97" s="596">
        <v>-13.013070000000001</v>
      </c>
      <c r="H97" s="596">
        <v>-7.7110042780940686</v>
      </c>
      <c r="I97" s="596">
        <v>0</v>
      </c>
      <c r="J97" s="596">
        <v>155.74665999999999</v>
      </c>
      <c r="K97" s="596">
        <v>0</v>
      </c>
      <c r="L97" s="595">
        <v>1883.9395500000001</v>
      </c>
      <c r="M97" s="596">
        <v>2008.1017400000001</v>
      </c>
      <c r="N97" s="596">
        <v>-124.16219</v>
      </c>
      <c r="O97" s="596">
        <v>-6.1830627167326693</v>
      </c>
      <c r="P97" s="596">
        <v>937.71043999999995</v>
      </c>
      <c r="Q97" s="596">
        <v>946.22910999999999</v>
      </c>
      <c r="R97" s="596">
        <v>100.90845421322173</v>
      </c>
    </row>
    <row r="98" spans="1:18" ht="15.6" thickBot="1" x14ac:dyDescent="0.35">
      <c r="A98" s="199" t="str">
        <f t="shared" si="4"/>
        <v>13520MATERIALS - CONS INV</v>
      </c>
      <c r="B98" s="597" t="s">
        <v>472</v>
      </c>
      <c r="C98" s="597" t="s">
        <v>165</v>
      </c>
      <c r="D98" s="597" t="s">
        <v>166</v>
      </c>
      <c r="E98" s="594"/>
      <c r="F98" s="594"/>
      <c r="G98" s="594"/>
      <c r="H98" s="594"/>
      <c r="I98" s="594"/>
      <c r="J98" s="594"/>
      <c r="K98" s="594"/>
      <c r="L98" s="595">
        <v>0.11686000000000001</v>
      </c>
      <c r="M98" s="594"/>
      <c r="N98" s="594">
        <v>0.11686000000000001</v>
      </c>
      <c r="O98" s="594">
        <v>0</v>
      </c>
      <c r="P98" s="594">
        <v>0.11686000000000001</v>
      </c>
      <c r="Q98" s="594">
        <v>0</v>
      </c>
      <c r="R98" s="594">
        <v>0</v>
      </c>
    </row>
    <row r="99" spans="1:18" ht="15.6" thickBot="1" x14ac:dyDescent="0.35">
      <c r="A99" s="199" t="str">
        <f t="shared" ref="A99:A162" si="5">RIGHT(B99,5)&amp;C99</f>
        <v>13520MILEAGE REIMBURSE</v>
      </c>
      <c r="B99" s="597" t="s">
        <v>472</v>
      </c>
      <c r="C99" s="597" t="s">
        <v>137</v>
      </c>
      <c r="D99" s="597" t="s">
        <v>138</v>
      </c>
      <c r="E99" s="596">
        <v>8.1250000000000003E-2</v>
      </c>
      <c r="F99" s="596">
        <v>0.25</v>
      </c>
      <c r="G99" s="596">
        <v>-0.16875000000000001</v>
      </c>
      <c r="H99" s="596">
        <v>-67.5</v>
      </c>
      <c r="I99" s="596">
        <v>0.25</v>
      </c>
      <c r="J99" s="596">
        <v>-0.16875000000000001</v>
      </c>
      <c r="K99" s="596">
        <v>-67.5</v>
      </c>
      <c r="L99" s="595">
        <v>1.6181399999999999</v>
      </c>
      <c r="M99" s="596">
        <v>3</v>
      </c>
      <c r="N99" s="596">
        <v>-1.3818600000000001</v>
      </c>
      <c r="O99" s="596">
        <v>-46.061999999999998</v>
      </c>
      <c r="P99" s="596">
        <v>1.64208</v>
      </c>
      <c r="Q99" s="596">
        <v>-2.3939999999999999E-2</v>
      </c>
      <c r="R99" s="596">
        <v>-1.457907044723765</v>
      </c>
    </row>
    <row r="100" spans="1:18" ht="15.6" thickBot="1" x14ac:dyDescent="0.35">
      <c r="A100" s="199" t="str">
        <f t="shared" si="5"/>
        <v>13520TRANSPORTATION</v>
      </c>
      <c r="B100" s="597" t="s">
        <v>472</v>
      </c>
      <c r="C100" s="597" t="s">
        <v>190</v>
      </c>
      <c r="D100" s="597" t="s">
        <v>191</v>
      </c>
      <c r="E100" s="594">
        <v>1.15E-2</v>
      </c>
      <c r="F100" s="594"/>
      <c r="G100" s="594">
        <v>1.15E-2</v>
      </c>
      <c r="H100" s="594">
        <v>0</v>
      </c>
      <c r="I100" s="594"/>
      <c r="J100" s="594">
        <v>1.15E-2</v>
      </c>
      <c r="K100" s="594">
        <v>0</v>
      </c>
      <c r="L100" s="595">
        <v>6.2600000000000003E-2</v>
      </c>
      <c r="M100" s="594"/>
      <c r="N100" s="594">
        <v>6.2600000000000003E-2</v>
      </c>
      <c r="O100" s="594">
        <v>0</v>
      </c>
      <c r="P100" s="594">
        <v>1.61E-2</v>
      </c>
      <c r="Q100" s="594">
        <v>4.65E-2</v>
      </c>
      <c r="R100" s="594">
        <v>288.81987577639751</v>
      </c>
    </row>
    <row r="101" spans="1:18" ht="15.6" thickBot="1" x14ac:dyDescent="0.35">
      <c r="A101" s="199" t="str">
        <f t="shared" si="5"/>
        <v>13520DUES/MEMBERSHIP</v>
      </c>
      <c r="B101" s="597" t="s">
        <v>472</v>
      </c>
      <c r="C101" s="597" t="s">
        <v>139</v>
      </c>
      <c r="D101" s="597" t="s">
        <v>140</v>
      </c>
      <c r="E101" s="596"/>
      <c r="F101" s="596"/>
      <c r="G101" s="596"/>
      <c r="H101" s="596"/>
      <c r="I101" s="596"/>
      <c r="J101" s="596"/>
      <c r="K101" s="596"/>
      <c r="L101" s="595">
        <v>0.24</v>
      </c>
      <c r="M101" s="596"/>
      <c r="N101" s="596">
        <v>0.24</v>
      </c>
      <c r="O101" s="596">
        <v>0</v>
      </c>
      <c r="P101" s="596"/>
      <c r="Q101" s="596">
        <v>0.24</v>
      </c>
      <c r="R101" s="596">
        <v>0</v>
      </c>
    </row>
    <row r="102" spans="1:18" ht="15.6" thickBot="1" x14ac:dyDescent="0.35">
      <c r="A102" s="199" t="str">
        <f t="shared" si="5"/>
        <v>13520OFFICE CONTRACT WORK</v>
      </c>
      <c r="B102" s="597" t="s">
        <v>472</v>
      </c>
      <c r="C102" s="597" t="s">
        <v>169</v>
      </c>
      <c r="D102" s="597" t="s">
        <v>170</v>
      </c>
      <c r="E102" s="594"/>
      <c r="F102" s="594">
        <v>0</v>
      </c>
      <c r="G102" s="594">
        <v>0</v>
      </c>
      <c r="H102" s="594">
        <v>0</v>
      </c>
      <c r="I102" s="594">
        <v>0</v>
      </c>
      <c r="J102" s="594">
        <v>0</v>
      </c>
      <c r="K102" s="594">
        <v>0</v>
      </c>
      <c r="L102" s="595">
        <v>1.1612800000000001</v>
      </c>
      <c r="M102" s="594">
        <v>0</v>
      </c>
      <c r="N102" s="594">
        <v>1.1612800000000001</v>
      </c>
      <c r="O102" s="594">
        <v>0</v>
      </c>
      <c r="P102" s="594">
        <v>1.1612800000000001</v>
      </c>
      <c r="Q102" s="594">
        <v>0</v>
      </c>
      <c r="R102" s="594">
        <v>0</v>
      </c>
    </row>
    <row r="103" spans="1:18" ht="15.6" thickBot="1" x14ac:dyDescent="0.35">
      <c r="A103" s="199" t="str">
        <f t="shared" si="5"/>
        <v>13520OTHER CONTRACT WORK</v>
      </c>
      <c r="B103" s="597" t="s">
        <v>472</v>
      </c>
      <c r="C103" s="597" t="s">
        <v>101</v>
      </c>
      <c r="D103" s="597" t="s">
        <v>102</v>
      </c>
      <c r="E103" s="596">
        <v>1.4919999999999999E-2</v>
      </c>
      <c r="F103" s="596"/>
      <c r="G103" s="596">
        <v>1.4919999999999999E-2</v>
      </c>
      <c r="H103" s="596">
        <v>0</v>
      </c>
      <c r="I103" s="596"/>
      <c r="J103" s="596">
        <v>1.4919999999999999E-2</v>
      </c>
      <c r="K103" s="596">
        <v>0</v>
      </c>
      <c r="L103" s="595">
        <v>18.406289999999998</v>
      </c>
      <c r="M103" s="596"/>
      <c r="N103" s="596">
        <v>18.406289999999998</v>
      </c>
      <c r="O103" s="596">
        <v>0</v>
      </c>
      <c r="P103" s="596">
        <v>18.22767</v>
      </c>
      <c r="Q103" s="596">
        <v>0.17862</v>
      </c>
      <c r="R103" s="596">
        <v>0.97993874148478655</v>
      </c>
    </row>
    <row r="104" spans="1:18" ht="15.6" thickBot="1" x14ac:dyDescent="0.35">
      <c r="A104" s="199" t="str">
        <f t="shared" si="5"/>
        <v>13520P CARD UNCODED CHARG</v>
      </c>
      <c r="B104" s="597" t="s">
        <v>472</v>
      </c>
      <c r="C104" s="597" t="s">
        <v>71</v>
      </c>
      <c r="D104" s="597" t="s">
        <v>72</v>
      </c>
      <c r="E104" s="594">
        <v>3.2000000000000001E-2</v>
      </c>
      <c r="F104" s="594"/>
      <c r="G104" s="594">
        <v>3.2000000000000001E-2</v>
      </c>
      <c r="H104" s="594">
        <v>0</v>
      </c>
      <c r="I104" s="594"/>
      <c r="J104" s="594">
        <v>3.2000000000000001E-2</v>
      </c>
      <c r="K104" s="594">
        <v>0</v>
      </c>
      <c r="L104" s="595">
        <v>0.10113999999999999</v>
      </c>
      <c r="M104" s="594"/>
      <c r="N104" s="594">
        <v>0.10113999999999999</v>
      </c>
      <c r="O104" s="594">
        <v>0</v>
      </c>
      <c r="P104" s="594">
        <v>-1.38E-2</v>
      </c>
      <c r="Q104" s="594">
        <v>0.11494</v>
      </c>
      <c r="R104" s="594">
        <v>832.89855072463763</v>
      </c>
    </row>
    <row r="105" spans="1:18" ht="15.6" thickBot="1" x14ac:dyDescent="0.35">
      <c r="A105" s="199" t="str">
        <f t="shared" si="5"/>
        <v>13520OFFICE SUPPLIES</v>
      </c>
      <c r="B105" s="597" t="s">
        <v>472</v>
      </c>
      <c r="C105" s="597" t="s">
        <v>73</v>
      </c>
      <c r="D105" s="597" t="s">
        <v>74</v>
      </c>
      <c r="E105" s="596">
        <v>2.196E-2</v>
      </c>
      <c r="F105" s="596">
        <v>0.33700000000000002</v>
      </c>
      <c r="G105" s="596">
        <v>-0.31503999999999999</v>
      </c>
      <c r="H105" s="596">
        <v>-93.483679525222556</v>
      </c>
      <c r="I105" s="596">
        <v>0.33700000000000002</v>
      </c>
      <c r="J105" s="596">
        <v>-0.31503999999999999</v>
      </c>
      <c r="K105" s="596">
        <v>-93.483679525222556</v>
      </c>
      <c r="L105" s="595">
        <v>0.50853999999999999</v>
      </c>
      <c r="M105" s="596">
        <v>4</v>
      </c>
      <c r="N105" s="596">
        <v>-3.49146</v>
      </c>
      <c r="O105" s="596">
        <v>-87.286500000000004</v>
      </c>
      <c r="P105" s="596">
        <v>1.4655899999999999</v>
      </c>
      <c r="Q105" s="596">
        <v>-0.95704999999999996</v>
      </c>
      <c r="R105" s="596">
        <v>-65.301346215517299</v>
      </c>
    </row>
    <row r="106" spans="1:18" ht="15.6" thickBot="1" x14ac:dyDescent="0.35">
      <c r="A106" s="199" t="str">
        <f t="shared" si="5"/>
        <v>13520PRINTING</v>
      </c>
      <c r="B106" s="597" t="s">
        <v>472</v>
      </c>
      <c r="C106" s="597" t="s">
        <v>111</v>
      </c>
      <c r="D106" s="597" t="s">
        <v>112</v>
      </c>
      <c r="E106" s="594"/>
      <c r="F106" s="594">
        <v>1.25</v>
      </c>
      <c r="G106" s="594">
        <v>-1.25</v>
      </c>
      <c r="H106" s="594">
        <v>-100</v>
      </c>
      <c r="I106" s="594">
        <v>1.25</v>
      </c>
      <c r="J106" s="594">
        <v>-1.25</v>
      </c>
      <c r="K106" s="594">
        <v>-100</v>
      </c>
      <c r="L106" s="595">
        <v>7.0726500000000003</v>
      </c>
      <c r="M106" s="594">
        <v>15</v>
      </c>
      <c r="N106" s="594">
        <v>-7.9273499999999997</v>
      </c>
      <c r="O106" s="594">
        <v>-52.848999999999997</v>
      </c>
      <c r="P106" s="594">
        <v>7.6115700000000004</v>
      </c>
      <c r="Q106" s="594">
        <v>-0.53891999999999995</v>
      </c>
      <c r="R106" s="594">
        <v>-7.0802738462629922</v>
      </c>
    </row>
    <row r="107" spans="1:18" ht="15.6" thickBot="1" x14ac:dyDescent="0.35">
      <c r="A107" s="199" t="str">
        <f t="shared" si="5"/>
        <v>13520BOOKS AND MAGAZINES</v>
      </c>
      <c r="B107" s="597" t="s">
        <v>472</v>
      </c>
      <c r="C107" s="597" t="s">
        <v>141</v>
      </c>
      <c r="D107" s="597" t="s">
        <v>142</v>
      </c>
      <c r="E107" s="596"/>
      <c r="F107" s="596"/>
      <c r="G107" s="596"/>
      <c r="H107" s="596"/>
      <c r="I107" s="596"/>
      <c r="J107" s="596"/>
      <c r="K107" s="596"/>
      <c r="L107" s="595">
        <v>0.14943999999999999</v>
      </c>
      <c r="M107" s="596"/>
      <c r="N107" s="596">
        <v>0.14943999999999999</v>
      </c>
      <c r="O107" s="596">
        <v>0</v>
      </c>
      <c r="P107" s="596">
        <v>0.02</v>
      </c>
      <c r="Q107" s="596">
        <v>0.12944</v>
      </c>
      <c r="R107" s="596">
        <v>647.20000000000005</v>
      </c>
    </row>
    <row r="108" spans="1:18" ht="15.6" thickBot="1" x14ac:dyDescent="0.35">
      <c r="A108" s="199" t="str">
        <f t="shared" si="5"/>
        <v>13520REFRESHMENTS</v>
      </c>
      <c r="B108" s="597" t="s">
        <v>472</v>
      </c>
      <c r="C108" s="597" t="s">
        <v>113</v>
      </c>
      <c r="D108" s="597" t="s">
        <v>114</v>
      </c>
      <c r="E108" s="594">
        <v>0.12383</v>
      </c>
      <c r="F108" s="594"/>
      <c r="G108" s="594">
        <v>0.12383</v>
      </c>
      <c r="H108" s="594">
        <v>0</v>
      </c>
      <c r="I108" s="594"/>
      <c r="J108" s="594">
        <v>0.12383</v>
      </c>
      <c r="K108" s="594">
        <v>0</v>
      </c>
      <c r="L108" s="595">
        <v>0.72997000000000001</v>
      </c>
      <c r="M108" s="594"/>
      <c r="N108" s="594">
        <v>0.72997000000000001</v>
      </c>
      <c r="O108" s="594">
        <v>0</v>
      </c>
      <c r="P108" s="594">
        <v>0.42466999999999999</v>
      </c>
      <c r="Q108" s="594">
        <v>0.30530000000000002</v>
      </c>
      <c r="R108" s="594">
        <v>71.891115454352786</v>
      </c>
    </row>
    <row r="109" spans="1:18" ht="15.6" thickBot="1" x14ac:dyDescent="0.35">
      <c r="A109" s="199" t="str">
        <f t="shared" si="5"/>
        <v>13520PARKING</v>
      </c>
      <c r="B109" s="597" t="s">
        <v>472</v>
      </c>
      <c r="C109" s="598" t="s">
        <v>145</v>
      </c>
      <c r="D109" s="598" t="s">
        <v>146</v>
      </c>
      <c r="E109" s="596">
        <v>2.9100000000000001E-2</v>
      </c>
      <c r="F109" s="596">
        <v>0.375</v>
      </c>
      <c r="G109" s="596">
        <v>-0.34589999999999999</v>
      </c>
      <c r="H109" s="596">
        <v>-92.24</v>
      </c>
      <c r="I109" s="596">
        <v>0.375</v>
      </c>
      <c r="J109" s="596">
        <v>-0.34589999999999999</v>
      </c>
      <c r="K109" s="596">
        <v>-92.24</v>
      </c>
      <c r="L109" s="595">
        <v>4.5823499999999999</v>
      </c>
      <c r="M109" s="596">
        <v>4.5</v>
      </c>
      <c r="N109" s="596">
        <v>8.2350000000000007E-2</v>
      </c>
      <c r="O109" s="596">
        <v>1.83</v>
      </c>
      <c r="P109" s="596">
        <v>3.1732499999999999</v>
      </c>
      <c r="Q109" s="596">
        <v>1.4091</v>
      </c>
      <c r="R109" s="596">
        <v>44.405577877570316</v>
      </c>
    </row>
    <row r="110" spans="1:18" ht="15.6" thickBot="1" x14ac:dyDescent="0.35">
      <c r="A110" s="199" t="str">
        <f t="shared" si="5"/>
        <v>13520PROFESSIONAL SERVICE</v>
      </c>
      <c r="B110" s="597" t="s">
        <v>472</v>
      </c>
      <c r="C110" s="599" t="s">
        <v>149</v>
      </c>
      <c r="D110" s="599" t="s">
        <v>150</v>
      </c>
      <c r="E110" s="594">
        <v>5.3663600000000002</v>
      </c>
      <c r="F110" s="594">
        <v>3.3370000000000002</v>
      </c>
      <c r="G110" s="594">
        <v>2.0293600000000001</v>
      </c>
      <c r="H110" s="594">
        <v>60.813904704824694</v>
      </c>
      <c r="I110" s="594">
        <v>3.3370000000000002</v>
      </c>
      <c r="J110" s="594">
        <v>2.0293600000000001</v>
      </c>
      <c r="K110" s="594">
        <v>60.813904704824694</v>
      </c>
      <c r="L110" s="595">
        <v>32.028460000000003</v>
      </c>
      <c r="M110" s="594">
        <v>40</v>
      </c>
      <c r="N110" s="594">
        <v>-7.9715400000000001</v>
      </c>
      <c r="O110" s="594">
        <v>-19.928850000000001</v>
      </c>
      <c r="P110" s="594">
        <v>25.931460000000001</v>
      </c>
      <c r="Q110" s="594">
        <v>6.0970000000000004</v>
      </c>
      <c r="R110" s="594">
        <v>23.511981199670206</v>
      </c>
    </row>
    <row r="111" spans="1:18" ht="15.6" thickBot="1" x14ac:dyDescent="0.35">
      <c r="A111" s="199" t="str">
        <f t="shared" si="5"/>
        <v>13520HARDWARE MAINT</v>
      </c>
      <c r="B111" s="597" t="s">
        <v>472</v>
      </c>
      <c r="C111" s="597" t="s">
        <v>498</v>
      </c>
      <c r="D111" s="597" t="s">
        <v>499</v>
      </c>
      <c r="E111" s="596"/>
      <c r="F111" s="596"/>
      <c r="G111" s="596"/>
      <c r="H111" s="596"/>
      <c r="I111" s="596"/>
      <c r="J111" s="596"/>
      <c r="K111" s="596"/>
      <c r="L111" s="595">
        <v>1.5680000000000001</v>
      </c>
      <c r="M111" s="596"/>
      <c r="N111" s="596">
        <v>1.5680000000000001</v>
      </c>
      <c r="O111" s="596">
        <v>0</v>
      </c>
      <c r="P111" s="596"/>
      <c r="Q111" s="596">
        <v>1.5680000000000001</v>
      </c>
      <c r="R111" s="596">
        <v>0</v>
      </c>
    </row>
    <row r="112" spans="1:18" ht="15.6" thickBot="1" x14ac:dyDescent="0.35">
      <c r="A112" s="199" t="str">
        <f t="shared" si="5"/>
        <v>13520MEALS AND ENTERTAIN</v>
      </c>
      <c r="B112" s="597" t="s">
        <v>472</v>
      </c>
      <c r="C112" s="597" t="s">
        <v>75</v>
      </c>
      <c r="D112" s="597" t="s">
        <v>76</v>
      </c>
      <c r="E112" s="594">
        <v>2.45581</v>
      </c>
      <c r="F112" s="594">
        <v>1</v>
      </c>
      <c r="G112" s="594">
        <v>1.45581</v>
      </c>
      <c r="H112" s="594">
        <v>145.58099999999999</v>
      </c>
      <c r="I112" s="594">
        <v>1</v>
      </c>
      <c r="J112" s="594">
        <v>1.45581</v>
      </c>
      <c r="K112" s="594">
        <v>145.58099999999999</v>
      </c>
      <c r="L112" s="595">
        <v>11.09554</v>
      </c>
      <c r="M112" s="594">
        <v>12</v>
      </c>
      <c r="N112" s="594">
        <v>-0.90446000000000004</v>
      </c>
      <c r="O112" s="594">
        <v>-7.5371666666666668</v>
      </c>
      <c r="P112" s="594">
        <v>6.7064899999999996</v>
      </c>
      <c r="Q112" s="594">
        <v>4.3890500000000001</v>
      </c>
      <c r="R112" s="594">
        <v>65.44481539523656</v>
      </c>
    </row>
    <row r="113" spans="1:18" ht="15.6" thickBot="1" x14ac:dyDescent="0.35">
      <c r="A113" s="199" t="str">
        <f t="shared" si="5"/>
        <v>13520TRAVEL IN TERRITORY</v>
      </c>
      <c r="B113" s="597" t="s">
        <v>472</v>
      </c>
      <c r="C113" s="597" t="s">
        <v>121</v>
      </c>
      <c r="D113" s="597" t="s">
        <v>122</v>
      </c>
      <c r="E113" s="596">
        <v>4.3443399999999999</v>
      </c>
      <c r="F113" s="596">
        <v>0.125</v>
      </c>
      <c r="G113" s="596">
        <v>4.2193399999999999</v>
      </c>
      <c r="H113" s="596">
        <v>3375.4720000000002</v>
      </c>
      <c r="I113" s="596">
        <v>0.125</v>
      </c>
      <c r="J113" s="596">
        <v>4.2193399999999999</v>
      </c>
      <c r="K113" s="596">
        <v>3375.4720000000002</v>
      </c>
      <c r="L113" s="595">
        <v>5.4349400000000001</v>
      </c>
      <c r="M113" s="596">
        <v>1.5</v>
      </c>
      <c r="N113" s="596">
        <v>3.9349400000000001</v>
      </c>
      <c r="O113" s="596">
        <v>262.32933333333335</v>
      </c>
      <c r="P113" s="596">
        <v>1.2471399999999999</v>
      </c>
      <c r="Q113" s="596">
        <v>4.1878000000000002</v>
      </c>
      <c r="R113" s="596">
        <v>335.79229276584829</v>
      </c>
    </row>
    <row r="114" spans="1:18" ht="15.6" thickBot="1" x14ac:dyDescent="0.35">
      <c r="A114" s="199" t="str">
        <f t="shared" si="5"/>
        <v>13520CONFERENCE TRAVEL</v>
      </c>
      <c r="B114" s="597" t="s">
        <v>472</v>
      </c>
      <c r="C114" s="597" t="s">
        <v>77</v>
      </c>
      <c r="D114" s="597" t="s">
        <v>78</v>
      </c>
      <c r="E114" s="594"/>
      <c r="F114" s="594">
        <v>0.66300000000000003</v>
      </c>
      <c r="G114" s="594">
        <v>-0.66300000000000003</v>
      </c>
      <c r="H114" s="594">
        <v>-100</v>
      </c>
      <c r="I114" s="594">
        <v>0.66300000000000003</v>
      </c>
      <c r="J114" s="594">
        <v>-0.66300000000000003</v>
      </c>
      <c r="K114" s="594">
        <v>-100</v>
      </c>
      <c r="L114" s="595">
        <v>6.89147</v>
      </c>
      <c r="M114" s="594">
        <v>8</v>
      </c>
      <c r="N114" s="594">
        <v>-1.10853</v>
      </c>
      <c r="O114" s="594">
        <v>-13.856624999999999</v>
      </c>
      <c r="P114" s="594">
        <v>5.5882699999999996</v>
      </c>
      <c r="Q114" s="594">
        <v>1.3031999999999999</v>
      </c>
      <c r="R114" s="594">
        <v>23.320276221442413</v>
      </c>
    </row>
    <row r="115" spans="1:18" ht="15.6" thickBot="1" x14ac:dyDescent="0.35">
      <c r="A115" s="199" t="str">
        <f t="shared" si="5"/>
        <v>13520BUSINESS TRAVEL</v>
      </c>
      <c r="B115" s="597" t="s">
        <v>472</v>
      </c>
      <c r="C115" s="597" t="s">
        <v>79</v>
      </c>
      <c r="D115" s="597" t="s">
        <v>80</v>
      </c>
      <c r="E115" s="596">
        <v>0.16994000000000001</v>
      </c>
      <c r="F115" s="596">
        <v>0.1</v>
      </c>
      <c r="G115" s="596">
        <v>6.9940000000000002E-2</v>
      </c>
      <c r="H115" s="596">
        <v>69.94</v>
      </c>
      <c r="I115" s="596">
        <v>0.1</v>
      </c>
      <c r="J115" s="596">
        <v>6.9940000000000002E-2</v>
      </c>
      <c r="K115" s="596">
        <v>69.94</v>
      </c>
      <c r="L115" s="595">
        <v>1.02251</v>
      </c>
      <c r="M115" s="596">
        <v>1.2</v>
      </c>
      <c r="N115" s="596">
        <v>-0.17749000000000001</v>
      </c>
      <c r="O115" s="596">
        <v>-14.790833333333333</v>
      </c>
      <c r="P115" s="596">
        <v>0.30037000000000003</v>
      </c>
      <c r="Q115" s="596">
        <v>0.72214</v>
      </c>
      <c r="R115" s="596">
        <v>240.41681925625062</v>
      </c>
    </row>
    <row r="116" spans="1:18" ht="15.6" thickBot="1" x14ac:dyDescent="0.35">
      <c r="A116" s="199" t="str">
        <f t="shared" si="5"/>
        <v>13520EMPLOYEE AWARDS</v>
      </c>
      <c r="B116" s="597" t="s">
        <v>472</v>
      </c>
      <c r="C116" s="597" t="s">
        <v>81</v>
      </c>
      <c r="D116" s="597" t="s">
        <v>82</v>
      </c>
      <c r="E116" s="594">
        <v>1.44</v>
      </c>
      <c r="F116" s="594">
        <v>0.1</v>
      </c>
      <c r="G116" s="594">
        <v>1.34</v>
      </c>
      <c r="H116" s="594">
        <v>1340</v>
      </c>
      <c r="I116" s="594">
        <v>0.1</v>
      </c>
      <c r="J116" s="594">
        <v>1.34</v>
      </c>
      <c r="K116" s="594">
        <v>1340</v>
      </c>
      <c r="L116" s="595">
        <v>2.0398200000000002</v>
      </c>
      <c r="M116" s="594">
        <v>1.2</v>
      </c>
      <c r="N116" s="594">
        <v>0.83982000000000001</v>
      </c>
      <c r="O116" s="594">
        <v>69.984999999999999</v>
      </c>
      <c r="P116" s="594">
        <v>0.31805</v>
      </c>
      <c r="Q116" s="594">
        <v>1.72177</v>
      </c>
      <c r="R116" s="594">
        <v>541.35198868102498</v>
      </c>
    </row>
    <row r="117" spans="1:18" ht="15.6" thickBot="1" x14ac:dyDescent="0.35">
      <c r="A117" s="199" t="str">
        <f t="shared" si="5"/>
        <v>13520EMPLOYEE AWRDS MLS &amp;</v>
      </c>
      <c r="B117" s="597" t="s">
        <v>472</v>
      </c>
      <c r="C117" s="597" t="s">
        <v>123</v>
      </c>
      <c r="D117" s="597" t="s">
        <v>124</v>
      </c>
      <c r="E117" s="596">
        <v>8.1460000000000005E-2</v>
      </c>
      <c r="F117" s="596"/>
      <c r="G117" s="596">
        <v>8.1460000000000005E-2</v>
      </c>
      <c r="H117" s="596">
        <v>0</v>
      </c>
      <c r="I117" s="596"/>
      <c r="J117" s="596">
        <v>8.1460000000000005E-2</v>
      </c>
      <c r="K117" s="596">
        <v>0</v>
      </c>
      <c r="L117" s="595">
        <v>0.76522999999999997</v>
      </c>
      <c r="M117" s="596"/>
      <c r="N117" s="596">
        <v>0.76522999999999997</v>
      </c>
      <c r="O117" s="596">
        <v>0</v>
      </c>
      <c r="P117" s="596">
        <v>0.44403999999999999</v>
      </c>
      <c r="Q117" s="596">
        <v>0.32118999999999998</v>
      </c>
      <c r="R117" s="596">
        <v>72.333573551932261</v>
      </c>
    </row>
    <row r="118" spans="1:18" ht="15.6" thickBot="1" x14ac:dyDescent="0.35">
      <c r="A118" s="199" t="str">
        <f t="shared" si="5"/>
        <v>13520MISC. EXPENSE BUDGET</v>
      </c>
      <c r="B118" s="597" t="s">
        <v>472</v>
      </c>
      <c r="C118" s="597" t="s">
        <v>83</v>
      </c>
      <c r="D118" s="597" t="s">
        <v>84</v>
      </c>
      <c r="E118" s="594"/>
      <c r="F118" s="594">
        <v>0.63700000000000001</v>
      </c>
      <c r="G118" s="594">
        <v>-0.63700000000000001</v>
      </c>
      <c r="H118" s="594">
        <v>-100</v>
      </c>
      <c r="I118" s="594">
        <v>0.63700000000000001</v>
      </c>
      <c r="J118" s="594">
        <v>-0.63700000000000001</v>
      </c>
      <c r="K118" s="594">
        <v>-100</v>
      </c>
      <c r="L118" s="595"/>
      <c r="M118" s="594">
        <v>7.6</v>
      </c>
      <c r="N118" s="594">
        <v>-7.6</v>
      </c>
      <c r="O118" s="594">
        <v>-100</v>
      </c>
      <c r="P118" s="594">
        <v>1.903</v>
      </c>
      <c r="Q118" s="594">
        <v>-1.903</v>
      </c>
      <c r="R118" s="594">
        <v>-100</v>
      </c>
    </row>
    <row r="119" spans="1:18" ht="15.6" thickBot="1" x14ac:dyDescent="0.35">
      <c r="A119" s="199" t="str">
        <f t="shared" si="5"/>
        <v>13520Non-Payroll</v>
      </c>
      <c r="B119" s="597" t="s">
        <v>472</v>
      </c>
      <c r="C119" s="597" t="s">
        <v>85</v>
      </c>
      <c r="D119" s="597" t="s">
        <v>86</v>
      </c>
      <c r="E119" s="596">
        <v>14.172470000000001</v>
      </c>
      <c r="F119" s="596">
        <v>8.1739999999999995</v>
      </c>
      <c r="G119" s="596">
        <v>5.9984700000000002</v>
      </c>
      <c r="H119" s="596">
        <v>73.384756545143134</v>
      </c>
      <c r="I119" s="596">
        <v>8.1739999999999995</v>
      </c>
      <c r="J119" s="596">
        <v>5.9984700000000002</v>
      </c>
      <c r="K119" s="596">
        <v>73.384756545143134</v>
      </c>
      <c r="L119" s="595">
        <v>95.595230000000001</v>
      </c>
      <c r="M119" s="596">
        <v>98</v>
      </c>
      <c r="N119" s="596">
        <v>-2.4047700000000001</v>
      </c>
      <c r="O119" s="596">
        <v>-2.4538469387755102</v>
      </c>
      <c r="P119" s="596">
        <v>76.284090000000006</v>
      </c>
      <c r="Q119" s="596">
        <v>19.311140000000002</v>
      </c>
      <c r="R119" s="596">
        <v>25.314767469861671</v>
      </c>
    </row>
    <row r="120" spans="1:18" ht="15.6" thickBot="1" x14ac:dyDescent="0.35">
      <c r="A120" s="199" t="str">
        <f t="shared" si="5"/>
        <v>13520EXPENSE ACCOUNTS</v>
      </c>
      <c r="B120" s="597" t="s">
        <v>472</v>
      </c>
      <c r="C120" s="597" t="s">
        <v>87</v>
      </c>
      <c r="D120" s="597" t="s">
        <v>87</v>
      </c>
      <c r="E120" s="594">
        <v>169.91913</v>
      </c>
      <c r="F120" s="594">
        <v>176.93373</v>
      </c>
      <c r="G120" s="594">
        <v>-7.0145999999999997</v>
      </c>
      <c r="H120" s="594">
        <v>-3.9645351963133315</v>
      </c>
      <c r="I120" s="594">
        <v>8.1739999999999995</v>
      </c>
      <c r="J120" s="594">
        <v>161.74512999999999</v>
      </c>
      <c r="K120" s="594">
        <v>1978.775752385613</v>
      </c>
      <c r="L120" s="595">
        <v>1979.53478</v>
      </c>
      <c r="M120" s="594">
        <v>2106.1017400000001</v>
      </c>
      <c r="N120" s="594">
        <v>-126.56695999999999</v>
      </c>
      <c r="O120" s="594">
        <v>-6.0095368422230164</v>
      </c>
      <c r="P120" s="594">
        <v>1013.9945300000001</v>
      </c>
      <c r="Q120" s="594">
        <v>965.54025000000001</v>
      </c>
      <c r="R120" s="594">
        <v>95.221445622591276</v>
      </c>
    </row>
    <row r="121" spans="1:18" ht="15.6" thickBot="1" x14ac:dyDescent="0.35">
      <c r="A121" s="199" t="str">
        <f t="shared" si="5"/>
        <v>13400SALARY PAYROLL</v>
      </c>
      <c r="B121" s="597" t="s">
        <v>473</v>
      </c>
      <c r="C121" s="597" t="s">
        <v>59</v>
      </c>
      <c r="D121" s="597" t="s">
        <v>60</v>
      </c>
      <c r="E121" s="596">
        <v>59.854529999999997</v>
      </c>
      <c r="F121" s="596">
        <v>72.621089999999995</v>
      </c>
      <c r="G121" s="596">
        <v>-12.76656</v>
      </c>
      <c r="H121" s="596">
        <v>-17.579686562126788</v>
      </c>
      <c r="I121" s="596">
        <v>0</v>
      </c>
      <c r="J121" s="596">
        <v>59.854529999999997</v>
      </c>
      <c r="K121" s="596">
        <v>0</v>
      </c>
      <c r="L121" s="595">
        <v>774.61009999999999</v>
      </c>
      <c r="M121" s="596">
        <v>867.00558000000001</v>
      </c>
      <c r="N121" s="596">
        <v>-92.395480000000006</v>
      </c>
      <c r="O121" s="596">
        <v>-10.656849521083821</v>
      </c>
      <c r="P121" s="596">
        <v>394.05914000000001</v>
      </c>
      <c r="Q121" s="596">
        <v>380.55095999999998</v>
      </c>
      <c r="R121" s="596">
        <v>96.572042460428662</v>
      </c>
    </row>
    <row r="122" spans="1:18" ht="15.6" thickBot="1" x14ac:dyDescent="0.35">
      <c r="A122" s="199" t="str">
        <f t="shared" si="5"/>
        <v>13400HOURLY DOUBLE PAY</v>
      </c>
      <c r="B122" s="597" t="s">
        <v>473</v>
      </c>
      <c r="C122" s="597" t="s">
        <v>89</v>
      </c>
      <c r="D122" s="597" t="s">
        <v>90</v>
      </c>
      <c r="E122" s="594">
        <v>21.812819999999999</v>
      </c>
      <c r="F122" s="594"/>
      <c r="G122" s="594">
        <v>21.812819999999999</v>
      </c>
      <c r="H122" s="594">
        <v>0</v>
      </c>
      <c r="I122" s="594"/>
      <c r="J122" s="594">
        <v>21.812819999999999</v>
      </c>
      <c r="K122" s="594">
        <v>0</v>
      </c>
      <c r="L122" s="595">
        <v>54.977730000000001</v>
      </c>
      <c r="M122" s="594"/>
      <c r="N122" s="594">
        <v>54.977730000000001</v>
      </c>
      <c r="O122" s="594">
        <v>0</v>
      </c>
      <c r="P122" s="594">
        <v>20.63411</v>
      </c>
      <c r="Q122" s="594">
        <v>34.343620000000001</v>
      </c>
      <c r="R122" s="594">
        <v>166.441004724701</v>
      </c>
    </row>
    <row r="123" spans="1:18" ht="15.6" thickBot="1" x14ac:dyDescent="0.35">
      <c r="A123" s="199" t="str">
        <f t="shared" si="5"/>
        <v>13400HOURLY REGULAR  PAY</v>
      </c>
      <c r="B123" s="597" t="s">
        <v>473</v>
      </c>
      <c r="C123" s="597" t="s">
        <v>91</v>
      </c>
      <c r="D123" s="597" t="s">
        <v>92</v>
      </c>
      <c r="E123" s="596">
        <v>302.52933000000002</v>
      </c>
      <c r="F123" s="596">
        <v>395.27665000000002</v>
      </c>
      <c r="G123" s="596">
        <v>-92.747320000000002</v>
      </c>
      <c r="H123" s="596">
        <v>-23.463900536497665</v>
      </c>
      <c r="I123" s="596">
        <v>0</v>
      </c>
      <c r="J123" s="596">
        <v>302.52933000000002</v>
      </c>
      <c r="K123" s="596">
        <v>0</v>
      </c>
      <c r="L123" s="595">
        <v>4215.8879900000002</v>
      </c>
      <c r="M123" s="596">
        <v>4555.0561399999997</v>
      </c>
      <c r="N123" s="596">
        <v>-339.16815000000003</v>
      </c>
      <c r="O123" s="596">
        <v>-7.4459707976288518</v>
      </c>
      <c r="P123" s="596">
        <v>2036.65633</v>
      </c>
      <c r="Q123" s="596">
        <v>2179.2316599999999</v>
      </c>
      <c r="R123" s="596">
        <v>107.00046089759287</v>
      </c>
    </row>
    <row r="124" spans="1:18" ht="15.6" thickBot="1" x14ac:dyDescent="0.35">
      <c r="A124" s="199" t="str">
        <f t="shared" si="5"/>
        <v>13400HOURLY OVERTIME PAY</v>
      </c>
      <c r="B124" s="597" t="s">
        <v>473</v>
      </c>
      <c r="C124" s="597" t="s">
        <v>93</v>
      </c>
      <c r="D124" s="597" t="s">
        <v>94</v>
      </c>
      <c r="E124" s="594">
        <v>16.458649999999999</v>
      </c>
      <c r="F124" s="594">
        <v>39.214559999999999</v>
      </c>
      <c r="G124" s="594">
        <v>-22.75591</v>
      </c>
      <c r="H124" s="594">
        <v>-58.029237099689503</v>
      </c>
      <c r="I124" s="594">
        <v>0</v>
      </c>
      <c r="J124" s="594">
        <v>16.458649999999999</v>
      </c>
      <c r="K124" s="594">
        <v>0</v>
      </c>
      <c r="L124" s="595">
        <v>274.17234999999999</v>
      </c>
      <c r="M124" s="594">
        <v>252.23092</v>
      </c>
      <c r="N124" s="594">
        <v>21.94143</v>
      </c>
      <c r="O124" s="594">
        <v>8.6989453949579225</v>
      </c>
      <c r="P124" s="594">
        <v>132.71412000000001</v>
      </c>
      <c r="Q124" s="594">
        <v>141.45822999999999</v>
      </c>
      <c r="R124" s="594">
        <v>106.58868099340145</v>
      </c>
    </row>
    <row r="125" spans="1:18" ht="15.6" thickBot="1" x14ac:dyDescent="0.35">
      <c r="A125" s="199" t="str">
        <f t="shared" si="5"/>
        <v>13400P/T HOURLY PAYROLL</v>
      </c>
      <c r="B125" s="597" t="s">
        <v>473</v>
      </c>
      <c r="C125" s="598" t="s">
        <v>159</v>
      </c>
      <c r="D125" s="598" t="s">
        <v>160</v>
      </c>
      <c r="E125" s="596">
        <v>2.3532299999999999</v>
      </c>
      <c r="F125" s="596">
        <v>2.91703</v>
      </c>
      <c r="G125" s="596">
        <v>-0.56379999999999997</v>
      </c>
      <c r="H125" s="596">
        <v>-19.327878012910393</v>
      </c>
      <c r="I125" s="596">
        <v>0</v>
      </c>
      <c r="J125" s="596">
        <v>2.3532299999999999</v>
      </c>
      <c r="K125" s="596">
        <v>0</v>
      </c>
      <c r="L125" s="595">
        <v>24.99953</v>
      </c>
      <c r="M125" s="596">
        <v>34.06682</v>
      </c>
      <c r="N125" s="596">
        <v>-9.0672899999999998</v>
      </c>
      <c r="O125" s="596">
        <v>-26.616191355694486</v>
      </c>
      <c r="P125" s="596">
        <v>12.93741</v>
      </c>
      <c r="Q125" s="596">
        <v>12.06212</v>
      </c>
      <c r="R125" s="596">
        <v>93.234426365091622</v>
      </c>
    </row>
    <row r="126" spans="1:18" ht="15.6" thickBot="1" x14ac:dyDescent="0.35">
      <c r="A126" s="199" t="str">
        <f t="shared" si="5"/>
        <v>13400SALARY BONUS PAYROLL</v>
      </c>
      <c r="B126" s="597" t="s">
        <v>473</v>
      </c>
      <c r="C126" s="597" t="s">
        <v>134</v>
      </c>
      <c r="D126" s="597" t="s">
        <v>135</v>
      </c>
      <c r="E126" s="594"/>
      <c r="F126" s="594"/>
      <c r="G126" s="594"/>
      <c r="H126" s="594"/>
      <c r="I126" s="594"/>
      <c r="J126" s="594"/>
      <c r="K126" s="594"/>
      <c r="L126" s="595">
        <v>0.46396999999999999</v>
      </c>
      <c r="M126" s="594"/>
      <c r="N126" s="594">
        <v>0.46396999999999999</v>
      </c>
      <c r="O126" s="594">
        <v>0</v>
      </c>
      <c r="P126" s="594">
        <v>0.46396999999999999</v>
      </c>
      <c r="Q126" s="594">
        <v>0</v>
      </c>
      <c r="R126" s="594">
        <v>0</v>
      </c>
    </row>
    <row r="127" spans="1:18" ht="15.6" thickBot="1" x14ac:dyDescent="0.35">
      <c r="A127" s="199" t="str">
        <f t="shared" si="5"/>
        <v>13400HOURLY BONUS PAYROLL</v>
      </c>
      <c r="B127" s="597" t="s">
        <v>473</v>
      </c>
      <c r="C127" s="597" t="s">
        <v>95</v>
      </c>
      <c r="D127" s="597" t="s">
        <v>96</v>
      </c>
      <c r="E127" s="596"/>
      <c r="F127" s="596"/>
      <c r="G127" s="596"/>
      <c r="H127" s="596"/>
      <c r="I127" s="596"/>
      <c r="J127" s="596"/>
      <c r="K127" s="596"/>
      <c r="L127" s="595">
        <v>0.17845</v>
      </c>
      <c r="M127" s="596"/>
      <c r="N127" s="596">
        <v>0.17845</v>
      </c>
      <c r="O127" s="596">
        <v>0</v>
      </c>
      <c r="P127" s="596"/>
      <c r="Q127" s="596">
        <v>0.17845</v>
      </c>
      <c r="R127" s="596">
        <v>0</v>
      </c>
    </row>
    <row r="128" spans="1:18" ht="15.6" thickBot="1" x14ac:dyDescent="0.35">
      <c r="A128" s="199" t="str">
        <f t="shared" si="5"/>
        <v>13400VACATION, SICK &amp; HOL</v>
      </c>
      <c r="B128" s="597" t="s">
        <v>473</v>
      </c>
      <c r="C128" s="597" t="s">
        <v>61</v>
      </c>
      <c r="D128" s="597" t="s">
        <v>62</v>
      </c>
      <c r="E128" s="594">
        <v>69.102720000000005</v>
      </c>
      <c r="F128" s="594">
        <v>72.976290000000006</v>
      </c>
      <c r="G128" s="594">
        <v>-3.87357</v>
      </c>
      <c r="H128" s="594">
        <v>-5.3079842781813102</v>
      </c>
      <c r="I128" s="594">
        <v>0</v>
      </c>
      <c r="J128" s="594">
        <v>69.102720000000005</v>
      </c>
      <c r="K128" s="594">
        <v>0</v>
      </c>
      <c r="L128" s="595">
        <v>797.57682</v>
      </c>
      <c r="M128" s="594">
        <v>845.69992999999999</v>
      </c>
      <c r="N128" s="594">
        <v>-48.123109999999997</v>
      </c>
      <c r="O128" s="594">
        <v>-5.6903291927669901</v>
      </c>
      <c r="P128" s="594">
        <v>387.23174</v>
      </c>
      <c r="Q128" s="594">
        <v>410.34508</v>
      </c>
      <c r="R128" s="594">
        <v>105.96886505222945</v>
      </c>
    </row>
    <row r="129" spans="1:18" ht="15.6" thickBot="1" x14ac:dyDescent="0.35">
      <c r="A129" s="199" t="str">
        <f t="shared" si="5"/>
        <v>13400PAYROLL OVERHEAD</v>
      </c>
      <c r="B129" s="597" t="s">
        <v>473</v>
      </c>
      <c r="C129" s="597" t="s">
        <v>63</v>
      </c>
      <c r="D129" s="597" t="s">
        <v>64</v>
      </c>
      <c r="E129" s="596">
        <v>337.76602000000003</v>
      </c>
      <c r="F129" s="596">
        <v>352.07528000000002</v>
      </c>
      <c r="G129" s="596">
        <v>-14.30926</v>
      </c>
      <c r="H129" s="596">
        <v>-4.064261484078064</v>
      </c>
      <c r="I129" s="596">
        <v>0</v>
      </c>
      <c r="J129" s="596">
        <v>337.76602000000003</v>
      </c>
      <c r="K129" s="596">
        <v>0</v>
      </c>
      <c r="L129" s="595">
        <v>3871.6127700000002</v>
      </c>
      <c r="M129" s="596">
        <v>4080.0929000000001</v>
      </c>
      <c r="N129" s="596">
        <v>-208.48013</v>
      </c>
      <c r="O129" s="596">
        <v>-5.1096907621882828</v>
      </c>
      <c r="P129" s="596">
        <v>1873.9039600000001</v>
      </c>
      <c r="Q129" s="596">
        <v>1997.7088100000001</v>
      </c>
      <c r="R129" s="596">
        <v>106.60678736171729</v>
      </c>
    </row>
    <row r="130" spans="1:18" ht="15.6" thickBot="1" x14ac:dyDescent="0.35">
      <c r="A130" s="199" t="str">
        <f t="shared" si="5"/>
        <v>13400NWN/580306</v>
      </c>
      <c r="B130" s="597" t="s">
        <v>473</v>
      </c>
      <c r="C130" s="597" t="s">
        <v>161</v>
      </c>
      <c r="D130" s="597" t="s">
        <v>162</v>
      </c>
      <c r="E130" s="594"/>
      <c r="F130" s="594"/>
      <c r="G130" s="594"/>
      <c r="H130" s="594"/>
      <c r="I130" s="594"/>
      <c r="J130" s="594"/>
      <c r="K130" s="594"/>
      <c r="L130" s="595">
        <v>-0.10639999999999999</v>
      </c>
      <c r="M130" s="594"/>
      <c r="N130" s="594">
        <v>-0.10639999999999999</v>
      </c>
      <c r="O130" s="594">
        <v>0</v>
      </c>
      <c r="P130" s="594">
        <v>-0.10639999999999999</v>
      </c>
      <c r="Q130" s="594">
        <v>0</v>
      </c>
      <c r="R130" s="594">
        <v>0</v>
      </c>
    </row>
    <row r="131" spans="1:18" ht="15.6" thickBot="1" x14ac:dyDescent="0.35">
      <c r="A131" s="199" t="str">
        <f t="shared" si="5"/>
        <v>13400HRLY - REGULAR ZTFSO</v>
      </c>
      <c r="B131" s="597" t="s">
        <v>473</v>
      </c>
      <c r="C131" s="597" t="s">
        <v>163</v>
      </c>
      <c r="D131" s="597" t="s">
        <v>164</v>
      </c>
      <c r="E131" s="596">
        <v>-4.2695999999999996</v>
      </c>
      <c r="F131" s="596"/>
      <c r="G131" s="596">
        <v>-4.2695999999999996</v>
      </c>
      <c r="H131" s="596">
        <v>0</v>
      </c>
      <c r="I131" s="596"/>
      <c r="J131" s="596">
        <v>-4.2695999999999996</v>
      </c>
      <c r="K131" s="596">
        <v>0</v>
      </c>
      <c r="L131" s="595">
        <v>-9.6578400000000002</v>
      </c>
      <c r="M131" s="596"/>
      <c r="N131" s="596">
        <v>-9.6578400000000002</v>
      </c>
      <c r="O131" s="596">
        <v>0</v>
      </c>
      <c r="P131" s="596">
        <v>-4.1448</v>
      </c>
      <c r="Q131" s="596">
        <v>-5.5130400000000002</v>
      </c>
      <c r="R131" s="596">
        <v>-133.01100173711637</v>
      </c>
    </row>
    <row r="132" spans="1:18" ht="15.6" thickBot="1" x14ac:dyDescent="0.35">
      <c r="A132" s="199" t="str">
        <f t="shared" si="5"/>
        <v>13400Payroll</v>
      </c>
      <c r="B132" s="597" t="s">
        <v>473</v>
      </c>
      <c r="C132" s="597" t="s">
        <v>67</v>
      </c>
      <c r="D132" s="597" t="s">
        <v>68</v>
      </c>
      <c r="E132" s="594">
        <v>805.60770000000002</v>
      </c>
      <c r="F132" s="594">
        <v>935.08090000000004</v>
      </c>
      <c r="G132" s="594">
        <v>-129.47319999999999</v>
      </c>
      <c r="H132" s="594">
        <v>-13.846203039758379</v>
      </c>
      <c r="I132" s="594">
        <v>0</v>
      </c>
      <c r="J132" s="594">
        <v>805.60770000000002</v>
      </c>
      <c r="K132" s="594">
        <v>0</v>
      </c>
      <c r="L132" s="595">
        <v>10004.715469999999</v>
      </c>
      <c r="M132" s="594">
        <v>10634.15229</v>
      </c>
      <c r="N132" s="594">
        <v>-629.43682000000001</v>
      </c>
      <c r="O132" s="594">
        <v>-5.9190126569082642</v>
      </c>
      <c r="P132" s="594">
        <v>4854.3495800000001</v>
      </c>
      <c r="Q132" s="594">
        <v>5150.36589</v>
      </c>
      <c r="R132" s="594">
        <v>106.09796029564068</v>
      </c>
    </row>
    <row r="133" spans="1:18" ht="15.6" thickBot="1" x14ac:dyDescent="0.35">
      <c r="A133" s="199" t="str">
        <f t="shared" si="5"/>
        <v>13400EDUCATION</v>
      </c>
      <c r="B133" s="597" t="s">
        <v>473</v>
      </c>
      <c r="C133" s="597" t="s">
        <v>69</v>
      </c>
      <c r="D133" s="597" t="s">
        <v>70</v>
      </c>
      <c r="E133" s="596">
        <v>0.8</v>
      </c>
      <c r="F133" s="596"/>
      <c r="G133" s="596">
        <v>0.8</v>
      </c>
      <c r="H133" s="596">
        <v>0</v>
      </c>
      <c r="I133" s="596"/>
      <c r="J133" s="596">
        <v>0.8</v>
      </c>
      <c r="K133" s="596">
        <v>0</v>
      </c>
      <c r="L133" s="595">
        <v>4.4169999999999998</v>
      </c>
      <c r="M133" s="596"/>
      <c r="N133" s="596">
        <v>4.4169999999999998</v>
      </c>
      <c r="O133" s="596">
        <v>0</v>
      </c>
      <c r="P133" s="596">
        <v>3.319</v>
      </c>
      <c r="Q133" s="596">
        <v>1.0980000000000001</v>
      </c>
      <c r="R133" s="596">
        <v>33.082253690870743</v>
      </c>
    </row>
    <row r="134" spans="1:18" ht="15.6" thickBot="1" x14ac:dyDescent="0.35">
      <c r="A134" s="199" t="str">
        <f t="shared" si="5"/>
        <v>13400MATERIALS</v>
      </c>
      <c r="B134" s="597" t="s">
        <v>473</v>
      </c>
      <c r="C134" s="597" t="s">
        <v>99</v>
      </c>
      <c r="D134" s="597" t="s">
        <v>100</v>
      </c>
      <c r="E134" s="594"/>
      <c r="F134" s="594"/>
      <c r="G134" s="594"/>
      <c r="H134" s="594"/>
      <c r="I134" s="594"/>
      <c r="J134" s="594"/>
      <c r="K134" s="594"/>
      <c r="L134" s="595">
        <v>0.27500000000000002</v>
      </c>
      <c r="M134" s="594"/>
      <c r="N134" s="594">
        <v>0.27500000000000002</v>
      </c>
      <c r="O134" s="594">
        <v>0</v>
      </c>
      <c r="P134" s="594"/>
      <c r="Q134" s="594">
        <v>0.27500000000000002</v>
      </c>
      <c r="R134" s="594">
        <v>0</v>
      </c>
    </row>
    <row r="135" spans="1:18" ht="15.6" thickBot="1" x14ac:dyDescent="0.35">
      <c r="A135" s="199" t="str">
        <f t="shared" si="5"/>
        <v>13400MATERIALS - CONS INV</v>
      </c>
      <c r="B135" s="597" t="s">
        <v>473</v>
      </c>
      <c r="C135" s="597" t="s">
        <v>165</v>
      </c>
      <c r="D135" s="597" t="s">
        <v>166</v>
      </c>
      <c r="E135" s="596">
        <v>0.14094999999999999</v>
      </c>
      <c r="F135" s="596"/>
      <c r="G135" s="596">
        <v>0.14094999999999999</v>
      </c>
      <c r="H135" s="596">
        <v>0</v>
      </c>
      <c r="I135" s="596"/>
      <c r="J135" s="596">
        <v>0.14094999999999999</v>
      </c>
      <c r="K135" s="596">
        <v>0</v>
      </c>
      <c r="L135" s="595">
        <v>0.41647000000000001</v>
      </c>
      <c r="M135" s="596"/>
      <c r="N135" s="596">
        <v>0.41647000000000001</v>
      </c>
      <c r="O135" s="596">
        <v>0</v>
      </c>
      <c r="P135" s="596">
        <v>2.835E-2</v>
      </c>
      <c r="Q135" s="596">
        <v>0.38812000000000002</v>
      </c>
      <c r="R135" s="596">
        <v>1369.0299823633156</v>
      </c>
    </row>
    <row r="136" spans="1:18" ht="15.6" thickBot="1" x14ac:dyDescent="0.35">
      <c r="A136" s="199" t="str">
        <f t="shared" si="5"/>
        <v>13400MILEAGE REIMBURSE</v>
      </c>
      <c r="B136" s="597" t="s">
        <v>473</v>
      </c>
      <c r="C136" s="597" t="s">
        <v>137</v>
      </c>
      <c r="D136" s="597" t="s">
        <v>138</v>
      </c>
      <c r="E136" s="594">
        <v>1.13672</v>
      </c>
      <c r="F136" s="594">
        <v>1.2907500000000001</v>
      </c>
      <c r="G136" s="594">
        <v>-0.15403</v>
      </c>
      <c r="H136" s="594">
        <v>-11.933372070501646</v>
      </c>
      <c r="I136" s="594">
        <v>1.2907500000000001</v>
      </c>
      <c r="J136" s="594">
        <v>-0.15403</v>
      </c>
      <c r="K136" s="594">
        <v>-11.933372070501646</v>
      </c>
      <c r="L136" s="595">
        <v>19.446650000000002</v>
      </c>
      <c r="M136" s="594">
        <v>15.489000000000001</v>
      </c>
      <c r="N136" s="594">
        <v>3.9576500000000001</v>
      </c>
      <c r="O136" s="594">
        <v>25.551359028988315</v>
      </c>
      <c r="P136" s="594">
        <v>13.993460000000001</v>
      </c>
      <c r="Q136" s="594">
        <v>5.4531900000000002</v>
      </c>
      <c r="R136" s="594">
        <v>38.969561495155595</v>
      </c>
    </row>
    <row r="137" spans="1:18" ht="15.6" thickBot="1" x14ac:dyDescent="0.35">
      <c r="A137" s="199" t="str">
        <f t="shared" si="5"/>
        <v>13400TRANSPORTATION</v>
      </c>
      <c r="B137" s="597" t="s">
        <v>473</v>
      </c>
      <c r="C137" s="597" t="s">
        <v>190</v>
      </c>
      <c r="D137" s="597" t="s">
        <v>191</v>
      </c>
      <c r="E137" s="596"/>
      <c r="F137" s="596"/>
      <c r="G137" s="596"/>
      <c r="H137" s="596"/>
      <c r="I137" s="596"/>
      <c r="J137" s="596"/>
      <c r="K137" s="596"/>
      <c r="L137" s="595">
        <v>3.5000000000000003E-2</v>
      </c>
      <c r="M137" s="596"/>
      <c r="N137" s="596">
        <v>3.5000000000000003E-2</v>
      </c>
      <c r="O137" s="596">
        <v>0</v>
      </c>
      <c r="P137" s="596">
        <v>3.5000000000000003E-2</v>
      </c>
      <c r="Q137" s="596">
        <v>0</v>
      </c>
      <c r="R137" s="596">
        <v>0</v>
      </c>
    </row>
    <row r="138" spans="1:18" ht="15.6" thickBot="1" x14ac:dyDescent="0.35">
      <c r="A138" s="199" t="str">
        <f t="shared" si="5"/>
        <v>13400DUES/MEMBERSHIP</v>
      </c>
      <c r="B138" s="597" t="s">
        <v>473</v>
      </c>
      <c r="C138" s="597" t="s">
        <v>139</v>
      </c>
      <c r="D138" s="597" t="s">
        <v>140</v>
      </c>
      <c r="E138" s="594"/>
      <c r="F138" s="594"/>
      <c r="G138" s="594"/>
      <c r="H138" s="594"/>
      <c r="I138" s="594"/>
      <c r="J138" s="594"/>
      <c r="K138" s="594"/>
      <c r="L138" s="595">
        <v>41.694000000000003</v>
      </c>
      <c r="M138" s="594"/>
      <c r="N138" s="594">
        <v>41.694000000000003</v>
      </c>
      <c r="O138" s="594">
        <v>0</v>
      </c>
      <c r="P138" s="594">
        <v>41.694000000000003</v>
      </c>
      <c r="Q138" s="594">
        <v>0</v>
      </c>
      <c r="R138" s="594">
        <v>0</v>
      </c>
    </row>
    <row r="139" spans="1:18" ht="15.6" thickBot="1" x14ac:dyDescent="0.35">
      <c r="A139" s="199" t="str">
        <f t="shared" si="5"/>
        <v>13400OFFICE CONTRACT WORK</v>
      </c>
      <c r="B139" s="597" t="s">
        <v>473</v>
      </c>
      <c r="C139" s="597" t="s">
        <v>169</v>
      </c>
      <c r="D139" s="597" t="s">
        <v>170</v>
      </c>
      <c r="E139" s="596"/>
      <c r="F139" s="596"/>
      <c r="G139" s="596"/>
      <c r="H139" s="596"/>
      <c r="I139" s="596"/>
      <c r="J139" s="596"/>
      <c r="K139" s="596"/>
      <c r="L139" s="595">
        <v>0.17044000000000001</v>
      </c>
      <c r="M139" s="596"/>
      <c r="N139" s="596">
        <v>0.17044000000000001</v>
      </c>
      <c r="O139" s="596">
        <v>0</v>
      </c>
      <c r="P139" s="596">
        <v>8.0439999999999998E-2</v>
      </c>
      <c r="Q139" s="596">
        <v>0.09</v>
      </c>
      <c r="R139" s="596">
        <v>111.88463451019393</v>
      </c>
    </row>
    <row r="140" spans="1:18" ht="15.6" thickBot="1" x14ac:dyDescent="0.35">
      <c r="A140" s="199" t="str">
        <f t="shared" si="5"/>
        <v>13400OTHER CONTRACT WORK</v>
      </c>
      <c r="B140" s="597" t="s">
        <v>473</v>
      </c>
      <c r="C140" s="597" t="s">
        <v>101</v>
      </c>
      <c r="D140" s="597" t="s">
        <v>102</v>
      </c>
      <c r="E140" s="594">
        <v>150.70389</v>
      </c>
      <c r="F140" s="594">
        <v>166.54</v>
      </c>
      <c r="G140" s="594">
        <v>-15.83611</v>
      </c>
      <c r="H140" s="594">
        <v>-9.508892758496458</v>
      </c>
      <c r="I140" s="594">
        <v>166.54</v>
      </c>
      <c r="J140" s="594">
        <v>-15.83611</v>
      </c>
      <c r="K140" s="594">
        <v>-9.508892758496458</v>
      </c>
      <c r="L140" s="595">
        <v>1424.36571</v>
      </c>
      <c r="M140" s="594">
        <v>1485.646</v>
      </c>
      <c r="N140" s="594">
        <v>-61.280290000000001</v>
      </c>
      <c r="O140" s="594">
        <v>-4.1248244871254656</v>
      </c>
      <c r="P140" s="594">
        <v>1270.6301599999999</v>
      </c>
      <c r="Q140" s="594">
        <v>153.73554999999999</v>
      </c>
      <c r="R140" s="594">
        <v>12.09915794852532</v>
      </c>
    </row>
    <row r="141" spans="1:18" ht="15.6" thickBot="1" x14ac:dyDescent="0.35">
      <c r="A141" s="199" t="str">
        <f t="shared" si="5"/>
        <v>13400MISCELLANEOUS</v>
      </c>
      <c r="B141" s="597" t="s">
        <v>473</v>
      </c>
      <c r="C141" s="597" t="s">
        <v>103</v>
      </c>
      <c r="D141" s="597" t="s">
        <v>104</v>
      </c>
      <c r="E141" s="596"/>
      <c r="F141" s="596"/>
      <c r="G141" s="596"/>
      <c r="H141" s="596"/>
      <c r="I141" s="596"/>
      <c r="J141" s="596"/>
      <c r="K141" s="596"/>
      <c r="L141" s="595">
        <v>6.6311299999999997</v>
      </c>
      <c r="M141" s="596"/>
      <c r="N141" s="596">
        <v>6.6311299999999997</v>
      </c>
      <c r="O141" s="596">
        <v>0</v>
      </c>
      <c r="P141" s="596">
        <v>-0.69884999999999997</v>
      </c>
      <c r="Q141" s="596">
        <v>7.3299799999999999</v>
      </c>
      <c r="R141" s="596">
        <v>1048.8631322887602</v>
      </c>
    </row>
    <row r="142" spans="1:18" ht="15.6" thickBot="1" x14ac:dyDescent="0.35">
      <c r="A142" s="199" t="str">
        <f t="shared" si="5"/>
        <v>13400P CARD UNCODED CHARG</v>
      </c>
      <c r="B142" s="597" t="s">
        <v>473</v>
      </c>
      <c r="C142" s="597" t="s">
        <v>71</v>
      </c>
      <c r="D142" s="597" t="s">
        <v>72</v>
      </c>
      <c r="E142" s="594"/>
      <c r="F142" s="594"/>
      <c r="G142" s="594"/>
      <c r="H142" s="594"/>
      <c r="I142" s="594"/>
      <c r="J142" s="594"/>
      <c r="K142" s="594"/>
      <c r="L142" s="595">
        <v>3.5899399999999999</v>
      </c>
      <c r="M142" s="594"/>
      <c r="N142" s="594">
        <v>3.5899399999999999</v>
      </c>
      <c r="O142" s="594">
        <v>0</v>
      </c>
      <c r="P142" s="594">
        <v>2.7911800000000002</v>
      </c>
      <c r="Q142" s="594">
        <v>0.79876000000000003</v>
      </c>
      <c r="R142" s="594">
        <v>28.617287312176213</v>
      </c>
    </row>
    <row r="143" spans="1:18" ht="15.6" thickBot="1" x14ac:dyDescent="0.35">
      <c r="A143" s="199" t="str">
        <f t="shared" si="5"/>
        <v>13400TELEPHONE</v>
      </c>
      <c r="B143" s="597" t="s">
        <v>473</v>
      </c>
      <c r="C143" s="597" t="s">
        <v>107</v>
      </c>
      <c r="D143" s="597" t="s">
        <v>108</v>
      </c>
      <c r="E143" s="596">
        <v>-1.0517099999999999</v>
      </c>
      <c r="F143" s="596">
        <v>0.74199999999999999</v>
      </c>
      <c r="G143" s="596">
        <v>-1.7937099999999999</v>
      </c>
      <c r="H143" s="596">
        <v>-241.73989218328842</v>
      </c>
      <c r="I143" s="596">
        <v>0.74199999999999999</v>
      </c>
      <c r="J143" s="596">
        <v>-1.7937099999999999</v>
      </c>
      <c r="K143" s="596">
        <v>-241.73989218328842</v>
      </c>
      <c r="L143" s="595">
        <v>43.334159999999997</v>
      </c>
      <c r="M143" s="596">
        <v>67.09</v>
      </c>
      <c r="N143" s="596">
        <v>-23.755839999999999</v>
      </c>
      <c r="O143" s="596">
        <v>-35.408913399910567</v>
      </c>
      <c r="P143" s="596">
        <v>40.341259999999998</v>
      </c>
      <c r="Q143" s="596">
        <v>2.9929000000000001</v>
      </c>
      <c r="R143" s="596">
        <v>7.4189551838489924</v>
      </c>
    </row>
    <row r="144" spans="1:18" ht="15.6" thickBot="1" x14ac:dyDescent="0.35">
      <c r="A144" s="199" t="str">
        <f t="shared" si="5"/>
        <v>13400POSTAGE</v>
      </c>
      <c r="B144" s="597" t="s">
        <v>473</v>
      </c>
      <c r="C144" s="597" t="s">
        <v>109</v>
      </c>
      <c r="D144" s="597" t="s">
        <v>110</v>
      </c>
      <c r="E144" s="594">
        <v>20.32347</v>
      </c>
      <c r="F144" s="594">
        <v>30.274000000000001</v>
      </c>
      <c r="G144" s="594">
        <v>-9.9505300000000005</v>
      </c>
      <c r="H144" s="594">
        <v>-32.868236770826449</v>
      </c>
      <c r="I144" s="594">
        <v>30.274000000000001</v>
      </c>
      <c r="J144" s="594">
        <v>-9.9505300000000005</v>
      </c>
      <c r="K144" s="594">
        <v>-32.868236770826449</v>
      </c>
      <c r="L144" s="595">
        <v>281.97579000000002</v>
      </c>
      <c r="M144" s="594">
        <v>351.41899999999998</v>
      </c>
      <c r="N144" s="594">
        <v>-69.443209999999993</v>
      </c>
      <c r="O144" s="594">
        <v>-19.760801208813412</v>
      </c>
      <c r="P144" s="594">
        <v>252.67554000000001</v>
      </c>
      <c r="Q144" s="594">
        <v>29.300249999999998</v>
      </c>
      <c r="R144" s="594">
        <v>11.595997776436928</v>
      </c>
    </row>
    <row r="145" spans="1:18" ht="15.6" thickBot="1" x14ac:dyDescent="0.35">
      <c r="A145" s="199" t="str">
        <f t="shared" si="5"/>
        <v>13400OFFICE SUPPLIES</v>
      </c>
      <c r="B145" s="597" t="s">
        <v>473</v>
      </c>
      <c r="C145" s="597" t="s">
        <v>73</v>
      </c>
      <c r="D145" s="597" t="s">
        <v>74</v>
      </c>
      <c r="E145" s="596">
        <v>6.7312599999999998</v>
      </c>
      <c r="F145" s="596">
        <v>2.31</v>
      </c>
      <c r="G145" s="596">
        <v>4.4212600000000002</v>
      </c>
      <c r="H145" s="596">
        <v>191.39653679653679</v>
      </c>
      <c r="I145" s="596">
        <v>2.31</v>
      </c>
      <c r="J145" s="596">
        <v>4.4212600000000002</v>
      </c>
      <c r="K145" s="596">
        <v>191.39653679653679</v>
      </c>
      <c r="L145" s="595">
        <v>28.357089999999999</v>
      </c>
      <c r="M145" s="596">
        <v>24.72</v>
      </c>
      <c r="N145" s="596">
        <v>3.6370900000000002</v>
      </c>
      <c r="O145" s="596">
        <v>14.713147249190939</v>
      </c>
      <c r="P145" s="596">
        <v>17.277940000000001</v>
      </c>
      <c r="Q145" s="596">
        <v>11.07915</v>
      </c>
      <c r="R145" s="596">
        <v>64.123095693120817</v>
      </c>
    </row>
    <row r="146" spans="1:18" ht="15.6" thickBot="1" x14ac:dyDescent="0.35">
      <c r="A146" s="199" t="str">
        <f t="shared" si="5"/>
        <v>13400PRINTING</v>
      </c>
      <c r="B146" s="597" t="s">
        <v>473</v>
      </c>
      <c r="C146" s="597" t="s">
        <v>111</v>
      </c>
      <c r="D146" s="597" t="s">
        <v>112</v>
      </c>
      <c r="E146" s="594">
        <v>5.0549999999999997</v>
      </c>
      <c r="F146" s="594">
        <v>3.2344200000000001</v>
      </c>
      <c r="G146" s="594">
        <v>1.8205800000000001</v>
      </c>
      <c r="H146" s="594">
        <v>56.287680635167973</v>
      </c>
      <c r="I146" s="594">
        <v>3.2344200000000001</v>
      </c>
      <c r="J146" s="594">
        <v>1.8205800000000001</v>
      </c>
      <c r="K146" s="594">
        <v>56.287680635167973</v>
      </c>
      <c r="L146" s="595">
        <v>21.607800000000001</v>
      </c>
      <c r="M146" s="594">
        <v>38.813040000000001</v>
      </c>
      <c r="N146" s="594">
        <v>-17.20524</v>
      </c>
      <c r="O146" s="594">
        <v>-44.328504028542987</v>
      </c>
      <c r="P146" s="594">
        <v>17.18768</v>
      </c>
      <c r="Q146" s="594">
        <v>4.4201199999999998</v>
      </c>
      <c r="R146" s="594">
        <v>25.716792493227707</v>
      </c>
    </row>
    <row r="147" spans="1:18" ht="15.6" thickBot="1" x14ac:dyDescent="0.35">
      <c r="A147" s="199" t="str">
        <f t="shared" si="5"/>
        <v>13400BOOKS AND MAGAZINES</v>
      </c>
      <c r="B147" s="597" t="s">
        <v>473</v>
      </c>
      <c r="C147" s="597" t="s">
        <v>141</v>
      </c>
      <c r="D147" s="597" t="s">
        <v>142</v>
      </c>
      <c r="E147" s="596">
        <v>8.7500000000000008E-3</v>
      </c>
      <c r="F147" s="596"/>
      <c r="G147" s="596">
        <v>8.7500000000000008E-3</v>
      </c>
      <c r="H147" s="596">
        <v>0</v>
      </c>
      <c r="I147" s="596"/>
      <c r="J147" s="596">
        <v>8.7500000000000008E-3</v>
      </c>
      <c r="K147" s="596">
        <v>0</v>
      </c>
      <c r="L147" s="595">
        <v>0.28133000000000002</v>
      </c>
      <c r="M147" s="596"/>
      <c r="N147" s="596">
        <v>0.28133000000000002</v>
      </c>
      <c r="O147" s="596">
        <v>0</v>
      </c>
      <c r="P147" s="596">
        <v>0.17288999999999999</v>
      </c>
      <c r="Q147" s="596">
        <v>0.10843999999999999</v>
      </c>
      <c r="R147" s="596">
        <v>62.721961941118629</v>
      </c>
    </row>
    <row r="148" spans="1:18" ht="15.6" thickBot="1" x14ac:dyDescent="0.35">
      <c r="A148" s="199" t="str">
        <f t="shared" si="5"/>
        <v>13400REFRESHMENTS</v>
      </c>
      <c r="B148" s="597" t="s">
        <v>473</v>
      </c>
      <c r="C148" s="597" t="s">
        <v>113</v>
      </c>
      <c r="D148" s="597" t="s">
        <v>114</v>
      </c>
      <c r="E148" s="594">
        <v>2.7381700000000002</v>
      </c>
      <c r="F148" s="594">
        <v>1.66517</v>
      </c>
      <c r="G148" s="594">
        <v>1.073</v>
      </c>
      <c r="H148" s="594">
        <v>64.437865202952253</v>
      </c>
      <c r="I148" s="594">
        <v>1.66517</v>
      </c>
      <c r="J148" s="594">
        <v>1.073</v>
      </c>
      <c r="K148" s="594">
        <v>64.437865202952253</v>
      </c>
      <c r="L148" s="595">
        <v>17.783529999999999</v>
      </c>
      <c r="M148" s="594">
        <v>19.982040000000001</v>
      </c>
      <c r="N148" s="594">
        <v>-2.1985100000000002</v>
      </c>
      <c r="O148" s="594">
        <v>-11.002430182303709</v>
      </c>
      <c r="P148" s="594">
        <v>11.04889</v>
      </c>
      <c r="Q148" s="594">
        <v>6.7346399999999997</v>
      </c>
      <c r="R148" s="594">
        <v>60.953091215497665</v>
      </c>
    </row>
    <row r="149" spans="1:18" ht="15.6" thickBot="1" x14ac:dyDescent="0.35">
      <c r="A149" s="199" t="str">
        <f t="shared" si="5"/>
        <v>13400PARKING</v>
      </c>
      <c r="B149" s="597" t="s">
        <v>473</v>
      </c>
      <c r="C149" s="597" t="s">
        <v>145</v>
      </c>
      <c r="D149" s="597" t="s">
        <v>146</v>
      </c>
      <c r="E149" s="596">
        <v>2.8105000000000002</v>
      </c>
      <c r="F149" s="596"/>
      <c r="G149" s="596">
        <v>2.8105000000000002</v>
      </c>
      <c r="H149" s="596">
        <v>0</v>
      </c>
      <c r="I149" s="596"/>
      <c r="J149" s="596">
        <v>2.8105000000000002</v>
      </c>
      <c r="K149" s="596">
        <v>0</v>
      </c>
      <c r="L149" s="595">
        <v>11.051130000000001</v>
      </c>
      <c r="M149" s="596"/>
      <c r="N149" s="596">
        <v>11.051130000000001</v>
      </c>
      <c r="O149" s="596">
        <v>0</v>
      </c>
      <c r="P149" s="596">
        <v>3.52318</v>
      </c>
      <c r="Q149" s="596">
        <v>7.5279499999999997</v>
      </c>
      <c r="R149" s="596">
        <v>213.66918522471175</v>
      </c>
    </row>
    <row r="150" spans="1:18" ht="15.6" thickBot="1" x14ac:dyDescent="0.35">
      <c r="A150" s="199" t="str">
        <f t="shared" si="5"/>
        <v>13400LAUNDRY</v>
      </c>
      <c r="B150" s="597" t="s">
        <v>473</v>
      </c>
      <c r="C150" s="597" t="s">
        <v>147</v>
      </c>
      <c r="D150" s="597" t="s">
        <v>148</v>
      </c>
      <c r="E150" s="594">
        <v>8.4000000000000005E-2</v>
      </c>
      <c r="F150" s="594"/>
      <c r="G150" s="594">
        <v>8.4000000000000005E-2</v>
      </c>
      <c r="H150" s="594">
        <v>0</v>
      </c>
      <c r="I150" s="594"/>
      <c r="J150" s="594">
        <v>8.4000000000000005E-2</v>
      </c>
      <c r="K150" s="594">
        <v>0</v>
      </c>
      <c r="L150" s="595">
        <v>0.1295</v>
      </c>
      <c r="M150" s="594"/>
      <c r="N150" s="594">
        <v>0.1295</v>
      </c>
      <c r="O150" s="594">
        <v>0</v>
      </c>
      <c r="P150" s="594">
        <v>4.5499999999999999E-2</v>
      </c>
      <c r="Q150" s="594">
        <v>8.4000000000000005E-2</v>
      </c>
      <c r="R150" s="594">
        <v>184.61538461538461</v>
      </c>
    </row>
    <row r="151" spans="1:18" ht="15.6" thickBot="1" x14ac:dyDescent="0.35">
      <c r="A151" s="199" t="str">
        <f t="shared" si="5"/>
        <v>13400PROFESSIONAL SERVICE</v>
      </c>
      <c r="B151" s="597" t="s">
        <v>473</v>
      </c>
      <c r="C151" s="597" t="s">
        <v>149</v>
      </c>
      <c r="D151" s="597" t="s">
        <v>150</v>
      </c>
      <c r="E151" s="596"/>
      <c r="F151" s="596"/>
      <c r="G151" s="596"/>
      <c r="H151" s="596"/>
      <c r="I151" s="596"/>
      <c r="J151" s="596"/>
      <c r="K151" s="596"/>
      <c r="L151" s="595">
        <v>3.3779999999999998E-2</v>
      </c>
      <c r="M151" s="596"/>
      <c r="N151" s="596">
        <v>3.3779999999999998E-2</v>
      </c>
      <c r="O151" s="596">
        <v>0</v>
      </c>
      <c r="P151" s="596">
        <v>3.3779999999999998E-2</v>
      </c>
      <c r="Q151" s="596">
        <v>0</v>
      </c>
      <c r="R151" s="596">
        <v>0</v>
      </c>
    </row>
    <row r="152" spans="1:18" ht="15.6" thickBot="1" x14ac:dyDescent="0.35">
      <c r="A152" s="199" t="str">
        <f t="shared" si="5"/>
        <v>13400CUSTOMER RECOVERY</v>
      </c>
      <c r="B152" s="597" t="s">
        <v>473</v>
      </c>
      <c r="C152" s="597" t="s">
        <v>171</v>
      </c>
      <c r="D152" s="597" t="s">
        <v>172</v>
      </c>
      <c r="E152" s="594">
        <v>0.11695</v>
      </c>
      <c r="F152" s="594">
        <v>1.9079999999999999</v>
      </c>
      <c r="G152" s="594">
        <v>-1.79105</v>
      </c>
      <c r="H152" s="594">
        <v>-93.870545073375268</v>
      </c>
      <c r="I152" s="594">
        <v>1.9079999999999999</v>
      </c>
      <c r="J152" s="594">
        <v>-1.79105</v>
      </c>
      <c r="K152" s="594">
        <v>-93.870545073375268</v>
      </c>
      <c r="L152" s="595">
        <v>4.7805600000000004</v>
      </c>
      <c r="M152" s="594">
        <v>18.550999999999998</v>
      </c>
      <c r="N152" s="594">
        <v>-13.770440000000001</v>
      </c>
      <c r="O152" s="594">
        <v>-74.230176270820976</v>
      </c>
      <c r="P152" s="594">
        <v>8.2200799999999994</v>
      </c>
      <c r="Q152" s="594">
        <v>-3.4395199999999999</v>
      </c>
      <c r="R152" s="594">
        <v>-41.842901772245526</v>
      </c>
    </row>
    <row r="153" spans="1:18" ht="15.6" thickBot="1" x14ac:dyDescent="0.35">
      <c r="A153" s="199" t="str">
        <f t="shared" si="5"/>
        <v>13400MEAL TICKETS</v>
      </c>
      <c r="B153" s="597" t="s">
        <v>473</v>
      </c>
      <c r="C153" s="597" t="s">
        <v>173</v>
      </c>
      <c r="D153" s="597" t="s">
        <v>174</v>
      </c>
      <c r="E153" s="596">
        <v>0.47145999999999999</v>
      </c>
      <c r="F153" s="596">
        <v>0.12925</v>
      </c>
      <c r="G153" s="596">
        <v>0.34221000000000001</v>
      </c>
      <c r="H153" s="596">
        <v>264.7659574468085</v>
      </c>
      <c r="I153" s="596">
        <v>0.12925</v>
      </c>
      <c r="J153" s="596">
        <v>0.34221000000000001</v>
      </c>
      <c r="K153" s="596">
        <v>264.7659574468085</v>
      </c>
      <c r="L153" s="595">
        <v>3.2573599999999998</v>
      </c>
      <c r="M153" s="596">
        <v>1.5509999999999999</v>
      </c>
      <c r="N153" s="596">
        <v>1.7063600000000001</v>
      </c>
      <c r="O153" s="596">
        <v>110.01676337846551</v>
      </c>
      <c r="P153" s="596">
        <v>2.0592899999999998</v>
      </c>
      <c r="Q153" s="596">
        <v>1.19807</v>
      </c>
      <c r="R153" s="596">
        <v>58.17878977705908</v>
      </c>
    </row>
    <row r="154" spans="1:18" ht="15.6" thickBot="1" x14ac:dyDescent="0.35">
      <c r="A154" s="199" t="str">
        <f t="shared" si="5"/>
        <v>13400MEALS AND ENTERTAIN</v>
      </c>
      <c r="B154" s="597" t="s">
        <v>473</v>
      </c>
      <c r="C154" s="597" t="s">
        <v>75</v>
      </c>
      <c r="D154" s="597" t="s">
        <v>76</v>
      </c>
      <c r="E154" s="594">
        <v>6.7407500000000002</v>
      </c>
      <c r="F154" s="594">
        <v>0.51758000000000004</v>
      </c>
      <c r="G154" s="594">
        <v>6.2231699999999996</v>
      </c>
      <c r="H154" s="594">
        <v>1202.3590556049307</v>
      </c>
      <c r="I154" s="594">
        <v>0.51758000000000004</v>
      </c>
      <c r="J154" s="594">
        <v>6.2231699999999996</v>
      </c>
      <c r="K154" s="594">
        <v>1202.3590556049307</v>
      </c>
      <c r="L154" s="595">
        <v>20.835439999999998</v>
      </c>
      <c r="M154" s="594">
        <v>6.21096</v>
      </c>
      <c r="N154" s="594">
        <v>14.62448</v>
      </c>
      <c r="O154" s="594">
        <v>235.46247279003569</v>
      </c>
      <c r="P154" s="594">
        <v>6.4055799999999996</v>
      </c>
      <c r="Q154" s="594">
        <v>14.42986</v>
      </c>
      <c r="R154" s="594">
        <v>225.27015508353654</v>
      </c>
    </row>
    <row r="155" spans="1:18" ht="15.6" thickBot="1" x14ac:dyDescent="0.35">
      <c r="A155" s="199" t="str">
        <f t="shared" si="5"/>
        <v>13400TRAVEL IN TERRITORY</v>
      </c>
      <c r="B155" s="597" t="s">
        <v>473</v>
      </c>
      <c r="C155" s="597" t="s">
        <v>121</v>
      </c>
      <c r="D155" s="597" t="s">
        <v>122</v>
      </c>
      <c r="E155" s="596">
        <v>28.0733</v>
      </c>
      <c r="F155" s="596">
        <v>1.0565</v>
      </c>
      <c r="G155" s="596">
        <v>27.0168</v>
      </c>
      <c r="H155" s="596">
        <v>2557.1982962612401</v>
      </c>
      <c r="I155" s="596">
        <v>1.0565</v>
      </c>
      <c r="J155" s="596">
        <v>27.0168</v>
      </c>
      <c r="K155" s="596">
        <v>2557.1982962612401</v>
      </c>
      <c r="L155" s="595">
        <v>30.928940000000001</v>
      </c>
      <c r="M155" s="596">
        <v>12.678000000000001</v>
      </c>
      <c r="N155" s="596">
        <v>18.25094</v>
      </c>
      <c r="O155" s="596">
        <v>143.95756428458748</v>
      </c>
      <c r="P155" s="596">
        <v>4.58941</v>
      </c>
      <c r="Q155" s="596">
        <v>26.33953</v>
      </c>
      <c r="R155" s="596">
        <v>573.91974131751135</v>
      </c>
    </row>
    <row r="156" spans="1:18" ht="15.6" thickBot="1" x14ac:dyDescent="0.35">
      <c r="A156" s="199" t="str">
        <f t="shared" si="5"/>
        <v>13400CONFERENCE TRAVEL</v>
      </c>
      <c r="B156" s="597" t="s">
        <v>473</v>
      </c>
      <c r="C156" s="597" t="s">
        <v>77</v>
      </c>
      <c r="D156" s="597" t="s">
        <v>78</v>
      </c>
      <c r="E156" s="594"/>
      <c r="F156" s="594">
        <v>0</v>
      </c>
      <c r="G156" s="594">
        <v>0</v>
      </c>
      <c r="H156" s="594">
        <v>0</v>
      </c>
      <c r="I156" s="594"/>
      <c r="J156" s="594"/>
      <c r="K156" s="594"/>
      <c r="L156" s="595">
        <v>42.442869999999999</v>
      </c>
      <c r="M156" s="594">
        <v>39.322000000000003</v>
      </c>
      <c r="N156" s="594">
        <v>3.12087</v>
      </c>
      <c r="O156" s="594">
        <v>7.9367021006052587</v>
      </c>
      <c r="P156" s="594">
        <v>35.724089999999997</v>
      </c>
      <c r="Q156" s="594">
        <v>6.7187799999999998</v>
      </c>
      <c r="R156" s="594">
        <v>18.807420986790707</v>
      </c>
    </row>
    <row r="157" spans="1:18" ht="15.6" thickBot="1" x14ac:dyDescent="0.35">
      <c r="A157" s="199" t="str">
        <f t="shared" si="5"/>
        <v>13400BUSINESS TRAVEL</v>
      </c>
      <c r="B157" s="597" t="s">
        <v>473</v>
      </c>
      <c r="C157" s="597" t="s">
        <v>79</v>
      </c>
      <c r="D157" s="597" t="s">
        <v>80</v>
      </c>
      <c r="E157" s="596">
        <v>0.12994</v>
      </c>
      <c r="F157" s="596"/>
      <c r="G157" s="596">
        <v>0.12994</v>
      </c>
      <c r="H157" s="596">
        <v>0</v>
      </c>
      <c r="I157" s="596"/>
      <c r="J157" s="596">
        <v>0.12994</v>
      </c>
      <c r="K157" s="596">
        <v>0</v>
      </c>
      <c r="L157" s="595">
        <v>2.0578599999999998</v>
      </c>
      <c r="M157" s="596"/>
      <c r="N157" s="596">
        <v>2.0578599999999998</v>
      </c>
      <c r="O157" s="596">
        <v>0</v>
      </c>
      <c r="P157" s="596">
        <v>0.20346</v>
      </c>
      <c r="Q157" s="596">
        <v>1.8544</v>
      </c>
      <c r="R157" s="596">
        <v>911.432222549887</v>
      </c>
    </row>
    <row r="158" spans="1:18" ht="15.6" thickBot="1" x14ac:dyDescent="0.35">
      <c r="A158" s="199" t="str">
        <f t="shared" si="5"/>
        <v>13400EMPLOYEE AWARDS</v>
      </c>
      <c r="B158" s="597" t="s">
        <v>473</v>
      </c>
      <c r="C158" s="597" t="s">
        <v>81</v>
      </c>
      <c r="D158" s="597" t="s">
        <v>82</v>
      </c>
      <c r="E158" s="594">
        <v>7.4269600000000002</v>
      </c>
      <c r="F158" s="594">
        <v>12.605</v>
      </c>
      <c r="G158" s="594">
        <v>-5.1780400000000002</v>
      </c>
      <c r="H158" s="594">
        <v>-41.079254264180882</v>
      </c>
      <c r="I158" s="594">
        <v>12.605</v>
      </c>
      <c r="J158" s="594">
        <v>-5.1780400000000002</v>
      </c>
      <c r="K158" s="594">
        <v>-41.079254264180882</v>
      </c>
      <c r="L158" s="595">
        <v>19.087430000000001</v>
      </c>
      <c r="M158" s="594">
        <v>34.142000000000003</v>
      </c>
      <c r="N158" s="594">
        <v>-15.05457</v>
      </c>
      <c r="O158" s="594">
        <v>-44.093989807275499</v>
      </c>
      <c r="P158" s="594">
        <v>22.7</v>
      </c>
      <c r="Q158" s="594">
        <v>-3.6125699999999998</v>
      </c>
      <c r="R158" s="594">
        <v>-15.914405286343612</v>
      </c>
    </row>
    <row r="159" spans="1:18" ht="15.6" thickBot="1" x14ac:dyDescent="0.35">
      <c r="A159" s="199" t="str">
        <f t="shared" si="5"/>
        <v>13400EMPLOYEE AWRDS MLS &amp;</v>
      </c>
      <c r="B159" s="597" t="s">
        <v>473</v>
      </c>
      <c r="C159" s="597" t="s">
        <v>123</v>
      </c>
      <c r="D159" s="597" t="s">
        <v>124</v>
      </c>
      <c r="E159" s="596">
        <v>0.79105999999999999</v>
      </c>
      <c r="F159" s="596"/>
      <c r="G159" s="596">
        <v>0.79105999999999999</v>
      </c>
      <c r="H159" s="596">
        <v>0</v>
      </c>
      <c r="I159" s="596"/>
      <c r="J159" s="596">
        <v>0.79105999999999999</v>
      </c>
      <c r="K159" s="596">
        <v>0</v>
      </c>
      <c r="L159" s="595">
        <v>1.50115</v>
      </c>
      <c r="M159" s="596"/>
      <c r="N159" s="596">
        <v>1.50115</v>
      </c>
      <c r="O159" s="596">
        <v>0</v>
      </c>
      <c r="P159" s="596">
        <v>0.44103999999999999</v>
      </c>
      <c r="Q159" s="596">
        <v>1.0601100000000001</v>
      </c>
      <c r="R159" s="596">
        <v>240.36595320152367</v>
      </c>
    </row>
    <row r="160" spans="1:18" ht="15.6" thickBot="1" x14ac:dyDescent="0.35">
      <c r="A160" s="199" t="str">
        <f t="shared" si="5"/>
        <v>13400MISC. EXPENSE BUDGET</v>
      </c>
      <c r="B160" s="597" t="s">
        <v>473</v>
      </c>
      <c r="C160" s="597" t="s">
        <v>83</v>
      </c>
      <c r="D160" s="597" t="s">
        <v>84</v>
      </c>
      <c r="E160" s="594"/>
      <c r="F160" s="594">
        <v>1.09433</v>
      </c>
      <c r="G160" s="594">
        <v>-1.09433</v>
      </c>
      <c r="H160" s="594">
        <v>-100</v>
      </c>
      <c r="I160" s="594">
        <v>1.09433</v>
      </c>
      <c r="J160" s="594">
        <v>-1.09433</v>
      </c>
      <c r="K160" s="594">
        <v>-100</v>
      </c>
      <c r="L160" s="595">
        <v>3.7925</v>
      </c>
      <c r="M160" s="594">
        <v>54.131959999999999</v>
      </c>
      <c r="N160" s="594">
        <v>-50.339460000000003</v>
      </c>
      <c r="O160" s="594">
        <v>-92.993972507184296</v>
      </c>
      <c r="P160" s="594">
        <v>3.8229899999999999</v>
      </c>
      <c r="Q160" s="594">
        <v>-3.049E-2</v>
      </c>
      <c r="R160" s="594">
        <v>-0.79754328418332243</v>
      </c>
    </row>
    <row r="161" spans="1:18" ht="15.6" thickBot="1" x14ac:dyDescent="0.35">
      <c r="A161" s="199" t="str">
        <f t="shared" si="5"/>
        <v>13400Non-Payroll</v>
      </c>
      <c r="B161" s="597" t="s">
        <v>473</v>
      </c>
      <c r="C161" s="598" t="s">
        <v>85</v>
      </c>
      <c r="D161" s="598" t="s">
        <v>86</v>
      </c>
      <c r="E161" s="596">
        <v>233.23142000000001</v>
      </c>
      <c r="F161" s="596">
        <v>223.36699999999999</v>
      </c>
      <c r="G161" s="596">
        <v>9.8644200000000009</v>
      </c>
      <c r="H161" s="596">
        <v>4.4162387460994683</v>
      </c>
      <c r="I161" s="596">
        <v>223.36699999999999</v>
      </c>
      <c r="J161" s="596">
        <v>9.8644200000000009</v>
      </c>
      <c r="K161" s="596">
        <v>4.4162387460994683</v>
      </c>
      <c r="L161" s="595">
        <v>2034.2795599999999</v>
      </c>
      <c r="M161" s="596">
        <v>2169.7460000000001</v>
      </c>
      <c r="N161" s="596">
        <v>-135.46644000000001</v>
      </c>
      <c r="O161" s="596">
        <v>-6.2434238846390313</v>
      </c>
      <c r="P161" s="596">
        <v>1758.3453400000001</v>
      </c>
      <c r="Q161" s="596">
        <v>275.93421999999998</v>
      </c>
      <c r="R161" s="596">
        <v>15.692834264286217</v>
      </c>
    </row>
    <row r="162" spans="1:18" ht="15.6" thickBot="1" x14ac:dyDescent="0.35">
      <c r="A162" s="199" t="str">
        <f t="shared" si="5"/>
        <v>13400EXPENSE ACCOUNTS</v>
      </c>
      <c r="B162" s="597" t="s">
        <v>473</v>
      </c>
      <c r="C162" s="599" t="s">
        <v>87</v>
      </c>
      <c r="D162" s="599" t="s">
        <v>87</v>
      </c>
      <c r="E162" s="594">
        <v>1038.8391200000001</v>
      </c>
      <c r="F162" s="594">
        <v>1158.4478999999999</v>
      </c>
      <c r="G162" s="594">
        <v>-119.60878</v>
      </c>
      <c r="H162" s="594">
        <v>-10.324916640618882</v>
      </c>
      <c r="I162" s="594">
        <v>223.36699999999999</v>
      </c>
      <c r="J162" s="594">
        <v>815.47212000000002</v>
      </c>
      <c r="K162" s="594">
        <v>365.08173543988147</v>
      </c>
      <c r="L162" s="595">
        <v>12038.99503</v>
      </c>
      <c r="M162" s="594">
        <v>12803.898289999999</v>
      </c>
      <c r="N162" s="594">
        <v>-764.90326000000005</v>
      </c>
      <c r="O162" s="594">
        <v>-5.9739873175765439</v>
      </c>
      <c r="P162" s="594">
        <v>6612.6949199999999</v>
      </c>
      <c r="Q162" s="594">
        <v>5426.3001100000001</v>
      </c>
      <c r="R162" s="594">
        <v>82.058830411005871</v>
      </c>
    </row>
    <row r="163" spans="1:18" ht="15.6" thickBot="1" x14ac:dyDescent="0.35">
      <c r="A163" s="199" t="str">
        <f t="shared" ref="A163:A226" si="6">RIGHT(B163,5)&amp;C163</f>
        <v>13510SALARY PAYROLL</v>
      </c>
      <c r="B163" s="597" t="s">
        <v>474</v>
      </c>
      <c r="C163" s="597" t="s">
        <v>59</v>
      </c>
      <c r="D163" s="597" t="s">
        <v>60</v>
      </c>
      <c r="E163" s="596">
        <v>129.60615000000001</v>
      </c>
      <c r="F163" s="596">
        <v>136.24234000000001</v>
      </c>
      <c r="G163" s="596">
        <v>-6.63619</v>
      </c>
      <c r="H163" s="596">
        <v>-4.8708720064555555</v>
      </c>
      <c r="I163" s="596">
        <v>0</v>
      </c>
      <c r="J163" s="596">
        <v>129.60615000000001</v>
      </c>
      <c r="K163" s="596">
        <v>0</v>
      </c>
      <c r="L163" s="595">
        <v>1648.95514</v>
      </c>
      <c r="M163" s="596">
        <v>1626.9715799999999</v>
      </c>
      <c r="N163" s="596">
        <v>21.983560000000001</v>
      </c>
      <c r="O163" s="596">
        <v>1.3511950835674709</v>
      </c>
      <c r="P163" s="596">
        <v>860.21736999999996</v>
      </c>
      <c r="Q163" s="596">
        <v>788.73776999999995</v>
      </c>
      <c r="R163" s="596">
        <v>91.690518874316609</v>
      </c>
    </row>
    <row r="164" spans="1:18" ht="15.6" thickBot="1" x14ac:dyDescent="0.35">
      <c r="A164" s="199" t="str">
        <f t="shared" si="6"/>
        <v>13510HOURLY DOUBLE PAY</v>
      </c>
      <c r="B164" s="597" t="s">
        <v>474</v>
      </c>
      <c r="C164" s="597" t="s">
        <v>89</v>
      </c>
      <c r="D164" s="597" t="s">
        <v>90</v>
      </c>
      <c r="E164" s="594">
        <v>41.26831</v>
      </c>
      <c r="F164" s="594"/>
      <c r="G164" s="594">
        <v>41.26831</v>
      </c>
      <c r="H164" s="594">
        <v>0</v>
      </c>
      <c r="I164" s="594"/>
      <c r="J164" s="594">
        <v>41.26831</v>
      </c>
      <c r="K164" s="594">
        <v>0</v>
      </c>
      <c r="L164" s="595">
        <v>139.99558999999999</v>
      </c>
      <c r="M164" s="594"/>
      <c r="N164" s="594">
        <v>139.99558999999999</v>
      </c>
      <c r="O164" s="594">
        <v>0</v>
      </c>
      <c r="P164" s="594">
        <v>53.002290000000002</v>
      </c>
      <c r="Q164" s="594">
        <v>86.993300000000005</v>
      </c>
      <c r="R164" s="594">
        <v>164.13121017978656</v>
      </c>
    </row>
    <row r="165" spans="1:18" ht="15.6" thickBot="1" x14ac:dyDescent="0.35">
      <c r="A165" s="199" t="str">
        <f t="shared" si="6"/>
        <v>13510HOURLY REGULAR  PAY</v>
      </c>
      <c r="B165" s="597" t="s">
        <v>474</v>
      </c>
      <c r="C165" s="597" t="s">
        <v>91</v>
      </c>
      <c r="D165" s="597" t="s">
        <v>92</v>
      </c>
      <c r="E165" s="596">
        <v>556.87662</v>
      </c>
      <c r="F165" s="596">
        <v>688.61491000000001</v>
      </c>
      <c r="G165" s="596">
        <v>-131.73829000000001</v>
      </c>
      <c r="H165" s="596">
        <v>-19.130908739690227</v>
      </c>
      <c r="I165" s="596">
        <v>0</v>
      </c>
      <c r="J165" s="596">
        <v>556.87662</v>
      </c>
      <c r="K165" s="596">
        <v>0</v>
      </c>
      <c r="L165" s="595">
        <v>7389.5163700000003</v>
      </c>
      <c r="M165" s="596">
        <v>7816.0924800000003</v>
      </c>
      <c r="N165" s="596">
        <v>-426.57611000000003</v>
      </c>
      <c r="O165" s="596">
        <v>-5.457664569495984</v>
      </c>
      <c r="P165" s="596">
        <v>3708.44479</v>
      </c>
      <c r="Q165" s="596">
        <v>3681.0715799999998</v>
      </c>
      <c r="R165" s="596">
        <v>99.261868207562017</v>
      </c>
    </row>
    <row r="166" spans="1:18" ht="15.6" thickBot="1" x14ac:dyDescent="0.35">
      <c r="A166" s="199" t="str">
        <f t="shared" si="6"/>
        <v>13510HOURLY OVERTIME PAY</v>
      </c>
      <c r="B166" s="597" t="s">
        <v>474</v>
      </c>
      <c r="C166" s="597" t="s">
        <v>93</v>
      </c>
      <c r="D166" s="597" t="s">
        <v>94</v>
      </c>
      <c r="E166" s="594">
        <v>54.600149999999999</v>
      </c>
      <c r="F166" s="594">
        <v>49.290379999999999</v>
      </c>
      <c r="G166" s="594">
        <v>5.3097700000000003</v>
      </c>
      <c r="H166" s="594">
        <v>10.772426587094683</v>
      </c>
      <c r="I166" s="594">
        <v>0</v>
      </c>
      <c r="J166" s="594">
        <v>54.600149999999999</v>
      </c>
      <c r="K166" s="594">
        <v>0</v>
      </c>
      <c r="L166" s="595">
        <v>383.09904999999998</v>
      </c>
      <c r="M166" s="594">
        <v>398.59706</v>
      </c>
      <c r="N166" s="594">
        <v>-15.498010000000001</v>
      </c>
      <c r="O166" s="594">
        <v>-3.8881395663078901</v>
      </c>
      <c r="P166" s="594">
        <v>120.34077000000001</v>
      </c>
      <c r="Q166" s="594">
        <v>262.75828000000001</v>
      </c>
      <c r="R166" s="594">
        <v>218.34518758688347</v>
      </c>
    </row>
    <row r="167" spans="1:18" ht="15.6" thickBot="1" x14ac:dyDescent="0.35">
      <c r="A167" s="199" t="str">
        <f t="shared" si="6"/>
        <v>13510SALARY BONUS PAYROLL</v>
      </c>
      <c r="B167" s="597" t="s">
        <v>474</v>
      </c>
      <c r="C167" s="597" t="s">
        <v>134</v>
      </c>
      <c r="D167" s="597" t="s">
        <v>135</v>
      </c>
      <c r="E167" s="596">
        <v>20</v>
      </c>
      <c r="F167" s="596"/>
      <c r="G167" s="596">
        <v>20</v>
      </c>
      <c r="H167" s="596">
        <v>0</v>
      </c>
      <c r="I167" s="596"/>
      <c r="J167" s="596">
        <v>20</v>
      </c>
      <c r="K167" s="596">
        <v>0</v>
      </c>
      <c r="L167" s="595">
        <v>29.43561</v>
      </c>
      <c r="M167" s="596"/>
      <c r="N167" s="596">
        <v>29.43561</v>
      </c>
      <c r="O167" s="596">
        <v>0</v>
      </c>
      <c r="P167" s="596">
        <v>5.6080199999999998</v>
      </c>
      <c r="Q167" s="596">
        <v>23.827590000000001</v>
      </c>
      <c r="R167" s="596">
        <v>424.8841837225973</v>
      </c>
    </row>
    <row r="168" spans="1:18" ht="15.6" thickBot="1" x14ac:dyDescent="0.35">
      <c r="A168" s="199" t="str">
        <f t="shared" si="6"/>
        <v>13510HOURLY BONUS PAYROLL</v>
      </c>
      <c r="B168" s="597" t="s">
        <v>474</v>
      </c>
      <c r="C168" s="597" t="s">
        <v>95</v>
      </c>
      <c r="D168" s="597" t="s">
        <v>96</v>
      </c>
      <c r="E168" s="594"/>
      <c r="F168" s="594"/>
      <c r="G168" s="594"/>
      <c r="H168" s="594"/>
      <c r="I168" s="594"/>
      <c r="J168" s="594"/>
      <c r="K168" s="594"/>
      <c r="L168" s="595">
        <v>0.14276</v>
      </c>
      <c r="M168" s="594"/>
      <c r="N168" s="594">
        <v>0.14276</v>
      </c>
      <c r="O168" s="594">
        <v>0</v>
      </c>
      <c r="P168" s="594">
        <v>0.14276</v>
      </c>
      <c r="Q168" s="594">
        <v>0</v>
      </c>
      <c r="R168" s="594">
        <v>0</v>
      </c>
    </row>
    <row r="169" spans="1:18" ht="15.6" thickBot="1" x14ac:dyDescent="0.35">
      <c r="A169" s="199" t="str">
        <f t="shared" si="6"/>
        <v>13510VACATION, SICK &amp; HOL</v>
      </c>
      <c r="B169" s="597" t="s">
        <v>474</v>
      </c>
      <c r="C169" s="597" t="s">
        <v>61</v>
      </c>
      <c r="D169" s="597" t="s">
        <v>62</v>
      </c>
      <c r="E169" s="596">
        <v>121.95932000000001</v>
      </c>
      <c r="F169" s="596">
        <v>127.85287</v>
      </c>
      <c r="G169" s="596">
        <v>-5.8935500000000003</v>
      </c>
      <c r="H169" s="596">
        <v>-4.6096344962768532</v>
      </c>
      <c r="I169" s="596">
        <v>0</v>
      </c>
      <c r="J169" s="596">
        <v>121.95932000000001</v>
      </c>
      <c r="K169" s="596">
        <v>0</v>
      </c>
      <c r="L169" s="595">
        <v>1412.86796</v>
      </c>
      <c r="M169" s="596">
        <v>1463.6749500000001</v>
      </c>
      <c r="N169" s="596">
        <v>-50.806989999999999</v>
      </c>
      <c r="O169" s="596">
        <v>-3.471193518752234</v>
      </c>
      <c r="P169" s="596">
        <v>695.80024000000003</v>
      </c>
      <c r="Q169" s="596">
        <v>717.06772000000001</v>
      </c>
      <c r="R169" s="596">
        <v>103.05654967868364</v>
      </c>
    </row>
    <row r="170" spans="1:18" ht="15.6" thickBot="1" x14ac:dyDescent="0.35">
      <c r="A170" s="199" t="str">
        <f t="shared" si="6"/>
        <v>13510PAYROLL OVERHEAD</v>
      </c>
      <c r="B170" s="597" t="s">
        <v>474</v>
      </c>
      <c r="C170" s="597" t="s">
        <v>63</v>
      </c>
      <c r="D170" s="597" t="s">
        <v>64</v>
      </c>
      <c r="E170" s="594">
        <v>600.52449999999999</v>
      </c>
      <c r="F170" s="594">
        <v>616.82824000000005</v>
      </c>
      <c r="G170" s="594">
        <v>-16.303740000000001</v>
      </c>
      <c r="H170" s="594">
        <v>-2.6431571939702372</v>
      </c>
      <c r="I170" s="594">
        <v>0</v>
      </c>
      <c r="J170" s="594">
        <v>600.52449999999999</v>
      </c>
      <c r="K170" s="594">
        <v>0</v>
      </c>
      <c r="L170" s="595">
        <v>6845.2214199999999</v>
      </c>
      <c r="M170" s="594">
        <v>7061.52333</v>
      </c>
      <c r="N170" s="594">
        <v>-216.30190999999999</v>
      </c>
      <c r="O170" s="594">
        <v>-3.0631055070096327</v>
      </c>
      <c r="P170" s="594">
        <v>3348.1461100000001</v>
      </c>
      <c r="Q170" s="594">
        <v>3497.0753100000002</v>
      </c>
      <c r="R170" s="594">
        <v>104.4481093449055</v>
      </c>
    </row>
    <row r="171" spans="1:18" ht="15.6" thickBot="1" x14ac:dyDescent="0.35">
      <c r="A171" s="199" t="str">
        <f t="shared" si="6"/>
        <v>13510NWN/580105</v>
      </c>
      <c r="B171" s="597" t="s">
        <v>474</v>
      </c>
      <c r="C171" s="597" t="s">
        <v>156</v>
      </c>
      <c r="D171" s="597" t="s">
        <v>157</v>
      </c>
      <c r="E171" s="596"/>
      <c r="F171" s="596">
        <v>0</v>
      </c>
      <c r="G171" s="596">
        <v>0</v>
      </c>
      <c r="H171" s="596">
        <v>0</v>
      </c>
      <c r="I171" s="596"/>
      <c r="J171" s="596"/>
      <c r="K171" s="596"/>
      <c r="L171" s="595">
        <v>2.8317000000000001</v>
      </c>
      <c r="M171" s="596">
        <v>0</v>
      </c>
      <c r="N171" s="596">
        <v>2.8317000000000001</v>
      </c>
      <c r="O171" s="596">
        <v>0</v>
      </c>
      <c r="P171" s="596"/>
      <c r="Q171" s="596">
        <v>2.8317000000000001</v>
      </c>
      <c r="R171" s="596">
        <v>0</v>
      </c>
    </row>
    <row r="172" spans="1:18" ht="15.6" thickBot="1" x14ac:dyDescent="0.35">
      <c r="A172" s="199" t="str">
        <f t="shared" si="6"/>
        <v>13510NWN/580301</v>
      </c>
      <c r="B172" s="597" t="s">
        <v>474</v>
      </c>
      <c r="C172" s="597" t="s">
        <v>182</v>
      </c>
      <c r="D172" s="597" t="s">
        <v>183</v>
      </c>
      <c r="E172" s="594">
        <v>25.743670000000002</v>
      </c>
      <c r="F172" s="594"/>
      <c r="G172" s="594">
        <v>25.743670000000002</v>
      </c>
      <c r="H172" s="594">
        <v>0</v>
      </c>
      <c r="I172" s="594"/>
      <c r="J172" s="594">
        <v>25.743670000000002</v>
      </c>
      <c r="K172" s="594">
        <v>0</v>
      </c>
      <c r="L172" s="595">
        <v>133.95312999999999</v>
      </c>
      <c r="M172" s="594"/>
      <c r="N172" s="594">
        <v>133.95312999999999</v>
      </c>
      <c r="O172" s="594">
        <v>0</v>
      </c>
      <c r="P172" s="594">
        <v>59.352690000000003</v>
      </c>
      <c r="Q172" s="594">
        <v>74.600440000000006</v>
      </c>
      <c r="R172" s="594">
        <v>125.69007403034303</v>
      </c>
    </row>
    <row r="173" spans="1:18" ht="15.6" thickBot="1" x14ac:dyDescent="0.35">
      <c r="A173" s="199" t="str">
        <f t="shared" si="6"/>
        <v>13510NWN/580305</v>
      </c>
      <c r="B173" s="597" t="s">
        <v>474</v>
      </c>
      <c r="C173" s="597" t="s">
        <v>184</v>
      </c>
      <c r="D173" s="597" t="s">
        <v>185</v>
      </c>
      <c r="E173" s="596">
        <v>1086.4335799999999</v>
      </c>
      <c r="F173" s="596"/>
      <c r="G173" s="596">
        <v>1086.4335799999999</v>
      </c>
      <c r="H173" s="596">
        <v>0</v>
      </c>
      <c r="I173" s="596"/>
      <c r="J173" s="596">
        <v>1086.4335799999999</v>
      </c>
      <c r="K173" s="596">
        <v>0</v>
      </c>
      <c r="L173" s="595">
        <v>12955.825140000001</v>
      </c>
      <c r="M173" s="596"/>
      <c r="N173" s="596">
        <v>12955.825140000001</v>
      </c>
      <c r="O173" s="596">
        <v>0</v>
      </c>
      <c r="P173" s="596">
        <v>6554.5339199999999</v>
      </c>
      <c r="Q173" s="596">
        <v>6401.2912200000001</v>
      </c>
      <c r="R173" s="596">
        <v>97.662035136740883</v>
      </c>
    </row>
    <row r="174" spans="1:18" ht="15.6" thickBot="1" x14ac:dyDescent="0.35">
      <c r="A174" s="199" t="str">
        <f t="shared" si="6"/>
        <v>13510NWN/580306</v>
      </c>
      <c r="B174" s="597" t="s">
        <v>474</v>
      </c>
      <c r="C174" s="598" t="s">
        <v>161</v>
      </c>
      <c r="D174" s="598" t="s">
        <v>162</v>
      </c>
      <c r="E174" s="594">
        <v>54.527140000000003</v>
      </c>
      <c r="F174" s="594"/>
      <c r="G174" s="594">
        <v>54.527140000000003</v>
      </c>
      <c r="H174" s="594">
        <v>0</v>
      </c>
      <c r="I174" s="594"/>
      <c r="J174" s="594">
        <v>54.527140000000003</v>
      </c>
      <c r="K174" s="594">
        <v>0</v>
      </c>
      <c r="L174" s="595">
        <v>342.81178999999997</v>
      </c>
      <c r="M174" s="594"/>
      <c r="N174" s="594">
        <v>342.81178999999997</v>
      </c>
      <c r="O174" s="594">
        <v>0</v>
      </c>
      <c r="P174" s="594">
        <v>136.49073999999999</v>
      </c>
      <c r="Q174" s="594">
        <v>206.32105000000001</v>
      </c>
      <c r="R174" s="594">
        <v>151.1612069800486</v>
      </c>
    </row>
    <row r="175" spans="1:18" ht="15.6" thickBot="1" x14ac:dyDescent="0.35">
      <c r="A175" s="199" t="str">
        <f t="shared" si="6"/>
        <v>13510SALARY PAYROLL ZTFSO</v>
      </c>
      <c r="B175" s="597" t="s">
        <v>474</v>
      </c>
      <c r="C175" s="597" t="s">
        <v>65</v>
      </c>
      <c r="D175" s="597" t="s">
        <v>66</v>
      </c>
      <c r="E175" s="596">
        <v>-10.438029999999999</v>
      </c>
      <c r="F175" s="596">
        <v>-7.4002699999999999</v>
      </c>
      <c r="G175" s="596">
        <v>-3.03776</v>
      </c>
      <c r="H175" s="596">
        <v>-41.049313065604366</v>
      </c>
      <c r="I175" s="596">
        <v>0</v>
      </c>
      <c r="J175" s="596">
        <v>-10.438029999999999</v>
      </c>
      <c r="K175" s="596">
        <v>0</v>
      </c>
      <c r="L175" s="595">
        <v>-131.2491</v>
      </c>
      <c r="M175" s="596">
        <v>-88.372159999999994</v>
      </c>
      <c r="N175" s="596">
        <v>-42.876939999999998</v>
      </c>
      <c r="O175" s="596">
        <v>-48.518605859582927</v>
      </c>
      <c r="P175" s="596">
        <v>-58.275460000000002</v>
      </c>
      <c r="Q175" s="596">
        <v>-72.973640000000003</v>
      </c>
      <c r="R175" s="596">
        <v>-125.22190301028941</v>
      </c>
    </row>
    <row r="176" spans="1:18" ht="15.6" thickBot="1" x14ac:dyDescent="0.35">
      <c r="A176" s="199" t="str">
        <f t="shared" si="6"/>
        <v>13510HRL - DBL TIME ZTFSO</v>
      </c>
      <c r="B176" s="597" t="s">
        <v>474</v>
      </c>
      <c r="C176" s="597" t="s">
        <v>186</v>
      </c>
      <c r="D176" s="597" t="s">
        <v>187</v>
      </c>
      <c r="E176" s="594">
        <v>-29.938610000000001</v>
      </c>
      <c r="F176" s="594"/>
      <c r="G176" s="594">
        <v>-29.938610000000001</v>
      </c>
      <c r="H176" s="594">
        <v>0</v>
      </c>
      <c r="I176" s="594"/>
      <c r="J176" s="594">
        <v>-29.938610000000001</v>
      </c>
      <c r="K176" s="594">
        <v>0</v>
      </c>
      <c r="L176" s="595">
        <v>-145.68633</v>
      </c>
      <c r="M176" s="594"/>
      <c r="N176" s="594">
        <v>-145.68633</v>
      </c>
      <c r="O176" s="594">
        <v>0</v>
      </c>
      <c r="P176" s="594">
        <v>-61.467399999999998</v>
      </c>
      <c r="Q176" s="594">
        <v>-84.21893</v>
      </c>
      <c r="R176" s="594">
        <v>-137.0139781412586</v>
      </c>
    </row>
    <row r="177" spans="1:18" ht="15.6" thickBot="1" x14ac:dyDescent="0.35">
      <c r="A177" s="199" t="str">
        <f t="shared" si="6"/>
        <v>13510HRLY - REGULAR ZTFSO</v>
      </c>
      <c r="B177" s="597" t="s">
        <v>474</v>
      </c>
      <c r="C177" s="597" t="s">
        <v>163</v>
      </c>
      <c r="D177" s="597" t="s">
        <v>164</v>
      </c>
      <c r="E177" s="596">
        <v>-1204.8245199999999</v>
      </c>
      <c r="F177" s="596">
        <v>-37.864579999999997</v>
      </c>
      <c r="G177" s="596">
        <v>-1166.95994</v>
      </c>
      <c r="H177" s="596">
        <v>-3081.930236648604</v>
      </c>
      <c r="I177" s="596">
        <v>0</v>
      </c>
      <c r="J177" s="596">
        <v>-1204.8245199999999</v>
      </c>
      <c r="K177" s="596">
        <v>0</v>
      </c>
      <c r="L177" s="595">
        <v>-14114.00837</v>
      </c>
      <c r="M177" s="596">
        <v>-442.20567999999997</v>
      </c>
      <c r="N177" s="596">
        <v>-13671.80269</v>
      </c>
      <c r="O177" s="596">
        <v>-3091.7293260457441</v>
      </c>
      <c r="P177" s="596">
        <v>-7103.1229899999998</v>
      </c>
      <c r="Q177" s="596">
        <v>-7010.8853799999997</v>
      </c>
      <c r="R177" s="596">
        <v>-98.701449909710774</v>
      </c>
    </row>
    <row r="178" spans="1:18" ht="15.6" thickBot="1" x14ac:dyDescent="0.35">
      <c r="A178" s="199" t="str">
        <f t="shared" si="6"/>
        <v>13510HRLY - OT ZTFSO</v>
      </c>
      <c r="B178" s="597" t="s">
        <v>474</v>
      </c>
      <c r="C178" s="597" t="s">
        <v>97</v>
      </c>
      <c r="D178" s="597" t="s">
        <v>98</v>
      </c>
      <c r="E178" s="594">
        <v>-60.0822</v>
      </c>
      <c r="F178" s="594"/>
      <c r="G178" s="594">
        <v>-60.0822</v>
      </c>
      <c r="H178" s="594">
        <v>0</v>
      </c>
      <c r="I178" s="594"/>
      <c r="J178" s="594">
        <v>-60.0822</v>
      </c>
      <c r="K178" s="594">
        <v>0</v>
      </c>
      <c r="L178" s="595">
        <v>-376.22338999999999</v>
      </c>
      <c r="M178" s="594"/>
      <c r="N178" s="594">
        <v>-376.22338999999999</v>
      </c>
      <c r="O178" s="594">
        <v>0</v>
      </c>
      <c r="P178" s="594">
        <v>-146.39796999999999</v>
      </c>
      <c r="Q178" s="594">
        <v>-229.82542000000001</v>
      </c>
      <c r="R178" s="594">
        <v>-156.98675329992622</v>
      </c>
    </row>
    <row r="179" spans="1:18" ht="15.6" thickBot="1" x14ac:dyDescent="0.35">
      <c r="A179" s="199" t="str">
        <f t="shared" si="6"/>
        <v>13510Payroll</v>
      </c>
      <c r="B179" s="597" t="s">
        <v>474</v>
      </c>
      <c r="C179" s="597" t="s">
        <v>67</v>
      </c>
      <c r="D179" s="597" t="s">
        <v>68</v>
      </c>
      <c r="E179" s="596">
        <v>1386.2560800000001</v>
      </c>
      <c r="F179" s="596">
        <v>1573.5638899999999</v>
      </c>
      <c r="G179" s="596">
        <v>-187.30780999999999</v>
      </c>
      <c r="H179" s="596">
        <v>-11.903413086074313</v>
      </c>
      <c r="I179" s="596">
        <v>0</v>
      </c>
      <c r="J179" s="596">
        <v>1386.2560800000001</v>
      </c>
      <c r="K179" s="596">
        <v>0</v>
      </c>
      <c r="L179" s="595">
        <v>16517.48847</v>
      </c>
      <c r="M179" s="596">
        <v>17836.281559999999</v>
      </c>
      <c r="N179" s="596">
        <v>-1318.7930899999999</v>
      </c>
      <c r="O179" s="596">
        <v>-7.393879074871478</v>
      </c>
      <c r="P179" s="596">
        <v>8172.8158800000001</v>
      </c>
      <c r="Q179" s="596">
        <v>8344.6725900000001</v>
      </c>
      <c r="R179" s="596">
        <v>102.10278455459344</v>
      </c>
    </row>
    <row r="180" spans="1:18" ht="15.6" thickBot="1" x14ac:dyDescent="0.35">
      <c r="A180" s="199" t="str">
        <f t="shared" si="6"/>
        <v>13510EDUCATION</v>
      </c>
      <c r="B180" s="597" t="s">
        <v>474</v>
      </c>
      <c r="C180" s="597" t="s">
        <v>69</v>
      </c>
      <c r="D180" s="597" t="s">
        <v>70</v>
      </c>
      <c r="E180" s="594"/>
      <c r="F180" s="594"/>
      <c r="G180" s="594"/>
      <c r="H180" s="594"/>
      <c r="I180" s="594"/>
      <c r="J180" s="594"/>
      <c r="K180" s="594"/>
      <c r="L180" s="595">
        <v>0.69499999999999995</v>
      </c>
      <c r="M180" s="594"/>
      <c r="N180" s="594">
        <v>0.69499999999999995</v>
      </c>
      <c r="O180" s="594">
        <v>0</v>
      </c>
      <c r="P180" s="594"/>
      <c r="Q180" s="594">
        <v>0.69499999999999995</v>
      </c>
      <c r="R180" s="594">
        <v>0</v>
      </c>
    </row>
    <row r="181" spans="1:18" ht="15.6" thickBot="1" x14ac:dyDescent="0.35">
      <c r="A181" s="199" t="str">
        <f t="shared" si="6"/>
        <v>13510MATERIALS</v>
      </c>
      <c r="B181" s="597" t="s">
        <v>474</v>
      </c>
      <c r="C181" s="597" t="s">
        <v>99</v>
      </c>
      <c r="D181" s="597" t="s">
        <v>100</v>
      </c>
      <c r="E181" s="596">
        <v>1.2708999999999999</v>
      </c>
      <c r="F181" s="596">
        <v>10.83333</v>
      </c>
      <c r="G181" s="596">
        <v>-9.5624300000000009</v>
      </c>
      <c r="H181" s="596">
        <v>-88.268611774957463</v>
      </c>
      <c r="I181" s="596">
        <v>10.83333</v>
      </c>
      <c r="J181" s="596">
        <v>-9.5624300000000009</v>
      </c>
      <c r="K181" s="596">
        <v>-88.268611774957463</v>
      </c>
      <c r="L181" s="595">
        <v>15.75041</v>
      </c>
      <c r="M181" s="596">
        <v>129.99995999999999</v>
      </c>
      <c r="N181" s="596">
        <v>-114.24955</v>
      </c>
      <c r="O181" s="596">
        <v>-87.884296272091163</v>
      </c>
      <c r="P181" s="596">
        <v>39.181260000000002</v>
      </c>
      <c r="Q181" s="596">
        <v>-23.43085</v>
      </c>
      <c r="R181" s="596">
        <v>-59.801165148849222</v>
      </c>
    </row>
    <row r="182" spans="1:18" ht="15.6" thickBot="1" x14ac:dyDescent="0.35">
      <c r="A182" s="199" t="str">
        <f t="shared" si="6"/>
        <v>13510MATERIALS - CONS INV</v>
      </c>
      <c r="B182" s="597" t="s">
        <v>474</v>
      </c>
      <c r="C182" s="597" t="s">
        <v>165</v>
      </c>
      <c r="D182" s="597" t="s">
        <v>166</v>
      </c>
      <c r="E182" s="594">
        <v>5.5364399999999998</v>
      </c>
      <c r="F182" s="594"/>
      <c r="G182" s="594">
        <v>5.5364399999999998</v>
      </c>
      <c r="H182" s="594">
        <v>0</v>
      </c>
      <c r="I182" s="594"/>
      <c r="J182" s="594">
        <v>5.5364399999999998</v>
      </c>
      <c r="K182" s="594">
        <v>0</v>
      </c>
      <c r="L182" s="595">
        <v>48.425879999999999</v>
      </c>
      <c r="M182" s="594"/>
      <c r="N182" s="594">
        <v>48.425879999999999</v>
      </c>
      <c r="O182" s="594">
        <v>0</v>
      </c>
      <c r="P182" s="594">
        <v>18.594529999999999</v>
      </c>
      <c r="Q182" s="594">
        <v>29.83135</v>
      </c>
      <c r="R182" s="594">
        <v>160.4307826011198</v>
      </c>
    </row>
    <row r="183" spans="1:18" ht="15.6" thickBot="1" x14ac:dyDescent="0.35">
      <c r="A183" s="199" t="str">
        <f t="shared" si="6"/>
        <v>13510MATERIALS -CONS PIPE</v>
      </c>
      <c r="B183" s="597" t="s">
        <v>474</v>
      </c>
      <c r="C183" s="597" t="s">
        <v>188</v>
      </c>
      <c r="D183" s="597" t="s">
        <v>189</v>
      </c>
      <c r="E183" s="596">
        <v>1.2930000000000001E-2</v>
      </c>
      <c r="F183" s="596"/>
      <c r="G183" s="596">
        <v>1.2930000000000001E-2</v>
      </c>
      <c r="H183" s="596">
        <v>0</v>
      </c>
      <c r="I183" s="596"/>
      <c r="J183" s="596">
        <v>1.2930000000000001E-2</v>
      </c>
      <c r="K183" s="596">
        <v>0</v>
      </c>
      <c r="L183" s="595">
        <v>2.971E-2</v>
      </c>
      <c r="M183" s="596"/>
      <c r="N183" s="596">
        <v>2.971E-2</v>
      </c>
      <c r="O183" s="596">
        <v>0</v>
      </c>
      <c r="P183" s="596">
        <v>1.6230000000000001E-2</v>
      </c>
      <c r="Q183" s="596">
        <v>1.3480000000000001E-2</v>
      </c>
      <c r="R183" s="596">
        <v>83.056069008009857</v>
      </c>
    </row>
    <row r="184" spans="1:18" ht="15.6" thickBot="1" x14ac:dyDescent="0.35">
      <c r="A184" s="199" t="str">
        <f t="shared" si="6"/>
        <v>13510MILEAGE REIMBURSE</v>
      </c>
      <c r="B184" s="597" t="s">
        <v>474</v>
      </c>
      <c r="C184" s="597" t="s">
        <v>137</v>
      </c>
      <c r="D184" s="597" t="s">
        <v>138</v>
      </c>
      <c r="E184" s="594">
        <v>0.79056000000000004</v>
      </c>
      <c r="F184" s="594">
        <v>2.5</v>
      </c>
      <c r="G184" s="594">
        <v>-1.7094400000000001</v>
      </c>
      <c r="H184" s="594">
        <v>-68.377600000000001</v>
      </c>
      <c r="I184" s="594">
        <v>2.5</v>
      </c>
      <c r="J184" s="594">
        <v>-1.7094400000000001</v>
      </c>
      <c r="K184" s="594">
        <v>-68.377600000000001</v>
      </c>
      <c r="L184" s="595">
        <v>25.899480000000001</v>
      </c>
      <c r="M184" s="594">
        <v>30</v>
      </c>
      <c r="N184" s="594">
        <v>-4.1005200000000004</v>
      </c>
      <c r="O184" s="594">
        <v>-13.6684</v>
      </c>
      <c r="P184" s="594">
        <v>20.392499999999998</v>
      </c>
      <c r="Q184" s="594">
        <v>5.5069800000000004</v>
      </c>
      <c r="R184" s="594">
        <v>27.004928282456785</v>
      </c>
    </row>
    <row r="185" spans="1:18" ht="15.6" thickBot="1" x14ac:dyDescent="0.35">
      <c r="A185" s="199" t="str">
        <f t="shared" si="6"/>
        <v>13510TRANSPORTATION</v>
      </c>
      <c r="B185" s="597" t="s">
        <v>474</v>
      </c>
      <c r="C185" s="597" t="s">
        <v>190</v>
      </c>
      <c r="D185" s="597" t="s">
        <v>191</v>
      </c>
      <c r="E185" s="596">
        <v>15.17611</v>
      </c>
      <c r="F185" s="596">
        <v>15.08</v>
      </c>
      <c r="G185" s="596">
        <v>9.6110000000000001E-2</v>
      </c>
      <c r="H185" s="596">
        <v>0.63733421750663133</v>
      </c>
      <c r="I185" s="596">
        <v>15.08</v>
      </c>
      <c r="J185" s="596">
        <v>9.6110000000000001E-2</v>
      </c>
      <c r="K185" s="596">
        <v>0.63733421750663133</v>
      </c>
      <c r="L185" s="595">
        <v>181.76114000000001</v>
      </c>
      <c r="M185" s="596">
        <v>180.96</v>
      </c>
      <c r="N185" s="596">
        <v>0.80113999999999996</v>
      </c>
      <c r="O185" s="596">
        <v>0.44271662245800175</v>
      </c>
      <c r="P185" s="596">
        <v>136.30153000000001</v>
      </c>
      <c r="Q185" s="596">
        <v>45.459609999999998</v>
      </c>
      <c r="R185" s="596">
        <v>33.352237498728002</v>
      </c>
    </row>
    <row r="186" spans="1:18" ht="15.6" thickBot="1" x14ac:dyDescent="0.35">
      <c r="A186" s="199" t="str">
        <f t="shared" si="6"/>
        <v>13510EQUIPMENT</v>
      </c>
      <c r="B186" s="597" t="s">
        <v>474</v>
      </c>
      <c r="C186" s="597" t="s">
        <v>36</v>
      </c>
      <c r="D186" s="597" t="s">
        <v>192</v>
      </c>
      <c r="E186" s="594">
        <v>123.79018000000001</v>
      </c>
      <c r="F186" s="594">
        <v>107.4</v>
      </c>
      <c r="G186" s="594">
        <v>16.390180000000001</v>
      </c>
      <c r="H186" s="594">
        <v>15.260875232774675</v>
      </c>
      <c r="I186" s="594">
        <v>107.4</v>
      </c>
      <c r="J186" s="594">
        <v>16.390180000000001</v>
      </c>
      <c r="K186" s="594">
        <v>15.260875232774675</v>
      </c>
      <c r="L186" s="595">
        <v>1473.0888600000001</v>
      </c>
      <c r="M186" s="594">
        <v>1288.8</v>
      </c>
      <c r="N186" s="594">
        <v>184.28886</v>
      </c>
      <c r="O186" s="594">
        <v>14.299259776536314</v>
      </c>
      <c r="P186" s="594">
        <v>1032.98252</v>
      </c>
      <c r="Q186" s="594">
        <v>440.10633999999999</v>
      </c>
      <c r="R186" s="594">
        <v>42.605400525073748</v>
      </c>
    </row>
    <row r="187" spans="1:18" ht="15.6" thickBot="1" x14ac:dyDescent="0.35">
      <c r="A187" s="199" t="str">
        <f t="shared" si="6"/>
        <v>13510OTHER CONTRACT WORK</v>
      </c>
      <c r="B187" s="597" t="s">
        <v>474</v>
      </c>
      <c r="C187" s="597" t="s">
        <v>101</v>
      </c>
      <c r="D187" s="597" t="s">
        <v>102</v>
      </c>
      <c r="E187" s="596"/>
      <c r="F187" s="596">
        <v>0.15</v>
      </c>
      <c r="G187" s="596">
        <v>-0.15</v>
      </c>
      <c r="H187" s="596">
        <v>-100</v>
      </c>
      <c r="I187" s="596">
        <v>0.15</v>
      </c>
      <c r="J187" s="596">
        <v>-0.15</v>
      </c>
      <c r="K187" s="596">
        <v>-100</v>
      </c>
      <c r="L187" s="595">
        <v>4.0038400000000003</v>
      </c>
      <c r="M187" s="596">
        <v>1.8</v>
      </c>
      <c r="N187" s="596">
        <v>2.20384</v>
      </c>
      <c r="O187" s="596">
        <v>122.43555555555555</v>
      </c>
      <c r="P187" s="596">
        <v>2.3297400000000001</v>
      </c>
      <c r="Q187" s="596">
        <v>1.6740999999999999</v>
      </c>
      <c r="R187" s="596">
        <v>71.857803875110534</v>
      </c>
    </row>
    <row r="188" spans="1:18" ht="15.6" thickBot="1" x14ac:dyDescent="0.35">
      <c r="A188" s="199" t="str">
        <f t="shared" si="6"/>
        <v>13510WELDING</v>
      </c>
      <c r="B188" s="597" t="s">
        <v>474</v>
      </c>
      <c r="C188" s="597" t="s">
        <v>475</v>
      </c>
      <c r="D188" s="597" t="s">
        <v>476</v>
      </c>
      <c r="E188" s="594"/>
      <c r="F188" s="594"/>
      <c r="G188" s="594"/>
      <c r="H188" s="594"/>
      <c r="I188" s="594"/>
      <c r="J188" s="594"/>
      <c r="K188" s="594"/>
      <c r="L188" s="595">
        <v>1.6859</v>
      </c>
      <c r="M188" s="594"/>
      <c r="N188" s="594">
        <v>1.6859</v>
      </c>
      <c r="O188" s="594">
        <v>0</v>
      </c>
      <c r="P188" s="594">
        <v>1.1728000000000001</v>
      </c>
      <c r="Q188" s="594">
        <v>0.5131</v>
      </c>
      <c r="R188" s="594">
        <v>43.75</v>
      </c>
    </row>
    <row r="189" spans="1:18" ht="15.6" thickBot="1" x14ac:dyDescent="0.35">
      <c r="A189" s="199" t="str">
        <f t="shared" si="6"/>
        <v>13510FLAGGING</v>
      </c>
      <c r="B189" s="597" t="s">
        <v>474</v>
      </c>
      <c r="C189" s="597" t="s">
        <v>193</v>
      </c>
      <c r="D189" s="597" t="s">
        <v>194</v>
      </c>
      <c r="E189" s="596">
        <v>-2.0122399999999998</v>
      </c>
      <c r="F189" s="596"/>
      <c r="G189" s="596">
        <v>-2.0122399999999998</v>
      </c>
      <c r="H189" s="596">
        <v>0</v>
      </c>
      <c r="I189" s="596"/>
      <c r="J189" s="596">
        <v>-2.0122399999999998</v>
      </c>
      <c r="K189" s="596">
        <v>0</v>
      </c>
      <c r="L189" s="595">
        <v>0.53415999999999997</v>
      </c>
      <c r="M189" s="596"/>
      <c r="N189" s="596">
        <v>0.53415999999999997</v>
      </c>
      <c r="O189" s="596">
        <v>0</v>
      </c>
      <c r="P189" s="596">
        <v>0.38640000000000002</v>
      </c>
      <c r="Q189" s="596">
        <v>0.14776</v>
      </c>
      <c r="R189" s="596">
        <v>38.240165631469978</v>
      </c>
    </row>
    <row r="190" spans="1:18" ht="15.6" thickBot="1" x14ac:dyDescent="0.35">
      <c r="A190" s="199" t="str">
        <f t="shared" si="6"/>
        <v>13510MISCELLANEOUS</v>
      </c>
      <c r="B190" s="597" t="s">
        <v>474</v>
      </c>
      <c r="C190" s="597" t="s">
        <v>103</v>
      </c>
      <c r="D190" s="597" t="s">
        <v>104</v>
      </c>
      <c r="E190" s="594"/>
      <c r="F190" s="594"/>
      <c r="G190" s="594"/>
      <c r="H190" s="594"/>
      <c r="I190" s="594"/>
      <c r="J190" s="594"/>
      <c r="K190" s="594"/>
      <c r="L190" s="595">
        <v>0.18101</v>
      </c>
      <c r="M190" s="594"/>
      <c r="N190" s="594">
        <v>0.18101</v>
      </c>
      <c r="O190" s="594">
        <v>0</v>
      </c>
      <c r="P190" s="594">
        <v>2.835E-2</v>
      </c>
      <c r="Q190" s="594">
        <v>0.15265999999999999</v>
      </c>
      <c r="R190" s="594">
        <v>538.4832451499118</v>
      </c>
    </row>
    <row r="191" spans="1:18" ht="15.6" thickBot="1" x14ac:dyDescent="0.35">
      <c r="A191" s="199" t="str">
        <f t="shared" si="6"/>
        <v>13510P CARD UNCODED CHARG</v>
      </c>
      <c r="B191" s="597" t="s">
        <v>474</v>
      </c>
      <c r="C191" s="597" t="s">
        <v>71</v>
      </c>
      <c r="D191" s="597" t="s">
        <v>72</v>
      </c>
      <c r="E191" s="596"/>
      <c r="F191" s="596"/>
      <c r="G191" s="596"/>
      <c r="H191" s="596"/>
      <c r="I191" s="596"/>
      <c r="J191" s="596"/>
      <c r="K191" s="596"/>
      <c r="L191" s="595">
        <v>0.37496000000000002</v>
      </c>
      <c r="M191" s="596"/>
      <c r="N191" s="596">
        <v>0.37496000000000002</v>
      </c>
      <c r="O191" s="596">
        <v>0</v>
      </c>
      <c r="P191" s="596">
        <v>0.15895999999999999</v>
      </c>
      <c r="Q191" s="596">
        <v>0.216</v>
      </c>
      <c r="R191" s="596">
        <v>135.88324106693508</v>
      </c>
    </row>
    <row r="192" spans="1:18" ht="15.6" thickBot="1" x14ac:dyDescent="0.35">
      <c r="A192" s="199" t="str">
        <f t="shared" si="6"/>
        <v>13510TELEPHONE</v>
      </c>
      <c r="B192" s="597" t="s">
        <v>474</v>
      </c>
      <c r="C192" s="598" t="s">
        <v>107</v>
      </c>
      <c r="D192" s="598" t="s">
        <v>108</v>
      </c>
      <c r="E192" s="594"/>
      <c r="F192" s="594"/>
      <c r="G192" s="594"/>
      <c r="H192" s="594"/>
      <c r="I192" s="594"/>
      <c r="J192" s="594"/>
      <c r="K192" s="594"/>
      <c r="L192" s="595">
        <v>0.10785</v>
      </c>
      <c r="M192" s="594"/>
      <c r="N192" s="594">
        <v>0.10785</v>
      </c>
      <c r="O192" s="594">
        <v>0</v>
      </c>
      <c r="P192" s="594">
        <v>0.10785</v>
      </c>
      <c r="Q192" s="594">
        <v>0</v>
      </c>
      <c r="R192" s="594">
        <v>0</v>
      </c>
    </row>
    <row r="193" spans="1:18" ht="15.6" thickBot="1" x14ac:dyDescent="0.35">
      <c r="A193" s="199" t="str">
        <f t="shared" si="6"/>
        <v>13510COMPANY GAS USE</v>
      </c>
      <c r="B193" s="597" t="s">
        <v>474</v>
      </c>
      <c r="C193" s="599" t="s">
        <v>199</v>
      </c>
      <c r="D193" s="599" t="s">
        <v>200</v>
      </c>
      <c r="E193" s="596"/>
      <c r="F193" s="596"/>
      <c r="G193" s="596"/>
      <c r="H193" s="596"/>
      <c r="I193" s="596"/>
      <c r="J193" s="596"/>
      <c r="K193" s="596"/>
      <c r="L193" s="595">
        <v>92.162970000000001</v>
      </c>
      <c r="M193" s="596">
        <v>100</v>
      </c>
      <c r="N193" s="596">
        <v>-7.8370300000000004</v>
      </c>
      <c r="O193" s="596">
        <v>-7.8370300000000004</v>
      </c>
      <c r="P193" s="596">
        <v>0</v>
      </c>
      <c r="Q193" s="596">
        <v>92.162970000000001</v>
      </c>
      <c r="R193" s="596">
        <v>0</v>
      </c>
    </row>
    <row r="194" spans="1:18" ht="15.6" thickBot="1" x14ac:dyDescent="0.35">
      <c r="A194" s="199" t="str">
        <f t="shared" si="6"/>
        <v>13510OFFICE SUPPLIES</v>
      </c>
      <c r="B194" s="597" t="s">
        <v>474</v>
      </c>
      <c r="C194" s="597" t="s">
        <v>73</v>
      </c>
      <c r="D194" s="597" t="s">
        <v>74</v>
      </c>
      <c r="E194" s="594">
        <v>0.92974999999999997</v>
      </c>
      <c r="F194" s="594">
        <v>1</v>
      </c>
      <c r="G194" s="594">
        <v>-7.0250000000000007E-2</v>
      </c>
      <c r="H194" s="594">
        <v>-7.0250000000000004</v>
      </c>
      <c r="I194" s="594">
        <v>1</v>
      </c>
      <c r="J194" s="594">
        <v>-7.0250000000000007E-2</v>
      </c>
      <c r="K194" s="594">
        <v>-7.0250000000000004</v>
      </c>
      <c r="L194" s="595">
        <v>9.78477</v>
      </c>
      <c r="M194" s="594">
        <v>12</v>
      </c>
      <c r="N194" s="594">
        <v>-2.21523</v>
      </c>
      <c r="O194" s="594">
        <v>-18.460249999999998</v>
      </c>
      <c r="P194" s="594">
        <v>6.9268599999999996</v>
      </c>
      <c r="Q194" s="594">
        <v>2.85791</v>
      </c>
      <c r="R194" s="594">
        <v>41.258376811426821</v>
      </c>
    </row>
    <row r="195" spans="1:18" ht="15.6" thickBot="1" x14ac:dyDescent="0.35">
      <c r="A195" s="199" t="str">
        <f t="shared" si="6"/>
        <v>13510PRINTING</v>
      </c>
      <c r="B195" s="597" t="s">
        <v>474</v>
      </c>
      <c r="C195" s="597" t="s">
        <v>111</v>
      </c>
      <c r="D195" s="597" t="s">
        <v>112</v>
      </c>
      <c r="E195" s="596">
        <v>2.8626499999999999</v>
      </c>
      <c r="F195" s="596">
        <v>2.35</v>
      </c>
      <c r="G195" s="596">
        <v>0.51265000000000005</v>
      </c>
      <c r="H195" s="596">
        <v>21.814893617021276</v>
      </c>
      <c r="I195" s="596">
        <v>2.35</v>
      </c>
      <c r="J195" s="596">
        <v>0.51265000000000005</v>
      </c>
      <c r="K195" s="596">
        <v>21.814893617021276</v>
      </c>
      <c r="L195" s="595">
        <v>24.563220000000001</v>
      </c>
      <c r="M195" s="596">
        <v>28.2</v>
      </c>
      <c r="N195" s="596">
        <v>-3.6367799999999999</v>
      </c>
      <c r="O195" s="596">
        <v>-12.896382978723404</v>
      </c>
      <c r="P195" s="596">
        <v>24.325019999999999</v>
      </c>
      <c r="Q195" s="596">
        <v>0.2382</v>
      </c>
      <c r="R195" s="596">
        <v>0.97923866044097807</v>
      </c>
    </row>
    <row r="196" spans="1:18" ht="15.6" thickBot="1" x14ac:dyDescent="0.35">
      <c r="A196" s="199" t="str">
        <f t="shared" si="6"/>
        <v>13510BOOKS AND MAGAZINES</v>
      </c>
      <c r="B196" s="597" t="s">
        <v>474</v>
      </c>
      <c r="C196" s="597" t="s">
        <v>141</v>
      </c>
      <c r="D196" s="597" t="s">
        <v>142</v>
      </c>
      <c r="E196" s="594"/>
      <c r="F196" s="594"/>
      <c r="G196" s="594"/>
      <c r="H196" s="594"/>
      <c r="I196" s="594"/>
      <c r="J196" s="594"/>
      <c r="K196" s="594"/>
      <c r="L196" s="595">
        <v>2.3939999999999999E-2</v>
      </c>
      <c r="M196" s="594"/>
      <c r="N196" s="594">
        <v>2.3939999999999999E-2</v>
      </c>
      <c r="O196" s="594">
        <v>0</v>
      </c>
      <c r="P196" s="594">
        <v>2.3939999999999999E-2</v>
      </c>
      <c r="Q196" s="594">
        <v>0</v>
      </c>
      <c r="R196" s="594">
        <v>0</v>
      </c>
    </row>
    <row r="197" spans="1:18" ht="15.6" thickBot="1" x14ac:dyDescent="0.35">
      <c r="A197" s="199" t="str">
        <f t="shared" si="6"/>
        <v>13510REFRESHMENTS</v>
      </c>
      <c r="B197" s="597" t="s">
        <v>474</v>
      </c>
      <c r="C197" s="597" t="s">
        <v>113</v>
      </c>
      <c r="D197" s="597" t="s">
        <v>114</v>
      </c>
      <c r="E197" s="596">
        <v>1.89557</v>
      </c>
      <c r="F197" s="596">
        <v>1.6</v>
      </c>
      <c r="G197" s="596">
        <v>0.29557</v>
      </c>
      <c r="H197" s="596">
        <v>18.473125</v>
      </c>
      <c r="I197" s="596">
        <v>1.6</v>
      </c>
      <c r="J197" s="596">
        <v>0.29557</v>
      </c>
      <c r="K197" s="596">
        <v>18.473125</v>
      </c>
      <c r="L197" s="595">
        <v>20.605979999999999</v>
      </c>
      <c r="M197" s="596">
        <v>19.2</v>
      </c>
      <c r="N197" s="596">
        <v>1.40598</v>
      </c>
      <c r="O197" s="596">
        <v>7.3228125000000004</v>
      </c>
      <c r="P197" s="596">
        <v>14.366899999999999</v>
      </c>
      <c r="Q197" s="596">
        <v>6.2390800000000004</v>
      </c>
      <c r="R197" s="596">
        <v>43.426765690580432</v>
      </c>
    </row>
    <row r="198" spans="1:18" ht="15.6" thickBot="1" x14ac:dyDescent="0.35">
      <c r="A198" s="199" t="str">
        <f t="shared" si="6"/>
        <v>13510TOOL EXPENSE</v>
      </c>
      <c r="B198" s="597" t="s">
        <v>474</v>
      </c>
      <c r="C198" s="597" t="s">
        <v>201</v>
      </c>
      <c r="D198" s="597" t="s">
        <v>202</v>
      </c>
      <c r="E198" s="594"/>
      <c r="F198" s="594">
        <v>1</v>
      </c>
      <c r="G198" s="594">
        <v>-1</v>
      </c>
      <c r="H198" s="594">
        <v>-100</v>
      </c>
      <c r="I198" s="594">
        <v>1</v>
      </c>
      <c r="J198" s="594">
        <v>-1</v>
      </c>
      <c r="K198" s="594">
        <v>-100</v>
      </c>
      <c r="L198" s="595">
        <v>11.88368</v>
      </c>
      <c r="M198" s="594">
        <v>18</v>
      </c>
      <c r="N198" s="594">
        <v>-6.11632</v>
      </c>
      <c r="O198" s="594">
        <v>-33.979555555555557</v>
      </c>
      <c r="P198" s="594">
        <v>4.9701599999999999</v>
      </c>
      <c r="Q198" s="594">
        <v>6.9135200000000001</v>
      </c>
      <c r="R198" s="594">
        <v>139.10055209490238</v>
      </c>
    </row>
    <row r="199" spans="1:18" ht="15.6" thickBot="1" x14ac:dyDescent="0.35">
      <c r="A199" s="199" t="str">
        <f t="shared" si="6"/>
        <v>13510CASH RECEIPTS</v>
      </c>
      <c r="B199" s="597" t="s">
        <v>474</v>
      </c>
      <c r="C199" s="597" t="s">
        <v>117</v>
      </c>
      <c r="D199" s="597" t="s">
        <v>118</v>
      </c>
      <c r="E199" s="596"/>
      <c r="F199" s="596"/>
      <c r="G199" s="596"/>
      <c r="H199" s="596"/>
      <c r="I199" s="596"/>
      <c r="J199" s="596"/>
      <c r="K199" s="596"/>
      <c r="L199" s="595">
        <v>0.15379000000000001</v>
      </c>
      <c r="M199" s="596"/>
      <c r="N199" s="596">
        <v>0.15379000000000001</v>
      </c>
      <c r="O199" s="596">
        <v>0</v>
      </c>
      <c r="P199" s="596">
        <v>2.5000000000000001E-2</v>
      </c>
      <c r="Q199" s="596">
        <v>0.12878999999999999</v>
      </c>
      <c r="R199" s="596">
        <v>515.16</v>
      </c>
    </row>
    <row r="200" spans="1:18" ht="15.6" thickBot="1" x14ac:dyDescent="0.35">
      <c r="A200" s="199" t="str">
        <f t="shared" si="6"/>
        <v>13510DEALER RELATIONS</v>
      </c>
      <c r="B200" s="597" t="s">
        <v>474</v>
      </c>
      <c r="C200" s="597" t="s">
        <v>143</v>
      </c>
      <c r="D200" s="597" t="s">
        <v>144</v>
      </c>
      <c r="E200" s="594"/>
      <c r="F200" s="594"/>
      <c r="G200" s="594"/>
      <c r="H200" s="594"/>
      <c r="I200" s="594"/>
      <c r="J200" s="594"/>
      <c r="K200" s="594"/>
      <c r="L200" s="595">
        <v>0.01</v>
      </c>
      <c r="M200" s="594"/>
      <c r="N200" s="594">
        <v>0.01</v>
      </c>
      <c r="O200" s="594">
        <v>0</v>
      </c>
      <c r="P200" s="594"/>
      <c r="Q200" s="594">
        <v>0.01</v>
      </c>
      <c r="R200" s="594">
        <v>0</v>
      </c>
    </row>
    <row r="201" spans="1:18" ht="15.6" thickBot="1" x14ac:dyDescent="0.35">
      <c r="A201" s="199" t="str">
        <f t="shared" si="6"/>
        <v>13510PARKING</v>
      </c>
      <c r="B201" s="597" t="s">
        <v>474</v>
      </c>
      <c r="C201" s="598" t="s">
        <v>145</v>
      </c>
      <c r="D201" s="598" t="s">
        <v>146</v>
      </c>
      <c r="E201" s="596">
        <v>8.5400000000000004E-2</v>
      </c>
      <c r="F201" s="596">
        <v>0.21818000000000001</v>
      </c>
      <c r="G201" s="596">
        <v>-0.13278000000000001</v>
      </c>
      <c r="H201" s="596">
        <v>-60.858007150059585</v>
      </c>
      <c r="I201" s="596">
        <v>0.21818000000000001</v>
      </c>
      <c r="J201" s="596">
        <v>-0.13278000000000001</v>
      </c>
      <c r="K201" s="596">
        <v>-60.858007150059585</v>
      </c>
      <c r="L201" s="595">
        <v>8.8302499999999995</v>
      </c>
      <c r="M201" s="596">
        <v>7.9999799999999999</v>
      </c>
      <c r="N201" s="596">
        <v>0.83026999999999995</v>
      </c>
      <c r="O201" s="596">
        <v>10.378400946002365</v>
      </c>
      <c r="P201" s="596">
        <v>7.8307900000000004</v>
      </c>
      <c r="Q201" s="596">
        <v>0.99946000000000002</v>
      </c>
      <c r="R201" s="596">
        <v>12.763207798957705</v>
      </c>
    </row>
    <row r="202" spans="1:18" ht="15.6" thickBot="1" x14ac:dyDescent="0.35">
      <c r="A202" s="199" t="str">
        <f t="shared" si="6"/>
        <v>13510LAUNDRY</v>
      </c>
      <c r="B202" s="597" t="s">
        <v>474</v>
      </c>
      <c r="C202" s="597" t="s">
        <v>147</v>
      </c>
      <c r="D202" s="597" t="s">
        <v>148</v>
      </c>
      <c r="E202" s="594">
        <v>2.5726100000000001</v>
      </c>
      <c r="F202" s="594">
        <v>1</v>
      </c>
      <c r="G202" s="594">
        <v>1.5726100000000001</v>
      </c>
      <c r="H202" s="594">
        <v>157.261</v>
      </c>
      <c r="I202" s="594">
        <v>1</v>
      </c>
      <c r="J202" s="594">
        <v>1.5726100000000001</v>
      </c>
      <c r="K202" s="594">
        <v>157.261</v>
      </c>
      <c r="L202" s="595">
        <v>18.336040000000001</v>
      </c>
      <c r="M202" s="594">
        <v>12</v>
      </c>
      <c r="N202" s="594">
        <v>6.3360399999999997</v>
      </c>
      <c r="O202" s="594">
        <v>52.800333333333334</v>
      </c>
      <c r="P202" s="594">
        <v>12.281459999999999</v>
      </c>
      <c r="Q202" s="594">
        <v>6.0545799999999996</v>
      </c>
      <c r="R202" s="594">
        <v>49.298536167524055</v>
      </c>
    </row>
    <row r="203" spans="1:18" ht="15.6" thickBot="1" x14ac:dyDescent="0.35">
      <c r="A203" s="199" t="str">
        <f t="shared" si="6"/>
        <v>13510UNIFORMS</v>
      </c>
      <c r="B203" s="597" t="s">
        <v>474</v>
      </c>
      <c r="C203" s="597" t="s">
        <v>203</v>
      </c>
      <c r="D203" s="597" t="s">
        <v>204</v>
      </c>
      <c r="E203" s="596">
        <v>33.51444</v>
      </c>
      <c r="F203" s="596">
        <v>21.703330000000001</v>
      </c>
      <c r="G203" s="596">
        <v>11.811109999999999</v>
      </c>
      <c r="H203" s="596">
        <v>54.42072714187178</v>
      </c>
      <c r="I203" s="596">
        <v>21.703330000000001</v>
      </c>
      <c r="J203" s="596">
        <v>11.811109999999999</v>
      </c>
      <c r="K203" s="596">
        <v>54.42072714187178</v>
      </c>
      <c r="L203" s="595">
        <v>141.01911000000001</v>
      </c>
      <c r="M203" s="596">
        <v>132.99999</v>
      </c>
      <c r="N203" s="596">
        <v>8.0191199999999991</v>
      </c>
      <c r="O203" s="596">
        <v>6.0294139871739842</v>
      </c>
      <c r="P203" s="596">
        <v>116.88043</v>
      </c>
      <c r="Q203" s="596">
        <v>24.138680000000001</v>
      </c>
      <c r="R203" s="596">
        <v>20.652456531859098</v>
      </c>
    </row>
    <row r="204" spans="1:18" ht="15.6" thickBot="1" x14ac:dyDescent="0.35">
      <c r="A204" s="199" t="str">
        <f t="shared" si="6"/>
        <v>13510CUSTOMER RECOVERY</v>
      </c>
      <c r="B204" s="597" t="s">
        <v>474</v>
      </c>
      <c r="C204" s="597" t="s">
        <v>171</v>
      </c>
      <c r="D204" s="597" t="s">
        <v>172</v>
      </c>
      <c r="E204" s="594">
        <v>1.6480000000000002E-2</v>
      </c>
      <c r="F204" s="594"/>
      <c r="G204" s="594">
        <v>1.6480000000000002E-2</v>
      </c>
      <c r="H204" s="594">
        <v>0</v>
      </c>
      <c r="I204" s="594"/>
      <c r="J204" s="594">
        <v>1.6480000000000002E-2</v>
      </c>
      <c r="K204" s="594">
        <v>0</v>
      </c>
      <c r="L204" s="595">
        <v>0.32167000000000001</v>
      </c>
      <c r="M204" s="594"/>
      <c r="N204" s="594">
        <v>0.32167000000000001</v>
      </c>
      <c r="O204" s="594">
        <v>0</v>
      </c>
      <c r="P204" s="594">
        <v>0.16524</v>
      </c>
      <c r="Q204" s="594">
        <v>0.15643000000000001</v>
      </c>
      <c r="R204" s="594">
        <v>94.668361171629144</v>
      </c>
    </row>
    <row r="205" spans="1:18" ht="15.6" thickBot="1" x14ac:dyDescent="0.35">
      <c r="A205" s="199" t="str">
        <f t="shared" si="6"/>
        <v>13510REPAIRS AND MAINT</v>
      </c>
      <c r="B205" s="597" t="s">
        <v>474</v>
      </c>
      <c r="C205" s="597" t="s">
        <v>205</v>
      </c>
      <c r="D205" s="597" t="s">
        <v>206</v>
      </c>
      <c r="E205" s="596">
        <v>1.5570000000000001E-2</v>
      </c>
      <c r="F205" s="596"/>
      <c r="G205" s="596">
        <v>1.5570000000000001E-2</v>
      </c>
      <c r="H205" s="596">
        <v>0</v>
      </c>
      <c r="I205" s="596"/>
      <c r="J205" s="596">
        <v>1.5570000000000001E-2</v>
      </c>
      <c r="K205" s="596">
        <v>0</v>
      </c>
      <c r="L205" s="595">
        <v>0.36057</v>
      </c>
      <c r="M205" s="596"/>
      <c r="N205" s="596">
        <v>0.36057</v>
      </c>
      <c r="O205" s="596">
        <v>0</v>
      </c>
      <c r="P205" s="596">
        <v>0.34499999999999997</v>
      </c>
      <c r="Q205" s="596">
        <v>1.5570000000000001E-2</v>
      </c>
      <c r="R205" s="596">
        <v>4.5130434782608697</v>
      </c>
    </row>
    <row r="206" spans="1:18" ht="15.6" thickBot="1" x14ac:dyDescent="0.35">
      <c r="A206" s="199" t="str">
        <f t="shared" si="6"/>
        <v>13510MEAL TICKETS</v>
      </c>
      <c r="B206" s="597" t="s">
        <v>474</v>
      </c>
      <c r="C206" s="597" t="s">
        <v>173</v>
      </c>
      <c r="D206" s="597" t="s">
        <v>174</v>
      </c>
      <c r="E206" s="594">
        <v>2.2586499999999998</v>
      </c>
      <c r="F206" s="594">
        <v>4.6024099999999999</v>
      </c>
      <c r="G206" s="594">
        <v>-2.3437600000000001</v>
      </c>
      <c r="H206" s="594">
        <v>-50.924624272935269</v>
      </c>
      <c r="I206" s="594">
        <v>4.6024099999999999</v>
      </c>
      <c r="J206" s="594">
        <v>-2.3437600000000001</v>
      </c>
      <c r="K206" s="594">
        <v>-50.924624272935269</v>
      </c>
      <c r="L206" s="595">
        <v>15.61575</v>
      </c>
      <c r="M206" s="594">
        <v>38.200000000000003</v>
      </c>
      <c r="N206" s="594">
        <v>-22.584250000000001</v>
      </c>
      <c r="O206" s="594">
        <v>-59.121073298429316</v>
      </c>
      <c r="P206" s="594">
        <v>18.379200000000001</v>
      </c>
      <c r="Q206" s="594">
        <v>-2.7634500000000002</v>
      </c>
      <c r="R206" s="594">
        <v>-15.035746931313659</v>
      </c>
    </row>
    <row r="207" spans="1:18" ht="15.6" thickBot="1" x14ac:dyDescent="0.35">
      <c r="A207" s="199" t="str">
        <f t="shared" si="6"/>
        <v>13510CELLULAR PHONES</v>
      </c>
      <c r="B207" s="597" t="s">
        <v>474</v>
      </c>
      <c r="C207" s="597" t="s">
        <v>500</v>
      </c>
      <c r="D207" s="597" t="s">
        <v>501</v>
      </c>
      <c r="E207" s="596"/>
      <c r="F207" s="596"/>
      <c r="G207" s="596"/>
      <c r="H207" s="596"/>
      <c r="I207" s="596"/>
      <c r="J207" s="596"/>
      <c r="K207" s="596"/>
      <c r="L207" s="595">
        <v>0.21621000000000001</v>
      </c>
      <c r="M207" s="596"/>
      <c r="N207" s="596">
        <v>0.21621000000000001</v>
      </c>
      <c r="O207" s="596">
        <v>0</v>
      </c>
      <c r="P207" s="596">
        <v>7.7909999999999993E-2</v>
      </c>
      <c r="Q207" s="596">
        <v>0.13830000000000001</v>
      </c>
      <c r="R207" s="596">
        <v>177.51251443973817</v>
      </c>
    </row>
    <row r="208" spans="1:18" ht="15.6" thickBot="1" x14ac:dyDescent="0.35">
      <c r="A208" s="199" t="str">
        <f t="shared" si="6"/>
        <v>13510DONATIONS</v>
      </c>
      <c r="B208" s="597" t="s">
        <v>474</v>
      </c>
      <c r="C208" s="597" t="s">
        <v>502</v>
      </c>
      <c r="D208" s="597" t="s">
        <v>503</v>
      </c>
      <c r="E208" s="594"/>
      <c r="F208" s="594"/>
      <c r="G208" s="594"/>
      <c r="H208" s="594"/>
      <c r="I208" s="594"/>
      <c r="J208" s="594"/>
      <c r="K208" s="594"/>
      <c r="L208" s="595">
        <v>0.63395999999999997</v>
      </c>
      <c r="M208" s="594"/>
      <c r="N208" s="594">
        <v>0.63395999999999997</v>
      </c>
      <c r="O208" s="594">
        <v>0</v>
      </c>
      <c r="P208" s="594"/>
      <c r="Q208" s="594">
        <v>0.63395999999999997</v>
      </c>
      <c r="R208" s="594">
        <v>0</v>
      </c>
    </row>
    <row r="209" spans="1:18" ht="15.6" thickBot="1" x14ac:dyDescent="0.35">
      <c r="A209" s="199" t="str">
        <f t="shared" si="6"/>
        <v>13510UNLEADED FUEL</v>
      </c>
      <c r="B209" s="597" t="s">
        <v>474</v>
      </c>
      <c r="C209" s="597" t="s">
        <v>175</v>
      </c>
      <c r="D209" s="597" t="s">
        <v>176</v>
      </c>
      <c r="E209" s="596"/>
      <c r="F209" s="596"/>
      <c r="G209" s="596"/>
      <c r="H209" s="596"/>
      <c r="I209" s="596"/>
      <c r="J209" s="596"/>
      <c r="K209" s="596"/>
      <c r="L209" s="595">
        <v>0.01</v>
      </c>
      <c r="M209" s="596"/>
      <c r="N209" s="596">
        <v>0.01</v>
      </c>
      <c r="O209" s="596">
        <v>0</v>
      </c>
      <c r="P209" s="596"/>
      <c r="Q209" s="596">
        <v>0.01</v>
      </c>
      <c r="R209" s="596">
        <v>0</v>
      </c>
    </row>
    <row r="210" spans="1:18" ht="15.6" thickBot="1" x14ac:dyDescent="0.35">
      <c r="A210" s="199" t="str">
        <f t="shared" si="6"/>
        <v>13510SMALL TOOLS</v>
      </c>
      <c r="B210" s="597" t="s">
        <v>474</v>
      </c>
      <c r="C210" s="597" t="s">
        <v>207</v>
      </c>
      <c r="D210" s="597" t="s">
        <v>208</v>
      </c>
      <c r="E210" s="594">
        <v>8.3900000000000002E-2</v>
      </c>
      <c r="F210" s="594"/>
      <c r="G210" s="594">
        <v>8.3900000000000002E-2</v>
      </c>
      <c r="H210" s="594">
        <v>0</v>
      </c>
      <c r="I210" s="594"/>
      <c r="J210" s="594">
        <v>8.3900000000000002E-2</v>
      </c>
      <c r="K210" s="594">
        <v>0</v>
      </c>
      <c r="L210" s="595">
        <v>8.5177300000000002</v>
      </c>
      <c r="M210" s="594"/>
      <c r="N210" s="594">
        <v>8.5177300000000002</v>
      </c>
      <c r="O210" s="594">
        <v>0</v>
      </c>
      <c r="P210" s="594">
        <v>5.3680500000000002</v>
      </c>
      <c r="Q210" s="594">
        <v>3.14968</v>
      </c>
      <c r="R210" s="594">
        <v>58.674565251813974</v>
      </c>
    </row>
    <row r="211" spans="1:18" ht="15.6" thickBot="1" x14ac:dyDescent="0.35">
      <c r="A211" s="199" t="str">
        <f t="shared" si="6"/>
        <v>13510MEALS AND ENTERTAIN</v>
      </c>
      <c r="B211" s="597" t="s">
        <v>474</v>
      </c>
      <c r="C211" s="597" t="s">
        <v>75</v>
      </c>
      <c r="D211" s="597" t="s">
        <v>76</v>
      </c>
      <c r="E211" s="596">
        <v>2.35222</v>
      </c>
      <c r="F211" s="596">
        <v>4.9508299999999998</v>
      </c>
      <c r="G211" s="596">
        <v>-2.5986099999999999</v>
      </c>
      <c r="H211" s="596">
        <v>-52.48837063684271</v>
      </c>
      <c r="I211" s="596">
        <v>4.9508299999999998</v>
      </c>
      <c r="J211" s="596">
        <v>-2.5986099999999999</v>
      </c>
      <c r="K211" s="596">
        <v>-52.48837063684271</v>
      </c>
      <c r="L211" s="595">
        <v>35.09572</v>
      </c>
      <c r="M211" s="596">
        <v>39.999989999999997</v>
      </c>
      <c r="N211" s="596">
        <v>-4.9042700000000004</v>
      </c>
      <c r="O211" s="596">
        <v>-12.260678065169516</v>
      </c>
      <c r="P211" s="596">
        <v>25.99906</v>
      </c>
      <c r="Q211" s="596">
        <v>9.09666</v>
      </c>
      <c r="R211" s="596">
        <v>34.988418812064744</v>
      </c>
    </row>
    <row r="212" spans="1:18" ht="15.6" thickBot="1" x14ac:dyDescent="0.35">
      <c r="A212" s="199" t="str">
        <f t="shared" si="6"/>
        <v>13510TRAVEL IN TERRITORY</v>
      </c>
      <c r="B212" s="597" t="s">
        <v>474</v>
      </c>
      <c r="C212" s="597" t="s">
        <v>121</v>
      </c>
      <c r="D212" s="597" t="s">
        <v>122</v>
      </c>
      <c r="E212" s="594">
        <v>2.0688300000000002</v>
      </c>
      <c r="F212" s="594">
        <v>1.6666700000000001</v>
      </c>
      <c r="G212" s="594">
        <v>0.40216000000000002</v>
      </c>
      <c r="H212" s="594">
        <v>24.129551740896517</v>
      </c>
      <c r="I212" s="594">
        <v>1.6666700000000001</v>
      </c>
      <c r="J212" s="594">
        <v>0.40216000000000002</v>
      </c>
      <c r="K212" s="594">
        <v>24.129551740896517</v>
      </c>
      <c r="L212" s="595">
        <v>14.757389999999999</v>
      </c>
      <c r="M212" s="594">
        <v>20.000039999999998</v>
      </c>
      <c r="N212" s="594">
        <v>-5.2426500000000003</v>
      </c>
      <c r="O212" s="594">
        <v>-26.213197573604852</v>
      </c>
      <c r="P212" s="594">
        <v>11.87106</v>
      </c>
      <c r="Q212" s="594">
        <v>2.8863300000000001</v>
      </c>
      <c r="R212" s="594">
        <v>24.314003972686518</v>
      </c>
    </row>
    <row r="213" spans="1:18" ht="15.6" thickBot="1" x14ac:dyDescent="0.35">
      <c r="A213" s="199" t="str">
        <f t="shared" si="6"/>
        <v>13510CONFERENCE TRAVEL</v>
      </c>
      <c r="B213" s="597" t="s">
        <v>474</v>
      </c>
      <c r="C213" s="597" t="s">
        <v>77</v>
      </c>
      <c r="D213" s="597" t="s">
        <v>78</v>
      </c>
      <c r="E213" s="596">
        <v>0.75900000000000001</v>
      </c>
      <c r="F213" s="596">
        <v>0</v>
      </c>
      <c r="G213" s="596">
        <v>0.75900000000000001</v>
      </c>
      <c r="H213" s="596">
        <v>0</v>
      </c>
      <c r="I213" s="596"/>
      <c r="J213" s="596">
        <v>0.75900000000000001</v>
      </c>
      <c r="K213" s="596">
        <v>0</v>
      </c>
      <c r="L213" s="595">
        <v>29.032550000000001</v>
      </c>
      <c r="M213" s="596">
        <v>31.5</v>
      </c>
      <c r="N213" s="596">
        <v>-2.4674499999999999</v>
      </c>
      <c r="O213" s="596">
        <v>-7.8331746031746032</v>
      </c>
      <c r="P213" s="596">
        <v>23.419879999999999</v>
      </c>
      <c r="Q213" s="596">
        <v>5.6126699999999996</v>
      </c>
      <c r="R213" s="596">
        <v>23.965408874853331</v>
      </c>
    </row>
    <row r="214" spans="1:18" ht="15.6" thickBot="1" x14ac:dyDescent="0.35">
      <c r="A214" s="199" t="str">
        <f t="shared" si="6"/>
        <v>13510BUSINESS TRAVEL</v>
      </c>
      <c r="B214" s="597" t="s">
        <v>474</v>
      </c>
      <c r="C214" s="597" t="s">
        <v>79</v>
      </c>
      <c r="D214" s="597" t="s">
        <v>80</v>
      </c>
      <c r="E214" s="594">
        <v>8.7040000000000006E-2</v>
      </c>
      <c r="F214" s="594"/>
      <c r="G214" s="594">
        <v>8.7040000000000006E-2</v>
      </c>
      <c r="H214" s="594">
        <v>0</v>
      </c>
      <c r="I214" s="594"/>
      <c r="J214" s="594">
        <v>8.7040000000000006E-2</v>
      </c>
      <c r="K214" s="594">
        <v>0</v>
      </c>
      <c r="L214" s="595">
        <v>2.1716099999999998</v>
      </c>
      <c r="M214" s="594"/>
      <c r="N214" s="594">
        <v>2.1716099999999998</v>
      </c>
      <c r="O214" s="594">
        <v>0</v>
      </c>
      <c r="P214" s="594">
        <v>1.31871</v>
      </c>
      <c r="Q214" s="594">
        <v>0.85289999999999999</v>
      </c>
      <c r="R214" s="594">
        <v>64.676843278658694</v>
      </c>
    </row>
    <row r="215" spans="1:18" ht="15.6" thickBot="1" x14ac:dyDescent="0.35">
      <c r="A215" s="199" t="str">
        <f t="shared" si="6"/>
        <v>13510EMPLOYEE AWARDS</v>
      </c>
      <c r="B215" s="597" t="s">
        <v>474</v>
      </c>
      <c r="C215" s="598" t="s">
        <v>81</v>
      </c>
      <c r="D215" s="598" t="s">
        <v>82</v>
      </c>
      <c r="E215" s="596">
        <v>11.56817</v>
      </c>
      <c r="F215" s="596">
        <v>20</v>
      </c>
      <c r="G215" s="596">
        <v>-8.4318299999999997</v>
      </c>
      <c r="H215" s="596">
        <v>-42.159149999999997</v>
      </c>
      <c r="I215" s="596">
        <v>20</v>
      </c>
      <c r="J215" s="596">
        <v>-8.4318299999999997</v>
      </c>
      <c r="K215" s="596">
        <v>-42.159149999999997</v>
      </c>
      <c r="L215" s="595">
        <v>13.53562</v>
      </c>
      <c r="M215" s="596">
        <v>24.4</v>
      </c>
      <c r="N215" s="596">
        <v>-10.864380000000001</v>
      </c>
      <c r="O215" s="596">
        <v>-44.526147540983608</v>
      </c>
      <c r="P215" s="596">
        <v>21.583939999999998</v>
      </c>
      <c r="Q215" s="596">
        <v>-8.0483200000000004</v>
      </c>
      <c r="R215" s="596">
        <v>-37.288465405296719</v>
      </c>
    </row>
    <row r="216" spans="1:18" ht="15.6" thickBot="1" x14ac:dyDescent="0.35">
      <c r="A216" s="199" t="str">
        <f t="shared" si="6"/>
        <v>13510EMPLOYEE AWRDS MLS &amp;</v>
      </c>
      <c r="B216" s="597" t="s">
        <v>474</v>
      </c>
      <c r="C216" s="599" t="s">
        <v>123</v>
      </c>
      <c r="D216" s="599" t="s">
        <v>124</v>
      </c>
      <c r="E216" s="594">
        <v>1.1725399999999999</v>
      </c>
      <c r="F216" s="594"/>
      <c r="G216" s="594">
        <v>1.1725399999999999</v>
      </c>
      <c r="H216" s="594">
        <v>0</v>
      </c>
      <c r="I216" s="594"/>
      <c r="J216" s="594">
        <v>1.1725399999999999</v>
      </c>
      <c r="K216" s="594">
        <v>0</v>
      </c>
      <c r="L216" s="595">
        <v>8.4540699999999998</v>
      </c>
      <c r="M216" s="594"/>
      <c r="N216" s="594">
        <v>8.4540699999999998</v>
      </c>
      <c r="O216" s="594">
        <v>0</v>
      </c>
      <c r="P216" s="594">
        <v>2.4520900000000001</v>
      </c>
      <c r="Q216" s="594">
        <v>6.0019799999999996</v>
      </c>
      <c r="R216" s="594">
        <v>244.76997173839459</v>
      </c>
    </row>
    <row r="217" spans="1:18" ht="15.6" thickBot="1" x14ac:dyDescent="0.35">
      <c r="A217" s="199" t="str">
        <f t="shared" si="6"/>
        <v>13510NON EMPLOYEE GIFTS</v>
      </c>
      <c r="B217" s="597" t="s">
        <v>474</v>
      </c>
      <c r="C217" s="597" t="s">
        <v>125</v>
      </c>
      <c r="D217" s="597" t="s">
        <v>126</v>
      </c>
      <c r="E217" s="596">
        <v>0.39395000000000002</v>
      </c>
      <c r="F217" s="596"/>
      <c r="G217" s="596">
        <v>0.39395000000000002</v>
      </c>
      <c r="H217" s="596">
        <v>0</v>
      </c>
      <c r="I217" s="596"/>
      <c r="J217" s="596">
        <v>0.39395000000000002</v>
      </c>
      <c r="K217" s="596">
        <v>0</v>
      </c>
      <c r="L217" s="595">
        <v>1.20645</v>
      </c>
      <c r="M217" s="596"/>
      <c r="N217" s="596">
        <v>1.20645</v>
      </c>
      <c r="O217" s="596">
        <v>0</v>
      </c>
      <c r="P217" s="596">
        <v>0.41</v>
      </c>
      <c r="Q217" s="596">
        <v>0.79644999999999999</v>
      </c>
      <c r="R217" s="596">
        <v>194.2560975609756</v>
      </c>
    </row>
    <row r="218" spans="1:18" ht="15.6" thickBot="1" x14ac:dyDescent="0.35">
      <c r="A218" s="199" t="str">
        <f t="shared" si="6"/>
        <v>13510NWN/581500</v>
      </c>
      <c r="B218" s="597" t="s">
        <v>474</v>
      </c>
      <c r="C218" s="597" t="s">
        <v>209</v>
      </c>
      <c r="D218" s="597" t="s">
        <v>210</v>
      </c>
      <c r="E218" s="594">
        <v>0.64670000000000005</v>
      </c>
      <c r="F218" s="594"/>
      <c r="G218" s="594">
        <v>0.64670000000000005</v>
      </c>
      <c r="H218" s="594">
        <v>0</v>
      </c>
      <c r="I218" s="594"/>
      <c r="J218" s="594">
        <v>0.64670000000000005</v>
      </c>
      <c r="K218" s="594">
        <v>0</v>
      </c>
      <c r="L218" s="595">
        <v>12.65846</v>
      </c>
      <c r="M218" s="594"/>
      <c r="N218" s="594">
        <v>12.65846</v>
      </c>
      <c r="O218" s="594">
        <v>0</v>
      </c>
      <c r="P218" s="594">
        <v>2.2004999999999999</v>
      </c>
      <c r="Q218" s="594">
        <v>10.45796</v>
      </c>
      <c r="R218" s="594">
        <v>475.25380595319245</v>
      </c>
    </row>
    <row r="219" spans="1:18" ht="15.6" thickBot="1" x14ac:dyDescent="0.35">
      <c r="A219" s="199" t="str">
        <f t="shared" si="6"/>
        <v>13510NWN/585800</v>
      </c>
      <c r="B219" s="597" t="s">
        <v>474</v>
      </c>
      <c r="C219" s="597" t="s">
        <v>211</v>
      </c>
      <c r="D219" s="597" t="s">
        <v>212</v>
      </c>
      <c r="E219" s="596">
        <v>0.60004000000000002</v>
      </c>
      <c r="F219" s="596"/>
      <c r="G219" s="596">
        <v>0.60004000000000002</v>
      </c>
      <c r="H219" s="596">
        <v>0</v>
      </c>
      <c r="I219" s="596"/>
      <c r="J219" s="596">
        <v>0.60004000000000002</v>
      </c>
      <c r="K219" s="596">
        <v>0</v>
      </c>
      <c r="L219" s="595">
        <v>3.79311</v>
      </c>
      <c r="M219" s="596"/>
      <c r="N219" s="596">
        <v>3.79311</v>
      </c>
      <c r="O219" s="596">
        <v>0</v>
      </c>
      <c r="P219" s="596">
        <v>2.1644299999999999</v>
      </c>
      <c r="Q219" s="596">
        <v>1.6286799999999999</v>
      </c>
      <c r="R219" s="596">
        <v>75.247524752475243</v>
      </c>
    </row>
    <row r="220" spans="1:18" ht="15.6" thickBot="1" x14ac:dyDescent="0.35">
      <c r="A220" s="199" t="str">
        <f t="shared" si="6"/>
        <v>13510MILEAGE REIMB ZTFSO</v>
      </c>
      <c r="B220" s="597" t="s">
        <v>474</v>
      </c>
      <c r="C220" s="597" t="s">
        <v>213</v>
      </c>
      <c r="D220" s="597" t="s">
        <v>214</v>
      </c>
      <c r="E220" s="594">
        <v>-0.64670000000000005</v>
      </c>
      <c r="F220" s="594"/>
      <c r="G220" s="594">
        <v>-0.64670000000000005</v>
      </c>
      <c r="H220" s="594">
        <v>0</v>
      </c>
      <c r="I220" s="594"/>
      <c r="J220" s="594">
        <v>-0.64670000000000005</v>
      </c>
      <c r="K220" s="594">
        <v>0</v>
      </c>
      <c r="L220" s="595">
        <v>-12.92306</v>
      </c>
      <c r="M220" s="594"/>
      <c r="N220" s="594">
        <v>-12.92306</v>
      </c>
      <c r="O220" s="594">
        <v>0</v>
      </c>
      <c r="P220" s="594">
        <v>-2.2004999999999999</v>
      </c>
      <c r="Q220" s="594">
        <v>-10.72256</v>
      </c>
      <c r="R220" s="594">
        <v>-487.27834583049309</v>
      </c>
    </row>
    <row r="221" spans="1:18" ht="15.6" thickBot="1" x14ac:dyDescent="0.35">
      <c r="A221" s="199" t="str">
        <f t="shared" si="6"/>
        <v>13510MEAL TICKETS ZTFSO</v>
      </c>
      <c r="B221" s="597" t="s">
        <v>474</v>
      </c>
      <c r="C221" s="597" t="s">
        <v>215</v>
      </c>
      <c r="D221" s="597" t="s">
        <v>216</v>
      </c>
      <c r="E221" s="596">
        <v>-0.62146999999999997</v>
      </c>
      <c r="F221" s="596"/>
      <c r="G221" s="596">
        <v>-0.62146999999999997</v>
      </c>
      <c r="H221" s="596">
        <v>0</v>
      </c>
      <c r="I221" s="596"/>
      <c r="J221" s="596">
        <v>-0.62146999999999997</v>
      </c>
      <c r="K221" s="596">
        <v>0</v>
      </c>
      <c r="L221" s="595">
        <v>-3.8574000000000002</v>
      </c>
      <c r="M221" s="596"/>
      <c r="N221" s="596">
        <v>-3.8574000000000002</v>
      </c>
      <c r="O221" s="596">
        <v>0</v>
      </c>
      <c r="P221" s="596">
        <v>-1.99299</v>
      </c>
      <c r="Q221" s="596">
        <v>-1.8644099999999999</v>
      </c>
      <c r="R221" s="596">
        <v>-93.548387096774192</v>
      </c>
    </row>
    <row r="222" spans="1:18" ht="15.6" thickBot="1" x14ac:dyDescent="0.35">
      <c r="A222" s="199" t="str">
        <f t="shared" si="6"/>
        <v>13510MISC. EXPENSE BUDGET</v>
      </c>
      <c r="B222" s="597" t="s">
        <v>474</v>
      </c>
      <c r="C222" s="597" t="s">
        <v>83</v>
      </c>
      <c r="D222" s="597" t="s">
        <v>84</v>
      </c>
      <c r="E222" s="594"/>
      <c r="F222" s="594">
        <v>2.0833300000000001</v>
      </c>
      <c r="G222" s="594">
        <v>-2.0833300000000001</v>
      </c>
      <c r="H222" s="594">
        <v>-100</v>
      </c>
      <c r="I222" s="594">
        <v>2.0833300000000001</v>
      </c>
      <c r="J222" s="594">
        <v>-2.0833300000000001</v>
      </c>
      <c r="K222" s="594">
        <v>-100</v>
      </c>
      <c r="L222" s="595"/>
      <c r="M222" s="594">
        <v>24.999960000000002</v>
      </c>
      <c r="N222" s="594">
        <v>-24.999960000000002</v>
      </c>
      <c r="O222" s="594">
        <v>-100</v>
      </c>
      <c r="P222" s="594">
        <v>6.2499900000000004</v>
      </c>
      <c r="Q222" s="594">
        <v>-6.2499900000000004</v>
      </c>
      <c r="R222" s="594">
        <v>-100</v>
      </c>
    </row>
    <row r="223" spans="1:18" ht="15.6" thickBot="1" x14ac:dyDescent="0.35">
      <c r="A223" s="199" t="str">
        <f t="shared" si="6"/>
        <v>13510Non-Payroll</v>
      </c>
      <c r="B223" s="597" t="s">
        <v>474</v>
      </c>
      <c r="C223" s="597" t="s">
        <v>85</v>
      </c>
      <c r="D223" s="597" t="s">
        <v>86</v>
      </c>
      <c r="E223" s="596">
        <v>207.18021999999999</v>
      </c>
      <c r="F223" s="596">
        <v>198.13808</v>
      </c>
      <c r="G223" s="596">
        <v>9.0421399999999998</v>
      </c>
      <c r="H223" s="596">
        <v>4.5635548704216777</v>
      </c>
      <c r="I223" s="596">
        <v>198.13808</v>
      </c>
      <c r="J223" s="596">
        <v>9.0421399999999998</v>
      </c>
      <c r="K223" s="596">
        <v>4.5635548704216777</v>
      </c>
      <c r="L223" s="595">
        <v>2209.5123600000002</v>
      </c>
      <c r="M223" s="596">
        <v>2141.0599200000001</v>
      </c>
      <c r="N223" s="596">
        <v>68.452439999999996</v>
      </c>
      <c r="O223" s="596">
        <v>3.1971286445827261</v>
      </c>
      <c r="P223" s="596">
        <v>1557.0948000000001</v>
      </c>
      <c r="Q223" s="596">
        <v>652.41755999999998</v>
      </c>
      <c r="R223" s="596">
        <v>41.89966853655924</v>
      </c>
    </row>
    <row r="224" spans="1:18" ht="15.6" thickBot="1" x14ac:dyDescent="0.35">
      <c r="A224" s="199" t="str">
        <f t="shared" si="6"/>
        <v>13510EXPENSE ACCOUNTS</v>
      </c>
      <c r="B224" s="597" t="s">
        <v>474</v>
      </c>
      <c r="C224" s="597" t="s">
        <v>87</v>
      </c>
      <c r="D224" s="597" t="s">
        <v>87</v>
      </c>
      <c r="E224" s="594">
        <v>1593.4363000000001</v>
      </c>
      <c r="F224" s="594">
        <v>1771.7019700000001</v>
      </c>
      <c r="G224" s="594">
        <v>-178.26567</v>
      </c>
      <c r="H224" s="594">
        <v>-10.061831674770898</v>
      </c>
      <c r="I224" s="594">
        <v>198.13808</v>
      </c>
      <c r="J224" s="594">
        <v>1395.2982199999999</v>
      </c>
      <c r="K224" s="594">
        <v>704.20497665062669</v>
      </c>
      <c r="L224" s="595">
        <v>18727.000830000001</v>
      </c>
      <c r="M224" s="594">
        <v>19977.341479999999</v>
      </c>
      <c r="N224" s="594">
        <v>-1250.3406500000001</v>
      </c>
      <c r="O224" s="594">
        <v>-6.2587940004517559</v>
      </c>
      <c r="P224" s="594">
        <v>9729.9106800000009</v>
      </c>
      <c r="Q224" s="594">
        <v>8997.09015</v>
      </c>
      <c r="R224" s="594">
        <v>92.468373512345536</v>
      </c>
    </row>
    <row r="225" spans="1:18" ht="15.6" thickBot="1" x14ac:dyDescent="0.35">
      <c r="A225" s="199" t="str">
        <f t="shared" si="6"/>
        <v>11325SALARY PAYROLL</v>
      </c>
      <c r="B225" s="597" t="s">
        <v>477</v>
      </c>
      <c r="C225" s="597" t="s">
        <v>59</v>
      </c>
      <c r="D225" s="597" t="s">
        <v>60</v>
      </c>
      <c r="E225" s="596">
        <v>32.611980000000003</v>
      </c>
      <c r="F225" s="596">
        <v>35.510710000000003</v>
      </c>
      <c r="G225" s="596">
        <v>-2.89873</v>
      </c>
      <c r="H225" s="596">
        <v>-8.1629739309633624</v>
      </c>
      <c r="I225" s="596">
        <v>0</v>
      </c>
      <c r="J225" s="596">
        <v>32.611980000000003</v>
      </c>
      <c r="K225" s="596">
        <v>0</v>
      </c>
      <c r="L225" s="595">
        <v>418.00315000000001</v>
      </c>
      <c r="M225" s="596">
        <v>424.05993999999998</v>
      </c>
      <c r="N225" s="596">
        <v>-6.0567900000000003</v>
      </c>
      <c r="O225" s="596">
        <v>-1.4282862936782004</v>
      </c>
      <c r="P225" s="596">
        <v>218.60588999999999</v>
      </c>
      <c r="Q225" s="596">
        <v>199.39725999999999</v>
      </c>
      <c r="R225" s="596">
        <v>91.213123306055479</v>
      </c>
    </row>
    <row r="226" spans="1:18" ht="15.6" thickBot="1" x14ac:dyDescent="0.35">
      <c r="A226" s="199" t="str">
        <f t="shared" si="6"/>
        <v>11325VACATION, SICK &amp; HOL</v>
      </c>
      <c r="B226" s="597" t="s">
        <v>477</v>
      </c>
      <c r="C226" s="598" t="s">
        <v>61</v>
      </c>
      <c r="D226" s="598" t="s">
        <v>62</v>
      </c>
      <c r="E226" s="594">
        <v>5.4965000000000002</v>
      </c>
      <c r="F226" s="594">
        <v>5.5041599999999997</v>
      </c>
      <c r="G226" s="594">
        <v>-7.6600000000000001E-3</v>
      </c>
      <c r="H226" s="594">
        <v>-0.13916746606203309</v>
      </c>
      <c r="I226" s="594">
        <v>0</v>
      </c>
      <c r="J226" s="594">
        <v>5.4965000000000002</v>
      </c>
      <c r="K226" s="594">
        <v>0</v>
      </c>
      <c r="L226" s="595">
        <v>65.204750000000004</v>
      </c>
      <c r="M226" s="594">
        <v>65.729299999999995</v>
      </c>
      <c r="N226" s="594">
        <v>-0.52454999999999996</v>
      </c>
      <c r="O226" s="594">
        <v>-0.79804592472459013</v>
      </c>
      <c r="P226" s="594">
        <v>32.225749999999998</v>
      </c>
      <c r="Q226" s="594">
        <v>32.978999999999999</v>
      </c>
      <c r="R226" s="594">
        <v>102.33741650698587</v>
      </c>
    </row>
    <row r="227" spans="1:18" ht="15.6" thickBot="1" x14ac:dyDescent="0.35">
      <c r="A227" s="199" t="str">
        <f t="shared" ref="A227:A290" si="7">RIGHT(B227,5)&amp;C227</f>
        <v>11325PAYROLL OVERHEAD</v>
      </c>
      <c r="B227" s="597" t="s">
        <v>477</v>
      </c>
      <c r="C227" s="597" t="s">
        <v>63</v>
      </c>
      <c r="D227" s="597" t="s">
        <v>64</v>
      </c>
      <c r="E227" s="596">
        <v>26.417439999999999</v>
      </c>
      <c r="F227" s="596">
        <v>26.55491</v>
      </c>
      <c r="G227" s="596">
        <v>-0.13747000000000001</v>
      </c>
      <c r="H227" s="596">
        <v>-0.51768204072241253</v>
      </c>
      <c r="I227" s="596">
        <v>0</v>
      </c>
      <c r="J227" s="596">
        <v>26.417439999999999</v>
      </c>
      <c r="K227" s="596">
        <v>0</v>
      </c>
      <c r="L227" s="595">
        <v>313.3897</v>
      </c>
      <c r="M227" s="596">
        <v>317.11203999999998</v>
      </c>
      <c r="N227" s="596">
        <v>-3.72234</v>
      </c>
      <c r="O227" s="596">
        <v>-1.1738248727484457</v>
      </c>
      <c r="P227" s="596">
        <v>154.88502</v>
      </c>
      <c r="Q227" s="596">
        <v>158.50468000000001</v>
      </c>
      <c r="R227" s="596">
        <v>102.33699811640919</v>
      </c>
    </row>
    <row r="228" spans="1:18" ht="15.6" thickBot="1" x14ac:dyDescent="0.35">
      <c r="A228" s="199" t="str">
        <f t="shared" si="7"/>
        <v>11325Payroll</v>
      </c>
      <c r="B228" s="597" t="s">
        <v>477</v>
      </c>
      <c r="C228" s="597" t="s">
        <v>67</v>
      </c>
      <c r="D228" s="597" t="s">
        <v>68</v>
      </c>
      <c r="E228" s="594">
        <v>64.525919999999999</v>
      </c>
      <c r="F228" s="594">
        <v>67.569779999999994</v>
      </c>
      <c r="G228" s="594">
        <v>-3.04386</v>
      </c>
      <c r="H228" s="594">
        <v>-4.5047652959651492</v>
      </c>
      <c r="I228" s="594">
        <v>0</v>
      </c>
      <c r="J228" s="594">
        <v>64.525919999999999</v>
      </c>
      <c r="K228" s="594">
        <v>0</v>
      </c>
      <c r="L228" s="595">
        <v>796.59760000000006</v>
      </c>
      <c r="M228" s="594">
        <v>806.90128000000004</v>
      </c>
      <c r="N228" s="594">
        <v>-10.30368</v>
      </c>
      <c r="O228" s="594">
        <v>-1.2769443121964066</v>
      </c>
      <c r="P228" s="594">
        <v>405.71665999999999</v>
      </c>
      <c r="Q228" s="594">
        <v>390.88094000000001</v>
      </c>
      <c r="R228" s="594">
        <v>96.343329849949967</v>
      </c>
    </row>
    <row r="229" spans="1:18" ht="15.6" thickBot="1" x14ac:dyDescent="0.35">
      <c r="A229" s="199" t="str">
        <f t="shared" si="7"/>
        <v>11325EDUCATION</v>
      </c>
      <c r="B229" s="597" t="s">
        <v>477</v>
      </c>
      <c r="C229" s="597" t="s">
        <v>69</v>
      </c>
      <c r="D229" s="597" t="s">
        <v>70</v>
      </c>
      <c r="E229" s="596">
        <v>0.19500000000000001</v>
      </c>
      <c r="F229" s="596"/>
      <c r="G229" s="596">
        <v>0.19500000000000001</v>
      </c>
      <c r="H229" s="596">
        <v>0</v>
      </c>
      <c r="I229" s="596"/>
      <c r="J229" s="596">
        <v>0.19500000000000001</v>
      </c>
      <c r="K229" s="596">
        <v>0</v>
      </c>
      <c r="L229" s="595">
        <v>0.26998</v>
      </c>
      <c r="M229" s="596">
        <v>3</v>
      </c>
      <c r="N229" s="596">
        <v>-2.7300200000000001</v>
      </c>
      <c r="O229" s="596">
        <v>-91.00066666666666</v>
      </c>
      <c r="P229" s="596">
        <v>7.4980000000000005E-2</v>
      </c>
      <c r="Q229" s="596">
        <v>0.19500000000000001</v>
      </c>
      <c r="R229" s="596">
        <v>260.06935182715392</v>
      </c>
    </row>
    <row r="230" spans="1:18" ht="15.6" thickBot="1" x14ac:dyDescent="0.35">
      <c r="A230" s="199" t="str">
        <f t="shared" si="7"/>
        <v>11325MATERIALS - CONS INV</v>
      </c>
      <c r="B230" s="597" t="s">
        <v>477</v>
      </c>
      <c r="C230" s="597" t="s">
        <v>165</v>
      </c>
      <c r="D230" s="597" t="s">
        <v>166</v>
      </c>
      <c r="E230" s="594"/>
      <c r="F230" s="594"/>
      <c r="G230" s="594"/>
      <c r="H230" s="594"/>
      <c r="I230" s="594"/>
      <c r="J230" s="594"/>
      <c r="K230" s="594"/>
      <c r="L230" s="595">
        <v>1.6320000000000001E-2</v>
      </c>
      <c r="M230" s="594"/>
      <c r="N230" s="594">
        <v>1.6320000000000001E-2</v>
      </c>
      <c r="O230" s="594">
        <v>0</v>
      </c>
      <c r="P230" s="594">
        <v>7.92E-3</v>
      </c>
      <c r="Q230" s="594">
        <v>8.3999999999999995E-3</v>
      </c>
      <c r="R230" s="594">
        <v>106.06060606060606</v>
      </c>
    </row>
    <row r="231" spans="1:18" ht="15.6" thickBot="1" x14ac:dyDescent="0.35">
      <c r="A231" s="199" t="str">
        <f t="shared" si="7"/>
        <v>11325MILEAGE REIMBURSE</v>
      </c>
      <c r="B231" s="597" t="s">
        <v>477</v>
      </c>
      <c r="C231" s="597" t="s">
        <v>137</v>
      </c>
      <c r="D231" s="597" t="s">
        <v>138</v>
      </c>
      <c r="E231" s="596">
        <v>1.93604</v>
      </c>
      <c r="F231" s="596">
        <v>1</v>
      </c>
      <c r="G231" s="596">
        <v>0.93603999999999998</v>
      </c>
      <c r="H231" s="596">
        <v>93.603999999999999</v>
      </c>
      <c r="I231" s="596">
        <v>1</v>
      </c>
      <c r="J231" s="596">
        <v>0.93603999999999998</v>
      </c>
      <c r="K231" s="596">
        <v>93.603999999999999</v>
      </c>
      <c r="L231" s="595">
        <v>13.614879999999999</v>
      </c>
      <c r="M231" s="596">
        <v>12</v>
      </c>
      <c r="N231" s="596">
        <v>1.6148800000000001</v>
      </c>
      <c r="O231" s="596">
        <v>13.457333333333333</v>
      </c>
      <c r="P231" s="596">
        <v>9.0057200000000002</v>
      </c>
      <c r="Q231" s="596">
        <v>4.6091600000000001</v>
      </c>
      <c r="R231" s="596">
        <v>51.180360926166927</v>
      </c>
    </row>
    <row r="232" spans="1:18" ht="15.6" thickBot="1" x14ac:dyDescent="0.35">
      <c r="A232" s="199" t="str">
        <f t="shared" si="7"/>
        <v>11325DUES/MEMBERSHIP</v>
      </c>
      <c r="B232" s="597" t="s">
        <v>477</v>
      </c>
      <c r="C232" s="597" t="s">
        <v>139</v>
      </c>
      <c r="D232" s="597" t="s">
        <v>140</v>
      </c>
      <c r="E232" s="594">
        <v>0.55000000000000004</v>
      </c>
      <c r="F232" s="594"/>
      <c r="G232" s="594">
        <v>0.55000000000000004</v>
      </c>
      <c r="H232" s="594">
        <v>0</v>
      </c>
      <c r="I232" s="594"/>
      <c r="J232" s="594">
        <v>0.55000000000000004</v>
      </c>
      <c r="K232" s="594">
        <v>0</v>
      </c>
      <c r="L232" s="595">
        <v>2.59</v>
      </c>
      <c r="M232" s="594">
        <v>5.2</v>
      </c>
      <c r="N232" s="594">
        <v>-2.61</v>
      </c>
      <c r="O232" s="594">
        <v>-50.192307692307693</v>
      </c>
      <c r="P232" s="594">
        <v>1.9650000000000001</v>
      </c>
      <c r="Q232" s="594">
        <v>0.625</v>
      </c>
      <c r="R232" s="594">
        <v>31.806615776081426</v>
      </c>
    </row>
    <row r="233" spans="1:18" ht="15.6" thickBot="1" x14ac:dyDescent="0.35">
      <c r="A233" s="199" t="str">
        <f t="shared" si="7"/>
        <v>11325OTHER CONTRACT WORK</v>
      </c>
      <c r="B233" s="597" t="s">
        <v>477</v>
      </c>
      <c r="C233" s="597" t="s">
        <v>101</v>
      </c>
      <c r="D233" s="597" t="s">
        <v>102</v>
      </c>
      <c r="E233" s="596"/>
      <c r="F233" s="596"/>
      <c r="G233" s="596"/>
      <c r="H233" s="596"/>
      <c r="I233" s="596"/>
      <c r="J233" s="596"/>
      <c r="K233" s="596"/>
      <c r="L233" s="595">
        <v>1.0097799999999999</v>
      </c>
      <c r="M233" s="596"/>
      <c r="N233" s="596">
        <v>1.0097799999999999</v>
      </c>
      <c r="O233" s="596">
        <v>0</v>
      </c>
      <c r="P233" s="596"/>
      <c r="Q233" s="596">
        <v>1.0097799999999999</v>
      </c>
      <c r="R233" s="596">
        <v>0</v>
      </c>
    </row>
    <row r="234" spans="1:18" ht="15.6" thickBot="1" x14ac:dyDescent="0.35">
      <c r="A234" s="199" t="str">
        <f t="shared" si="7"/>
        <v>11325POSTAGE</v>
      </c>
      <c r="B234" s="597" t="s">
        <v>477</v>
      </c>
      <c r="C234" s="597" t="s">
        <v>109</v>
      </c>
      <c r="D234" s="597" t="s">
        <v>110</v>
      </c>
      <c r="E234" s="594">
        <v>7.3499999999999996E-2</v>
      </c>
      <c r="F234" s="594"/>
      <c r="G234" s="594">
        <v>7.3499999999999996E-2</v>
      </c>
      <c r="H234" s="594">
        <v>0</v>
      </c>
      <c r="I234" s="594"/>
      <c r="J234" s="594">
        <v>7.3499999999999996E-2</v>
      </c>
      <c r="K234" s="594">
        <v>0</v>
      </c>
      <c r="L234" s="595">
        <v>0.25384000000000001</v>
      </c>
      <c r="M234" s="594"/>
      <c r="N234" s="594">
        <v>0.25384000000000001</v>
      </c>
      <c r="O234" s="594">
        <v>0</v>
      </c>
      <c r="P234" s="594">
        <v>0.16946</v>
      </c>
      <c r="Q234" s="594">
        <v>8.4379999999999997E-2</v>
      </c>
      <c r="R234" s="594">
        <v>49.793461583854594</v>
      </c>
    </row>
    <row r="235" spans="1:18" ht="15.6" thickBot="1" x14ac:dyDescent="0.35">
      <c r="A235" s="199" t="str">
        <f t="shared" si="7"/>
        <v>11325OFFICE SUPPLIES</v>
      </c>
      <c r="B235" s="597" t="s">
        <v>477</v>
      </c>
      <c r="C235" s="597" t="s">
        <v>73</v>
      </c>
      <c r="D235" s="597" t="s">
        <v>74</v>
      </c>
      <c r="E235" s="596">
        <v>2.0998100000000002</v>
      </c>
      <c r="F235" s="596"/>
      <c r="G235" s="596">
        <v>2.0998100000000002</v>
      </c>
      <c r="H235" s="596">
        <v>0</v>
      </c>
      <c r="I235" s="596"/>
      <c r="J235" s="596">
        <v>2.0998100000000002</v>
      </c>
      <c r="K235" s="596">
        <v>0</v>
      </c>
      <c r="L235" s="595">
        <v>3.20303</v>
      </c>
      <c r="M235" s="596"/>
      <c r="N235" s="596">
        <v>3.20303</v>
      </c>
      <c r="O235" s="596">
        <v>0</v>
      </c>
      <c r="P235" s="596">
        <v>0.40919</v>
      </c>
      <c r="Q235" s="596">
        <v>2.7938399999999999</v>
      </c>
      <c r="R235" s="596">
        <v>682.7732838045896</v>
      </c>
    </row>
    <row r="236" spans="1:18" ht="15.6" thickBot="1" x14ac:dyDescent="0.35">
      <c r="A236" s="199" t="str">
        <f t="shared" si="7"/>
        <v>11325PRINTING</v>
      </c>
      <c r="B236" s="597" t="s">
        <v>477</v>
      </c>
      <c r="C236" s="597" t="s">
        <v>111</v>
      </c>
      <c r="D236" s="597" t="s">
        <v>112</v>
      </c>
      <c r="E236" s="594"/>
      <c r="F236" s="594"/>
      <c r="G236" s="594"/>
      <c r="H236" s="594"/>
      <c r="I236" s="594"/>
      <c r="J236" s="594"/>
      <c r="K236" s="594"/>
      <c r="L236" s="595">
        <v>0.16469</v>
      </c>
      <c r="M236" s="594"/>
      <c r="N236" s="594">
        <v>0.16469</v>
      </c>
      <c r="O236" s="594">
        <v>0</v>
      </c>
      <c r="P236" s="594">
        <v>9.2480000000000007E-2</v>
      </c>
      <c r="Q236" s="594">
        <v>7.2209999999999996E-2</v>
      </c>
      <c r="R236" s="594">
        <v>78.081747404844293</v>
      </c>
    </row>
    <row r="237" spans="1:18" ht="15.6" thickBot="1" x14ac:dyDescent="0.35">
      <c r="A237" s="199" t="str">
        <f t="shared" si="7"/>
        <v>11325BOOKS AND MAGAZINES</v>
      </c>
      <c r="B237" s="597" t="s">
        <v>477</v>
      </c>
      <c r="C237" s="597" t="s">
        <v>141</v>
      </c>
      <c r="D237" s="597" t="s">
        <v>142</v>
      </c>
      <c r="E237" s="596"/>
      <c r="F237" s="596"/>
      <c r="G237" s="596"/>
      <c r="H237" s="596"/>
      <c r="I237" s="596"/>
      <c r="J237" s="596"/>
      <c r="K237" s="596"/>
      <c r="L237" s="595">
        <v>0.91339999999999999</v>
      </c>
      <c r="M237" s="596"/>
      <c r="N237" s="596">
        <v>0.91339999999999999</v>
      </c>
      <c r="O237" s="596">
        <v>0</v>
      </c>
      <c r="P237" s="596">
        <v>0.65090000000000003</v>
      </c>
      <c r="Q237" s="596">
        <v>0.26250000000000001</v>
      </c>
      <c r="R237" s="596">
        <v>40.328775541557846</v>
      </c>
    </row>
    <row r="238" spans="1:18" ht="15.6" thickBot="1" x14ac:dyDescent="0.35">
      <c r="A238" s="199" t="str">
        <f t="shared" si="7"/>
        <v>11325REFRESHMENTS</v>
      </c>
      <c r="B238" s="597" t="s">
        <v>477</v>
      </c>
      <c r="C238" s="597" t="s">
        <v>113</v>
      </c>
      <c r="D238" s="597" t="s">
        <v>114</v>
      </c>
      <c r="E238" s="594">
        <v>2.896E-2</v>
      </c>
      <c r="F238" s="594"/>
      <c r="G238" s="594">
        <v>2.896E-2</v>
      </c>
      <c r="H238" s="594">
        <v>0</v>
      </c>
      <c r="I238" s="594"/>
      <c r="J238" s="594">
        <v>2.896E-2</v>
      </c>
      <c r="K238" s="594">
        <v>0</v>
      </c>
      <c r="L238" s="595">
        <v>0.21425</v>
      </c>
      <c r="M238" s="594"/>
      <c r="N238" s="594">
        <v>0.21425</v>
      </c>
      <c r="O238" s="594">
        <v>0</v>
      </c>
      <c r="P238" s="594">
        <v>0.12019000000000001</v>
      </c>
      <c r="Q238" s="594">
        <v>9.4060000000000005E-2</v>
      </c>
      <c r="R238" s="594">
        <v>78.259422580913551</v>
      </c>
    </row>
    <row r="239" spans="1:18" ht="15.6" thickBot="1" x14ac:dyDescent="0.35">
      <c r="A239" s="199" t="str">
        <f t="shared" si="7"/>
        <v>11325DEALER RELATIONS</v>
      </c>
      <c r="B239" s="597" t="s">
        <v>477</v>
      </c>
      <c r="C239" s="597" t="s">
        <v>143</v>
      </c>
      <c r="D239" s="597" t="s">
        <v>144</v>
      </c>
      <c r="E239" s="596">
        <v>2.5070000000000001</v>
      </c>
      <c r="F239" s="596"/>
      <c r="G239" s="596">
        <v>2.5070000000000001</v>
      </c>
      <c r="H239" s="596">
        <v>0</v>
      </c>
      <c r="I239" s="596"/>
      <c r="J239" s="596">
        <v>2.5070000000000001</v>
      </c>
      <c r="K239" s="596">
        <v>0</v>
      </c>
      <c r="L239" s="595">
        <v>7.4605699999999997</v>
      </c>
      <c r="M239" s="596">
        <v>7</v>
      </c>
      <c r="N239" s="596">
        <v>0.46056999999999998</v>
      </c>
      <c r="O239" s="596">
        <v>6.5795714285714286</v>
      </c>
      <c r="P239" s="596">
        <v>2</v>
      </c>
      <c r="Q239" s="596">
        <v>5.4605699999999997</v>
      </c>
      <c r="R239" s="596">
        <v>273.02850000000001</v>
      </c>
    </row>
    <row r="240" spans="1:18" ht="15.6" thickBot="1" x14ac:dyDescent="0.35">
      <c r="A240" s="199" t="str">
        <f t="shared" si="7"/>
        <v>11325PARKING</v>
      </c>
      <c r="B240" s="597" t="s">
        <v>477</v>
      </c>
      <c r="C240" s="597" t="s">
        <v>145</v>
      </c>
      <c r="D240" s="597" t="s">
        <v>146</v>
      </c>
      <c r="E240" s="594"/>
      <c r="F240" s="594"/>
      <c r="G240" s="594"/>
      <c r="H240" s="594"/>
      <c r="I240" s="594"/>
      <c r="J240" s="594"/>
      <c r="K240" s="594"/>
      <c r="L240" s="595">
        <v>0.1641</v>
      </c>
      <c r="M240" s="594"/>
      <c r="N240" s="594">
        <v>0.1641</v>
      </c>
      <c r="O240" s="594">
        <v>0</v>
      </c>
      <c r="P240" s="594">
        <v>0.13805000000000001</v>
      </c>
      <c r="Q240" s="594">
        <v>2.605E-2</v>
      </c>
      <c r="R240" s="594">
        <v>18.869974646867078</v>
      </c>
    </row>
    <row r="241" spans="1:18" ht="15.6" thickBot="1" x14ac:dyDescent="0.35">
      <c r="A241" s="199" t="str">
        <f t="shared" si="7"/>
        <v>11325LAUNDRY</v>
      </c>
      <c r="B241" s="597" t="s">
        <v>477</v>
      </c>
      <c r="C241" s="597" t="s">
        <v>147</v>
      </c>
      <c r="D241" s="597" t="s">
        <v>148</v>
      </c>
      <c r="E241" s="596"/>
      <c r="F241" s="596"/>
      <c r="G241" s="596"/>
      <c r="H241" s="596"/>
      <c r="I241" s="596"/>
      <c r="J241" s="596"/>
      <c r="K241" s="596"/>
      <c r="L241" s="595">
        <v>0.193</v>
      </c>
      <c r="M241" s="596"/>
      <c r="N241" s="596">
        <v>0.193</v>
      </c>
      <c r="O241" s="596">
        <v>0</v>
      </c>
      <c r="P241" s="596">
        <v>0.14299999999999999</v>
      </c>
      <c r="Q241" s="596">
        <v>0.05</v>
      </c>
      <c r="R241" s="596">
        <v>34.965034965034967</v>
      </c>
    </row>
    <row r="242" spans="1:18" ht="15.6" thickBot="1" x14ac:dyDescent="0.35">
      <c r="A242" s="199" t="str">
        <f t="shared" si="7"/>
        <v>11325PROFESSIONAL SERVICE</v>
      </c>
      <c r="B242" s="597" t="s">
        <v>477</v>
      </c>
      <c r="C242" s="597" t="s">
        <v>149</v>
      </c>
      <c r="D242" s="597" t="s">
        <v>150</v>
      </c>
      <c r="E242" s="594">
        <v>5</v>
      </c>
      <c r="F242" s="594">
        <v>3.625</v>
      </c>
      <c r="G242" s="594">
        <v>1.375</v>
      </c>
      <c r="H242" s="594">
        <v>37.931034482758619</v>
      </c>
      <c r="I242" s="594">
        <v>3.625</v>
      </c>
      <c r="J242" s="594">
        <v>1.375</v>
      </c>
      <c r="K242" s="594">
        <v>37.931034482758619</v>
      </c>
      <c r="L242" s="595">
        <v>15.04</v>
      </c>
      <c r="M242" s="594">
        <v>14.5</v>
      </c>
      <c r="N242" s="594">
        <v>0.54</v>
      </c>
      <c r="O242" s="594">
        <v>3.7241379310344827</v>
      </c>
      <c r="P242" s="594">
        <v>8.6649999999999991</v>
      </c>
      <c r="Q242" s="594">
        <v>6.375</v>
      </c>
      <c r="R242" s="594">
        <v>73.571840738603584</v>
      </c>
    </row>
    <row r="243" spans="1:18" ht="15.6" thickBot="1" x14ac:dyDescent="0.35">
      <c r="A243" s="199" t="str">
        <f t="shared" si="7"/>
        <v>11325CORPORATE IDENTITY</v>
      </c>
      <c r="B243" s="597" t="s">
        <v>477</v>
      </c>
      <c r="C243" s="597" t="s">
        <v>153</v>
      </c>
      <c r="D243" s="597" t="s">
        <v>154</v>
      </c>
      <c r="E243" s="596">
        <v>3.0051399999999999</v>
      </c>
      <c r="F243" s="596">
        <v>0.5</v>
      </c>
      <c r="G243" s="596">
        <v>2.5051399999999999</v>
      </c>
      <c r="H243" s="596">
        <v>501.02800000000002</v>
      </c>
      <c r="I243" s="596">
        <v>0.5</v>
      </c>
      <c r="J243" s="596">
        <v>2.5051399999999999</v>
      </c>
      <c r="K243" s="596">
        <v>501.02800000000002</v>
      </c>
      <c r="L243" s="595">
        <v>8.5252400000000002</v>
      </c>
      <c r="M243" s="596">
        <v>11.5</v>
      </c>
      <c r="N243" s="596">
        <v>-2.9747599999999998</v>
      </c>
      <c r="O243" s="596">
        <v>-25.867478260869564</v>
      </c>
      <c r="P243" s="596">
        <v>8.2409199999999991</v>
      </c>
      <c r="Q243" s="596">
        <v>0.28432000000000002</v>
      </c>
      <c r="R243" s="596">
        <v>3.4501002315275477</v>
      </c>
    </row>
    <row r="244" spans="1:18" ht="15.6" thickBot="1" x14ac:dyDescent="0.35">
      <c r="A244" s="199" t="str">
        <f t="shared" si="7"/>
        <v>11325MEALS AND ENTERTAIN</v>
      </c>
      <c r="B244" s="597" t="s">
        <v>477</v>
      </c>
      <c r="C244" s="597" t="s">
        <v>75</v>
      </c>
      <c r="D244" s="597" t="s">
        <v>76</v>
      </c>
      <c r="E244" s="594">
        <v>0.48113</v>
      </c>
      <c r="F244" s="594">
        <v>1.55</v>
      </c>
      <c r="G244" s="594">
        <v>-1.06887</v>
      </c>
      <c r="H244" s="594">
        <v>-68.959354838709672</v>
      </c>
      <c r="I244" s="594">
        <v>1.55</v>
      </c>
      <c r="J244" s="594">
        <v>-1.06887</v>
      </c>
      <c r="K244" s="594">
        <v>-68.959354838709672</v>
      </c>
      <c r="L244" s="595">
        <v>9.1599500000000003</v>
      </c>
      <c r="M244" s="594">
        <v>18.600000000000001</v>
      </c>
      <c r="N244" s="594">
        <v>-9.4400499999999994</v>
      </c>
      <c r="O244" s="594">
        <v>-50.752956989247309</v>
      </c>
      <c r="P244" s="594">
        <v>9.1142599999999998</v>
      </c>
      <c r="Q244" s="594">
        <v>4.5690000000000001E-2</v>
      </c>
      <c r="R244" s="594">
        <v>0.50130235477153384</v>
      </c>
    </row>
    <row r="245" spans="1:18" ht="15.6" thickBot="1" x14ac:dyDescent="0.35">
      <c r="A245" s="199" t="str">
        <f t="shared" si="7"/>
        <v>11325CONFERENCE TRAVEL</v>
      </c>
      <c r="B245" s="597" t="s">
        <v>477</v>
      </c>
      <c r="C245" s="597" t="s">
        <v>77</v>
      </c>
      <c r="D245" s="597" t="s">
        <v>78</v>
      </c>
      <c r="E245" s="596">
        <v>0.57203999999999999</v>
      </c>
      <c r="F245" s="596"/>
      <c r="G245" s="596">
        <v>0.57203999999999999</v>
      </c>
      <c r="H245" s="596">
        <v>0</v>
      </c>
      <c r="I245" s="596"/>
      <c r="J245" s="596">
        <v>0.57203999999999999</v>
      </c>
      <c r="K245" s="596">
        <v>0</v>
      </c>
      <c r="L245" s="595">
        <v>10.984299999999999</v>
      </c>
      <c r="M245" s="596">
        <v>17</v>
      </c>
      <c r="N245" s="596">
        <v>-6.0156999999999998</v>
      </c>
      <c r="O245" s="596">
        <v>-35.386470588235291</v>
      </c>
      <c r="P245" s="596">
        <v>12.056010000000001</v>
      </c>
      <c r="Q245" s="596">
        <v>-1.0717099999999999</v>
      </c>
      <c r="R245" s="596">
        <v>-8.8894252741993416</v>
      </c>
    </row>
    <row r="246" spans="1:18" ht="15.6" thickBot="1" x14ac:dyDescent="0.35">
      <c r="A246" s="199" t="str">
        <f t="shared" si="7"/>
        <v>11325BUSINESS TRAVEL</v>
      </c>
      <c r="B246" s="597" t="s">
        <v>477</v>
      </c>
      <c r="C246" s="598" t="s">
        <v>79</v>
      </c>
      <c r="D246" s="598" t="s">
        <v>80</v>
      </c>
      <c r="E246" s="594"/>
      <c r="F246" s="594"/>
      <c r="G246" s="594"/>
      <c r="H246" s="594"/>
      <c r="I246" s="594"/>
      <c r="J246" s="594"/>
      <c r="K246" s="594"/>
      <c r="L246" s="595">
        <v>0.20957000000000001</v>
      </c>
      <c r="M246" s="594"/>
      <c r="N246" s="594">
        <v>0.20957000000000001</v>
      </c>
      <c r="O246" s="594">
        <v>0</v>
      </c>
      <c r="P246" s="594">
        <v>0.20957000000000001</v>
      </c>
      <c r="Q246" s="594">
        <v>0</v>
      </c>
      <c r="R246" s="594">
        <v>0</v>
      </c>
    </row>
    <row r="247" spans="1:18" ht="15.6" thickBot="1" x14ac:dyDescent="0.35">
      <c r="A247" s="199" t="str">
        <f t="shared" si="7"/>
        <v>11325EMPLOYEE AWARDS</v>
      </c>
      <c r="B247" s="597" t="s">
        <v>477</v>
      </c>
      <c r="C247" s="599" t="s">
        <v>81</v>
      </c>
      <c r="D247" s="599" t="s">
        <v>82</v>
      </c>
      <c r="E247" s="596">
        <v>0.42336000000000001</v>
      </c>
      <c r="F247" s="596"/>
      <c r="G247" s="596">
        <v>0.42336000000000001</v>
      </c>
      <c r="H247" s="596">
        <v>0</v>
      </c>
      <c r="I247" s="596"/>
      <c r="J247" s="596">
        <v>0.42336000000000001</v>
      </c>
      <c r="K247" s="596">
        <v>0</v>
      </c>
      <c r="L247" s="595">
        <v>0.47058</v>
      </c>
      <c r="M247" s="596"/>
      <c r="N247" s="596">
        <v>0.47058</v>
      </c>
      <c r="O247" s="596">
        <v>0</v>
      </c>
      <c r="P247" s="596">
        <v>4.7219999999999998E-2</v>
      </c>
      <c r="Q247" s="596">
        <v>0.42336000000000001</v>
      </c>
      <c r="R247" s="596">
        <v>896.56925031766195</v>
      </c>
    </row>
    <row r="248" spans="1:18" ht="15.6" thickBot="1" x14ac:dyDescent="0.35">
      <c r="A248" s="199" t="str">
        <f t="shared" si="7"/>
        <v>11325EMPLOYEE AWRDS MLS &amp;</v>
      </c>
      <c r="B248" s="597" t="s">
        <v>477</v>
      </c>
      <c r="C248" s="597" t="s">
        <v>123</v>
      </c>
      <c r="D248" s="597" t="s">
        <v>124</v>
      </c>
      <c r="E248" s="596"/>
      <c r="F248" s="596"/>
      <c r="G248" s="596"/>
      <c r="H248" s="596"/>
      <c r="I248" s="596"/>
      <c r="J248" s="596"/>
      <c r="K248" s="596"/>
      <c r="L248" s="595">
        <v>0.10767</v>
      </c>
      <c r="M248" s="596"/>
      <c r="N248" s="596">
        <v>0.10767</v>
      </c>
      <c r="O248" s="596">
        <v>0</v>
      </c>
      <c r="P248" s="596"/>
      <c r="Q248" s="596">
        <v>0.10767</v>
      </c>
      <c r="R248" s="596">
        <v>0</v>
      </c>
    </row>
    <row r="249" spans="1:18" ht="15.6" thickBot="1" x14ac:dyDescent="0.35">
      <c r="A249" s="199" t="str">
        <f t="shared" si="7"/>
        <v>11325MISC. EXPENSE BUDGET</v>
      </c>
      <c r="B249" s="597" t="s">
        <v>477</v>
      </c>
      <c r="C249" s="597" t="s">
        <v>83</v>
      </c>
      <c r="D249" s="597" t="s">
        <v>84</v>
      </c>
      <c r="E249" s="594"/>
      <c r="F249" s="594">
        <v>0.5</v>
      </c>
      <c r="G249" s="594">
        <v>-0.5</v>
      </c>
      <c r="H249" s="594">
        <v>-100</v>
      </c>
      <c r="I249" s="594">
        <v>0.5</v>
      </c>
      <c r="J249" s="594">
        <v>-0.5</v>
      </c>
      <c r="K249" s="594">
        <v>-100</v>
      </c>
      <c r="L249" s="595"/>
      <c r="M249" s="594">
        <v>6</v>
      </c>
      <c r="N249" s="594">
        <v>-6</v>
      </c>
      <c r="O249" s="594">
        <v>-100</v>
      </c>
      <c r="P249" s="594">
        <v>1.5</v>
      </c>
      <c r="Q249" s="594">
        <v>-1.5</v>
      </c>
      <c r="R249" s="594">
        <v>-100</v>
      </c>
    </row>
    <row r="250" spans="1:18" ht="15.6" thickBot="1" x14ac:dyDescent="0.35">
      <c r="A250" s="199" t="str">
        <f t="shared" si="7"/>
        <v>11325Non-Payroll</v>
      </c>
      <c r="B250" s="597" t="s">
        <v>477</v>
      </c>
      <c r="C250" s="597" t="s">
        <v>85</v>
      </c>
      <c r="D250" s="597" t="s">
        <v>86</v>
      </c>
      <c r="E250" s="596">
        <v>16.871980000000001</v>
      </c>
      <c r="F250" s="596">
        <v>7.1749999999999998</v>
      </c>
      <c r="G250" s="596">
        <v>9.6969799999999999</v>
      </c>
      <c r="H250" s="596">
        <v>135.14954703832751</v>
      </c>
      <c r="I250" s="596">
        <v>7.1749999999999998</v>
      </c>
      <c r="J250" s="596">
        <v>9.6969799999999999</v>
      </c>
      <c r="K250" s="596">
        <v>135.14954703832751</v>
      </c>
      <c r="L250" s="595">
        <v>74.565150000000003</v>
      </c>
      <c r="M250" s="596">
        <v>94.8</v>
      </c>
      <c r="N250" s="596">
        <v>-20.234850000000002</v>
      </c>
      <c r="O250" s="596">
        <v>-21.344778481012657</v>
      </c>
      <c r="P250" s="596">
        <v>54.609870000000001</v>
      </c>
      <c r="Q250" s="596">
        <v>19.955279999999998</v>
      </c>
      <c r="R250" s="596">
        <v>36.541526284534278</v>
      </c>
    </row>
    <row r="251" spans="1:18" ht="15.6" thickBot="1" x14ac:dyDescent="0.35">
      <c r="A251" s="199" t="str">
        <f t="shared" si="7"/>
        <v>11325EXPENSE ACCOUNTS</v>
      </c>
      <c r="B251" s="597" t="s">
        <v>477</v>
      </c>
      <c r="C251" s="597" t="s">
        <v>87</v>
      </c>
      <c r="D251" s="597" t="s">
        <v>87</v>
      </c>
      <c r="E251" s="594">
        <v>81.397900000000007</v>
      </c>
      <c r="F251" s="594">
        <v>74.744780000000006</v>
      </c>
      <c r="G251" s="594">
        <v>6.6531200000000004</v>
      </c>
      <c r="H251" s="594">
        <v>8.901116572956667</v>
      </c>
      <c r="I251" s="594">
        <v>7.1749999999999998</v>
      </c>
      <c r="J251" s="594">
        <v>74.222899999999996</v>
      </c>
      <c r="K251" s="594">
        <v>1034.4655052264809</v>
      </c>
      <c r="L251" s="595">
        <v>871.16274999999996</v>
      </c>
      <c r="M251" s="594">
        <v>901.70128</v>
      </c>
      <c r="N251" s="594">
        <v>-30.538530000000002</v>
      </c>
      <c r="O251" s="594">
        <v>-3.3867679549040899</v>
      </c>
      <c r="P251" s="594">
        <v>460.32652999999999</v>
      </c>
      <c r="Q251" s="594">
        <v>410.83622000000003</v>
      </c>
      <c r="R251" s="594">
        <v>89.248868623757147</v>
      </c>
    </row>
    <row r="252" spans="1:18" ht="15.6" thickBot="1" x14ac:dyDescent="0.35">
      <c r="A252" s="199" t="str">
        <f t="shared" si="7"/>
        <v>11320SALARY PAYROLL</v>
      </c>
      <c r="B252" s="597" t="s">
        <v>486</v>
      </c>
      <c r="C252" s="597" t="s">
        <v>59</v>
      </c>
      <c r="D252" s="597" t="s">
        <v>60</v>
      </c>
      <c r="E252" s="596">
        <v>4.6615000000000002</v>
      </c>
      <c r="F252" s="596">
        <v>7.2591200000000002</v>
      </c>
      <c r="G252" s="596">
        <v>-2.59762</v>
      </c>
      <c r="H252" s="596">
        <v>-35.784227289258205</v>
      </c>
      <c r="I252" s="596">
        <v>0</v>
      </c>
      <c r="J252" s="596">
        <v>4.6615000000000002</v>
      </c>
      <c r="K252" s="596">
        <v>0</v>
      </c>
      <c r="L252" s="595">
        <v>87.245059999999995</v>
      </c>
      <c r="M252" s="596">
        <v>86.686580000000006</v>
      </c>
      <c r="N252" s="596">
        <v>0.55847999999999998</v>
      </c>
      <c r="O252" s="596">
        <v>0.64425197072026608</v>
      </c>
      <c r="P252" s="596">
        <v>48.075530000000001</v>
      </c>
      <c r="Q252" s="596">
        <v>39.169530000000002</v>
      </c>
      <c r="R252" s="596">
        <v>81.474983219113753</v>
      </c>
    </row>
    <row r="253" spans="1:18" ht="15.6" thickBot="1" x14ac:dyDescent="0.35">
      <c r="A253" s="199" t="str">
        <f t="shared" si="7"/>
        <v>11320HOURLY DOUBLE PAY</v>
      </c>
      <c r="B253" s="597" t="s">
        <v>486</v>
      </c>
      <c r="C253" s="598" t="s">
        <v>89</v>
      </c>
      <c r="D253" s="598" t="s">
        <v>90</v>
      </c>
      <c r="E253" s="594">
        <v>0.14124</v>
      </c>
      <c r="F253" s="594"/>
      <c r="G253" s="594">
        <v>0.14124</v>
      </c>
      <c r="H253" s="594">
        <v>0</v>
      </c>
      <c r="I253" s="594"/>
      <c r="J253" s="594">
        <v>0.14124</v>
      </c>
      <c r="K253" s="594">
        <v>0</v>
      </c>
      <c r="L253" s="595">
        <v>6.19008</v>
      </c>
      <c r="M253" s="594"/>
      <c r="N253" s="594">
        <v>6.19008</v>
      </c>
      <c r="O253" s="594">
        <v>0</v>
      </c>
      <c r="P253" s="594">
        <v>3.0895199999999998</v>
      </c>
      <c r="Q253" s="594">
        <v>3.1005600000000002</v>
      </c>
      <c r="R253" s="594">
        <v>100.3573370620679</v>
      </c>
    </row>
    <row r="254" spans="1:18" ht="15.6" thickBot="1" x14ac:dyDescent="0.35">
      <c r="A254" s="199" t="str">
        <f t="shared" si="7"/>
        <v>11320HOURLY REGULAR  PAY</v>
      </c>
      <c r="B254" s="597" t="s">
        <v>486</v>
      </c>
      <c r="C254" s="597" t="s">
        <v>91</v>
      </c>
      <c r="D254" s="597" t="s">
        <v>92</v>
      </c>
      <c r="E254" s="596">
        <v>16.13392</v>
      </c>
      <c r="F254" s="596">
        <v>22.74391</v>
      </c>
      <c r="G254" s="596">
        <v>-6.6099899999999998</v>
      </c>
      <c r="H254" s="596">
        <v>-29.062680955033677</v>
      </c>
      <c r="I254" s="596">
        <v>0</v>
      </c>
      <c r="J254" s="596">
        <v>16.13392</v>
      </c>
      <c r="K254" s="596">
        <v>0</v>
      </c>
      <c r="L254" s="595">
        <v>260.84233</v>
      </c>
      <c r="M254" s="596">
        <v>265.61720000000003</v>
      </c>
      <c r="N254" s="596">
        <v>-4.7748699999999999</v>
      </c>
      <c r="O254" s="596">
        <v>-1.7976509051371674</v>
      </c>
      <c r="P254" s="596">
        <v>140.20184</v>
      </c>
      <c r="Q254" s="596">
        <v>120.64049</v>
      </c>
      <c r="R254" s="596">
        <v>86.047722340876547</v>
      </c>
    </row>
    <row r="255" spans="1:18" ht="15.6" thickBot="1" x14ac:dyDescent="0.35">
      <c r="A255" s="199" t="str">
        <f t="shared" si="7"/>
        <v>11320HOURLY OVERTIME PAY</v>
      </c>
      <c r="B255" s="597" t="s">
        <v>486</v>
      </c>
      <c r="C255" s="597" t="s">
        <v>93</v>
      </c>
      <c r="D255" s="597" t="s">
        <v>94</v>
      </c>
      <c r="E255" s="594">
        <v>1.2907299999999999</v>
      </c>
      <c r="F255" s="594">
        <v>2.9177499999999998</v>
      </c>
      <c r="G255" s="594">
        <v>-1.6270199999999999</v>
      </c>
      <c r="H255" s="594">
        <v>-55.762830948504842</v>
      </c>
      <c r="I255" s="594">
        <v>0</v>
      </c>
      <c r="J255" s="594">
        <v>1.2907299999999999</v>
      </c>
      <c r="K255" s="594">
        <v>0</v>
      </c>
      <c r="L255" s="595">
        <v>25.457999999999998</v>
      </c>
      <c r="M255" s="594">
        <v>29.955249999999999</v>
      </c>
      <c r="N255" s="594">
        <v>-4.4972500000000002</v>
      </c>
      <c r="O255" s="594">
        <v>-15.013228065197252</v>
      </c>
      <c r="P255" s="594">
        <v>11.18242</v>
      </c>
      <c r="Q255" s="594">
        <v>14.27558</v>
      </c>
      <c r="R255" s="594">
        <v>127.66091776198712</v>
      </c>
    </row>
    <row r="256" spans="1:18" ht="15.6" thickBot="1" x14ac:dyDescent="0.35">
      <c r="A256" s="199" t="str">
        <f t="shared" si="7"/>
        <v>11320VACATION, SICK &amp; HOL</v>
      </c>
      <c r="B256" s="597" t="s">
        <v>486</v>
      </c>
      <c r="C256" s="597" t="s">
        <v>61</v>
      </c>
      <c r="D256" s="597" t="s">
        <v>62</v>
      </c>
      <c r="E256" s="596">
        <v>4.5920300000000003</v>
      </c>
      <c r="F256" s="596">
        <v>4.6504700000000003</v>
      </c>
      <c r="G256" s="596">
        <v>-5.8439999999999999E-2</v>
      </c>
      <c r="H256" s="596">
        <v>-1.2566471775971031</v>
      </c>
      <c r="I256" s="596">
        <v>0</v>
      </c>
      <c r="J256" s="596">
        <v>4.5920300000000003</v>
      </c>
      <c r="K256" s="596">
        <v>0</v>
      </c>
      <c r="L256" s="595">
        <v>55.058770000000003</v>
      </c>
      <c r="M256" s="596">
        <v>54.607100000000003</v>
      </c>
      <c r="N256" s="596">
        <v>0.45167000000000002</v>
      </c>
      <c r="O256" s="596">
        <v>0.82712687544293695</v>
      </c>
      <c r="P256" s="596">
        <v>27.60322</v>
      </c>
      <c r="Q256" s="596">
        <v>27.455549999999999</v>
      </c>
      <c r="R256" s="596">
        <v>99.465026181728078</v>
      </c>
    </row>
    <row r="257" spans="1:18" ht="15.6" thickBot="1" x14ac:dyDescent="0.35">
      <c r="A257" s="199" t="str">
        <f t="shared" si="7"/>
        <v>11320PAYROLL OVERHEAD</v>
      </c>
      <c r="B257" s="597" t="s">
        <v>486</v>
      </c>
      <c r="C257" s="597" t="s">
        <v>63</v>
      </c>
      <c r="D257" s="597" t="s">
        <v>64</v>
      </c>
      <c r="E257" s="594">
        <v>22.297180000000001</v>
      </c>
      <c r="F257" s="594">
        <v>22.43627</v>
      </c>
      <c r="G257" s="594">
        <v>-0.13908999999999999</v>
      </c>
      <c r="H257" s="594">
        <v>-0.61993370555800942</v>
      </c>
      <c r="I257" s="594">
        <v>0</v>
      </c>
      <c r="J257" s="594">
        <v>22.297180000000001</v>
      </c>
      <c r="K257" s="594">
        <v>0</v>
      </c>
      <c r="L257" s="595">
        <v>268.86365999999998</v>
      </c>
      <c r="M257" s="594">
        <v>263.45278999999999</v>
      </c>
      <c r="N257" s="594">
        <v>5.4108700000000001</v>
      </c>
      <c r="O257" s="594">
        <v>2.0538290750308623</v>
      </c>
      <c r="P257" s="594">
        <v>134.16537</v>
      </c>
      <c r="Q257" s="594">
        <v>134.69828999999999</v>
      </c>
      <c r="R257" s="594">
        <v>100.39721129230293</v>
      </c>
    </row>
    <row r="258" spans="1:18" ht="15.6" thickBot="1" x14ac:dyDescent="0.35">
      <c r="A258" s="199" t="str">
        <f t="shared" si="7"/>
        <v>11320NWN/580301</v>
      </c>
      <c r="B258" s="597" t="s">
        <v>486</v>
      </c>
      <c r="C258" s="597" t="s">
        <v>182</v>
      </c>
      <c r="D258" s="597" t="s">
        <v>183</v>
      </c>
      <c r="E258" s="596">
        <v>0.13291</v>
      </c>
      <c r="F258" s="596"/>
      <c r="G258" s="596">
        <v>0.13291</v>
      </c>
      <c r="H258" s="596">
        <v>0</v>
      </c>
      <c r="I258" s="596"/>
      <c r="J258" s="596">
        <v>0.13291</v>
      </c>
      <c r="K258" s="596">
        <v>0</v>
      </c>
      <c r="L258" s="595">
        <v>4.9260400000000004</v>
      </c>
      <c r="M258" s="596"/>
      <c r="N258" s="596">
        <v>4.9260400000000004</v>
      </c>
      <c r="O258" s="596">
        <v>0</v>
      </c>
      <c r="P258" s="596">
        <v>1.8746400000000001</v>
      </c>
      <c r="Q258" s="596">
        <v>3.0514000000000001</v>
      </c>
      <c r="R258" s="596">
        <v>162.77258566978193</v>
      </c>
    </row>
    <row r="259" spans="1:18" ht="15.6" thickBot="1" x14ac:dyDescent="0.35">
      <c r="A259" s="199" t="str">
        <f t="shared" si="7"/>
        <v>11320NWN/580305</v>
      </c>
      <c r="B259" s="597" t="s">
        <v>486</v>
      </c>
      <c r="C259" s="597" t="s">
        <v>184</v>
      </c>
      <c r="D259" s="597" t="s">
        <v>185</v>
      </c>
      <c r="E259" s="594">
        <v>36.410730000000001</v>
      </c>
      <c r="F259" s="594"/>
      <c r="G259" s="594">
        <v>36.410730000000001</v>
      </c>
      <c r="H259" s="594">
        <v>0</v>
      </c>
      <c r="I259" s="594"/>
      <c r="J259" s="594">
        <v>36.410730000000001</v>
      </c>
      <c r="K259" s="594">
        <v>0</v>
      </c>
      <c r="L259" s="595">
        <v>491.62146000000001</v>
      </c>
      <c r="M259" s="594"/>
      <c r="N259" s="594">
        <v>491.62146000000001</v>
      </c>
      <c r="O259" s="594">
        <v>0</v>
      </c>
      <c r="P259" s="594">
        <v>253.43768</v>
      </c>
      <c r="Q259" s="594">
        <v>238.18378000000001</v>
      </c>
      <c r="R259" s="594">
        <v>93.981202795101339</v>
      </c>
    </row>
    <row r="260" spans="1:18" ht="15.6" thickBot="1" x14ac:dyDescent="0.35">
      <c r="A260" s="199" t="str">
        <f t="shared" si="7"/>
        <v>11320NWN/580306</v>
      </c>
      <c r="B260" s="597" t="s">
        <v>486</v>
      </c>
      <c r="C260" s="597" t="s">
        <v>161</v>
      </c>
      <c r="D260" s="597" t="s">
        <v>162</v>
      </c>
      <c r="E260" s="596">
        <v>1.5138799999999999</v>
      </c>
      <c r="F260" s="596"/>
      <c r="G260" s="596">
        <v>1.5138799999999999</v>
      </c>
      <c r="H260" s="596">
        <v>0</v>
      </c>
      <c r="I260" s="596"/>
      <c r="J260" s="596">
        <v>1.5138799999999999</v>
      </c>
      <c r="K260" s="596">
        <v>0</v>
      </c>
      <c r="L260" s="595">
        <v>28.16497</v>
      </c>
      <c r="M260" s="596"/>
      <c r="N260" s="596">
        <v>28.16497</v>
      </c>
      <c r="O260" s="596">
        <v>0</v>
      </c>
      <c r="P260" s="596">
        <v>11.599970000000001</v>
      </c>
      <c r="Q260" s="596">
        <v>16.565000000000001</v>
      </c>
      <c r="R260" s="596">
        <v>142.80209345368996</v>
      </c>
    </row>
    <row r="261" spans="1:18" ht="15.6" thickBot="1" x14ac:dyDescent="0.35">
      <c r="A261" s="199" t="str">
        <f t="shared" si="7"/>
        <v>11320HRL - DBL TIME ZTFSO</v>
      </c>
      <c r="B261" s="597" t="s">
        <v>486</v>
      </c>
      <c r="C261" s="597" t="s">
        <v>186</v>
      </c>
      <c r="D261" s="597" t="s">
        <v>187</v>
      </c>
      <c r="E261" s="594">
        <v>-0.13291</v>
      </c>
      <c r="F261" s="594"/>
      <c r="G261" s="594">
        <v>-0.13291</v>
      </c>
      <c r="H261" s="594">
        <v>0</v>
      </c>
      <c r="I261" s="594"/>
      <c r="J261" s="594">
        <v>-0.13291</v>
      </c>
      <c r="K261" s="594">
        <v>0</v>
      </c>
      <c r="L261" s="595">
        <v>-6.67286</v>
      </c>
      <c r="M261" s="594"/>
      <c r="N261" s="594">
        <v>-6.67286</v>
      </c>
      <c r="O261" s="594">
        <v>0</v>
      </c>
      <c r="P261" s="594">
        <v>-3.6214599999999999</v>
      </c>
      <c r="Q261" s="594">
        <v>-3.0514000000000001</v>
      </c>
      <c r="R261" s="594">
        <v>-84.258834834569484</v>
      </c>
    </row>
    <row r="262" spans="1:18" ht="15.6" thickBot="1" x14ac:dyDescent="0.35">
      <c r="A262" s="199" t="str">
        <f t="shared" si="7"/>
        <v>11320HRLY - REGULAR ZTFSO</v>
      </c>
      <c r="B262" s="597" t="s">
        <v>486</v>
      </c>
      <c r="C262" s="597" t="s">
        <v>163</v>
      </c>
      <c r="D262" s="597" t="s">
        <v>164</v>
      </c>
      <c r="E262" s="596">
        <v>-36.915439999999997</v>
      </c>
      <c r="F262" s="596">
        <v>-0.86555000000000004</v>
      </c>
      <c r="G262" s="596">
        <v>-36.049889999999998</v>
      </c>
      <c r="H262" s="596">
        <v>-4164.9690947952167</v>
      </c>
      <c r="I262" s="596">
        <v>0</v>
      </c>
      <c r="J262" s="596">
        <v>-36.915439999999997</v>
      </c>
      <c r="K262" s="596">
        <v>0</v>
      </c>
      <c r="L262" s="595">
        <v>-494.64330000000001</v>
      </c>
      <c r="M262" s="596">
        <v>-10.108409999999999</v>
      </c>
      <c r="N262" s="596">
        <v>-484.53489000000002</v>
      </c>
      <c r="O262" s="596">
        <v>-4793.3838259429522</v>
      </c>
      <c r="P262" s="596">
        <v>-257.07821000000001</v>
      </c>
      <c r="Q262" s="596">
        <v>-237.56509</v>
      </c>
      <c r="R262" s="596">
        <v>-92.409656189841996</v>
      </c>
    </row>
    <row r="263" spans="1:18" ht="15.6" thickBot="1" x14ac:dyDescent="0.35">
      <c r="A263" s="199" t="str">
        <f t="shared" si="7"/>
        <v>11320HRLY - OT ZTFSO</v>
      </c>
      <c r="B263" s="597" t="s">
        <v>486</v>
      </c>
      <c r="C263" s="597" t="s">
        <v>97</v>
      </c>
      <c r="D263" s="597" t="s">
        <v>98</v>
      </c>
      <c r="E263" s="594">
        <v>-1.5138799999999999</v>
      </c>
      <c r="F263" s="594"/>
      <c r="G263" s="594">
        <v>-1.5138799999999999</v>
      </c>
      <c r="H263" s="594">
        <v>0</v>
      </c>
      <c r="I263" s="594"/>
      <c r="J263" s="594">
        <v>-1.5138799999999999</v>
      </c>
      <c r="K263" s="594">
        <v>0</v>
      </c>
      <c r="L263" s="595">
        <v>-29.427209999999999</v>
      </c>
      <c r="M263" s="594"/>
      <c r="N263" s="594">
        <v>-29.427209999999999</v>
      </c>
      <c r="O263" s="594">
        <v>0</v>
      </c>
      <c r="P263" s="594">
        <v>-12.63852</v>
      </c>
      <c r="Q263" s="594">
        <v>-16.788689999999999</v>
      </c>
      <c r="R263" s="594">
        <v>-132.83746831116301</v>
      </c>
    </row>
    <row r="264" spans="1:18" ht="15.6" thickBot="1" x14ac:dyDescent="0.35">
      <c r="A264" s="199" t="str">
        <f t="shared" si="7"/>
        <v>11320Payroll</v>
      </c>
      <c r="B264" s="597" t="s">
        <v>486</v>
      </c>
      <c r="C264" s="597" t="s">
        <v>67</v>
      </c>
      <c r="D264" s="597" t="s">
        <v>68</v>
      </c>
      <c r="E264" s="596">
        <v>48.611890000000002</v>
      </c>
      <c r="F264" s="596">
        <v>59.141970000000001</v>
      </c>
      <c r="G264" s="596">
        <v>-10.53008</v>
      </c>
      <c r="H264" s="596">
        <v>-17.804750163039884</v>
      </c>
      <c r="I264" s="596">
        <v>0</v>
      </c>
      <c r="J264" s="596">
        <v>48.611890000000002</v>
      </c>
      <c r="K264" s="596">
        <v>0</v>
      </c>
      <c r="L264" s="595">
        <v>697.62699999999995</v>
      </c>
      <c r="M264" s="596">
        <v>690.21051</v>
      </c>
      <c r="N264" s="596">
        <v>7.4164899999999996</v>
      </c>
      <c r="O264" s="596">
        <v>1.0745257993825681</v>
      </c>
      <c r="P264" s="596">
        <v>357.892</v>
      </c>
      <c r="Q264" s="596">
        <v>339.73500000000001</v>
      </c>
      <c r="R264" s="596">
        <v>94.926681792272532</v>
      </c>
    </row>
    <row r="265" spans="1:18" ht="15.6" thickBot="1" x14ac:dyDescent="0.35">
      <c r="A265" s="199" t="str">
        <f t="shared" si="7"/>
        <v>11320EDUCATION</v>
      </c>
      <c r="B265" s="597" t="s">
        <v>486</v>
      </c>
      <c r="C265" s="597" t="s">
        <v>69</v>
      </c>
      <c r="D265" s="597" t="s">
        <v>70</v>
      </c>
      <c r="E265" s="594"/>
      <c r="F265" s="594">
        <v>0.75</v>
      </c>
      <c r="G265" s="594">
        <v>-0.75</v>
      </c>
      <c r="H265" s="594">
        <v>-100</v>
      </c>
      <c r="I265" s="594">
        <v>0.75</v>
      </c>
      <c r="J265" s="594">
        <v>-0.75</v>
      </c>
      <c r="K265" s="594">
        <v>-100</v>
      </c>
      <c r="L265" s="595"/>
      <c r="M265" s="594">
        <v>3</v>
      </c>
      <c r="N265" s="594">
        <v>-3</v>
      </c>
      <c r="O265" s="594">
        <v>-100</v>
      </c>
      <c r="P265" s="594">
        <v>0.75</v>
      </c>
      <c r="Q265" s="594">
        <v>-0.75</v>
      </c>
      <c r="R265" s="594">
        <v>-100</v>
      </c>
    </row>
    <row r="266" spans="1:18" ht="15.6" thickBot="1" x14ac:dyDescent="0.35">
      <c r="A266" s="199" t="str">
        <f t="shared" si="7"/>
        <v>11320MATERIALS</v>
      </c>
      <c r="B266" s="597" t="s">
        <v>486</v>
      </c>
      <c r="C266" s="597" t="s">
        <v>99</v>
      </c>
      <c r="D266" s="597" t="s">
        <v>100</v>
      </c>
      <c r="E266" s="596"/>
      <c r="F266" s="596"/>
      <c r="G266" s="596"/>
      <c r="H266" s="596"/>
      <c r="I266" s="596"/>
      <c r="J266" s="596"/>
      <c r="K266" s="596"/>
      <c r="L266" s="595">
        <v>1.396E-2</v>
      </c>
      <c r="M266" s="596"/>
      <c r="N266" s="596">
        <v>1.396E-2</v>
      </c>
      <c r="O266" s="596">
        <v>0</v>
      </c>
      <c r="P266" s="596">
        <v>1.396E-2</v>
      </c>
      <c r="Q266" s="596">
        <v>0</v>
      </c>
      <c r="R266" s="596">
        <v>0</v>
      </c>
    </row>
    <row r="267" spans="1:18" ht="15.6" thickBot="1" x14ac:dyDescent="0.35">
      <c r="A267" s="199" t="str">
        <f t="shared" si="7"/>
        <v>11320MATERIALS - CONS INV</v>
      </c>
      <c r="B267" s="597" t="s">
        <v>486</v>
      </c>
      <c r="C267" s="597" t="s">
        <v>165</v>
      </c>
      <c r="D267" s="597" t="s">
        <v>166</v>
      </c>
      <c r="E267" s="594"/>
      <c r="F267" s="594"/>
      <c r="G267" s="594"/>
      <c r="H267" s="594"/>
      <c r="I267" s="594"/>
      <c r="J267" s="594"/>
      <c r="K267" s="594"/>
      <c r="L267" s="595">
        <v>6.11E-3</v>
      </c>
      <c r="M267" s="594"/>
      <c r="N267" s="594">
        <v>6.11E-3</v>
      </c>
      <c r="O267" s="594">
        <v>0</v>
      </c>
      <c r="P267" s="594">
        <v>6.11E-3</v>
      </c>
      <c r="Q267" s="594">
        <v>0</v>
      </c>
      <c r="R267" s="594">
        <v>0</v>
      </c>
    </row>
    <row r="268" spans="1:18" ht="15.6" thickBot="1" x14ac:dyDescent="0.35">
      <c r="A268" s="199" t="str">
        <f t="shared" si="7"/>
        <v>11320MILEAGE REIMBURSE</v>
      </c>
      <c r="B268" s="597" t="s">
        <v>486</v>
      </c>
      <c r="C268" s="598" t="s">
        <v>137</v>
      </c>
      <c r="D268" s="598" t="s">
        <v>138</v>
      </c>
      <c r="E268" s="596"/>
      <c r="F268" s="596"/>
      <c r="G268" s="596"/>
      <c r="H268" s="596"/>
      <c r="I268" s="596"/>
      <c r="J268" s="596"/>
      <c r="K268" s="596"/>
      <c r="L268" s="595">
        <v>7.7759999999999996E-2</v>
      </c>
      <c r="M268" s="596"/>
      <c r="N268" s="596">
        <v>7.7759999999999996E-2</v>
      </c>
      <c r="O268" s="596">
        <v>0</v>
      </c>
      <c r="P268" s="596"/>
      <c r="Q268" s="596">
        <v>7.7759999999999996E-2</v>
      </c>
      <c r="R268" s="596">
        <v>0</v>
      </c>
    </row>
    <row r="269" spans="1:18" ht="15.6" thickBot="1" x14ac:dyDescent="0.35">
      <c r="A269" s="199" t="str">
        <f t="shared" si="7"/>
        <v>11320TRANSPORTATION</v>
      </c>
      <c r="B269" s="597" t="s">
        <v>486</v>
      </c>
      <c r="C269" s="599" t="s">
        <v>190</v>
      </c>
      <c r="D269" s="599" t="s">
        <v>191</v>
      </c>
      <c r="E269" s="594">
        <v>0.754</v>
      </c>
      <c r="F269" s="594">
        <v>0.754</v>
      </c>
      <c r="G269" s="594">
        <v>0</v>
      </c>
      <c r="H269" s="594">
        <v>0</v>
      </c>
      <c r="I269" s="594">
        <v>0.754</v>
      </c>
      <c r="J269" s="594">
        <v>0</v>
      </c>
      <c r="K269" s="594">
        <v>0</v>
      </c>
      <c r="L269" s="595">
        <v>9.1302699999999994</v>
      </c>
      <c r="M269" s="594">
        <v>9.048</v>
      </c>
      <c r="N269" s="594">
        <v>8.2269999999999996E-2</v>
      </c>
      <c r="O269" s="594">
        <v>0.90926171529619804</v>
      </c>
      <c r="P269" s="594">
        <v>6.8612700000000002</v>
      </c>
      <c r="Q269" s="594">
        <v>2.2690000000000001</v>
      </c>
      <c r="R269" s="594">
        <v>33.069679519972247</v>
      </c>
    </row>
    <row r="270" spans="1:18" ht="15.6" thickBot="1" x14ac:dyDescent="0.35">
      <c r="A270" s="199" t="str">
        <f t="shared" si="7"/>
        <v>11320DUES/MEMBERSHIP</v>
      </c>
      <c r="B270" s="597" t="s">
        <v>486</v>
      </c>
      <c r="C270" s="597" t="s">
        <v>139</v>
      </c>
      <c r="D270" s="597" t="s">
        <v>140</v>
      </c>
      <c r="E270" s="596"/>
      <c r="F270" s="596">
        <v>0</v>
      </c>
      <c r="G270" s="596">
        <v>0</v>
      </c>
      <c r="H270" s="596">
        <v>0</v>
      </c>
      <c r="I270" s="596"/>
      <c r="J270" s="596"/>
      <c r="K270" s="596"/>
      <c r="L270" s="596">
        <v>0.50749999999999995</v>
      </c>
      <c r="M270" s="596">
        <v>2.4</v>
      </c>
      <c r="N270" s="596">
        <v>-1.8925000000000001</v>
      </c>
      <c r="O270" s="596">
        <v>-78.854166666666671</v>
      </c>
      <c r="P270" s="596">
        <v>1.1074999999999999</v>
      </c>
      <c r="Q270" s="596">
        <v>-0.6</v>
      </c>
      <c r="R270" s="596">
        <v>-54.176072234762977</v>
      </c>
    </row>
    <row r="271" spans="1:18" ht="15.6" thickBot="1" x14ac:dyDescent="0.35">
      <c r="A271" s="199" t="str">
        <f t="shared" si="7"/>
        <v>11320OFFICE CONTRACT WORK</v>
      </c>
      <c r="B271" s="597" t="s">
        <v>486</v>
      </c>
      <c r="C271" s="597" t="s">
        <v>169</v>
      </c>
      <c r="D271" s="597" t="s">
        <v>170</v>
      </c>
      <c r="E271" s="594"/>
      <c r="F271" s="594"/>
      <c r="G271" s="594"/>
      <c r="H271" s="594"/>
      <c r="I271" s="594"/>
      <c r="J271" s="594"/>
      <c r="K271" s="594"/>
      <c r="L271" s="594">
        <v>0</v>
      </c>
      <c r="M271" s="594"/>
      <c r="N271" s="594">
        <v>0</v>
      </c>
      <c r="O271" s="594">
        <v>0</v>
      </c>
      <c r="P271" s="594">
        <v>7.1203099999999999</v>
      </c>
      <c r="Q271" s="594">
        <v>-7.1203099999999999</v>
      </c>
      <c r="R271" s="594">
        <v>-100</v>
      </c>
    </row>
    <row r="272" spans="1:18" ht="15.6" thickBot="1" x14ac:dyDescent="0.35">
      <c r="A272" s="199" t="str">
        <f t="shared" si="7"/>
        <v>11320MISCELLANEOUS</v>
      </c>
      <c r="B272" s="597" t="s">
        <v>486</v>
      </c>
      <c r="C272" s="597" t="s">
        <v>103</v>
      </c>
      <c r="D272" s="597" t="s">
        <v>104</v>
      </c>
      <c r="E272" s="596"/>
      <c r="F272" s="596"/>
      <c r="G272" s="596"/>
      <c r="H272" s="596"/>
      <c r="I272" s="596"/>
      <c r="J272" s="596"/>
      <c r="K272" s="596"/>
      <c r="L272" s="596">
        <v>0.13975000000000001</v>
      </c>
      <c r="M272" s="596"/>
      <c r="N272" s="596">
        <v>0.13975000000000001</v>
      </c>
      <c r="O272" s="596">
        <v>0</v>
      </c>
      <c r="P272" s="596">
        <v>0.13367000000000001</v>
      </c>
      <c r="Q272" s="596">
        <v>6.0800000000000003E-3</v>
      </c>
      <c r="R272" s="596">
        <v>4.5485149996259446</v>
      </c>
    </row>
    <row r="273" spans="1:18" ht="15.6" thickBot="1" x14ac:dyDescent="0.35">
      <c r="A273" s="199" t="str">
        <f t="shared" si="7"/>
        <v>11320P CARD UNCODED CHARG</v>
      </c>
      <c r="B273" s="597" t="s">
        <v>486</v>
      </c>
      <c r="C273" s="597" t="s">
        <v>71</v>
      </c>
      <c r="D273" s="597" t="s">
        <v>72</v>
      </c>
      <c r="E273" s="594"/>
      <c r="F273" s="594"/>
      <c r="G273" s="594"/>
      <c r="H273" s="594"/>
      <c r="I273" s="594"/>
      <c r="J273" s="594"/>
      <c r="K273" s="594"/>
      <c r="L273" s="594">
        <v>5.6840000000000002E-2</v>
      </c>
      <c r="M273" s="594"/>
      <c r="N273" s="594">
        <v>5.6840000000000002E-2</v>
      </c>
      <c r="O273" s="594">
        <v>0</v>
      </c>
      <c r="P273" s="594">
        <v>5.6840000000000002E-2</v>
      </c>
      <c r="Q273" s="594">
        <v>0</v>
      </c>
      <c r="R273" s="594">
        <v>0</v>
      </c>
    </row>
    <row r="274" spans="1:18" ht="15.6" thickBot="1" x14ac:dyDescent="0.35">
      <c r="A274" s="199" t="str">
        <f t="shared" si="7"/>
        <v>11320OFFICE SUPPLIES</v>
      </c>
      <c r="B274" s="597" t="s">
        <v>486</v>
      </c>
      <c r="C274" s="597" t="s">
        <v>73</v>
      </c>
      <c r="D274" s="597" t="s">
        <v>74</v>
      </c>
      <c r="E274" s="596"/>
      <c r="F274" s="596"/>
      <c r="G274" s="596"/>
      <c r="H274" s="596"/>
      <c r="I274" s="596"/>
      <c r="J274" s="596"/>
      <c r="K274" s="596"/>
      <c r="L274" s="596">
        <v>3.5100000000000001E-3</v>
      </c>
      <c r="M274" s="596"/>
      <c r="N274" s="596">
        <v>3.5100000000000001E-3</v>
      </c>
      <c r="O274" s="596">
        <v>0</v>
      </c>
      <c r="P274" s="596">
        <v>3.5100000000000001E-3</v>
      </c>
      <c r="Q274" s="596">
        <v>0</v>
      </c>
      <c r="R274" s="596">
        <v>0</v>
      </c>
    </row>
    <row r="275" spans="1:18" ht="15.6" thickBot="1" x14ac:dyDescent="0.35">
      <c r="A275" s="199" t="str">
        <f t="shared" si="7"/>
        <v>11320PRINTING</v>
      </c>
      <c r="B275" s="597" t="s">
        <v>486</v>
      </c>
      <c r="C275" s="597" t="s">
        <v>111</v>
      </c>
      <c r="D275" s="597" t="s">
        <v>112</v>
      </c>
      <c r="E275" s="594"/>
      <c r="F275" s="594"/>
      <c r="G275" s="594"/>
      <c r="H275" s="594"/>
      <c r="I275" s="594"/>
      <c r="J275" s="594"/>
      <c r="K275" s="594"/>
      <c r="L275" s="594">
        <v>0.23794000000000001</v>
      </c>
      <c r="M275" s="594"/>
      <c r="N275" s="594">
        <v>0.23794000000000001</v>
      </c>
      <c r="O275" s="594">
        <v>0</v>
      </c>
      <c r="P275" s="594">
        <v>0.16755</v>
      </c>
      <c r="Q275" s="594">
        <v>7.0389999999999994E-2</v>
      </c>
      <c r="R275" s="594">
        <v>42.011339898537749</v>
      </c>
    </row>
    <row r="276" spans="1:18" ht="15.6" thickBot="1" x14ac:dyDescent="0.35">
      <c r="A276" s="199" t="str">
        <f t="shared" si="7"/>
        <v>11320REFRESHMENTS</v>
      </c>
      <c r="B276" s="597" t="s">
        <v>486</v>
      </c>
      <c r="C276" s="597" t="s">
        <v>113</v>
      </c>
      <c r="D276" s="597" t="s">
        <v>114</v>
      </c>
      <c r="E276" s="596">
        <v>7.5730000000000006E-2</v>
      </c>
      <c r="F276" s="596"/>
      <c r="G276" s="596">
        <v>7.5730000000000006E-2</v>
      </c>
      <c r="H276" s="596">
        <v>0</v>
      </c>
      <c r="I276" s="596"/>
      <c r="J276" s="596">
        <v>7.5730000000000006E-2</v>
      </c>
      <c r="K276" s="596">
        <v>0</v>
      </c>
      <c r="L276" s="596">
        <v>0.63034999999999997</v>
      </c>
      <c r="M276" s="596"/>
      <c r="N276" s="596">
        <v>0.63034999999999997</v>
      </c>
      <c r="O276" s="596">
        <v>0</v>
      </c>
      <c r="P276" s="596">
        <v>0.32297999999999999</v>
      </c>
      <c r="Q276" s="596">
        <v>0.30736999999999998</v>
      </c>
      <c r="R276" s="596">
        <v>95.166883398352837</v>
      </c>
    </row>
    <row r="277" spans="1:18" ht="15.6" thickBot="1" x14ac:dyDescent="0.35">
      <c r="A277" s="199" t="str">
        <f t="shared" si="7"/>
        <v>11320TOOL EXPENSE</v>
      </c>
      <c r="B277" s="597" t="s">
        <v>486</v>
      </c>
      <c r="C277" s="597" t="s">
        <v>201</v>
      </c>
      <c r="D277" s="597" t="s">
        <v>202</v>
      </c>
      <c r="E277" s="594"/>
      <c r="F277" s="594"/>
      <c r="G277" s="594"/>
      <c r="H277" s="594"/>
      <c r="I277" s="594"/>
      <c r="J277" s="594"/>
      <c r="K277" s="594"/>
      <c r="L277" s="594">
        <v>0.19592999999999999</v>
      </c>
      <c r="M277" s="594"/>
      <c r="N277" s="594">
        <v>0.19592999999999999</v>
      </c>
      <c r="O277" s="594">
        <v>0</v>
      </c>
      <c r="P277" s="594"/>
      <c r="Q277" s="594">
        <v>0.19592999999999999</v>
      </c>
      <c r="R277" s="594">
        <v>0</v>
      </c>
    </row>
    <row r="278" spans="1:18" ht="15.6" thickBot="1" x14ac:dyDescent="0.35">
      <c r="A278" s="199" t="str">
        <f t="shared" si="7"/>
        <v>11320PARKING</v>
      </c>
      <c r="B278" s="597" t="s">
        <v>486</v>
      </c>
      <c r="C278" s="597" t="s">
        <v>145</v>
      </c>
      <c r="D278" s="597" t="s">
        <v>146</v>
      </c>
      <c r="E278" s="596">
        <v>7.0000000000000001E-3</v>
      </c>
      <c r="F278" s="596"/>
      <c r="G278" s="596">
        <v>7.0000000000000001E-3</v>
      </c>
      <c r="H278" s="596">
        <v>0</v>
      </c>
      <c r="I278" s="596"/>
      <c r="J278" s="596">
        <v>7.0000000000000001E-3</v>
      </c>
      <c r="K278" s="596">
        <v>0</v>
      </c>
      <c r="L278" s="596">
        <v>0.32590000000000002</v>
      </c>
      <c r="M278" s="596"/>
      <c r="N278" s="596">
        <v>0.32590000000000002</v>
      </c>
      <c r="O278" s="596">
        <v>0</v>
      </c>
      <c r="P278" s="596">
        <v>0.25269999999999998</v>
      </c>
      <c r="Q278" s="596">
        <v>7.3200000000000001E-2</v>
      </c>
      <c r="R278" s="596">
        <v>28.967154728927582</v>
      </c>
    </row>
    <row r="279" spans="1:18" ht="15.6" thickBot="1" x14ac:dyDescent="0.35">
      <c r="A279" s="199" t="str">
        <f t="shared" si="7"/>
        <v>11320LAUNDRY</v>
      </c>
      <c r="B279" s="597" t="s">
        <v>486</v>
      </c>
      <c r="C279" s="597" t="s">
        <v>147</v>
      </c>
      <c r="D279" s="597" t="s">
        <v>148</v>
      </c>
      <c r="E279" s="594">
        <v>0.21199999999999999</v>
      </c>
      <c r="F279" s="594"/>
      <c r="G279" s="594">
        <v>0.21199999999999999</v>
      </c>
      <c r="H279" s="594">
        <v>0</v>
      </c>
      <c r="I279" s="594"/>
      <c r="J279" s="594">
        <v>0.21199999999999999</v>
      </c>
      <c r="K279" s="594">
        <v>0</v>
      </c>
      <c r="L279" s="594">
        <v>0.62668999999999997</v>
      </c>
      <c r="M279" s="594"/>
      <c r="N279" s="594">
        <v>0.62668999999999997</v>
      </c>
      <c r="O279" s="594">
        <v>0</v>
      </c>
      <c r="P279" s="594">
        <v>-0.13131000000000001</v>
      </c>
      <c r="Q279" s="594">
        <v>0.75800000000000001</v>
      </c>
      <c r="R279" s="594">
        <v>577.25991927499808</v>
      </c>
    </row>
    <row r="280" spans="1:18" ht="15.6" thickBot="1" x14ac:dyDescent="0.35">
      <c r="A280" s="199" t="str">
        <f t="shared" si="7"/>
        <v>11320UNIFORMS</v>
      </c>
      <c r="B280" s="597" t="s">
        <v>486</v>
      </c>
      <c r="C280" s="597" t="s">
        <v>203</v>
      </c>
      <c r="D280" s="597" t="s">
        <v>204</v>
      </c>
      <c r="E280" s="596"/>
      <c r="F280" s="596">
        <v>0.33700000000000002</v>
      </c>
      <c r="G280" s="596">
        <v>-0.33700000000000002</v>
      </c>
      <c r="H280" s="596">
        <v>-100</v>
      </c>
      <c r="I280" s="596">
        <v>0.33700000000000002</v>
      </c>
      <c r="J280" s="596">
        <v>-0.33700000000000002</v>
      </c>
      <c r="K280" s="596">
        <v>-100</v>
      </c>
      <c r="L280" s="596">
        <v>-0.52585000000000004</v>
      </c>
      <c r="M280" s="596">
        <v>4</v>
      </c>
      <c r="N280" s="596">
        <v>-4.5258500000000002</v>
      </c>
      <c r="O280" s="596">
        <v>-113.14624999999999</v>
      </c>
      <c r="P280" s="596">
        <v>0.47715000000000002</v>
      </c>
      <c r="Q280" s="596">
        <v>-1.0029999999999999</v>
      </c>
      <c r="R280" s="596">
        <v>-210.20643403541862</v>
      </c>
    </row>
    <row r="281" spans="1:18" ht="15.6" thickBot="1" x14ac:dyDescent="0.35">
      <c r="A281" s="199" t="str">
        <f t="shared" si="7"/>
        <v>11320PROFESSIONAL SERVICE</v>
      </c>
      <c r="B281" s="597" t="s">
        <v>486</v>
      </c>
      <c r="C281" s="597" t="s">
        <v>149</v>
      </c>
      <c r="D281" s="597" t="s">
        <v>150</v>
      </c>
      <c r="E281" s="594"/>
      <c r="F281" s="594"/>
      <c r="G281" s="594"/>
      <c r="H281" s="594"/>
      <c r="I281" s="594"/>
      <c r="J281" s="594"/>
      <c r="K281" s="594"/>
      <c r="L281" s="594">
        <v>7.1212099999999996</v>
      </c>
      <c r="M281" s="594"/>
      <c r="N281" s="594">
        <v>7.1212099999999996</v>
      </c>
      <c r="O281" s="594">
        <v>0</v>
      </c>
      <c r="P281" s="594"/>
      <c r="Q281" s="594">
        <v>7.1212099999999996</v>
      </c>
      <c r="R281" s="594">
        <v>0</v>
      </c>
    </row>
    <row r="282" spans="1:18" ht="15.6" thickBot="1" x14ac:dyDescent="0.35">
      <c r="A282" s="199" t="str">
        <f t="shared" si="7"/>
        <v>11320MEAL TICKETS</v>
      </c>
      <c r="B282" s="597" t="s">
        <v>486</v>
      </c>
      <c r="C282" s="597" t="s">
        <v>173</v>
      </c>
      <c r="D282" s="597" t="s">
        <v>174</v>
      </c>
      <c r="E282" s="596"/>
      <c r="F282" s="596">
        <v>8.3330000000000001E-2</v>
      </c>
      <c r="G282" s="596">
        <v>-8.3330000000000001E-2</v>
      </c>
      <c r="H282" s="596">
        <v>-100</v>
      </c>
      <c r="I282" s="596">
        <v>8.3330000000000001E-2</v>
      </c>
      <c r="J282" s="596">
        <v>-8.3330000000000001E-2</v>
      </c>
      <c r="K282" s="596">
        <v>-100</v>
      </c>
      <c r="L282" s="596">
        <v>1.0843499999999999</v>
      </c>
      <c r="M282" s="596">
        <v>0.99995999999999996</v>
      </c>
      <c r="N282" s="596">
        <v>8.4390000000000007E-2</v>
      </c>
      <c r="O282" s="596">
        <v>8.4393375735029394</v>
      </c>
      <c r="P282" s="596">
        <v>0.59287000000000001</v>
      </c>
      <c r="Q282" s="596">
        <v>0.49147999999999997</v>
      </c>
      <c r="R282" s="596">
        <v>82.898443166292779</v>
      </c>
    </row>
    <row r="283" spans="1:18" ht="15.6" thickBot="1" x14ac:dyDescent="0.35">
      <c r="A283" s="199" t="str">
        <f t="shared" si="7"/>
        <v>11320CORPORATE IDENTITY</v>
      </c>
      <c r="B283" s="597" t="s">
        <v>486</v>
      </c>
      <c r="C283" s="598" t="s">
        <v>153</v>
      </c>
      <c r="D283" s="598" t="s">
        <v>154</v>
      </c>
      <c r="E283" s="594"/>
      <c r="F283" s="594">
        <v>0</v>
      </c>
      <c r="G283" s="594">
        <v>0</v>
      </c>
      <c r="H283" s="594">
        <v>0</v>
      </c>
      <c r="I283" s="594"/>
      <c r="J283" s="594"/>
      <c r="K283" s="594"/>
      <c r="L283" s="594"/>
      <c r="M283" s="594">
        <v>1.5</v>
      </c>
      <c r="N283" s="594">
        <v>-1.5</v>
      </c>
      <c r="O283" s="594">
        <v>-100</v>
      </c>
      <c r="P283" s="594">
        <v>0.375</v>
      </c>
      <c r="Q283" s="594">
        <v>-0.375</v>
      </c>
      <c r="R283" s="594">
        <v>-100</v>
      </c>
    </row>
    <row r="284" spans="1:18" ht="15.6" thickBot="1" x14ac:dyDescent="0.35">
      <c r="A284" s="199" t="str">
        <f t="shared" si="7"/>
        <v>11320SMALL TOOLS</v>
      </c>
      <c r="B284" s="597" t="s">
        <v>486</v>
      </c>
      <c r="C284" s="597" t="s">
        <v>207</v>
      </c>
      <c r="D284" s="597" t="s">
        <v>208</v>
      </c>
      <c r="E284" s="596">
        <v>0.14999000000000001</v>
      </c>
      <c r="F284" s="596"/>
      <c r="G284" s="596">
        <v>0.14999000000000001</v>
      </c>
      <c r="H284" s="596">
        <v>0</v>
      </c>
      <c r="I284" s="596"/>
      <c r="J284" s="596">
        <v>0.14999000000000001</v>
      </c>
      <c r="K284" s="596">
        <v>0</v>
      </c>
      <c r="L284" s="596">
        <v>0.14999000000000001</v>
      </c>
      <c r="M284" s="596"/>
      <c r="N284" s="596">
        <v>0.14999000000000001</v>
      </c>
      <c r="O284" s="596">
        <v>0</v>
      </c>
      <c r="P284" s="596"/>
      <c r="Q284" s="596">
        <v>0.14999000000000001</v>
      </c>
      <c r="R284" s="596">
        <v>0</v>
      </c>
    </row>
    <row r="285" spans="1:18" ht="15.6" thickBot="1" x14ac:dyDescent="0.35">
      <c r="A285" s="199" t="str">
        <f t="shared" si="7"/>
        <v>11320MEALS AND ENTERTAIN</v>
      </c>
      <c r="B285" s="597" t="s">
        <v>486</v>
      </c>
      <c r="C285" s="597" t="s">
        <v>75</v>
      </c>
      <c r="D285" s="597" t="s">
        <v>76</v>
      </c>
      <c r="E285" s="594">
        <v>0.14971999999999999</v>
      </c>
      <c r="F285" s="594">
        <v>0.29166999999999998</v>
      </c>
      <c r="G285" s="594">
        <v>-0.14194999999999999</v>
      </c>
      <c r="H285" s="594">
        <v>-48.668015222683167</v>
      </c>
      <c r="I285" s="594">
        <v>0.29166999999999998</v>
      </c>
      <c r="J285" s="594">
        <v>-0.14194999999999999</v>
      </c>
      <c r="K285" s="594">
        <v>-48.668015222683167</v>
      </c>
      <c r="L285" s="594">
        <v>1.7298500000000001</v>
      </c>
      <c r="M285" s="594">
        <v>3.5000399999999998</v>
      </c>
      <c r="N285" s="594">
        <v>-1.7701899999999999</v>
      </c>
      <c r="O285" s="594">
        <v>-50.576279128238532</v>
      </c>
      <c r="P285" s="594">
        <v>1.9569399999999999</v>
      </c>
      <c r="Q285" s="594">
        <v>-0.22708999999999999</v>
      </c>
      <c r="R285" s="594">
        <v>-11.604341471889787</v>
      </c>
    </row>
    <row r="286" spans="1:18" ht="15.6" thickBot="1" x14ac:dyDescent="0.35">
      <c r="A286" s="199" t="str">
        <f t="shared" si="7"/>
        <v>11320TRAVEL IN TERRITORY</v>
      </c>
      <c r="B286" s="597" t="s">
        <v>486</v>
      </c>
      <c r="C286" s="597" t="s">
        <v>121</v>
      </c>
      <c r="D286" s="597" t="s">
        <v>122</v>
      </c>
      <c r="E286" s="596"/>
      <c r="F286" s="596"/>
      <c r="G286" s="596"/>
      <c r="H286" s="596"/>
      <c r="I286" s="596"/>
      <c r="J286" s="596"/>
      <c r="K286" s="596"/>
      <c r="L286" s="596">
        <v>0.30839</v>
      </c>
      <c r="M286" s="596"/>
      <c r="N286" s="596">
        <v>0.30839</v>
      </c>
      <c r="O286" s="596">
        <v>0</v>
      </c>
      <c r="P286" s="596"/>
      <c r="Q286" s="596">
        <v>0.30839</v>
      </c>
      <c r="R286" s="596">
        <v>0</v>
      </c>
    </row>
    <row r="287" spans="1:18" ht="15.6" thickBot="1" x14ac:dyDescent="0.35">
      <c r="A287" s="199" t="str">
        <f t="shared" si="7"/>
        <v>11320CONFERENCE TRAVEL</v>
      </c>
      <c r="B287" s="597" t="s">
        <v>486</v>
      </c>
      <c r="C287" s="597" t="s">
        <v>77</v>
      </c>
      <c r="D287" s="597" t="s">
        <v>78</v>
      </c>
      <c r="E287" s="594"/>
      <c r="F287" s="594">
        <v>0.66666999999999998</v>
      </c>
      <c r="G287" s="594">
        <v>-0.66666999999999998</v>
      </c>
      <c r="H287" s="594">
        <v>-100</v>
      </c>
      <c r="I287" s="594">
        <v>0.66666999999999998</v>
      </c>
      <c r="J287" s="594">
        <v>-0.66666999999999998</v>
      </c>
      <c r="K287" s="594">
        <v>-100</v>
      </c>
      <c r="L287" s="594"/>
      <c r="M287" s="594">
        <v>8.0000400000000003</v>
      </c>
      <c r="N287" s="594">
        <v>-8.0000400000000003</v>
      </c>
      <c r="O287" s="594">
        <v>-100</v>
      </c>
      <c r="P287" s="594">
        <v>2.0000100000000001</v>
      </c>
      <c r="Q287" s="594">
        <v>-2.0000100000000001</v>
      </c>
      <c r="R287" s="594">
        <v>-100</v>
      </c>
    </row>
    <row r="288" spans="1:18" ht="15.6" thickBot="1" x14ac:dyDescent="0.35">
      <c r="A288" s="199" t="str">
        <f t="shared" si="7"/>
        <v>11320BUSINESS TRAVEL</v>
      </c>
      <c r="B288" s="597" t="s">
        <v>486</v>
      </c>
      <c r="C288" s="597" t="s">
        <v>79</v>
      </c>
      <c r="D288" s="597" t="s">
        <v>80</v>
      </c>
      <c r="E288" s="596"/>
      <c r="F288" s="596"/>
      <c r="G288" s="596"/>
      <c r="H288" s="596"/>
      <c r="I288" s="596"/>
      <c r="J288" s="596"/>
      <c r="K288" s="596"/>
      <c r="L288" s="596">
        <v>0.20774000000000001</v>
      </c>
      <c r="M288" s="596"/>
      <c r="N288" s="596">
        <v>0.20774000000000001</v>
      </c>
      <c r="O288" s="596">
        <v>0</v>
      </c>
      <c r="P288" s="596">
        <v>0.20774000000000001</v>
      </c>
      <c r="Q288" s="596">
        <v>0</v>
      </c>
      <c r="R288" s="596">
        <v>0</v>
      </c>
    </row>
    <row r="289" spans="1:18" ht="15.6" thickBot="1" x14ac:dyDescent="0.35">
      <c r="A289" s="199" t="str">
        <f t="shared" si="7"/>
        <v>11320EMPLOYEE AWARDS</v>
      </c>
      <c r="B289" s="597" t="s">
        <v>486</v>
      </c>
      <c r="C289" s="597" t="s">
        <v>81</v>
      </c>
      <c r="D289" s="597" t="s">
        <v>82</v>
      </c>
      <c r="E289" s="594">
        <v>0.30549999999999999</v>
      </c>
      <c r="F289" s="594">
        <v>0.1</v>
      </c>
      <c r="G289" s="594">
        <v>0.20549999999999999</v>
      </c>
      <c r="H289" s="594">
        <v>205.5</v>
      </c>
      <c r="I289" s="594">
        <v>0.1</v>
      </c>
      <c r="J289" s="594">
        <v>0.20549999999999999</v>
      </c>
      <c r="K289" s="594">
        <v>205.5</v>
      </c>
      <c r="L289" s="594">
        <v>0.30549999999999999</v>
      </c>
      <c r="M289" s="594">
        <v>1.2</v>
      </c>
      <c r="N289" s="594">
        <v>-0.89449999999999996</v>
      </c>
      <c r="O289" s="594">
        <v>-74.541666666666671</v>
      </c>
      <c r="P289" s="594">
        <v>0.3</v>
      </c>
      <c r="Q289" s="594">
        <v>5.4999999999999997E-3</v>
      </c>
      <c r="R289" s="594">
        <v>1.8333333333333333</v>
      </c>
    </row>
    <row r="290" spans="1:18" ht="15.6" thickBot="1" x14ac:dyDescent="0.35">
      <c r="A290" s="199" t="str">
        <f t="shared" si="7"/>
        <v>11320EMPLOYEE AWRDS MLS &amp;</v>
      </c>
      <c r="B290" s="597" t="s">
        <v>486</v>
      </c>
      <c r="C290" s="597" t="s">
        <v>123</v>
      </c>
      <c r="D290" s="597" t="s">
        <v>124</v>
      </c>
      <c r="E290" s="596"/>
      <c r="F290" s="596">
        <v>0.25</v>
      </c>
      <c r="G290" s="596">
        <v>-0.25</v>
      </c>
      <c r="H290" s="596">
        <v>-100</v>
      </c>
      <c r="I290" s="596">
        <v>0.25</v>
      </c>
      <c r="J290" s="596">
        <v>-0.25</v>
      </c>
      <c r="K290" s="596">
        <v>-100</v>
      </c>
      <c r="L290" s="596">
        <v>0.12</v>
      </c>
      <c r="M290" s="596">
        <v>1</v>
      </c>
      <c r="N290" s="596">
        <v>-0.88</v>
      </c>
      <c r="O290" s="596">
        <v>-88</v>
      </c>
      <c r="P290" s="596">
        <v>0.37</v>
      </c>
      <c r="Q290" s="596">
        <v>-0.25</v>
      </c>
      <c r="R290" s="596">
        <v>-67.567567567567565</v>
      </c>
    </row>
    <row r="291" spans="1:18" ht="15.6" thickBot="1" x14ac:dyDescent="0.35">
      <c r="A291" s="199" t="str">
        <f t="shared" ref="A291:A352" si="8">RIGHT(B291,5)&amp;C291</f>
        <v>11320NWN/585800</v>
      </c>
      <c r="B291" s="597" t="s">
        <v>486</v>
      </c>
      <c r="C291" s="597" t="s">
        <v>211</v>
      </c>
      <c r="D291" s="597" t="s">
        <v>212</v>
      </c>
      <c r="E291" s="594"/>
      <c r="F291" s="594"/>
      <c r="G291" s="594"/>
      <c r="H291" s="594"/>
      <c r="I291" s="594"/>
      <c r="J291" s="594"/>
      <c r="K291" s="594"/>
      <c r="L291" s="594">
        <v>0.68576000000000004</v>
      </c>
      <c r="M291" s="594"/>
      <c r="N291" s="594">
        <v>0.68576000000000004</v>
      </c>
      <c r="O291" s="594">
        <v>0</v>
      </c>
      <c r="P291" s="594">
        <v>0.25716</v>
      </c>
      <c r="Q291" s="594">
        <v>0.42859999999999998</v>
      </c>
      <c r="R291" s="594">
        <v>166.66666666666666</v>
      </c>
    </row>
    <row r="292" spans="1:18" ht="15.6" thickBot="1" x14ac:dyDescent="0.35">
      <c r="A292" s="199" t="str">
        <f t="shared" si="8"/>
        <v>11320MEAL TICKETS ZTFSO</v>
      </c>
      <c r="B292" s="597" t="s">
        <v>486</v>
      </c>
      <c r="C292" s="597" t="s">
        <v>215</v>
      </c>
      <c r="D292" s="597" t="s">
        <v>216</v>
      </c>
      <c r="E292" s="596"/>
      <c r="F292" s="596"/>
      <c r="G292" s="596"/>
      <c r="H292" s="596"/>
      <c r="I292" s="596"/>
      <c r="J292" s="596"/>
      <c r="K292" s="596"/>
      <c r="L292" s="596">
        <v>-0.77148000000000005</v>
      </c>
      <c r="M292" s="596"/>
      <c r="N292" s="596">
        <v>-0.77148000000000005</v>
      </c>
      <c r="O292" s="596">
        <v>0</v>
      </c>
      <c r="P292" s="596">
        <v>-0.32145000000000001</v>
      </c>
      <c r="Q292" s="596">
        <v>-0.45002999999999999</v>
      </c>
      <c r="R292" s="596">
        <v>-140</v>
      </c>
    </row>
    <row r="293" spans="1:18" ht="15.6" thickBot="1" x14ac:dyDescent="0.35">
      <c r="A293" s="199" t="str">
        <f t="shared" si="8"/>
        <v>11320MISC. EXPENSE BUDGET</v>
      </c>
      <c r="B293" s="597" t="s">
        <v>486</v>
      </c>
      <c r="C293" s="597" t="s">
        <v>83</v>
      </c>
      <c r="D293" s="597" t="s">
        <v>84</v>
      </c>
      <c r="E293" s="594"/>
      <c r="F293" s="594">
        <v>0.58337000000000006</v>
      </c>
      <c r="G293" s="594">
        <v>-0.58337000000000006</v>
      </c>
      <c r="H293" s="594">
        <v>-100</v>
      </c>
      <c r="I293" s="594">
        <v>0.58337000000000006</v>
      </c>
      <c r="J293" s="594">
        <v>-0.58337000000000006</v>
      </c>
      <c r="K293" s="594">
        <v>-100</v>
      </c>
      <c r="L293" s="594"/>
      <c r="M293" s="594">
        <v>7</v>
      </c>
      <c r="N293" s="594">
        <v>-7</v>
      </c>
      <c r="O293" s="594">
        <v>-100</v>
      </c>
      <c r="P293" s="594">
        <v>1.75003</v>
      </c>
      <c r="Q293" s="594">
        <v>-1.75003</v>
      </c>
      <c r="R293" s="594">
        <v>-100</v>
      </c>
    </row>
    <row r="294" spans="1:18" ht="15.6" thickBot="1" x14ac:dyDescent="0.35">
      <c r="A294" s="199" t="str">
        <f t="shared" si="8"/>
        <v>11320Non-Payroll</v>
      </c>
      <c r="B294" s="597" t="s">
        <v>486</v>
      </c>
      <c r="C294" s="597" t="s">
        <v>85</v>
      </c>
      <c r="D294" s="597" t="s">
        <v>86</v>
      </c>
      <c r="E294" s="596">
        <v>1.65394</v>
      </c>
      <c r="F294" s="596">
        <v>3.8160400000000001</v>
      </c>
      <c r="G294" s="596">
        <v>-2.1621000000000001</v>
      </c>
      <c r="H294" s="596">
        <v>-56.658211129862373</v>
      </c>
      <c r="I294" s="596">
        <v>3.8160400000000001</v>
      </c>
      <c r="J294" s="596">
        <v>-2.1621000000000001</v>
      </c>
      <c r="K294" s="596">
        <v>-56.658211129862373</v>
      </c>
      <c r="L294" s="596">
        <v>22.36797</v>
      </c>
      <c r="M294" s="596">
        <v>41.648040000000002</v>
      </c>
      <c r="N294" s="596">
        <v>-19.280069999999998</v>
      </c>
      <c r="O294" s="596">
        <v>-46.292862761368845</v>
      </c>
      <c r="P294" s="596">
        <v>24.63054</v>
      </c>
      <c r="Q294" s="596">
        <v>-2.2625700000000002</v>
      </c>
      <c r="R294" s="596">
        <v>-9.1860348981386526</v>
      </c>
    </row>
    <row r="295" spans="1:18" ht="15.6" thickBot="1" x14ac:dyDescent="0.35">
      <c r="A295" s="199" t="str">
        <f t="shared" si="8"/>
        <v>11320EXPENSE ACCOUNTS</v>
      </c>
      <c r="B295" s="597" t="s">
        <v>486</v>
      </c>
      <c r="C295" s="597" t="s">
        <v>87</v>
      </c>
      <c r="D295" s="597" t="s">
        <v>87</v>
      </c>
      <c r="E295" s="594">
        <v>50.265830000000001</v>
      </c>
      <c r="F295" s="594">
        <v>62.958010000000002</v>
      </c>
      <c r="G295" s="594">
        <v>-12.69218</v>
      </c>
      <c r="H295" s="594">
        <v>-20.159754096420773</v>
      </c>
      <c r="I295" s="594">
        <v>3.8160400000000001</v>
      </c>
      <c r="J295" s="594">
        <v>46.44979</v>
      </c>
      <c r="K295" s="594">
        <v>1217.2249242670412</v>
      </c>
      <c r="L295" s="594">
        <v>719.99496999999997</v>
      </c>
      <c r="M295" s="594">
        <v>731.85855000000004</v>
      </c>
      <c r="N295" s="594">
        <v>-11.863580000000001</v>
      </c>
      <c r="O295" s="594">
        <v>-1.6210208926301402</v>
      </c>
      <c r="P295" s="594">
        <v>382.52253999999999</v>
      </c>
      <c r="Q295" s="594">
        <v>337.47242999999997</v>
      </c>
      <c r="R295" s="594">
        <v>88.22288746697123</v>
      </c>
    </row>
    <row r="296" spans="1:18" ht="15.6" thickBot="1" x14ac:dyDescent="0.35">
      <c r="A296" s="199" t="str">
        <f t="shared" si="8"/>
        <v>11348HOURLY REGULAR  PAY</v>
      </c>
      <c r="B296" s="597" t="s">
        <v>478</v>
      </c>
      <c r="C296" s="597" t="s">
        <v>91</v>
      </c>
      <c r="D296" s="597" t="s">
        <v>92</v>
      </c>
      <c r="E296" s="596">
        <v>13.39658</v>
      </c>
      <c r="F296" s="596">
        <v>16.911449999999999</v>
      </c>
      <c r="G296" s="596">
        <v>-3.5148700000000002</v>
      </c>
      <c r="H296" s="596">
        <v>-20.783965892930528</v>
      </c>
      <c r="I296" s="596">
        <v>0</v>
      </c>
      <c r="J296" s="596">
        <v>13.39658</v>
      </c>
      <c r="K296" s="596">
        <v>0</v>
      </c>
      <c r="L296" s="596">
        <v>192.39066</v>
      </c>
      <c r="M296" s="596">
        <v>197.50208000000001</v>
      </c>
      <c r="N296" s="596">
        <v>-5.1114199999999999</v>
      </c>
      <c r="O296" s="596">
        <v>-2.5880335032420922</v>
      </c>
      <c r="P296" s="596">
        <v>95.270799999999994</v>
      </c>
      <c r="Q296" s="596">
        <v>97.119860000000003</v>
      </c>
      <c r="R296" s="596">
        <v>101.94084651330733</v>
      </c>
    </row>
    <row r="297" spans="1:18" ht="15.6" thickBot="1" x14ac:dyDescent="0.35">
      <c r="A297" s="199" t="str">
        <f t="shared" si="8"/>
        <v>11348HOURLY OVERTIME PAY</v>
      </c>
      <c r="B297" s="597" t="s">
        <v>478</v>
      </c>
      <c r="C297" s="597" t="s">
        <v>93</v>
      </c>
      <c r="D297" s="597" t="s">
        <v>94</v>
      </c>
      <c r="E297" s="594">
        <v>5.9400000000000001E-2</v>
      </c>
      <c r="F297" s="594">
        <v>0.39788000000000001</v>
      </c>
      <c r="G297" s="594">
        <v>-0.33848</v>
      </c>
      <c r="H297" s="594">
        <v>-85.070875640896759</v>
      </c>
      <c r="I297" s="594">
        <v>0</v>
      </c>
      <c r="J297" s="594">
        <v>5.9400000000000001E-2</v>
      </c>
      <c r="K297" s="594">
        <v>0</v>
      </c>
      <c r="L297" s="594">
        <v>1.1595899999999999</v>
      </c>
      <c r="M297" s="594">
        <v>4.64663</v>
      </c>
      <c r="N297" s="594">
        <v>-3.4870399999999999</v>
      </c>
      <c r="O297" s="594">
        <v>-75.044494612224341</v>
      </c>
      <c r="P297" s="594">
        <v>0.62136000000000002</v>
      </c>
      <c r="Q297" s="594">
        <v>0.53822999999999999</v>
      </c>
      <c r="R297" s="594">
        <v>86.62128234839706</v>
      </c>
    </row>
    <row r="298" spans="1:18" ht="15.6" thickBot="1" x14ac:dyDescent="0.35">
      <c r="A298" s="199" t="str">
        <f t="shared" si="8"/>
        <v>11348VACATION, SICK &amp; HOL</v>
      </c>
      <c r="B298" s="597" t="s">
        <v>478</v>
      </c>
      <c r="C298" s="597" t="s">
        <v>61</v>
      </c>
      <c r="D298" s="597" t="s">
        <v>62</v>
      </c>
      <c r="E298" s="596">
        <v>2.5845500000000001</v>
      </c>
      <c r="F298" s="596">
        <v>2.62127</v>
      </c>
      <c r="G298" s="596">
        <v>-3.6720000000000003E-2</v>
      </c>
      <c r="H298" s="596">
        <v>-1.4008476807043915</v>
      </c>
      <c r="I298" s="596">
        <v>0</v>
      </c>
      <c r="J298" s="596">
        <v>2.5845500000000001</v>
      </c>
      <c r="K298" s="596">
        <v>0</v>
      </c>
      <c r="L298" s="596">
        <v>30.58821</v>
      </c>
      <c r="M298" s="596">
        <v>30.612860000000001</v>
      </c>
      <c r="N298" s="596">
        <v>-2.4649999999999998E-2</v>
      </c>
      <c r="O298" s="596">
        <v>-8.0521715383665551E-2</v>
      </c>
      <c r="P298" s="596">
        <v>15.15366</v>
      </c>
      <c r="Q298" s="596">
        <v>15.43455</v>
      </c>
      <c r="R298" s="596">
        <v>101.85361160274151</v>
      </c>
    </row>
    <row r="299" spans="1:18" ht="15.6" thickBot="1" x14ac:dyDescent="0.35">
      <c r="A299" s="199" t="str">
        <f t="shared" si="8"/>
        <v>11348PAYROLL OVERHEAD</v>
      </c>
      <c r="B299" s="597" t="s">
        <v>478</v>
      </c>
      <c r="C299" s="597" t="s">
        <v>63</v>
      </c>
      <c r="D299" s="597" t="s">
        <v>64</v>
      </c>
      <c r="E299" s="594">
        <v>12.43051</v>
      </c>
      <c r="F299" s="594">
        <v>12.646380000000001</v>
      </c>
      <c r="G299" s="594">
        <v>-0.21587000000000001</v>
      </c>
      <c r="H299" s="594">
        <v>-1.7069706904268258</v>
      </c>
      <c r="I299" s="594">
        <v>0</v>
      </c>
      <c r="J299" s="594">
        <v>12.43051</v>
      </c>
      <c r="K299" s="594">
        <v>0</v>
      </c>
      <c r="L299" s="594">
        <v>146.65577999999999</v>
      </c>
      <c r="M299" s="594">
        <v>147.69206</v>
      </c>
      <c r="N299" s="594">
        <v>-1.0362800000000001</v>
      </c>
      <c r="O299" s="594">
        <v>-0.70164909339066706</v>
      </c>
      <c r="P299" s="594">
        <v>72.389790000000005</v>
      </c>
      <c r="Q299" s="594">
        <v>74.265990000000002</v>
      </c>
      <c r="R299" s="594">
        <v>102.59180196544291</v>
      </c>
    </row>
    <row r="300" spans="1:18" ht="15.6" thickBot="1" x14ac:dyDescent="0.35">
      <c r="A300" s="199" t="str">
        <f t="shared" si="8"/>
        <v>11348NWN/580105</v>
      </c>
      <c r="B300" s="597" t="s">
        <v>478</v>
      </c>
      <c r="C300" s="597" t="s">
        <v>156</v>
      </c>
      <c r="D300" s="597" t="s">
        <v>157</v>
      </c>
      <c r="E300" s="596">
        <v>4.8882000000000003</v>
      </c>
      <c r="F300" s="596">
        <v>5.9545899999999996</v>
      </c>
      <c r="G300" s="596">
        <v>-1.0663899999999999</v>
      </c>
      <c r="H300" s="596">
        <v>-17.908705721132772</v>
      </c>
      <c r="I300" s="596">
        <v>0</v>
      </c>
      <c r="J300" s="596">
        <v>4.8882000000000003</v>
      </c>
      <c r="K300" s="596">
        <v>0</v>
      </c>
      <c r="L300" s="596">
        <v>73.810010000000005</v>
      </c>
      <c r="M300" s="596">
        <v>71.108220000000003</v>
      </c>
      <c r="N300" s="596">
        <v>2.7017899999999999</v>
      </c>
      <c r="O300" s="596">
        <v>3.7995466628190102</v>
      </c>
      <c r="P300" s="596">
        <v>38.390920000000001</v>
      </c>
      <c r="Q300" s="596">
        <v>35.419089999999997</v>
      </c>
      <c r="R300" s="596">
        <v>92.259028957889001</v>
      </c>
    </row>
    <row r="301" spans="1:18" ht="15.6" thickBot="1" x14ac:dyDescent="0.35">
      <c r="A301" s="199" t="str">
        <f t="shared" si="8"/>
        <v>11348Payroll</v>
      </c>
      <c r="B301" s="597" t="s">
        <v>478</v>
      </c>
      <c r="C301" s="597" t="s">
        <v>67</v>
      </c>
      <c r="D301" s="597" t="s">
        <v>68</v>
      </c>
      <c r="E301" s="594">
        <v>33.35924</v>
      </c>
      <c r="F301" s="594">
        <v>38.531570000000002</v>
      </c>
      <c r="G301" s="594">
        <v>-5.1723299999999997</v>
      </c>
      <c r="H301" s="594">
        <v>-13.423616011493952</v>
      </c>
      <c r="I301" s="594">
        <v>0</v>
      </c>
      <c r="J301" s="594">
        <v>33.35924</v>
      </c>
      <c r="K301" s="594">
        <v>0</v>
      </c>
      <c r="L301" s="594">
        <v>444.60424999999998</v>
      </c>
      <c r="M301" s="594">
        <v>451.56184999999999</v>
      </c>
      <c r="N301" s="594">
        <v>-6.9576000000000002</v>
      </c>
      <c r="O301" s="594">
        <v>-1.5407856088817069</v>
      </c>
      <c r="P301" s="594">
        <v>221.82652999999999</v>
      </c>
      <c r="Q301" s="594">
        <v>222.77771999999999</v>
      </c>
      <c r="R301" s="594">
        <v>100.42879902597764</v>
      </c>
    </row>
    <row r="302" spans="1:18" ht="15.6" thickBot="1" x14ac:dyDescent="0.35">
      <c r="A302" s="199" t="str">
        <f t="shared" si="8"/>
        <v>11348EDUCATION</v>
      </c>
      <c r="B302" s="597" t="s">
        <v>478</v>
      </c>
      <c r="C302" s="597" t="s">
        <v>69</v>
      </c>
      <c r="D302" s="597" t="s">
        <v>70</v>
      </c>
      <c r="E302" s="596"/>
      <c r="F302" s="596"/>
      <c r="G302" s="596"/>
      <c r="H302" s="596"/>
      <c r="I302" s="596"/>
      <c r="J302" s="596"/>
      <c r="K302" s="596"/>
      <c r="L302" s="596"/>
      <c r="M302" s="596">
        <v>3</v>
      </c>
      <c r="N302" s="596">
        <v>-3</v>
      </c>
      <c r="O302" s="596">
        <v>-100</v>
      </c>
      <c r="P302" s="596">
        <v>0.75</v>
      </c>
      <c r="Q302" s="596">
        <v>-0.75</v>
      </c>
      <c r="R302" s="596">
        <v>-100</v>
      </c>
    </row>
    <row r="303" spans="1:18" ht="15.6" thickBot="1" x14ac:dyDescent="0.35">
      <c r="A303" s="199" t="str">
        <f t="shared" si="8"/>
        <v>11348MILEAGE REIMBURSE</v>
      </c>
      <c r="B303" s="597" t="s">
        <v>478</v>
      </c>
      <c r="C303" s="597" t="s">
        <v>137</v>
      </c>
      <c r="D303" s="597" t="s">
        <v>138</v>
      </c>
      <c r="E303" s="594">
        <v>1.728E-2</v>
      </c>
      <c r="F303" s="594"/>
      <c r="G303" s="594">
        <v>1.728E-2</v>
      </c>
      <c r="H303" s="594">
        <v>0</v>
      </c>
      <c r="I303" s="594"/>
      <c r="J303" s="594">
        <v>1.728E-2</v>
      </c>
      <c r="K303" s="594">
        <v>0</v>
      </c>
      <c r="L303" s="594">
        <v>5.1839999999999997E-2</v>
      </c>
      <c r="M303" s="594"/>
      <c r="N303" s="594">
        <v>5.1839999999999997E-2</v>
      </c>
      <c r="O303" s="594">
        <v>0</v>
      </c>
      <c r="P303" s="594">
        <v>3.456E-2</v>
      </c>
      <c r="Q303" s="594">
        <v>1.728E-2</v>
      </c>
      <c r="R303" s="594">
        <v>50</v>
      </c>
    </row>
    <row r="304" spans="1:18" ht="15.6" thickBot="1" x14ac:dyDescent="0.35">
      <c r="A304" s="199" t="str">
        <f t="shared" si="8"/>
        <v>11348OTHER CONTRACT WORK</v>
      </c>
      <c r="B304" s="597" t="s">
        <v>478</v>
      </c>
      <c r="C304" s="597" t="s">
        <v>101</v>
      </c>
      <c r="D304" s="597" t="s">
        <v>102</v>
      </c>
      <c r="E304" s="596"/>
      <c r="F304" s="596"/>
      <c r="G304" s="596"/>
      <c r="H304" s="596"/>
      <c r="I304" s="596"/>
      <c r="J304" s="596"/>
      <c r="K304" s="596"/>
      <c r="L304" s="596">
        <v>0.13336000000000001</v>
      </c>
      <c r="M304" s="596"/>
      <c r="N304" s="596">
        <v>0.13336000000000001</v>
      </c>
      <c r="O304" s="596">
        <v>0</v>
      </c>
      <c r="P304" s="596">
        <v>6.5339999999999995E-2</v>
      </c>
      <c r="Q304" s="596">
        <v>6.8019999999999997E-2</v>
      </c>
      <c r="R304" s="596">
        <v>104.10162228344046</v>
      </c>
    </row>
    <row r="305" spans="1:18" ht="15.6" thickBot="1" x14ac:dyDescent="0.35">
      <c r="A305" s="199" t="str">
        <f t="shared" si="8"/>
        <v>11348OFFICE SUPPLIES</v>
      </c>
      <c r="B305" s="597" t="s">
        <v>478</v>
      </c>
      <c r="C305" s="598" t="s">
        <v>73</v>
      </c>
      <c r="D305" s="598" t="s">
        <v>74</v>
      </c>
      <c r="E305" s="594">
        <v>0.37758000000000003</v>
      </c>
      <c r="F305" s="594">
        <v>0.25</v>
      </c>
      <c r="G305" s="594">
        <v>0.12758</v>
      </c>
      <c r="H305" s="594">
        <v>51.031999999999996</v>
      </c>
      <c r="I305" s="594">
        <v>0.25</v>
      </c>
      <c r="J305" s="594">
        <v>0.12758</v>
      </c>
      <c r="K305" s="594">
        <v>51.031999999999996</v>
      </c>
      <c r="L305" s="594">
        <v>3.3241800000000001</v>
      </c>
      <c r="M305" s="594">
        <v>3</v>
      </c>
      <c r="N305" s="594">
        <v>0.32418000000000002</v>
      </c>
      <c r="O305" s="594">
        <v>10.805999999999999</v>
      </c>
      <c r="P305" s="594">
        <v>3.5111599999999998</v>
      </c>
      <c r="Q305" s="594">
        <v>-0.18698000000000001</v>
      </c>
      <c r="R305" s="594">
        <v>-5.3253055970106749</v>
      </c>
    </row>
    <row r="306" spans="1:18" ht="15.6" thickBot="1" x14ac:dyDescent="0.35">
      <c r="A306" s="199" t="str">
        <f t="shared" si="8"/>
        <v>11348PRINTING</v>
      </c>
      <c r="B306" s="597" t="s">
        <v>478</v>
      </c>
      <c r="C306" s="599" t="s">
        <v>111</v>
      </c>
      <c r="D306" s="599" t="s">
        <v>112</v>
      </c>
      <c r="E306" s="596"/>
      <c r="F306" s="596"/>
      <c r="G306" s="596"/>
      <c r="H306" s="596"/>
      <c r="I306" s="596"/>
      <c r="J306" s="596"/>
      <c r="K306" s="596"/>
      <c r="L306" s="596">
        <v>0</v>
      </c>
      <c r="M306" s="596"/>
      <c r="N306" s="596">
        <v>0</v>
      </c>
      <c r="O306" s="596">
        <v>0</v>
      </c>
      <c r="P306" s="596">
        <v>0</v>
      </c>
      <c r="Q306" s="596">
        <v>0</v>
      </c>
      <c r="R306" s="596">
        <v>0</v>
      </c>
    </row>
    <row r="307" spans="1:18" ht="15.6" thickBot="1" x14ac:dyDescent="0.35">
      <c r="A307" s="199" t="str">
        <f t="shared" si="8"/>
        <v>11348REFRESHMENTS</v>
      </c>
      <c r="B307" s="597" t="s">
        <v>478</v>
      </c>
      <c r="C307" s="597" t="s">
        <v>113</v>
      </c>
      <c r="D307" s="597" t="s">
        <v>114</v>
      </c>
      <c r="E307" s="594">
        <v>5.364E-2</v>
      </c>
      <c r="F307" s="594"/>
      <c r="G307" s="594">
        <v>5.364E-2</v>
      </c>
      <c r="H307" s="594">
        <v>0</v>
      </c>
      <c r="I307" s="594"/>
      <c r="J307" s="594">
        <v>5.364E-2</v>
      </c>
      <c r="K307" s="594">
        <v>0</v>
      </c>
      <c r="L307" s="594">
        <v>0.54576000000000002</v>
      </c>
      <c r="M307" s="594"/>
      <c r="N307" s="594">
        <v>0.54576000000000002</v>
      </c>
      <c r="O307" s="594">
        <v>0</v>
      </c>
      <c r="P307" s="594">
        <v>0.27828000000000003</v>
      </c>
      <c r="Q307" s="594">
        <v>0.26748</v>
      </c>
      <c r="R307" s="594">
        <v>96.119016817593788</v>
      </c>
    </row>
    <row r="308" spans="1:18" ht="15.6" thickBot="1" x14ac:dyDescent="0.35">
      <c r="A308" s="199" t="str">
        <f t="shared" si="8"/>
        <v>11348MEALS AND ENTERTAIN</v>
      </c>
      <c r="B308" s="597" t="s">
        <v>478</v>
      </c>
      <c r="C308" s="597" t="s">
        <v>75</v>
      </c>
      <c r="D308" s="597" t="s">
        <v>76</v>
      </c>
      <c r="E308" s="596">
        <v>0.36119000000000001</v>
      </c>
      <c r="F308" s="596"/>
      <c r="G308" s="596">
        <v>0.36119000000000001</v>
      </c>
      <c r="H308" s="596">
        <v>0</v>
      </c>
      <c r="I308" s="596"/>
      <c r="J308" s="596">
        <v>0.36119000000000001</v>
      </c>
      <c r="K308" s="596">
        <v>0</v>
      </c>
      <c r="L308" s="596">
        <v>0.48637999999999998</v>
      </c>
      <c r="M308" s="596"/>
      <c r="N308" s="596">
        <v>0.48637999999999998</v>
      </c>
      <c r="O308" s="596">
        <v>0</v>
      </c>
      <c r="P308" s="596"/>
      <c r="Q308" s="596">
        <v>0.48637999999999998</v>
      </c>
      <c r="R308" s="596">
        <v>0</v>
      </c>
    </row>
    <row r="309" spans="1:18" ht="15.6" thickBot="1" x14ac:dyDescent="0.35">
      <c r="A309" s="199" t="str">
        <f t="shared" si="8"/>
        <v>11348CONFERENCE TRAVEL</v>
      </c>
      <c r="B309" s="597" t="s">
        <v>478</v>
      </c>
      <c r="C309" s="597" t="s">
        <v>77</v>
      </c>
      <c r="D309" s="597" t="s">
        <v>78</v>
      </c>
      <c r="E309" s="594"/>
      <c r="F309" s="594"/>
      <c r="G309" s="594"/>
      <c r="H309" s="594"/>
      <c r="I309" s="594"/>
      <c r="J309" s="594"/>
      <c r="K309" s="594"/>
      <c r="L309" s="594">
        <v>0.67205999999999999</v>
      </c>
      <c r="M309" s="594">
        <v>5</v>
      </c>
      <c r="N309" s="594">
        <v>-4.3279399999999999</v>
      </c>
      <c r="O309" s="594">
        <v>-86.558800000000005</v>
      </c>
      <c r="P309" s="594">
        <v>1.9220600000000001</v>
      </c>
      <c r="Q309" s="594">
        <v>-1.25</v>
      </c>
      <c r="R309" s="594">
        <v>-65.034390185530114</v>
      </c>
    </row>
    <row r="310" spans="1:18" ht="15.6" thickBot="1" x14ac:dyDescent="0.35">
      <c r="A310" s="199" t="str">
        <f t="shared" si="8"/>
        <v>11348EMPLOYEE AWARDS</v>
      </c>
      <c r="B310" s="597" t="s">
        <v>478</v>
      </c>
      <c r="C310" s="597" t="s">
        <v>81</v>
      </c>
      <c r="D310" s="597" t="s">
        <v>82</v>
      </c>
      <c r="E310" s="596">
        <v>0.35547000000000001</v>
      </c>
      <c r="F310" s="596">
        <v>0.35</v>
      </c>
      <c r="G310" s="596">
        <v>5.47E-3</v>
      </c>
      <c r="H310" s="596">
        <v>1.5628571428571429</v>
      </c>
      <c r="I310" s="596">
        <v>0.35</v>
      </c>
      <c r="J310" s="596">
        <v>5.47E-3</v>
      </c>
      <c r="K310" s="596">
        <v>1.5628571428571429</v>
      </c>
      <c r="L310" s="596">
        <v>0.35547000000000001</v>
      </c>
      <c r="M310" s="596">
        <v>1.4</v>
      </c>
      <c r="N310" s="596">
        <v>-1.04453</v>
      </c>
      <c r="O310" s="596">
        <v>-74.609285714285718</v>
      </c>
      <c r="P310" s="596">
        <v>0.35</v>
      </c>
      <c r="Q310" s="596">
        <v>5.47E-3</v>
      </c>
      <c r="R310" s="596">
        <v>1.5628571428571429</v>
      </c>
    </row>
    <row r="311" spans="1:18" ht="15.6" thickBot="1" x14ac:dyDescent="0.35">
      <c r="A311" s="199" t="str">
        <f t="shared" si="8"/>
        <v>11348EMPLOYEE AWRDS MLS &amp;</v>
      </c>
      <c r="B311" s="597" t="s">
        <v>478</v>
      </c>
      <c r="C311" s="597" t="s">
        <v>123</v>
      </c>
      <c r="D311" s="597" t="s">
        <v>124</v>
      </c>
      <c r="E311" s="594"/>
      <c r="F311" s="594"/>
      <c r="G311" s="594"/>
      <c r="H311" s="594"/>
      <c r="I311" s="594"/>
      <c r="J311" s="594"/>
      <c r="K311" s="594"/>
      <c r="L311" s="594">
        <v>4.8980000000000003E-2</v>
      </c>
      <c r="M311" s="594"/>
      <c r="N311" s="594">
        <v>4.8980000000000003E-2</v>
      </c>
      <c r="O311" s="594">
        <v>0</v>
      </c>
      <c r="P311" s="594"/>
      <c r="Q311" s="594">
        <v>4.8980000000000003E-2</v>
      </c>
      <c r="R311" s="594">
        <v>0</v>
      </c>
    </row>
    <row r="312" spans="1:18" ht="15.6" thickBot="1" x14ac:dyDescent="0.35">
      <c r="A312" s="199" t="str">
        <f t="shared" si="8"/>
        <v>11348MISC. EXPENSE BUDGET</v>
      </c>
      <c r="B312" s="597" t="s">
        <v>478</v>
      </c>
      <c r="C312" s="597" t="s">
        <v>83</v>
      </c>
      <c r="D312" s="597" t="s">
        <v>84</v>
      </c>
      <c r="E312" s="596"/>
      <c r="F312" s="596">
        <v>0.91666999999999998</v>
      </c>
      <c r="G312" s="596">
        <v>-0.91666999999999998</v>
      </c>
      <c r="H312" s="596">
        <v>-100</v>
      </c>
      <c r="I312" s="596">
        <v>0.91666999999999998</v>
      </c>
      <c r="J312" s="596">
        <v>-0.91666999999999998</v>
      </c>
      <c r="K312" s="596">
        <v>-100</v>
      </c>
      <c r="L312" s="596"/>
      <c r="M312" s="596">
        <v>11</v>
      </c>
      <c r="N312" s="596">
        <v>-11</v>
      </c>
      <c r="O312" s="596">
        <v>-100</v>
      </c>
      <c r="P312" s="596">
        <v>2.7500100000000001</v>
      </c>
      <c r="Q312" s="596">
        <v>-2.7500100000000001</v>
      </c>
      <c r="R312" s="596">
        <v>-100</v>
      </c>
    </row>
    <row r="313" spans="1:18" ht="15.6" thickBot="1" x14ac:dyDescent="0.35">
      <c r="A313" s="199" t="str">
        <f t="shared" si="8"/>
        <v>11348Non-Payroll</v>
      </c>
      <c r="B313" s="597" t="s">
        <v>478</v>
      </c>
      <c r="C313" s="597" t="s">
        <v>85</v>
      </c>
      <c r="D313" s="597" t="s">
        <v>86</v>
      </c>
      <c r="E313" s="594">
        <v>1.16516</v>
      </c>
      <c r="F313" s="594">
        <v>1.51667</v>
      </c>
      <c r="G313" s="594">
        <v>-0.35150999999999999</v>
      </c>
      <c r="H313" s="594">
        <v>-23.176432579269058</v>
      </c>
      <c r="I313" s="594">
        <v>1.51667</v>
      </c>
      <c r="J313" s="594">
        <v>-0.35150999999999999</v>
      </c>
      <c r="K313" s="594">
        <v>-23.176432579269058</v>
      </c>
      <c r="L313" s="594">
        <v>5.6180300000000001</v>
      </c>
      <c r="M313" s="594">
        <v>23.4</v>
      </c>
      <c r="N313" s="594">
        <v>-17.781970000000001</v>
      </c>
      <c r="O313" s="594">
        <v>-75.991324786324782</v>
      </c>
      <c r="P313" s="594">
        <v>9.6614100000000001</v>
      </c>
      <c r="Q313" s="594">
        <v>-4.04338</v>
      </c>
      <c r="R313" s="594">
        <v>-41.850827156698656</v>
      </c>
    </row>
    <row r="314" spans="1:18" ht="15.6" thickBot="1" x14ac:dyDescent="0.35">
      <c r="A314" s="199" t="str">
        <f t="shared" si="8"/>
        <v>11348EXPENSE ACCOUNTS</v>
      </c>
      <c r="B314" s="597" t="s">
        <v>478</v>
      </c>
      <c r="C314" s="597" t="s">
        <v>87</v>
      </c>
      <c r="D314" s="597" t="s">
        <v>87</v>
      </c>
      <c r="E314" s="596">
        <v>34.5244</v>
      </c>
      <c r="F314" s="596">
        <v>40.04824</v>
      </c>
      <c r="G314" s="596">
        <v>-5.5238399999999999</v>
      </c>
      <c r="H314" s="596">
        <v>-13.792965683385837</v>
      </c>
      <c r="I314" s="596">
        <v>1.51667</v>
      </c>
      <c r="J314" s="596">
        <v>33.007730000000002</v>
      </c>
      <c r="K314" s="596">
        <v>2176.3290630130482</v>
      </c>
      <c r="L314" s="596">
        <v>450.22228000000001</v>
      </c>
      <c r="M314" s="596">
        <v>474.96185000000003</v>
      </c>
      <c r="N314" s="596">
        <v>-24.739570000000001</v>
      </c>
      <c r="O314" s="596">
        <v>-5.2087488710935412</v>
      </c>
      <c r="P314" s="596">
        <v>231.48794000000001</v>
      </c>
      <c r="Q314" s="596">
        <v>218.73434</v>
      </c>
      <c r="R314" s="596">
        <v>94.4905985167089</v>
      </c>
    </row>
    <row r="315" spans="1:18" ht="15.6" thickBot="1" x14ac:dyDescent="0.35">
      <c r="A315" s="199" t="str">
        <f t="shared" si="8"/>
        <v>16400SALARY PAYROLL</v>
      </c>
      <c r="B315" s="597" t="s">
        <v>479</v>
      </c>
      <c r="C315" s="597" t="s">
        <v>59</v>
      </c>
      <c r="D315" s="597" t="s">
        <v>60</v>
      </c>
      <c r="E315" s="594">
        <v>7.1166</v>
      </c>
      <c r="F315" s="594">
        <v>6.7777099999999999</v>
      </c>
      <c r="G315" s="594">
        <v>0.33889000000000002</v>
      </c>
      <c r="H315" s="594">
        <v>5.0000663941065637</v>
      </c>
      <c r="I315" s="594">
        <v>0</v>
      </c>
      <c r="J315" s="594">
        <v>7.1166</v>
      </c>
      <c r="K315" s="594">
        <v>0</v>
      </c>
      <c r="L315" s="594">
        <v>77.454440000000005</v>
      </c>
      <c r="M315" s="594">
        <v>80.937700000000007</v>
      </c>
      <c r="N315" s="594">
        <v>-3.48326</v>
      </c>
      <c r="O315" s="594">
        <v>-4.3036310643865594</v>
      </c>
      <c r="P315" s="594">
        <v>37.153730000000003</v>
      </c>
      <c r="Q315" s="594">
        <v>40.300710000000002</v>
      </c>
      <c r="R315" s="594">
        <v>108.47015898538316</v>
      </c>
    </row>
    <row r="316" spans="1:18" ht="15.6" thickBot="1" x14ac:dyDescent="0.35">
      <c r="A316" s="199" t="str">
        <f t="shared" si="8"/>
        <v>16400HOURLY DOUBLE PAY</v>
      </c>
      <c r="B316" s="597" t="s">
        <v>479</v>
      </c>
      <c r="C316" s="597" t="s">
        <v>89</v>
      </c>
      <c r="D316" s="597" t="s">
        <v>90</v>
      </c>
      <c r="E316" s="596">
        <v>0.32663999999999999</v>
      </c>
      <c r="F316" s="596"/>
      <c r="G316" s="596">
        <v>0.32663999999999999</v>
      </c>
      <c r="H316" s="596">
        <v>0</v>
      </c>
      <c r="I316" s="596"/>
      <c r="J316" s="596">
        <v>0.32663999999999999</v>
      </c>
      <c r="K316" s="596">
        <v>0</v>
      </c>
      <c r="L316" s="596">
        <v>0.51717999999999997</v>
      </c>
      <c r="M316" s="596"/>
      <c r="N316" s="596">
        <v>0.51717999999999997</v>
      </c>
      <c r="O316" s="596">
        <v>0</v>
      </c>
      <c r="P316" s="596">
        <v>0.19053999999999999</v>
      </c>
      <c r="Q316" s="596">
        <v>0.32663999999999999</v>
      </c>
      <c r="R316" s="596">
        <v>171.42857142857142</v>
      </c>
    </row>
    <row r="317" spans="1:18" ht="15.6" thickBot="1" x14ac:dyDescent="0.35">
      <c r="A317" s="199" t="str">
        <f t="shared" si="8"/>
        <v>16400HOURLY REGULAR  PAY</v>
      </c>
      <c r="B317" s="597" t="s">
        <v>479</v>
      </c>
      <c r="C317" s="597" t="s">
        <v>91</v>
      </c>
      <c r="D317" s="597" t="s">
        <v>92</v>
      </c>
      <c r="E317" s="594">
        <v>28.064910000000001</v>
      </c>
      <c r="F317" s="594">
        <v>34.015560000000001</v>
      </c>
      <c r="G317" s="594">
        <v>-5.9506500000000004</v>
      </c>
      <c r="H317" s="594">
        <v>-17.493905730201121</v>
      </c>
      <c r="I317" s="594">
        <v>0</v>
      </c>
      <c r="J317" s="594">
        <v>28.064910000000001</v>
      </c>
      <c r="K317" s="594">
        <v>0</v>
      </c>
      <c r="L317" s="594">
        <v>414.66692999999998</v>
      </c>
      <c r="M317" s="594">
        <v>397.25436999999999</v>
      </c>
      <c r="N317" s="594">
        <v>17.412559999999999</v>
      </c>
      <c r="O317" s="594">
        <v>4.383226797479912</v>
      </c>
      <c r="P317" s="594">
        <v>213.80965</v>
      </c>
      <c r="Q317" s="594">
        <v>200.85728</v>
      </c>
      <c r="R317" s="594">
        <v>93.942102239071062</v>
      </c>
    </row>
    <row r="318" spans="1:18" ht="15.6" thickBot="1" x14ac:dyDescent="0.35">
      <c r="A318" s="199" t="str">
        <f t="shared" si="8"/>
        <v>16400HOURLY OVERTIME PAY</v>
      </c>
      <c r="B318" s="597" t="s">
        <v>479</v>
      </c>
      <c r="C318" s="597" t="s">
        <v>93</v>
      </c>
      <c r="D318" s="597" t="s">
        <v>94</v>
      </c>
      <c r="E318" s="596">
        <v>0.24002000000000001</v>
      </c>
      <c r="F318" s="596"/>
      <c r="G318" s="596">
        <v>0.24002000000000001</v>
      </c>
      <c r="H318" s="596">
        <v>0</v>
      </c>
      <c r="I318" s="596"/>
      <c r="J318" s="596">
        <v>0.24002000000000001</v>
      </c>
      <c r="K318" s="596">
        <v>0</v>
      </c>
      <c r="L318" s="596">
        <v>5.4963300000000004</v>
      </c>
      <c r="M318" s="596"/>
      <c r="N318" s="596">
        <v>5.4963300000000004</v>
      </c>
      <c r="O318" s="596">
        <v>0</v>
      </c>
      <c r="P318" s="596">
        <v>3.3840300000000001</v>
      </c>
      <c r="Q318" s="596">
        <v>2.1122999999999998</v>
      </c>
      <c r="R318" s="596">
        <v>62.419659400182624</v>
      </c>
    </row>
    <row r="319" spans="1:18" ht="15.6" thickBot="1" x14ac:dyDescent="0.35">
      <c r="A319" s="199" t="str">
        <f t="shared" si="8"/>
        <v>16400P/T HOURLY PAYROLL</v>
      </c>
      <c r="B319" s="597" t="s">
        <v>479</v>
      </c>
      <c r="C319" s="597" t="s">
        <v>159</v>
      </c>
      <c r="D319" s="597" t="s">
        <v>160</v>
      </c>
      <c r="E319" s="594">
        <v>2.4434200000000001</v>
      </c>
      <c r="F319" s="594">
        <v>1.24993</v>
      </c>
      <c r="G319" s="594">
        <v>1.1934899999999999</v>
      </c>
      <c r="H319" s="594">
        <v>95.484547134639541</v>
      </c>
      <c r="I319" s="594">
        <v>0</v>
      </c>
      <c r="J319" s="594">
        <v>2.4434200000000001</v>
      </c>
      <c r="K319" s="594">
        <v>0</v>
      </c>
      <c r="L319" s="594">
        <v>14.75773</v>
      </c>
      <c r="M319" s="594">
        <v>14.597440000000001</v>
      </c>
      <c r="N319" s="594">
        <v>0.16028999999999999</v>
      </c>
      <c r="O319" s="594">
        <v>1.0980692504987175</v>
      </c>
      <c r="P319" s="594">
        <v>1.92119</v>
      </c>
      <c r="Q319" s="594">
        <v>12.836539999999999</v>
      </c>
      <c r="R319" s="594">
        <v>668.1556743476699</v>
      </c>
    </row>
    <row r="320" spans="1:18" ht="15.6" thickBot="1" x14ac:dyDescent="0.35">
      <c r="A320" s="199" t="str">
        <f t="shared" si="8"/>
        <v>16400HOURLY BONUS PAYROLL</v>
      </c>
      <c r="B320" s="597" t="s">
        <v>479</v>
      </c>
      <c r="C320" s="597" t="s">
        <v>95</v>
      </c>
      <c r="D320" s="597" t="s">
        <v>96</v>
      </c>
      <c r="E320" s="596"/>
      <c r="F320" s="596"/>
      <c r="G320" s="596"/>
      <c r="H320" s="596"/>
      <c r="I320" s="596"/>
      <c r="J320" s="596"/>
      <c r="K320" s="596"/>
      <c r="L320" s="596">
        <v>0.14276</v>
      </c>
      <c r="M320" s="596"/>
      <c r="N320" s="596">
        <v>0.14276</v>
      </c>
      <c r="O320" s="596">
        <v>0</v>
      </c>
      <c r="P320" s="596">
        <v>0.14276</v>
      </c>
      <c r="Q320" s="596">
        <v>0</v>
      </c>
      <c r="R320" s="596">
        <v>0</v>
      </c>
    </row>
    <row r="321" spans="1:18" ht="15.6" thickBot="1" x14ac:dyDescent="0.35">
      <c r="A321" s="199" t="str">
        <f t="shared" si="8"/>
        <v>16400VACATION, SICK &amp; HOL</v>
      </c>
      <c r="B321" s="597" t="s">
        <v>479</v>
      </c>
      <c r="C321" s="597" t="s">
        <v>61</v>
      </c>
      <c r="D321" s="597" t="s">
        <v>62</v>
      </c>
      <c r="E321" s="594">
        <v>6.1755800000000001</v>
      </c>
      <c r="F321" s="594">
        <v>6.5166899999999996</v>
      </c>
      <c r="G321" s="594">
        <v>-0.34111000000000002</v>
      </c>
      <c r="H321" s="594">
        <v>-5.2344058103116771</v>
      </c>
      <c r="I321" s="594">
        <v>0</v>
      </c>
      <c r="J321" s="594">
        <v>6.1755800000000001</v>
      </c>
      <c r="K321" s="594">
        <v>0</v>
      </c>
      <c r="L321" s="594">
        <v>79.416269999999997</v>
      </c>
      <c r="M321" s="594">
        <v>76.382379999999998</v>
      </c>
      <c r="N321" s="594">
        <v>3.03389</v>
      </c>
      <c r="O321" s="594">
        <v>3.9719762594462229</v>
      </c>
      <c r="P321" s="594">
        <v>39.311340000000001</v>
      </c>
      <c r="Q321" s="594">
        <v>40.104930000000003</v>
      </c>
      <c r="R321" s="594">
        <v>102.01873047319171</v>
      </c>
    </row>
    <row r="322" spans="1:18" ht="15.6" thickBot="1" x14ac:dyDescent="0.35">
      <c r="A322" s="199" t="str">
        <f t="shared" si="8"/>
        <v>16400PAYROLL OVERHEAD</v>
      </c>
      <c r="B322" s="597" t="s">
        <v>479</v>
      </c>
      <c r="C322" s="597" t="s">
        <v>63</v>
      </c>
      <c r="D322" s="597" t="s">
        <v>64</v>
      </c>
      <c r="E322" s="596">
        <v>29.74699</v>
      </c>
      <c r="F322" s="596">
        <v>31.439910000000001</v>
      </c>
      <c r="G322" s="596">
        <v>-1.69292</v>
      </c>
      <c r="H322" s="596">
        <v>-5.3846210119558231</v>
      </c>
      <c r="I322" s="596">
        <v>0</v>
      </c>
      <c r="J322" s="596">
        <v>29.74699</v>
      </c>
      <c r="K322" s="596">
        <v>0</v>
      </c>
      <c r="L322" s="596">
        <v>381.45352000000003</v>
      </c>
      <c r="M322" s="596">
        <v>368.50806999999998</v>
      </c>
      <c r="N322" s="596">
        <v>12.945449999999999</v>
      </c>
      <c r="O322" s="596">
        <v>3.5129352798162601</v>
      </c>
      <c r="P322" s="596">
        <v>188.48858000000001</v>
      </c>
      <c r="Q322" s="596">
        <v>192.96494000000001</v>
      </c>
      <c r="R322" s="596">
        <v>102.37487066855721</v>
      </c>
    </row>
    <row r="323" spans="1:18" ht="15.6" thickBot="1" x14ac:dyDescent="0.35">
      <c r="A323" s="199" t="str">
        <f t="shared" si="8"/>
        <v>16400NWN/580305</v>
      </c>
      <c r="B323" s="597" t="s">
        <v>479</v>
      </c>
      <c r="C323" s="597" t="s">
        <v>184</v>
      </c>
      <c r="D323" s="597" t="s">
        <v>185</v>
      </c>
      <c r="E323" s="594">
        <v>1.1184000000000001</v>
      </c>
      <c r="F323" s="594">
        <v>1.1991799999999999</v>
      </c>
      <c r="G323" s="594">
        <v>-8.0780000000000005E-2</v>
      </c>
      <c r="H323" s="594">
        <v>-6.7362697843526407</v>
      </c>
      <c r="I323" s="594">
        <v>0</v>
      </c>
      <c r="J323" s="594">
        <v>1.1184000000000001</v>
      </c>
      <c r="K323" s="594">
        <v>0</v>
      </c>
      <c r="L323" s="594">
        <v>17.770399999999999</v>
      </c>
      <c r="M323" s="594">
        <v>14.00483</v>
      </c>
      <c r="N323" s="594">
        <v>3.7655699999999999</v>
      </c>
      <c r="O323" s="594">
        <v>26.887652331374248</v>
      </c>
      <c r="P323" s="594">
        <v>8.6880000000000006</v>
      </c>
      <c r="Q323" s="594">
        <v>9.0823999999999998</v>
      </c>
      <c r="R323" s="594">
        <v>104.53959484346224</v>
      </c>
    </row>
    <row r="324" spans="1:18" ht="15.6" thickBot="1" x14ac:dyDescent="0.35">
      <c r="A324" s="199" t="str">
        <f t="shared" si="8"/>
        <v>16400HRLY - REGULAR ZTFSO</v>
      </c>
      <c r="B324" s="597" t="s">
        <v>479</v>
      </c>
      <c r="C324" s="597" t="s">
        <v>163</v>
      </c>
      <c r="D324" s="597" t="s">
        <v>164</v>
      </c>
      <c r="E324" s="596">
        <v>-0.24179</v>
      </c>
      <c r="F324" s="596">
        <v>-0.27751999999999999</v>
      </c>
      <c r="G324" s="596">
        <v>3.5729999999999998E-2</v>
      </c>
      <c r="H324" s="596">
        <v>12.874747765926781</v>
      </c>
      <c r="I324" s="596">
        <v>0</v>
      </c>
      <c r="J324" s="596">
        <v>-0.24179</v>
      </c>
      <c r="K324" s="596">
        <v>0</v>
      </c>
      <c r="L324" s="596">
        <v>-2.9347400000000001</v>
      </c>
      <c r="M324" s="596">
        <v>-3.2410299999999999</v>
      </c>
      <c r="N324" s="596">
        <v>0.30629000000000001</v>
      </c>
      <c r="O324" s="596">
        <v>9.4503907708351971</v>
      </c>
      <c r="P324" s="596">
        <v>-1.5162</v>
      </c>
      <c r="Q324" s="596">
        <v>-1.4185399999999999</v>
      </c>
      <c r="R324" s="596">
        <v>-93.558897243107765</v>
      </c>
    </row>
    <row r="325" spans="1:18" ht="15.6" thickBot="1" x14ac:dyDescent="0.35">
      <c r="A325" s="199" t="str">
        <f t="shared" si="8"/>
        <v>16400Payroll</v>
      </c>
      <c r="B325" s="597" t="s">
        <v>479</v>
      </c>
      <c r="C325" s="597" t="s">
        <v>67</v>
      </c>
      <c r="D325" s="597" t="s">
        <v>68</v>
      </c>
      <c r="E325" s="594">
        <v>74.990769999999998</v>
      </c>
      <c r="F325" s="594">
        <v>80.921459999999996</v>
      </c>
      <c r="G325" s="594">
        <v>-5.9306900000000002</v>
      </c>
      <c r="H325" s="594">
        <v>-7.3289458692416076</v>
      </c>
      <c r="I325" s="594">
        <v>0</v>
      </c>
      <c r="J325" s="594">
        <v>74.990769999999998</v>
      </c>
      <c r="K325" s="594">
        <v>0</v>
      </c>
      <c r="L325" s="594">
        <v>988.74081999999999</v>
      </c>
      <c r="M325" s="594">
        <v>948.44376</v>
      </c>
      <c r="N325" s="594">
        <v>40.297060000000002</v>
      </c>
      <c r="O325" s="594">
        <v>4.2487558777338572</v>
      </c>
      <c r="P325" s="594">
        <v>491.57362000000001</v>
      </c>
      <c r="Q325" s="594">
        <v>497.16719999999998</v>
      </c>
      <c r="R325" s="594">
        <v>101.13789263142314</v>
      </c>
    </row>
    <row r="326" spans="1:18" ht="15.6" thickBot="1" x14ac:dyDescent="0.35">
      <c r="A326" s="199" t="str">
        <f t="shared" si="8"/>
        <v>16400EDUCATION</v>
      </c>
      <c r="B326" s="597" t="s">
        <v>479</v>
      </c>
      <c r="C326" s="597" t="s">
        <v>69</v>
      </c>
      <c r="D326" s="597" t="s">
        <v>70</v>
      </c>
      <c r="E326" s="596"/>
      <c r="F326" s="596">
        <v>0</v>
      </c>
      <c r="G326" s="596">
        <v>0</v>
      </c>
      <c r="H326" s="596">
        <v>0</v>
      </c>
      <c r="I326" s="596"/>
      <c r="J326" s="596"/>
      <c r="K326" s="596"/>
      <c r="L326" s="596">
        <v>3.7011599999999998</v>
      </c>
      <c r="M326" s="596">
        <v>3.347</v>
      </c>
      <c r="N326" s="596">
        <v>0.35415999999999997</v>
      </c>
      <c r="O326" s="596">
        <v>10.581416193606215</v>
      </c>
      <c r="P326" s="596">
        <v>3.7011599999999998</v>
      </c>
      <c r="Q326" s="596">
        <v>0</v>
      </c>
      <c r="R326" s="596">
        <v>0</v>
      </c>
    </row>
    <row r="327" spans="1:18" ht="15.6" thickBot="1" x14ac:dyDescent="0.35">
      <c r="A327" s="199" t="str">
        <f t="shared" si="8"/>
        <v>16400MATERIALS</v>
      </c>
      <c r="B327" s="597" t="s">
        <v>479</v>
      </c>
      <c r="C327" s="597" t="s">
        <v>99</v>
      </c>
      <c r="D327" s="597" t="s">
        <v>100</v>
      </c>
      <c r="E327" s="594">
        <v>-8.6470000000000005E-2</v>
      </c>
      <c r="F327" s="594">
        <v>1.1080000000000001</v>
      </c>
      <c r="G327" s="594">
        <v>-1.1944699999999999</v>
      </c>
      <c r="H327" s="594">
        <v>-107.80415162454874</v>
      </c>
      <c r="I327" s="594">
        <v>1.1080000000000001</v>
      </c>
      <c r="J327" s="594">
        <v>-1.1944699999999999</v>
      </c>
      <c r="K327" s="594">
        <v>-107.80415162454874</v>
      </c>
      <c r="L327" s="594">
        <v>14.2996</v>
      </c>
      <c r="M327" s="594">
        <v>13.3</v>
      </c>
      <c r="N327" s="594">
        <v>0.99960000000000004</v>
      </c>
      <c r="O327" s="594">
        <v>7.5157894736842108</v>
      </c>
      <c r="P327" s="594">
        <v>9.9176199999999994</v>
      </c>
      <c r="Q327" s="594">
        <v>4.3819800000000004</v>
      </c>
      <c r="R327" s="594">
        <v>44.183786029309452</v>
      </c>
    </row>
    <row r="328" spans="1:18" ht="15.6" thickBot="1" x14ac:dyDescent="0.35">
      <c r="A328" s="199" t="str">
        <f t="shared" si="8"/>
        <v>16400MATERIALS - CONS INV</v>
      </c>
      <c r="B328" s="597" t="s">
        <v>479</v>
      </c>
      <c r="C328" s="597" t="s">
        <v>165</v>
      </c>
      <c r="D328" s="597" t="s">
        <v>166</v>
      </c>
      <c r="E328" s="596">
        <v>1.64E-3</v>
      </c>
      <c r="F328" s="596"/>
      <c r="G328" s="596">
        <v>1.64E-3</v>
      </c>
      <c r="H328" s="596">
        <v>0</v>
      </c>
      <c r="I328" s="596"/>
      <c r="J328" s="596">
        <v>1.64E-3</v>
      </c>
      <c r="K328" s="596">
        <v>0</v>
      </c>
      <c r="L328" s="596">
        <v>0.26246999999999998</v>
      </c>
      <c r="M328" s="596"/>
      <c r="N328" s="596">
        <v>0.26246999999999998</v>
      </c>
      <c r="O328" s="596">
        <v>0</v>
      </c>
      <c r="P328" s="596">
        <v>0.11308</v>
      </c>
      <c r="Q328" s="596">
        <v>0.14939</v>
      </c>
      <c r="R328" s="596">
        <v>132.11001061195614</v>
      </c>
    </row>
    <row r="329" spans="1:18" ht="15.6" thickBot="1" x14ac:dyDescent="0.35">
      <c r="A329" s="199" t="str">
        <f t="shared" si="8"/>
        <v>16400MILEAGE REIMBURSE</v>
      </c>
      <c r="B329" s="597" t="s">
        <v>479</v>
      </c>
      <c r="C329" s="597" t="s">
        <v>137</v>
      </c>
      <c r="D329" s="597" t="s">
        <v>138</v>
      </c>
      <c r="E329" s="594"/>
      <c r="F329" s="594"/>
      <c r="G329" s="594"/>
      <c r="H329" s="594"/>
      <c r="I329" s="594"/>
      <c r="J329" s="594"/>
      <c r="K329" s="594"/>
      <c r="L329" s="594">
        <v>4.9140000000000003E-2</v>
      </c>
      <c r="M329" s="594"/>
      <c r="N329" s="594">
        <v>4.9140000000000003E-2</v>
      </c>
      <c r="O329" s="594">
        <v>0</v>
      </c>
      <c r="P329" s="594">
        <v>1.7919999999999998E-2</v>
      </c>
      <c r="Q329" s="594">
        <v>3.1220000000000001E-2</v>
      </c>
      <c r="R329" s="594">
        <v>174.21875</v>
      </c>
    </row>
    <row r="330" spans="1:18" ht="15.6" thickBot="1" x14ac:dyDescent="0.35">
      <c r="A330" s="199" t="str">
        <f t="shared" si="8"/>
        <v>16400TRANSPORTATION</v>
      </c>
      <c r="B330" s="597" t="s">
        <v>479</v>
      </c>
      <c r="C330" s="597" t="s">
        <v>190</v>
      </c>
      <c r="D330" s="597" t="s">
        <v>191</v>
      </c>
      <c r="E330" s="596">
        <v>0.754</v>
      </c>
      <c r="F330" s="596">
        <v>0.754</v>
      </c>
      <c r="G330" s="596">
        <v>0</v>
      </c>
      <c r="H330" s="596">
        <v>0</v>
      </c>
      <c r="I330" s="596">
        <v>0.754</v>
      </c>
      <c r="J330" s="596">
        <v>0</v>
      </c>
      <c r="K330" s="596">
        <v>0</v>
      </c>
      <c r="L330" s="596">
        <v>9.048</v>
      </c>
      <c r="M330" s="596">
        <v>9.048</v>
      </c>
      <c r="N330" s="596">
        <v>0</v>
      </c>
      <c r="O330" s="596">
        <v>0</v>
      </c>
      <c r="P330" s="596">
        <v>6.7859999999999996</v>
      </c>
      <c r="Q330" s="596">
        <v>2.262</v>
      </c>
      <c r="R330" s="596">
        <v>33.333333333333336</v>
      </c>
    </row>
    <row r="331" spans="1:18" ht="15.6" thickBot="1" x14ac:dyDescent="0.35">
      <c r="A331" s="199" t="str">
        <f t="shared" si="8"/>
        <v>16400EQUIPMENT</v>
      </c>
      <c r="B331" s="597" t="s">
        <v>479</v>
      </c>
      <c r="C331" s="597" t="s">
        <v>36</v>
      </c>
      <c r="D331" s="597" t="s">
        <v>192</v>
      </c>
      <c r="E331" s="594"/>
      <c r="F331" s="594"/>
      <c r="G331" s="594"/>
      <c r="H331" s="594"/>
      <c r="I331" s="594"/>
      <c r="J331" s="594"/>
      <c r="K331" s="594"/>
      <c r="L331" s="594">
        <v>2.8140000000000001</v>
      </c>
      <c r="M331" s="594"/>
      <c r="N331" s="594">
        <v>2.8140000000000001</v>
      </c>
      <c r="O331" s="594">
        <v>0</v>
      </c>
      <c r="P331" s="594">
        <v>2.8140000000000001</v>
      </c>
      <c r="Q331" s="594">
        <v>0</v>
      </c>
      <c r="R331" s="594">
        <v>0</v>
      </c>
    </row>
    <row r="332" spans="1:18" ht="15.6" thickBot="1" x14ac:dyDescent="0.35">
      <c r="A332" s="199" t="str">
        <f t="shared" si="8"/>
        <v>16400DUES/MEMBERSHIP</v>
      </c>
      <c r="B332" s="597" t="s">
        <v>479</v>
      </c>
      <c r="C332" s="597" t="s">
        <v>139</v>
      </c>
      <c r="D332" s="597" t="s">
        <v>140</v>
      </c>
      <c r="E332" s="596"/>
      <c r="F332" s="596">
        <v>0</v>
      </c>
      <c r="G332" s="596">
        <v>0</v>
      </c>
      <c r="H332" s="596">
        <v>0</v>
      </c>
      <c r="I332" s="596"/>
      <c r="J332" s="596"/>
      <c r="K332" s="596"/>
      <c r="L332" s="596">
        <v>2.11225</v>
      </c>
      <c r="M332" s="596">
        <v>2</v>
      </c>
      <c r="N332" s="596">
        <v>0.11225</v>
      </c>
      <c r="O332" s="596">
        <v>5.6124999999999998</v>
      </c>
      <c r="P332" s="596">
        <v>1.5467500000000001</v>
      </c>
      <c r="Q332" s="596">
        <v>0.5655</v>
      </c>
      <c r="R332" s="596">
        <v>36.560530143850009</v>
      </c>
    </row>
    <row r="333" spans="1:18" ht="15.6" thickBot="1" x14ac:dyDescent="0.35">
      <c r="A333" s="199" t="str">
        <f t="shared" si="8"/>
        <v>16400OFFICE CONTRACT WORK</v>
      </c>
      <c r="B333" s="597" t="s">
        <v>479</v>
      </c>
      <c r="C333" s="597" t="s">
        <v>169</v>
      </c>
      <c r="D333" s="597" t="s">
        <v>170</v>
      </c>
      <c r="E333" s="594">
        <v>2.3696000000000002</v>
      </c>
      <c r="F333" s="594">
        <v>0</v>
      </c>
      <c r="G333" s="594">
        <v>2.3696000000000002</v>
      </c>
      <c r="H333" s="594">
        <v>0</v>
      </c>
      <c r="I333" s="594">
        <v>0</v>
      </c>
      <c r="J333" s="594">
        <v>2.3696000000000002</v>
      </c>
      <c r="K333" s="594">
        <v>0</v>
      </c>
      <c r="L333" s="594">
        <v>6.3763199999999998</v>
      </c>
      <c r="M333" s="594">
        <v>6</v>
      </c>
      <c r="N333" s="594">
        <v>0.37631999999999999</v>
      </c>
      <c r="O333" s="594">
        <v>6.2720000000000002</v>
      </c>
      <c r="P333" s="594">
        <v>0</v>
      </c>
      <c r="Q333" s="594">
        <v>6.3763199999999998</v>
      </c>
      <c r="R333" s="594">
        <v>0</v>
      </c>
    </row>
    <row r="334" spans="1:18" ht="15.6" thickBot="1" x14ac:dyDescent="0.35">
      <c r="A334" s="199" t="str">
        <f t="shared" si="8"/>
        <v>16400OTHER CONTRACT WORK</v>
      </c>
      <c r="B334" s="597" t="s">
        <v>479</v>
      </c>
      <c r="C334" s="597" t="s">
        <v>101</v>
      </c>
      <c r="D334" s="597" t="s">
        <v>102</v>
      </c>
      <c r="E334" s="596">
        <v>6.94442</v>
      </c>
      <c r="F334" s="596">
        <v>0</v>
      </c>
      <c r="G334" s="596">
        <v>6.94442</v>
      </c>
      <c r="H334" s="596">
        <v>0</v>
      </c>
      <c r="I334" s="596">
        <v>0</v>
      </c>
      <c r="J334" s="596">
        <v>6.94442</v>
      </c>
      <c r="K334" s="596">
        <v>0</v>
      </c>
      <c r="L334" s="596">
        <v>87.241900000000001</v>
      </c>
      <c r="M334" s="596">
        <v>0</v>
      </c>
      <c r="N334" s="596">
        <v>87.241900000000001</v>
      </c>
      <c r="O334" s="596">
        <v>0</v>
      </c>
      <c r="P334" s="596">
        <v>45.53163</v>
      </c>
      <c r="Q334" s="596">
        <v>41.710270000000001</v>
      </c>
      <c r="R334" s="596">
        <v>91.60724094437208</v>
      </c>
    </row>
    <row r="335" spans="1:18" ht="15.6" thickBot="1" x14ac:dyDescent="0.35">
      <c r="A335" s="199" t="str">
        <f t="shared" si="8"/>
        <v>16400BENEFITS</v>
      </c>
      <c r="B335" s="597" t="s">
        <v>479</v>
      </c>
      <c r="C335" s="597" t="s">
        <v>504</v>
      </c>
      <c r="D335" s="597" t="s">
        <v>505</v>
      </c>
      <c r="E335" s="594"/>
      <c r="F335" s="594"/>
      <c r="G335" s="594"/>
      <c r="H335" s="594"/>
      <c r="I335" s="594"/>
      <c r="J335" s="594"/>
      <c r="K335" s="594"/>
      <c r="L335" s="594">
        <v>8.3900000000000002E-2</v>
      </c>
      <c r="M335" s="594"/>
      <c r="N335" s="594">
        <v>8.3900000000000002E-2</v>
      </c>
      <c r="O335" s="594">
        <v>0</v>
      </c>
      <c r="P335" s="594"/>
      <c r="Q335" s="594">
        <v>8.3900000000000002E-2</v>
      </c>
      <c r="R335" s="594">
        <v>0</v>
      </c>
    </row>
    <row r="336" spans="1:18" ht="15.6" thickBot="1" x14ac:dyDescent="0.35">
      <c r="A336" s="199" t="str">
        <f t="shared" si="8"/>
        <v>16400RENTS AND LEASES</v>
      </c>
      <c r="B336" s="597" t="s">
        <v>479</v>
      </c>
      <c r="C336" s="597" t="s">
        <v>480</v>
      </c>
      <c r="D336" s="597" t="s">
        <v>481</v>
      </c>
      <c r="E336" s="596"/>
      <c r="F336" s="596"/>
      <c r="G336" s="596"/>
      <c r="H336" s="596"/>
      <c r="I336" s="596"/>
      <c r="J336" s="596"/>
      <c r="K336" s="596"/>
      <c r="L336" s="596">
        <v>2.2050000000000001</v>
      </c>
      <c r="M336" s="596"/>
      <c r="N336" s="596">
        <v>2.2050000000000001</v>
      </c>
      <c r="O336" s="596">
        <v>0</v>
      </c>
      <c r="P336" s="596">
        <v>1.32</v>
      </c>
      <c r="Q336" s="596">
        <v>0.88500000000000001</v>
      </c>
      <c r="R336" s="596">
        <v>67.045454545454547</v>
      </c>
    </row>
    <row r="337" spans="1:18" ht="15.6" thickBot="1" x14ac:dyDescent="0.35">
      <c r="A337" s="199" t="str">
        <f t="shared" si="8"/>
        <v>16400BANK CHARGES</v>
      </c>
      <c r="B337" s="597" t="s">
        <v>479</v>
      </c>
      <c r="C337" s="597" t="s">
        <v>105</v>
      </c>
      <c r="D337" s="597" t="s">
        <v>106</v>
      </c>
      <c r="E337" s="594"/>
      <c r="F337" s="594"/>
      <c r="G337" s="594"/>
      <c r="H337" s="594"/>
      <c r="I337" s="594"/>
      <c r="J337" s="594"/>
      <c r="K337" s="594"/>
      <c r="L337" s="594">
        <v>1.2500000000000001E-2</v>
      </c>
      <c r="M337" s="594"/>
      <c r="N337" s="594">
        <v>1.2500000000000001E-2</v>
      </c>
      <c r="O337" s="594">
        <v>0</v>
      </c>
      <c r="P337" s="594">
        <v>1.2500000000000001E-2</v>
      </c>
      <c r="Q337" s="594">
        <v>0</v>
      </c>
      <c r="R337" s="594">
        <v>0</v>
      </c>
    </row>
    <row r="338" spans="1:18" ht="15.6" thickBot="1" x14ac:dyDescent="0.35">
      <c r="A338" s="199" t="str">
        <f t="shared" si="8"/>
        <v>16400POSTAGE</v>
      </c>
      <c r="B338" s="597" t="s">
        <v>479</v>
      </c>
      <c r="C338" s="597" t="s">
        <v>109</v>
      </c>
      <c r="D338" s="597" t="s">
        <v>110</v>
      </c>
      <c r="E338" s="596">
        <v>2.0692400000000002</v>
      </c>
      <c r="F338" s="596">
        <v>4.6550000000000002</v>
      </c>
      <c r="G338" s="596">
        <v>-2.5857600000000001</v>
      </c>
      <c r="H338" s="596">
        <v>-55.548012889366269</v>
      </c>
      <c r="I338" s="596">
        <v>4.6550000000000002</v>
      </c>
      <c r="J338" s="596">
        <v>-2.5857600000000001</v>
      </c>
      <c r="K338" s="596">
        <v>-55.548012889366269</v>
      </c>
      <c r="L338" s="596">
        <v>50.187600000000003</v>
      </c>
      <c r="M338" s="596">
        <v>55.86</v>
      </c>
      <c r="N338" s="596">
        <v>-5.6723999999999997</v>
      </c>
      <c r="O338" s="596">
        <v>-10.154672395273899</v>
      </c>
      <c r="P338" s="596">
        <v>38.505209999999998</v>
      </c>
      <c r="Q338" s="596">
        <v>11.68239</v>
      </c>
      <c r="R338" s="596">
        <v>30.339764411101772</v>
      </c>
    </row>
    <row r="339" spans="1:18" ht="15.6" thickBot="1" x14ac:dyDescent="0.35">
      <c r="A339" s="199" t="str">
        <f t="shared" si="8"/>
        <v>16400OFFICE SUPPLIES</v>
      </c>
      <c r="B339" s="597" t="s">
        <v>479</v>
      </c>
      <c r="C339" s="597" t="s">
        <v>73</v>
      </c>
      <c r="D339" s="597" t="s">
        <v>74</v>
      </c>
      <c r="E339" s="594">
        <v>4.6312100000000003</v>
      </c>
      <c r="F339" s="594">
        <v>5.3949999999999996</v>
      </c>
      <c r="G339" s="594">
        <v>-0.76378999999999997</v>
      </c>
      <c r="H339" s="594">
        <v>-14.157367933271548</v>
      </c>
      <c r="I339" s="594">
        <v>5.3949999999999996</v>
      </c>
      <c r="J339" s="594">
        <v>-0.76378999999999997</v>
      </c>
      <c r="K339" s="594">
        <v>-14.157367933271548</v>
      </c>
      <c r="L339" s="594">
        <v>53.875390000000003</v>
      </c>
      <c r="M339" s="594">
        <v>64.739999999999995</v>
      </c>
      <c r="N339" s="594">
        <v>-10.864610000000001</v>
      </c>
      <c r="O339" s="594">
        <v>-16.781912264442386</v>
      </c>
      <c r="P339" s="594">
        <v>45.54175</v>
      </c>
      <c r="Q339" s="594">
        <v>8.3336400000000008</v>
      </c>
      <c r="R339" s="594">
        <v>18.2989015573622</v>
      </c>
    </row>
    <row r="340" spans="1:18" ht="15.6" thickBot="1" x14ac:dyDescent="0.35">
      <c r="A340" s="199" t="str">
        <f t="shared" si="8"/>
        <v>16400PRINTING</v>
      </c>
      <c r="B340" s="597" t="s">
        <v>479</v>
      </c>
      <c r="C340" s="597" t="s">
        <v>111</v>
      </c>
      <c r="D340" s="597" t="s">
        <v>112</v>
      </c>
      <c r="E340" s="596">
        <v>0.59150000000000003</v>
      </c>
      <c r="F340" s="596">
        <v>1.27</v>
      </c>
      <c r="G340" s="596">
        <v>-0.67849999999999999</v>
      </c>
      <c r="H340" s="596">
        <v>-53.425196850393704</v>
      </c>
      <c r="I340" s="596">
        <v>1.27</v>
      </c>
      <c r="J340" s="596">
        <v>-0.67849999999999999</v>
      </c>
      <c r="K340" s="596">
        <v>-53.425196850393704</v>
      </c>
      <c r="L340" s="596">
        <v>11.730980000000001</v>
      </c>
      <c r="M340" s="596">
        <v>13.97</v>
      </c>
      <c r="N340" s="596">
        <v>-2.23902</v>
      </c>
      <c r="O340" s="596">
        <v>-16.027344309234074</v>
      </c>
      <c r="P340" s="596">
        <v>11.471030000000001</v>
      </c>
      <c r="Q340" s="596">
        <v>0.25995000000000001</v>
      </c>
      <c r="R340" s="596">
        <v>2.2661434936531419</v>
      </c>
    </row>
    <row r="341" spans="1:18" ht="15.6" thickBot="1" x14ac:dyDescent="0.35">
      <c r="A341" s="199" t="str">
        <f t="shared" si="8"/>
        <v>16400BOOKS AND MAGAZINES</v>
      </c>
      <c r="B341" s="597" t="s">
        <v>479</v>
      </c>
      <c r="C341" s="597" t="s">
        <v>141</v>
      </c>
      <c r="D341" s="597" t="s">
        <v>142</v>
      </c>
      <c r="E341" s="594">
        <v>3.3050000000000003E-2</v>
      </c>
      <c r="F341" s="594"/>
      <c r="G341" s="594">
        <v>3.3050000000000003E-2</v>
      </c>
      <c r="H341" s="594">
        <v>0</v>
      </c>
      <c r="I341" s="594"/>
      <c r="J341" s="594">
        <v>3.3050000000000003E-2</v>
      </c>
      <c r="K341" s="594">
        <v>0</v>
      </c>
      <c r="L341" s="594">
        <v>0.41210999999999998</v>
      </c>
      <c r="M341" s="594"/>
      <c r="N341" s="594">
        <v>0.41210999999999998</v>
      </c>
      <c r="O341" s="594">
        <v>0</v>
      </c>
      <c r="P341" s="594">
        <v>0.20513999999999999</v>
      </c>
      <c r="Q341" s="594">
        <v>0.20696999999999999</v>
      </c>
      <c r="R341" s="594">
        <v>100.89207370576192</v>
      </c>
    </row>
    <row r="342" spans="1:18" ht="15.6" thickBot="1" x14ac:dyDescent="0.35">
      <c r="A342" s="199" t="str">
        <f t="shared" si="8"/>
        <v>16400REFRESHMENTS</v>
      </c>
      <c r="B342" s="597" t="s">
        <v>479</v>
      </c>
      <c r="C342" s="597" t="s">
        <v>113</v>
      </c>
      <c r="D342" s="597" t="s">
        <v>114</v>
      </c>
      <c r="E342" s="596">
        <v>0.79164000000000001</v>
      </c>
      <c r="F342" s="596">
        <v>0.108</v>
      </c>
      <c r="G342" s="596">
        <v>0.68364000000000003</v>
      </c>
      <c r="H342" s="596">
        <v>633</v>
      </c>
      <c r="I342" s="596">
        <v>0.108</v>
      </c>
      <c r="J342" s="596">
        <v>0.68364000000000003</v>
      </c>
      <c r="K342" s="596">
        <v>633</v>
      </c>
      <c r="L342" s="596">
        <v>2.7052700000000001</v>
      </c>
      <c r="M342" s="596">
        <v>1.3</v>
      </c>
      <c r="N342" s="596">
        <v>1.40527</v>
      </c>
      <c r="O342" s="596">
        <v>108.09769230769231</v>
      </c>
      <c r="P342" s="596">
        <v>1.23573</v>
      </c>
      <c r="Q342" s="596">
        <v>1.4695400000000001</v>
      </c>
      <c r="R342" s="596">
        <v>118.92079985110016</v>
      </c>
    </row>
    <row r="343" spans="1:18" ht="15.6" thickBot="1" x14ac:dyDescent="0.35">
      <c r="A343" s="199" t="str">
        <f t="shared" si="8"/>
        <v>16400COPIER LEASE/MAINT</v>
      </c>
      <c r="B343" s="597" t="s">
        <v>479</v>
      </c>
      <c r="C343" s="597" t="s">
        <v>482</v>
      </c>
      <c r="D343" s="597" t="s">
        <v>483</v>
      </c>
      <c r="E343" s="594">
        <v>11.683759999999999</v>
      </c>
      <c r="F343" s="594">
        <v>10.537000000000001</v>
      </c>
      <c r="G343" s="594">
        <v>1.14676</v>
      </c>
      <c r="H343" s="594">
        <v>10.8831735788175</v>
      </c>
      <c r="I343" s="594">
        <v>10.537000000000001</v>
      </c>
      <c r="J343" s="594">
        <v>1.14676</v>
      </c>
      <c r="K343" s="594">
        <v>10.8831735788175</v>
      </c>
      <c r="L343" s="594">
        <v>117.78124</v>
      </c>
      <c r="M343" s="594">
        <v>126.46</v>
      </c>
      <c r="N343" s="594">
        <v>-8.6787600000000005</v>
      </c>
      <c r="O343" s="594">
        <v>-6.8628499130159737</v>
      </c>
      <c r="P343" s="594">
        <v>89.044330000000002</v>
      </c>
      <c r="Q343" s="594">
        <v>28.736910000000002</v>
      </c>
      <c r="R343" s="594">
        <v>32.272588271482306</v>
      </c>
    </row>
    <row r="344" spans="1:18" ht="15.6" thickBot="1" x14ac:dyDescent="0.35">
      <c r="A344" s="199" t="str">
        <f t="shared" si="8"/>
        <v>16400CASH DISCOUNT</v>
      </c>
      <c r="B344" s="597" t="s">
        <v>479</v>
      </c>
      <c r="C344" s="597" t="s">
        <v>496</v>
      </c>
      <c r="D344" s="597" t="s">
        <v>497</v>
      </c>
      <c r="E344" s="596"/>
      <c r="F344" s="596"/>
      <c r="G344" s="596"/>
      <c r="H344" s="596"/>
      <c r="I344" s="596"/>
      <c r="J344" s="596"/>
      <c r="K344" s="596"/>
      <c r="L344" s="596">
        <v>-1.375E-2</v>
      </c>
      <c r="M344" s="596"/>
      <c r="N344" s="596">
        <v>-1.375E-2</v>
      </c>
      <c r="O344" s="596">
        <v>0</v>
      </c>
      <c r="P344" s="596"/>
      <c r="Q344" s="596">
        <v>-1.375E-2</v>
      </c>
      <c r="R344" s="596">
        <v>0</v>
      </c>
    </row>
    <row r="345" spans="1:18" ht="15.6" thickBot="1" x14ac:dyDescent="0.35">
      <c r="A345" s="199" t="str">
        <f t="shared" si="8"/>
        <v>16400PARKING</v>
      </c>
      <c r="B345" s="597" t="s">
        <v>479</v>
      </c>
      <c r="C345" s="597" t="s">
        <v>145</v>
      </c>
      <c r="D345" s="597" t="s">
        <v>146</v>
      </c>
      <c r="E345" s="594">
        <v>0.56000000000000005</v>
      </c>
      <c r="F345" s="594">
        <v>0.63</v>
      </c>
      <c r="G345" s="594">
        <v>-7.0000000000000007E-2</v>
      </c>
      <c r="H345" s="594">
        <v>-11.111111111111111</v>
      </c>
      <c r="I345" s="594">
        <v>0.63</v>
      </c>
      <c r="J345" s="594">
        <v>-7.0000000000000007E-2</v>
      </c>
      <c r="K345" s="594">
        <v>-11.111111111111111</v>
      </c>
      <c r="L345" s="594">
        <v>7.0724999999999998</v>
      </c>
      <c r="M345" s="594">
        <v>7.56</v>
      </c>
      <c r="N345" s="594">
        <v>-0.48749999999999999</v>
      </c>
      <c r="O345" s="594">
        <v>-6.4484126984126986</v>
      </c>
      <c r="P345" s="594">
        <v>5.42225</v>
      </c>
      <c r="Q345" s="594">
        <v>1.65025</v>
      </c>
      <c r="R345" s="594">
        <v>30.434782608695652</v>
      </c>
    </row>
    <row r="346" spans="1:18" ht="15.6" thickBot="1" x14ac:dyDescent="0.35">
      <c r="A346" s="199" t="str">
        <f t="shared" si="8"/>
        <v>16400PROFESSIONAL SERVICE</v>
      </c>
      <c r="B346" s="597" t="s">
        <v>479</v>
      </c>
      <c r="C346" s="597" t="s">
        <v>149</v>
      </c>
      <c r="D346" s="597" t="s">
        <v>150</v>
      </c>
      <c r="E346" s="596">
        <v>5.2055899999999999</v>
      </c>
      <c r="F346" s="596">
        <v>13.5</v>
      </c>
      <c r="G346" s="596">
        <v>-8.2944099999999992</v>
      </c>
      <c r="H346" s="596">
        <v>-61.440074074074076</v>
      </c>
      <c r="I346" s="596">
        <v>13.5</v>
      </c>
      <c r="J346" s="596">
        <v>-8.2944099999999992</v>
      </c>
      <c r="K346" s="596">
        <v>-61.440074074074076</v>
      </c>
      <c r="L346" s="596">
        <v>70.255350000000007</v>
      </c>
      <c r="M346" s="596">
        <v>162</v>
      </c>
      <c r="N346" s="596">
        <v>-91.744649999999993</v>
      </c>
      <c r="O346" s="596">
        <v>-56.6325</v>
      </c>
      <c r="P346" s="596">
        <v>77.452399999999997</v>
      </c>
      <c r="Q346" s="596">
        <v>-7.1970499999999999</v>
      </c>
      <c r="R346" s="596">
        <v>-9.292223352665637</v>
      </c>
    </row>
    <row r="347" spans="1:18" ht="15.6" thickBot="1" x14ac:dyDescent="0.35">
      <c r="A347" s="199" t="str">
        <f t="shared" si="8"/>
        <v>16400MEAL TICKETS</v>
      </c>
      <c r="B347" s="597" t="s">
        <v>479</v>
      </c>
      <c r="C347" s="597" t="s">
        <v>173</v>
      </c>
      <c r="D347" s="597" t="s">
        <v>174</v>
      </c>
      <c r="E347" s="594"/>
      <c r="F347" s="594"/>
      <c r="G347" s="594"/>
      <c r="H347" s="594"/>
      <c r="I347" s="594"/>
      <c r="J347" s="594"/>
      <c r="K347" s="594"/>
      <c r="L347" s="594">
        <v>0.10715</v>
      </c>
      <c r="M347" s="594"/>
      <c r="N347" s="594">
        <v>0.10715</v>
      </c>
      <c r="O347" s="594">
        <v>0</v>
      </c>
      <c r="P347" s="594">
        <v>0.10715</v>
      </c>
      <c r="Q347" s="594">
        <v>0</v>
      </c>
      <c r="R347" s="594">
        <v>0</v>
      </c>
    </row>
    <row r="348" spans="1:18" ht="15.6" thickBot="1" x14ac:dyDescent="0.35">
      <c r="A348" s="199" t="str">
        <f t="shared" si="8"/>
        <v>16400MEALS AND ENTERTAIN</v>
      </c>
      <c r="B348" s="597" t="s">
        <v>479</v>
      </c>
      <c r="C348" s="597" t="s">
        <v>75</v>
      </c>
      <c r="D348" s="597" t="s">
        <v>76</v>
      </c>
      <c r="E348" s="596"/>
      <c r="F348" s="596">
        <v>0.1</v>
      </c>
      <c r="G348" s="596">
        <v>-0.1</v>
      </c>
      <c r="H348" s="596">
        <v>-100</v>
      </c>
      <c r="I348" s="596">
        <v>0.1</v>
      </c>
      <c r="J348" s="596">
        <v>-0.1</v>
      </c>
      <c r="K348" s="596">
        <v>-100</v>
      </c>
      <c r="L348" s="596">
        <v>2.4E-2</v>
      </c>
      <c r="M348" s="596">
        <v>1</v>
      </c>
      <c r="N348" s="596">
        <v>-0.97599999999999998</v>
      </c>
      <c r="O348" s="596">
        <v>-97.6</v>
      </c>
      <c r="P348" s="596">
        <v>0.3</v>
      </c>
      <c r="Q348" s="596">
        <v>-0.27600000000000002</v>
      </c>
      <c r="R348" s="596">
        <v>-92</v>
      </c>
    </row>
    <row r="349" spans="1:18" ht="15.6" thickBot="1" x14ac:dyDescent="0.35">
      <c r="A349" s="199" t="str">
        <f t="shared" si="8"/>
        <v>16400CONFERENCE TRAVEL</v>
      </c>
      <c r="B349" s="597" t="s">
        <v>479</v>
      </c>
      <c r="C349" s="597" t="s">
        <v>77</v>
      </c>
      <c r="D349" s="597" t="s">
        <v>78</v>
      </c>
      <c r="E349" s="594"/>
      <c r="F349" s="594"/>
      <c r="G349" s="594"/>
      <c r="H349" s="594"/>
      <c r="I349" s="594"/>
      <c r="J349" s="594"/>
      <c r="K349" s="594"/>
      <c r="L349" s="594">
        <v>2.8041499999999999</v>
      </c>
      <c r="M349" s="594">
        <v>3.2</v>
      </c>
      <c r="N349" s="594">
        <v>-0.39584999999999998</v>
      </c>
      <c r="O349" s="594">
        <v>-12.370312500000001</v>
      </c>
      <c r="P349" s="594">
        <v>2.7808999999999999</v>
      </c>
      <c r="Q349" s="594">
        <v>2.325E-2</v>
      </c>
      <c r="R349" s="594">
        <v>0.83606026825847746</v>
      </c>
    </row>
    <row r="350" spans="1:18" ht="15.6" thickBot="1" x14ac:dyDescent="0.35">
      <c r="A350" s="199" t="str">
        <f t="shared" si="8"/>
        <v>16400EMPLOYEE AWRDS MLS &amp;</v>
      </c>
      <c r="B350" s="597" t="s">
        <v>479</v>
      </c>
      <c r="C350" s="597" t="s">
        <v>123</v>
      </c>
      <c r="D350" s="597" t="s">
        <v>124</v>
      </c>
      <c r="E350" s="596"/>
      <c r="F350" s="596"/>
      <c r="G350" s="596"/>
      <c r="H350" s="596"/>
      <c r="I350" s="596"/>
      <c r="J350" s="596"/>
      <c r="K350" s="596"/>
      <c r="L350" s="596">
        <v>0.31374999999999997</v>
      </c>
      <c r="M350" s="596"/>
      <c r="N350" s="596">
        <v>0.31374999999999997</v>
      </c>
      <c r="O350" s="596">
        <v>0</v>
      </c>
      <c r="P350" s="596">
        <v>0.31374999999999997</v>
      </c>
      <c r="Q350" s="596">
        <v>0</v>
      </c>
      <c r="R350" s="596">
        <v>0</v>
      </c>
    </row>
    <row r="351" spans="1:18" ht="15.6" thickBot="1" x14ac:dyDescent="0.35">
      <c r="A351" s="199" t="str">
        <f t="shared" si="8"/>
        <v>16400Non-Payroll</v>
      </c>
      <c r="B351" s="597" t="s">
        <v>479</v>
      </c>
      <c r="C351" s="597" t="s">
        <v>85</v>
      </c>
      <c r="D351" s="597" t="s">
        <v>86</v>
      </c>
      <c r="E351" s="594">
        <v>35.54918</v>
      </c>
      <c r="F351" s="594">
        <v>38.057000000000002</v>
      </c>
      <c r="G351" s="594">
        <v>-2.5078200000000002</v>
      </c>
      <c r="H351" s="594">
        <v>-6.589641853009959</v>
      </c>
      <c r="I351" s="594">
        <v>38.057000000000002</v>
      </c>
      <c r="J351" s="594">
        <v>-2.5078200000000002</v>
      </c>
      <c r="K351" s="594">
        <v>-6.589641853009959</v>
      </c>
      <c r="L351" s="594">
        <v>445.46197999999998</v>
      </c>
      <c r="M351" s="594">
        <v>469.78500000000003</v>
      </c>
      <c r="N351" s="594">
        <v>-24.32302</v>
      </c>
      <c r="O351" s="594">
        <v>-5.1774790595698033</v>
      </c>
      <c r="P351" s="594">
        <v>344.14030000000002</v>
      </c>
      <c r="Q351" s="594">
        <v>101.32168</v>
      </c>
      <c r="R351" s="594">
        <v>29.441968871416687</v>
      </c>
    </row>
    <row r="352" spans="1:18" ht="15.6" thickBot="1" x14ac:dyDescent="0.35">
      <c r="A352" s="199" t="str">
        <f t="shared" si="8"/>
        <v>16400EXPENSE ACCOUNTS</v>
      </c>
      <c r="B352" s="584" t="s">
        <v>479</v>
      </c>
      <c r="C352" s="584" t="s">
        <v>87</v>
      </c>
      <c r="D352" s="584" t="s">
        <v>87</v>
      </c>
      <c r="E352" s="596">
        <v>110.53995</v>
      </c>
      <c r="F352" s="596">
        <v>118.97846</v>
      </c>
      <c r="G352" s="596">
        <v>-8.4385100000000008</v>
      </c>
      <c r="H352" s="596">
        <v>-7.0924686703794952</v>
      </c>
      <c r="I352" s="596">
        <v>38.057000000000002</v>
      </c>
      <c r="J352" s="596">
        <v>72.482950000000002</v>
      </c>
      <c r="K352" s="596">
        <v>190.45891688782615</v>
      </c>
      <c r="L352" s="596">
        <v>1434.2028</v>
      </c>
      <c r="M352" s="596">
        <v>1418.22876</v>
      </c>
      <c r="N352" s="596">
        <v>15.97404</v>
      </c>
      <c r="O352" s="596">
        <v>1.1263373336188727</v>
      </c>
      <c r="P352" s="596">
        <v>835.71392000000003</v>
      </c>
      <c r="Q352" s="596">
        <v>598.48887999999999</v>
      </c>
      <c r="R352" s="596">
        <v>71.614085355907434</v>
      </c>
    </row>
  </sheetData>
  <autoFilter ref="B33:R306">
    <sortState ref="B24:R259">
      <sortCondition ref="B23"/>
    </sortState>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391"/>
  <sheetViews>
    <sheetView workbookViewId="0">
      <selection activeCell="L383" sqref="A1:H391"/>
    </sheetView>
  </sheetViews>
  <sheetFormatPr defaultRowHeight="14.4" x14ac:dyDescent="0.3"/>
  <cols>
    <col min="1" max="1" width="32" customWidth="1"/>
    <col min="2" max="2" width="18.109375" bestFit="1" customWidth="1"/>
    <col min="3" max="3" width="24" bestFit="1" customWidth="1"/>
    <col min="4" max="4" width="16" bestFit="1" customWidth="1"/>
    <col min="5" max="5" width="22.6640625" bestFit="1" customWidth="1"/>
    <col min="6" max="6" width="22.33203125" bestFit="1" customWidth="1"/>
    <col min="7" max="7" width="18.5546875" hidden="1" customWidth="1"/>
    <col min="8" max="8" width="19.109375" hidden="1" customWidth="1"/>
    <col min="9" max="10" width="13.6640625" bestFit="1" customWidth="1"/>
  </cols>
  <sheetData>
    <row r="1" spans="1:8" ht="33.75" customHeight="1" thickBot="1" x14ac:dyDescent="0.35">
      <c r="B1" s="768"/>
      <c r="C1" s="769"/>
      <c r="D1" s="140"/>
      <c r="E1" s="141" t="s">
        <v>130</v>
      </c>
      <c r="F1" s="198" t="s">
        <v>54</v>
      </c>
      <c r="G1" s="141" t="s">
        <v>131</v>
      </c>
      <c r="H1" s="141" t="s">
        <v>132</v>
      </c>
    </row>
    <row r="2" spans="1:8" ht="15" thickBot="1" x14ac:dyDescent="0.35">
      <c r="A2" t="s">
        <v>220</v>
      </c>
      <c r="B2" s="141" t="s">
        <v>55</v>
      </c>
      <c r="C2" s="141" t="s">
        <v>56</v>
      </c>
      <c r="D2" s="142"/>
      <c r="E2" s="140" t="s">
        <v>57</v>
      </c>
      <c r="F2" s="140" t="s">
        <v>57</v>
      </c>
      <c r="G2" s="140" t="s">
        <v>57</v>
      </c>
      <c r="H2" s="140" t="s">
        <v>29</v>
      </c>
    </row>
    <row r="3" spans="1:8" ht="15" hidden="1" customHeight="1" thickBot="1" x14ac:dyDescent="0.35">
      <c r="B3" s="770" t="s">
        <v>58</v>
      </c>
      <c r="C3" s="771"/>
      <c r="D3" s="772"/>
      <c r="E3" s="143">
        <v>41992615.32</v>
      </c>
      <c r="F3" s="143">
        <v>38467496.659999996</v>
      </c>
      <c r="G3" s="143">
        <v>-3525.1186600000001</v>
      </c>
      <c r="H3" s="191">
        <v>-8.3946156559605398E-2</v>
      </c>
    </row>
    <row r="4" spans="1:8" ht="15" hidden="1" customHeight="1" thickBot="1" x14ac:dyDescent="0.35">
      <c r="A4" s="199" t="str">
        <f>B4&amp;C4</f>
        <v>CUST SEG SRVCSALARY PAYROLL</v>
      </c>
      <c r="B4" s="144" t="s">
        <v>133</v>
      </c>
      <c r="C4" s="145" t="s">
        <v>59</v>
      </c>
      <c r="D4" s="146" t="s">
        <v>60</v>
      </c>
      <c r="E4" s="147">
        <v>415804.1</v>
      </c>
      <c r="F4" s="147">
        <v>387502.25999999995</v>
      </c>
      <c r="G4" s="147">
        <v>-28.301839999999999</v>
      </c>
      <c r="H4" s="192">
        <v>-6.8065322107213402E-2</v>
      </c>
    </row>
    <row r="5" spans="1:8" ht="15" hidden="1" thickBot="1" x14ac:dyDescent="0.35">
      <c r="A5" s="199" t="str">
        <f t="shared" ref="A5:A68" si="0">B5&amp;C5</f>
        <v>CUST SEG SRVCSALARY BONUS PAYROLL</v>
      </c>
      <c r="B5" s="144" t="s">
        <v>133</v>
      </c>
      <c r="C5" s="145" t="s">
        <v>134</v>
      </c>
      <c r="D5" s="146" t="s">
        <v>135</v>
      </c>
      <c r="E5" s="151">
        <v>0</v>
      </c>
      <c r="F5" s="148">
        <v>356.91</v>
      </c>
      <c r="G5" s="148">
        <v>0.35691000000000001</v>
      </c>
      <c r="H5" s="151" t="s">
        <v>136</v>
      </c>
    </row>
    <row r="6" spans="1:8" ht="15" hidden="1" thickBot="1" x14ac:dyDescent="0.35">
      <c r="A6" s="199" t="str">
        <f t="shared" si="0"/>
        <v>CUST SEG SRVCVACATION, SICK &amp; HOL</v>
      </c>
      <c r="B6" s="144" t="s">
        <v>133</v>
      </c>
      <c r="C6" s="145" t="s">
        <v>61</v>
      </c>
      <c r="D6" s="146" t="s">
        <v>62</v>
      </c>
      <c r="E6" s="147">
        <v>64740.719999999994</v>
      </c>
      <c r="F6" s="147">
        <v>61042.299999999996</v>
      </c>
      <c r="G6" s="147">
        <v>-3.69842</v>
      </c>
      <c r="H6" s="192">
        <v>-5.7126643015400484E-2</v>
      </c>
    </row>
    <row r="7" spans="1:8" ht="15" hidden="1" thickBot="1" x14ac:dyDescent="0.35">
      <c r="A7" s="199" t="str">
        <f t="shared" si="0"/>
        <v>CUST SEG SRVCPAYROLL OVERHEAD</v>
      </c>
      <c r="B7" s="144" t="s">
        <v>133</v>
      </c>
      <c r="C7" s="145" t="s">
        <v>63</v>
      </c>
      <c r="D7" s="146" t="s">
        <v>64</v>
      </c>
      <c r="E7" s="148">
        <v>345200.51999999996</v>
      </c>
      <c r="F7" s="148">
        <v>325741.10000000003</v>
      </c>
      <c r="G7" s="148">
        <v>-19.459420000000001</v>
      </c>
      <c r="H7" s="193">
        <v>-5.6371351931914927E-2</v>
      </c>
    </row>
    <row r="8" spans="1:8" ht="15" thickBot="1" x14ac:dyDescent="0.35">
      <c r="A8" s="354" t="str">
        <f t="shared" si="0"/>
        <v>CUST SEG SRVCPayroll</v>
      </c>
      <c r="B8" s="144" t="s">
        <v>133</v>
      </c>
      <c r="C8" s="149" t="s">
        <v>67</v>
      </c>
      <c r="D8" s="150" t="s">
        <v>68</v>
      </c>
      <c r="E8" s="195">
        <v>825745.34000000008</v>
      </c>
      <c r="F8" s="195">
        <v>774642.57</v>
      </c>
      <c r="G8" s="195">
        <v>-51.10277</v>
      </c>
      <c r="H8" s="196">
        <v>-6.1886840318105971E-2</v>
      </c>
    </row>
    <row r="9" spans="1:8" ht="15" hidden="1" thickBot="1" x14ac:dyDescent="0.35">
      <c r="A9" s="199" t="str">
        <f t="shared" si="0"/>
        <v>CUST SEG SRVCEDUCATION</v>
      </c>
      <c r="B9" s="144" t="s">
        <v>133</v>
      </c>
      <c r="C9" s="145" t="s">
        <v>69</v>
      </c>
      <c r="D9" s="146" t="s">
        <v>70</v>
      </c>
      <c r="E9" s="195">
        <v>3000</v>
      </c>
      <c r="F9" s="195">
        <v>509.38000000000005</v>
      </c>
      <c r="G9" s="195">
        <v>-2.4906199999999998</v>
      </c>
      <c r="H9" s="196">
        <v>-0.83020666666666676</v>
      </c>
    </row>
    <row r="10" spans="1:8" ht="15" hidden="1" thickBot="1" x14ac:dyDescent="0.35">
      <c r="A10" s="199" t="str">
        <f t="shared" si="0"/>
        <v>CUST SEG SRVCMILEAGE REIMBURSE</v>
      </c>
      <c r="B10" s="144" t="s">
        <v>133</v>
      </c>
      <c r="C10" s="145" t="s">
        <v>137</v>
      </c>
      <c r="D10" s="146" t="s">
        <v>138</v>
      </c>
      <c r="E10" s="195">
        <v>12000</v>
      </c>
      <c r="F10" s="195">
        <v>10716.34</v>
      </c>
      <c r="G10" s="195">
        <v>-1.28366</v>
      </c>
      <c r="H10" s="196">
        <v>-0.10697166666666683</v>
      </c>
    </row>
    <row r="11" spans="1:8" ht="15" hidden="1" thickBot="1" x14ac:dyDescent="0.35">
      <c r="A11" s="199" t="str">
        <f t="shared" si="0"/>
        <v>CUST SEG SRVCDUES/MEMBERSHIP</v>
      </c>
      <c r="B11" s="144" t="s">
        <v>133</v>
      </c>
      <c r="C11" s="145" t="s">
        <v>139</v>
      </c>
      <c r="D11" s="146" t="s">
        <v>140</v>
      </c>
      <c r="E11" s="195">
        <v>5200</v>
      </c>
      <c r="F11" s="195">
        <v>3140</v>
      </c>
      <c r="G11" s="195">
        <v>-2.06</v>
      </c>
      <c r="H11" s="196">
        <v>-0.39615384615384613</v>
      </c>
    </row>
    <row r="12" spans="1:8" ht="15" hidden="1" thickBot="1" x14ac:dyDescent="0.35">
      <c r="A12" s="199" t="str">
        <f t="shared" si="0"/>
        <v>CUST SEG SRVCOTHER CONTRACT WORK</v>
      </c>
      <c r="B12" s="144" t="s">
        <v>133</v>
      </c>
      <c r="C12" s="145" t="s">
        <v>101</v>
      </c>
      <c r="D12" s="146" t="s">
        <v>102</v>
      </c>
      <c r="E12" s="194">
        <v>0</v>
      </c>
      <c r="F12" s="147">
        <v>922.89</v>
      </c>
      <c r="G12" s="147">
        <v>0.92288999999999999</v>
      </c>
      <c r="H12" s="194" t="s">
        <v>136</v>
      </c>
    </row>
    <row r="13" spans="1:8" ht="15" hidden="1" thickBot="1" x14ac:dyDescent="0.35">
      <c r="A13" s="199" t="str">
        <f t="shared" si="0"/>
        <v>CUST SEG SRVCMISCELLANEOUS</v>
      </c>
      <c r="B13" s="144" t="s">
        <v>133</v>
      </c>
      <c r="C13" s="145" t="s">
        <v>103</v>
      </c>
      <c r="D13" s="146" t="s">
        <v>104</v>
      </c>
      <c r="E13" s="151">
        <v>0</v>
      </c>
      <c r="F13" s="148">
        <v>107.88000000000001</v>
      </c>
      <c r="G13" s="148">
        <v>0.10788</v>
      </c>
      <c r="H13" s="151" t="s">
        <v>136</v>
      </c>
    </row>
    <row r="14" spans="1:8" ht="15" hidden="1" thickBot="1" x14ac:dyDescent="0.35">
      <c r="A14" s="199" t="str">
        <f t="shared" si="0"/>
        <v>CUST SEG SRVCPOSTAGE</v>
      </c>
      <c r="B14" s="144" t="s">
        <v>133</v>
      </c>
      <c r="C14" s="145" t="s">
        <v>109</v>
      </c>
      <c r="D14" s="146" t="s">
        <v>110</v>
      </c>
      <c r="E14" s="194">
        <v>0</v>
      </c>
      <c r="F14" s="147">
        <v>5.75</v>
      </c>
      <c r="G14" s="147">
        <v>5.7499999999999999E-3</v>
      </c>
      <c r="H14" s="194" t="s">
        <v>136</v>
      </c>
    </row>
    <row r="15" spans="1:8" ht="15" hidden="1" thickBot="1" x14ac:dyDescent="0.35">
      <c r="A15" s="199" t="str">
        <f t="shared" si="0"/>
        <v>CUST SEG SRVCOFFICE SUPPLIES</v>
      </c>
      <c r="B15" s="144" t="s">
        <v>133</v>
      </c>
      <c r="C15" s="145" t="s">
        <v>73</v>
      </c>
      <c r="D15" s="146" t="s">
        <v>74</v>
      </c>
      <c r="E15" s="151">
        <v>0</v>
      </c>
      <c r="F15" s="148">
        <v>1037.3499999999999</v>
      </c>
      <c r="G15" s="148">
        <v>1.03735</v>
      </c>
      <c r="H15" s="151" t="s">
        <v>136</v>
      </c>
    </row>
    <row r="16" spans="1:8" ht="15" hidden="1" thickBot="1" x14ac:dyDescent="0.35">
      <c r="A16" s="199" t="str">
        <f t="shared" si="0"/>
        <v>CUST SEG SRVCPRINTING</v>
      </c>
      <c r="B16" s="144" t="s">
        <v>133</v>
      </c>
      <c r="C16" s="145" t="s">
        <v>111</v>
      </c>
      <c r="D16" s="146" t="s">
        <v>112</v>
      </c>
      <c r="E16" s="194">
        <v>0</v>
      </c>
      <c r="F16" s="147">
        <v>160.89000000000001</v>
      </c>
      <c r="G16" s="147">
        <v>0.16089000000000001</v>
      </c>
      <c r="H16" s="194" t="s">
        <v>136</v>
      </c>
    </row>
    <row r="17" spans="1:8" ht="15" hidden="1" thickBot="1" x14ac:dyDescent="0.35">
      <c r="A17" s="199" t="str">
        <f t="shared" si="0"/>
        <v>CUST SEG SRVCBOOKS AND MAGAZINES</v>
      </c>
      <c r="B17" s="144" t="s">
        <v>133</v>
      </c>
      <c r="C17" s="145" t="s">
        <v>141</v>
      </c>
      <c r="D17" s="146" t="s">
        <v>142</v>
      </c>
      <c r="E17" s="151">
        <v>0</v>
      </c>
      <c r="F17" s="148">
        <v>971.28000000000009</v>
      </c>
      <c r="G17" s="148">
        <v>0.97128000000000003</v>
      </c>
      <c r="H17" s="151" t="s">
        <v>136</v>
      </c>
    </row>
    <row r="18" spans="1:8" ht="15" hidden="1" thickBot="1" x14ac:dyDescent="0.35">
      <c r="A18" s="199" t="str">
        <f t="shared" si="0"/>
        <v>CUST SEG SRVCREFRESHMENTS</v>
      </c>
      <c r="B18" s="144" t="s">
        <v>133</v>
      </c>
      <c r="C18" s="145" t="s">
        <v>113</v>
      </c>
      <c r="D18" s="146" t="s">
        <v>114</v>
      </c>
      <c r="E18" s="194">
        <v>0</v>
      </c>
      <c r="F18" s="147">
        <v>281.52</v>
      </c>
      <c r="G18" s="147">
        <v>0.28151999999999999</v>
      </c>
      <c r="H18" s="194" t="s">
        <v>136</v>
      </c>
    </row>
    <row r="19" spans="1:8" ht="15" hidden="1" thickBot="1" x14ac:dyDescent="0.35">
      <c r="A19" s="199" t="str">
        <f t="shared" si="0"/>
        <v>CUST SEG SRVCDEALER RELATIONS</v>
      </c>
      <c r="B19" s="144" t="s">
        <v>133</v>
      </c>
      <c r="C19" s="145" t="s">
        <v>143</v>
      </c>
      <c r="D19" s="146" t="s">
        <v>144</v>
      </c>
      <c r="E19" s="195">
        <v>7000</v>
      </c>
      <c r="F19" s="195">
        <v>2516.5299999999997</v>
      </c>
      <c r="G19" s="195">
        <v>-4.4834699999999996</v>
      </c>
      <c r="H19" s="196">
        <v>-0.64049571428571428</v>
      </c>
    </row>
    <row r="20" spans="1:8" ht="15" hidden="1" thickBot="1" x14ac:dyDescent="0.35">
      <c r="A20" s="199" t="str">
        <f t="shared" si="0"/>
        <v>CUST SEG SRVCPARKING</v>
      </c>
      <c r="B20" s="144" t="s">
        <v>133</v>
      </c>
      <c r="C20" s="145" t="s">
        <v>145</v>
      </c>
      <c r="D20" s="146" t="s">
        <v>146</v>
      </c>
      <c r="E20" s="194">
        <v>0</v>
      </c>
      <c r="F20" s="147">
        <v>93.149999999999991</v>
      </c>
      <c r="G20" s="147">
        <v>9.3149999999999997E-2</v>
      </c>
      <c r="H20" s="194" t="s">
        <v>136</v>
      </c>
    </row>
    <row r="21" spans="1:8" ht="15" hidden="1" thickBot="1" x14ac:dyDescent="0.35">
      <c r="A21" s="199" t="str">
        <f t="shared" si="0"/>
        <v>CUST SEG SRVCLAUNDRY</v>
      </c>
      <c r="B21" s="144" t="s">
        <v>133</v>
      </c>
      <c r="C21" s="145" t="s">
        <v>147</v>
      </c>
      <c r="D21" s="146" t="s">
        <v>148</v>
      </c>
      <c r="E21" s="151">
        <v>0</v>
      </c>
      <c r="F21" s="148">
        <v>67.25</v>
      </c>
      <c r="G21" s="148">
        <v>6.7250000000000004E-2</v>
      </c>
      <c r="H21" s="151" t="s">
        <v>136</v>
      </c>
    </row>
    <row r="22" spans="1:8" ht="15" hidden="1" thickBot="1" x14ac:dyDescent="0.35">
      <c r="A22" s="199" t="str">
        <f t="shared" si="0"/>
        <v>CUST SEG SRVCPROFESSIONAL SERVICE</v>
      </c>
      <c r="B22" s="144" t="s">
        <v>133</v>
      </c>
      <c r="C22" s="145" t="s">
        <v>149</v>
      </c>
      <c r="D22" s="146" t="s">
        <v>150</v>
      </c>
      <c r="E22" s="195">
        <v>14500</v>
      </c>
      <c r="F22" s="195">
        <v>10025</v>
      </c>
      <c r="G22" s="195">
        <v>-4.4749999999999996</v>
      </c>
      <c r="H22" s="196">
        <v>-0.30862068965517242</v>
      </c>
    </row>
    <row r="23" spans="1:8" ht="15" hidden="1" thickBot="1" x14ac:dyDescent="0.35">
      <c r="A23" s="199" t="str">
        <f t="shared" si="0"/>
        <v>CUST SEG SRVCPERMITS AND FEES</v>
      </c>
      <c r="B23" s="144" t="s">
        <v>133</v>
      </c>
      <c r="C23" s="145" t="s">
        <v>151</v>
      </c>
      <c r="D23" s="146" t="s">
        <v>152</v>
      </c>
      <c r="E23" s="151">
        <v>0</v>
      </c>
      <c r="F23" s="148">
        <v>128</v>
      </c>
      <c r="G23" s="148">
        <v>0.128</v>
      </c>
      <c r="H23" s="151" t="s">
        <v>136</v>
      </c>
    </row>
    <row r="24" spans="1:8" ht="15" hidden="1" thickBot="1" x14ac:dyDescent="0.35">
      <c r="A24" s="199" t="str">
        <f t="shared" si="0"/>
        <v>CUST SEG SRVCCORPORATE IDENTITY</v>
      </c>
      <c r="B24" s="144" t="s">
        <v>133</v>
      </c>
      <c r="C24" s="145" t="s">
        <v>153</v>
      </c>
      <c r="D24" s="146" t="s">
        <v>154</v>
      </c>
      <c r="E24" s="195">
        <v>11500</v>
      </c>
      <c r="F24" s="195">
        <v>2967.13</v>
      </c>
      <c r="G24" s="195">
        <v>-8.5328700000000008</v>
      </c>
      <c r="H24" s="196">
        <v>-0.74198869565217374</v>
      </c>
    </row>
    <row r="25" spans="1:8" ht="15" hidden="1" thickBot="1" x14ac:dyDescent="0.35">
      <c r="A25" s="199" t="str">
        <f t="shared" si="0"/>
        <v>CUST SEG SRVCMEALS AND ENTERTAIN</v>
      </c>
      <c r="B25" s="144" t="s">
        <v>133</v>
      </c>
      <c r="C25" s="145" t="s">
        <v>75</v>
      </c>
      <c r="D25" s="146" t="s">
        <v>76</v>
      </c>
      <c r="E25" s="195">
        <v>18600</v>
      </c>
      <c r="F25" s="195">
        <v>10363.98</v>
      </c>
      <c r="G25" s="195">
        <v>-8.2360199999999999</v>
      </c>
      <c r="H25" s="196">
        <v>-0.4427967741935484</v>
      </c>
    </row>
    <row r="26" spans="1:8" ht="15" hidden="1" thickBot="1" x14ac:dyDescent="0.35">
      <c r="A26" s="199" t="str">
        <f t="shared" si="0"/>
        <v>CUST SEG SRVCTRAVEL IN TERRITORY</v>
      </c>
      <c r="B26" s="144" t="s">
        <v>133</v>
      </c>
      <c r="C26" s="145" t="s">
        <v>121</v>
      </c>
      <c r="D26" s="146" t="s">
        <v>122</v>
      </c>
      <c r="E26" s="194">
        <v>0</v>
      </c>
      <c r="F26" s="147">
        <v>109.39999999999999</v>
      </c>
      <c r="G26" s="147">
        <v>0.1094</v>
      </c>
      <c r="H26" s="194" t="s">
        <v>136</v>
      </c>
    </row>
    <row r="27" spans="1:8" ht="15" hidden="1" thickBot="1" x14ac:dyDescent="0.35">
      <c r="A27" s="199" t="str">
        <f t="shared" si="0"/>
        <v>CUST SEG SRVCCONFERENCE TRAVEL</v>
      </c>
      <c r="B27" s="144" t="s">
        <v>133</v>
      </c>
      <c r="C27" s="145" t="s">
        <v>77</v>
      </c>
      <c r="D27" s="146" t="s">
        <v>78</v>
      </c>
      <c r="E27" s="195">
        <v>17000</v>
      </c>
      <c r="F27" s="195">
        <v>8992.75</v>
      </c>
      <c r="G27" s="195">
        <v>-8.0072500000000009</v>
      </c>
      <c r="H27" s="196">
        <v>-0.47101470588235295</v>
      </c>
    </row>
    <row r="28" spans="1:8" ht="15" hidden="1" thickBot="1" x14ac:dyDescent="0.35">
      <c r="A28" s="199" t="str">
        <f t="shared" si="0"/>
        <v>CUST SEG SRVCBUSINESS TRAVEL</v>
      </c>
      <c r="B28" s="144" t="s">
        <v>133</v>
      </c>
      <c r="C28" s="145" t="s">
        <v>79</v>
      </c>
      <c r="D28" s="146" t="s">
        <v>80</v>
      </c>
      <c r="E28" s="147">
        <v>0</v>
      </c>
      <c r="F28" s="194">
        <v>0</v>
      </c>
      <c r="G28" s="147">
        <v>0</v>
      </c>
      <c r="H28" s="194" t="s">
        <v>136</v>
      </c>
    </row>
    <row r="29" spans="1:8" ht="15" hidden="1" thickBot="1" x14ac:dyDescent="0.35">
      <c r="A29" s="199" t="str">
        <f t="shared" si="0"/>
        <v>CUST SEG SRVCEMPLOYEE AWARDS</v>
      </c>
      <c r="B29" s="144" t="s">
        <v>133</v>
      </c>
      <c r="C29" s="145" t="s">
        <v>81</v>
      </c>
      <c r="D29" s="146" t="s">
        <v>82</v>
      </c>
      <c r="E29" s="148">
        <v>0</v>
      </c>
      <c r="F29" s="148">
        <v>654.93999999999994</v>
      </c>
      <c r="G29" s="148">
        <v>0.65493999999999997</v>
      </c>
      <c r="H29" s="151" t="s">
        <v>136</v>
      </c>
    </row>
    <row r="30" spans="1:8" ht="15" hidden="1" thickBot="1" x14ac:dyDescent="0.35">
      <c r="A30" s="199" t="str">
        <f t="shared" si="0"/>
        <v>CUST SEG SRVCEMPLOYEE AWRDS MLS &amp;</v>
      </c>
      <c r="B30" s="144" t="s">
        <v>133</v>
      </c>
      <c r="C30" s="145" t="s">
        <v>123</v>
      </c>
      <c r="D30" s="146" t="s">
        <v>124</v>
      </c>
      <c r="E30" s="194">
        <v>0</v>
      </c>
      <c r="F30" s="147">
        <v>256.49</v>
      </c>
      <c r="G30" s="147">
        <v>0.25649</v>
      </c>
      <c r="H30" s="194" t="s">
        <v>136</v>
      </c>
    </row>
    <row r="31" spans="1:8" ht="15" hidden="1" thickBot="1" x14ac:dyDescent="0.35">
      <c r="A31" s="199" t="str">
        <f t="shared" si="0"/>
        <v>CUST SEG SRVCMISC. EXPENSE BUDGET</v>
      </c>
      <c r="B31" s="144" t="s">
        <v>133</v>
      </c>
      <c r="C31" s="145" t="s">
        <v>83</v>
      </c>
      <c r="D31" s="146" t="s">
        <v>84</v>
      </c>
      <c r="E31" s="195">
        <v>6000</v>
      </c>
      <c r="F31" s="197">
        <v>0</v>
      </c>
      <c r="G31" s="195">
        <v>-6</v>
      </c>
      <c r="H31" s="196">
        <v>-1</v>
      </c>
    </row>
    <row r="32" spans="1:8" ht="15" thickBot="1" x14ac:dyDescent="0.35">
      <c r="A32" s="354" t="str">
        <f t="shared" si="0"/>
        <v>CUST SEG SRVCNon-Payroll</v>
      </c>
      <c r="B32" s="144" t="s">
        <v>133</v>
      </c>
      <c r="C32" s="149" t="s">
        <v>85</v>
      </c>
      <c r="D32" s="150" t="s">
        <v>86</v>
      </c>
      <c r="E32" s="195">
        <v>94800</v>
      </c>
      <c r="F32" s="195">
        <v>54027.9</v>
      </c>
      <c r="G32" s="195">
        <v>-40.772100000000002</v>
      </c>
      <c r="H32" s="196">
        <v>-0.43008544303797469</v>
      </c>
    </row>
    <row r="33" spans="1:8" ht="15" hidden="1" thickBot="1" x14ac:dyDescent="0.35">
      <c r="A33" s="199" t="str">
        <f t="shared" si="0"/>
        <v>CUST SEG SRVCEXPENSE ACCOUNTS</v>
      </c>
      <c r="B33" s="144" t="s">
        <v>133</v>
      </c>
      <c r="C33" s="144" t="s">
        <v>87</v>
      </c>
      <c r="D33" s="144" t="s">
        <v>87</v>
      </c>
      <c r="E33" s="148">
        <v>920545.34</v>
      </c>
      <c r="F33" s="148">
        <v>828670.47</v>
      </c>
      <c r="G33" s="148">
        <v>-91.874870000000001</v>
      </c>
      <c r="H33" s="193">
        <v>-9.9804828733368101E-2</v>
      </c>
    </row>
    <row r="34" spans="1:8" ht="15" hidden="1" thickBot="1" x14ac:dyDescent="0.35">
      <c r="A34" s="199" t="str">
        <f t="shared" si="0"/>
        <v>MAJ ACCT SERV TEAMHOURLY REGULAR  PAY</v>
      </c>
      <c r="B34" s="144" t="s">
        <v>155</v>
      </c>
      <c r="C34" s="145" t="s">
        <v>91</v>
      </c>
      <c r="D34" s="146" t="s">
        <v>92</v>
      </c>
      <c r="E34" s="147">
        <v>191671.83</v>
      </c>
      <c r="F34" s="147">
        <v>171470.97</v>
      </c>
      <c r="G34" s="147">
        <v>-20.200859999999999</v>
      </c>
      <c r="H34" s="192">
        <v>-0.10539295210986427</v>
      </c>
    </row>
    <row r="35" spans="1:8" ht="15" hidden="1" thickBot="1" x14ac:dyDescent="0.35">
      <c r="A35" s="199" t="str">
        <f t="shared" si="0"/>
        <v>MAJ ACCT SERV TEAMHOURLY OVERTIME PAY</v>
      </c>
      <c r="B35" s="144" t="s">
        <v>155</v>
      </c>
      <c r="C35" s="145" t="s">
        <v>93</v>
      </c>
      <c r="D35" s="146" t="s">
        <v>94</v>
      </c>
      <c r="E35" s="148">
        <v>4512.1900000000005</v>
      </c>
      <c r="F35" s="148">
        <v>2979.32</v>
      </c>
      <c r="G35" s="148">
        <v>-1.53287</v>
      </c>
      <c r="H35" s="193">
        <v>-0.33971752076042899</v>
      </c>
    </row>
    <row r="36" spans="1:8" ht="15" hidden="1" thickBot="1" x14ac:dyDescent="0.35">
      <c r="A36" s="199" t="str">
        <f t="shared" si="0"/>
        <v>MAJ ACCT SERV TEAMHOURLY BONUS PAYROLL</v>
      </c>
      <c r="B36" s="144" t="s">
        <v>155</v>
      </c>
      <c r="C36" s="145" t="s">
        <v>95</v>
      </c>
      <c r="D36" s="146" t="s">
        <v>96</v>
      </c>
      <c r="E36" s="194">
        <v>0</v>
      </c>
      <c r="F36" s="147">
        <v>53.53</v>
      </c>
      <c r="G36" s="147">
        <v>5.3530000000000001E-2</v>
      </c>
      <c r="H36" s="194" t="s">
        <v>136</v>
      </c>
    </row>
    <row r="37" spans="1:8" ht="15" hidden="1" thickBot="1" x14ac:dyDescent="0.35">
      <c r="A37" s="199" t="str">
        <f t="shared" si="0"/>
        <v>MAJ ACCT SERV TEAMVACATION, SICK &amp; HOL</v>
      </c>
      <c r="B37" s="144" t="s">
        <v>155</v>
      </c>
      <c r="C37" s="145" t="s">
        <v>61</v>
      </c>
      <c r="D37" s="146" t="s">
        <v>62</v>
      </c>
      <c r="E37" s="148">
        <v>29843.25</v>
      </c>
      <c r="F37" s="148">
        <v>27093.98</v>
      </c>
      <c r="G37" s="148">
        <v>-2.7492700000000001</v>
      </c>
      <c r="H37" s="193">
        <v>-9.2123679559029503E-2</v>
      </c>
    </row>
    <row r="38" spans="1:8" ht="15" hidden="1" thickBot="1" x14ac:dyDescent="0.35">
      <c r="A38" s="199" t="str">
        <f t="shared" si="0"/>
        <v>MAJ ACCT SERV TEAMPAYROLL OVERHEAD</v>
      </c>
      <c r="B38" s="144" t="s">
        <v>155</v>
      </c>
      <c r="C38" s="145" t="s">
        <v>63</v>
      </c>
      <c r="D38" s="146" t="s">
        <v>64</v>
      </c>
      <c r="E38" s="147">
        <v>159125.96</v>
      </c>
      <c r="F38" s="147">
        <v>145236.49</v>
      </c>
      <c r="G38" s="147">
        <v>-13.889469999999999</v>
      </c>
      <c r="H38" s="192">
        <v>-8.7286009146464866E-2</v>
      </c>
    </row>
    <row r="39" spans="1:8" ht="15" hidden="1" thickBot="1" x14ac:dyDescent="0.35">
      <c r="A39" s="199" t="str">
        <f t="shared" si="0"/>
        <v>MAJ ACCT SERV TEAMNWN/580105</v>
      </c>
      <c r="B39" s="144" t="s">
        <v>155</v>
      </c>
      <c r="C39" s="145" t="s">
        <v>156</v>
      </c>
      <c r="D39" s="146" t="s">
        <v>157</v>
      </c>
      <c r="E39" s="148">
        <v>72301.2</v>
      </c>
      <c r="F39" s="148">
        <v>75379.009999999995</v>
      </c>
      <c r="G39" s="148">
        <v>3.0778099999999999</v>
      </c>
      <c r="H39" s="193">
        <v>4.2569279624681364E-2</v>
      </c>
    </row>
    <row r="40" spans="1:8" ht="15" thickBot="1" x14ac:dyDescent="0.35">
      <c r="A40" s="355" t="str">
        <f t="shared" si="0"/>
        <v>MAJ ACCT SERV TEAMPayroll</v>
      </c>
      <c r="B40" s="144" t="s">
        <v>155</v>
      </c>
      <c r="C40" s="149" t="s">
        <v>67</v>
      </c>
      <c r="D40" s="150" t="s">
        <v>68</v>
      </c>
      <c r="E40" s="195">
        <f>E390</f>
        <v>1163601.49</v>
      </c>
      <c r="F40" s="195">
        <f>F390</f>
        <v>1091626.83</v>
      </c>
      <c r="G40" s="195">
        <v>-35.241129999999998</v>
      </c>
      <c r="H40" s="196">
        <v>-7.7037465786482962E-2</v>
      </c>
    </row>
    <row r="41" spans="1:8" ht="15" hidden="1" thickBot="1" x14ac:dyDescent="0.35">
      <c r="A41" s="199" t="str">
        <f t="shared" si="0"/>
        <v>MAJ ACCT SERV TEAMEDUCATION</v>
      </c>
      <c r="B41" s="144" t="s">
        <v>155</v>
      </c>
      <c r="C41" s="145" t="s">
        <v>69</v>
      </c>
      <c r="D41" s="146" t="s">
        <v>70</v>
      </c>
      <c r="E41" s="148">
        <v>3000</v>
      </c>
      <c r="F41" s="151">
        <v>0</v>
      </c>
      <c r="G41" s="148">
        <v>-3</v>
      </c>
      <c r="H41" s="193">
        <v>-1</v>
      </c>
    </row>
    <row r="42" spans="1:8" ht="15" hidden="1" thickBot="1" x14ac:dyDescent="0.35">
      <c r="A42" s="199" t="str">
        <f t="shared" si="0"/>
        <v>MAJ ACCT SERV TEAMMILEAGE REIMBURSE</v>
      </c>
      <c r="B42" s="144" t="s">
        <v>155</v>
      </c>
      <c r="C42" s="145" t="s">
        <v>137</v>
      </c>
      <c r="D42" s="146" t="s">
        <v>138</v>
      </c>
      <c r="E42" s="194">
        <v>0</v>
      </c>
      <c r="F42" s="147">
        <v>112.16</v>
      </c>
      <c r="G42" s="147">
        <v>0.11216</v>
      </c>
      <c r="H42" s="194" t="s">
        <v>136</v>
      </c>
    </row>
    <row r="43" spans="1:8" ht="15" hidden="1" thickBot="1" x14ac:dyDescent="0.35">
      <c r="A43" s="199" t="str">
        <f t="shared" si="0"/>
        <v>MAJ ACCT SERV TEAMOTHER CONTRACT WORK</v>
      </c>
      <c r="B43" s="144" t="s">
        <v>155</v>
      </c>
      <c r="C43" s="145" t="s">
        <v>101</v>
      </c>
      <c r="D43" s="146" t="s">
        <v>102</v>
      </c>
      <c r="E43" s="151">
        <v>0</v>
      </c>
      <c r="F43" s="148">
        <v>169.13</v>
      </c>
      <c r="G43" s="148">
        <v>0.16913</v>
      </c>
      <c r="H43" s="151" t="s">
        <v>136</v>
      </c>
    </row>
    <row r="44" spans="1:8" ht="15" hidden="1" thickBot="1" x14ac:dyDescent="0.35">
      <c r="A44" s="199" t="str">
        <f t="shared" si="0"/>
        <v>MAJ ACCT SERV TEAMMISCELLANEOUS</v>
      </c>
      <c r="B44" s="144" t="s">
        <v>155</v>
      </c>
      <c r="C44" s="145" t="s">
        <v>103</v>
      </c>
      <c r="D44" s="146" t="s">
        <v>104</v>
      </c>
      <c r="E44" s="194">
        <v>0</v>
      </c>
      <c r="F44" s="147">
        <v>7.28</v>
      </c>
      <c r="G44" s="147">
        <v>7.28E-3</v>
      </c>
      <c r="H44" s="194" t="s">
        <v>136</v>
      </c>
    </row>
    <row r="45" spans="1:8" ht="15" hidden="1" thickBot="1" x14ac:dyDescent="0.35">
      <c r="A45" s="199" t="str">
        <f t="shared" si="0"/>
        <v>MAJ ACCT SERV TEAMOFFICE SUPPLIES</v>
      </c>
      <c r="B45" s="144" t="s">
        <v>155</v>
      </c>
      <c r="C45" s="145" t="s">
        <v>73</v>
      </c>
      <c r="D45" s="146" t="s">
        <v>74</v>
      </c>
      <c r="E45" s="195">
        <v>3000</v>
      </c>
      <c r="F45" s="195">
        <v>5107.1900000000005</v>
      </c>
      <c r="G45" s="195">
        <v>2.1071900000000001</v>
      </c>
      <c r="H45" s="196">
        <v>0.70239666666666689</v>
      </c>
    </row>
    <row r="46" spans="1:8" ht="15" hidden="1" thickBot="1" x14ac:dyDescent="0.35">
      <c r="A46" s="199" t="str">
        <f t="shared" si="0"/>
        <v>MAJ ACCT SERV TEAMPRINTING</v>
      </c>
      <c r="B46" s="144" t="s">
        <v>155</v>
      </c>
      <c r="C46" s="145" t="s">
        <v>111</v>
      </c>
      <c r="D46" s="146" t="s">
        <v>112</v>
      </c>
      <c r="E46" s="194">
        <v>0</v>
      </c>
      <c r="F46" s="147">
        <v>1498.3500000000001</v>
      </c>
      <c r="G46" s="147">
        <v>1.4983500000000001</v>
      </c>
      <c r="H46" s="194" t="s">
        <v>136</v>
      </c>
    </row>
    <row r="47" spans="1:8" ht="15" hidden="1" thickBot="1" x14ac:dyDescent="0.35">
      <c r="A47" s="199" t="str">
        <f t="shared" si="0"/>
        <v>MAJ ACCT SERV TEAMREFRESHMENTS</v>
      </c>
      <c r="B47" s="144" t="s">
        <v>155</v>
      </c>
      <c r="C47" s="145" t="s">
        <v>113</v>
      </c>
      <c r="D47" s="146" t="s">
        <v>114</v>
      </c>
      <c r="E47" s="151">
        <v>0</v>
      </c>
      <c r="F47" s="148">
        <v>426.44</v>
      </c>
      <c r="G47" s="148">
        <v>0.42643999999999999</v>
      </c>
      <c r="H47" s="151" t="s">
        <v>136</v>
      </c>
    </row>
    <row r="48" spans="1:8" ht="15" hidden="1" thickBot="1" x14ac:dyDescent="0.35">
      <c r="A48" s="199" t="str">
        <f t="shared" si="0"/>
        <v>MAJ ACCT SERV TEAMMEALS AND ENTERTAIN</v>
      </c>
      <c r="B48" s="144" t="s">
        <v>155</v>
      </c>
      <c r="C48" s="145" t="s">
        <v>75</v>
      </c>
      <c r="D48" s="146" t="s">
        <v>76</v>
      </c>
      <c r="E48" s="147">
        <v>0</v>
      </c>
      <c r="F48" s="147">
        <v>61.519999999999996</v>
      </c>
      <c r="G48" s="147">
        <v>6.1519999999999998E-2</v>
      </c>
      <c r="H48" s="194" t="s">
        <v>136</v>
      </c>
    </row>
    <row r="49" spans="1:8" ht="15" hidden="1" thickBot="1" x14ac:dyDescent="0.35">
      <c r="A49" s="199" t="str">
        <f t="shared" si="0"/>
        <v>MAJ ACCT SERV TEAMCONFERENCE TRAVEL</v>
      </c>
      <c r="B49" s="144" t="s">
        <v>155</v>
      </c>
      <c r="C49" s="145" t="s">
        <v>77</v>
      </c>
      <c r="D49" s="146" t="s">
        <v>78</v>
      </c>
      <c r="E49" s="148">
        <v>5000</v>
      </c>
      <c r="F49" s="151">
        <v>0</v>
      </c>
      <c r="G49" s="148">
        <v>-5</v>
      </c>
      <c r="H49" s="193">
        <v>-1</v>
      </c>
    </row>
    <row r="50" spans="1:8" ht="15" hidden="1" thickBot="1" x14ac:dyDescent="0.35">
      <c r="A50" s="199" t="str">
        <f t="shared" si="0"/>
        <v>MAJ ACCT SERV TEAMEMPLOYEE AWARDS</v>
      </c>
      <c r="B50" s="144" t="s">
        <v>155</v>
      </c>
      <c r="C50" s="145" t="s">
        <v>81</v>
      </c>
      <c r="D50" s="146" t="s">
        <v>82</v>
      </c>
      <c r="E50" s="147">
        <v>1400</v>
      </c>
      <c r="F50" s="147">
        <v>338.68</v>
      </c>
      <c r="G50" s="147">
        <v>-1.06132</v>
      </c>
      <c r="H50" s="192">
        <v>-0.75808571428571425</v>
      </c>
    </row>
    <row r="51" spans="1:8" ht="15" hidden="1" thickBot="1" x14ac:dyDescent="0.35">
      <c r="A51" s="199" t="str">
        <f t="shared" si="0"/>
        <v>MAJ ACCT SERV TEAMEMPLOYEE AWRDS MLS &amp;</v>
      </c>
      <c r="B51" s="144" t="s">
        <v>155</v>
      </c>
      <c r="C51" s="145" t="s">
        <v>123</v>
      </c>
      <c r="D51" s="146" t="s">
        <v>124</v>
      </c>
      <c r="E51" s="151">
        <v>0</v>
      </c>
      <c r="F51" s="148">
        <v>239.74</v>
      </c>
      <c r="G51" s="148">
        <v>0.23974000000000001</v>
      </c>
      <c r="H51" s="151" t="s">
        <v>136</v>
      </c>
    </row>
    <row r="52" spans="1:8" ht="15" hidden="1" thickBot="1" x14ac:dyDescent="0.35">
      <c r="A52" s="199" t="str">
        <f t="shared" si="0"/>
        <v>MAJ ACCT SERV TEAMMISC. EXPENSE BUDGET</v>
      </c>
      <c r="B52" s="144" t="s">
        <v>155</v>
      </c>
      <c r="C52" s="145" t="s">
        <v>83</v>
      </c>
      <c r="D52" s="146" t="s">
        <v>84</v>
      </c>
      <c r="E52" s="195">
        <v>11000</v>
      </c>
      <c r="F52" s="197">
        <v>0</v>
      </c>
      <c r="G52" s="195">
        <v>-11</v>
      </c>
      <c r="H52" s="196">
        <v>-1</v>
      </c>
    </row>
    <row r="53" spans="1:8" ht="15" thickBot="1" x14ac:dyDescent="0.35">
      <c r="A53" s="355" t="str">
        <f t="shared" si="0"/>
        <v>MAJ ACCT SERV TEAMNon-Payroll</v>
      </c>
      <c r="B53" s="144" t="s">
        <v>155</v>
      </c>
      <c r="C53" s="149" t="s">
        <v>85</v>
      </c>
      <c r="D53" s="150" t="s">
        <v>86</v>
      </c>
      <c r="E53" s="195">
        <f>E391</f>
        <v>65048.08</v>
      </c>
      <c r="F53" s="195">
        <f>F391</f>
        <v>32908.129999999997</v>
      </c>
      <c r="G53" s="195">
        <v>-15.43951</v>
      </c>
      <c r="H53" s="196">
        <v>-0.65980811965811947</v>
      </c>
    </row>
    <row r="54" spans="1:8" ht="15" hidden="1" thickBot="1" x14ac:dyDescent="0.35">
      <c r="A54" s="199" t="str">
        <f t="shared" si="0"/>
        <v>MAJ ACCT SERV TEAMEXPENSE ACCOUNTS</v>
      </c>
      <c r="B54" s="144" t="s">
        <v>155</v>
      </c>
      <c r="C54" s="144" t="s">
        <v>87</v>
      </c>
      <c r="D54" s="144" t="s">
        <v>87</v>
      </c>
      <c r="E54" s="147">
        <v>480854.43</v>
      </c>
      <c r="F54" s="147">
        <v>430173.79</v>
      </c>
      <c r="G54" s="147">
        <v>-50.680639999999997</v>
      </c>
      <c r="H54" s="192">
        <v>-0.10539705332443351</v>
      </c>
    </row>
    <row r="55" spans="1:8" ht="15" hidden="1" thickBot="1" x14ac:dyDescent="0.35">
      <c r="A55" s="199" t="str">
        <f t="shared" si="0"/>
        <v>CUST CONTACT CENTERSALARY PAYROLL</v>
      </c>
      <c r="B55" s="144" t="s">
        <v>158</v>
      </c>
      <c r="C55" s="145" t="s">
        <v>59</v>
      </c>
      <c r="D55" s="146" t="s">
        <v>60</v>
      </c>
      <c r="E55" s="148">
        <v>830048.98</v>
      </c>
      <c r="F55" s="148">
        <v>782392.03999999992</v>
      </c>
      <c r="G55" s="148">
        <v>-47.656939999999999</v>
      </c>
      <c r="H55" s="193">
        <v>-5.7414611846158835E-2</v>
      </c>
    </row>
    <row r="56" spans="1:8" ht="15" hidden="1" thickBot="1" x14ac:dyDescent="0.35">
      <c r="A56" s="199" t="str">
        <f t="shared" si="0"/>
        <v>CUST CONTACT CENTERHOURLY DOUBLE PAY</v>
      </c>
      <c r="B56" s="144" t="s">
        <v>158</v>
      </c>
      <c r="C56" s="145" t="s">
        <v>89</v>
      </c>
      <c r="D56" s="146" t="s">
        <v>90</v>
      </c>
      <c r="E56" s="194">
        <v>0</v>
      </c>
      <c r="F56" s="147">
        <v>47247.64</v>
      </c>
      <c r="G56" s="147">
        <v>47.247639999999997</v>
      </c>
      <c r="H56" s="194" t="s">
        <v>136</v>
      </c>
    </row>
    <row r="57" spans="1:8" ht="15" hidden="1" thickBot="1" x14ac:dyDescent="0.35">
      <c r="A57" s="199" t="str">
        <f t="shared" si="0"/>
        <v>CUST CONTACT CENTERHOURLY REGULAR  PAY</v>
      </c>
      <c r="B57" s="144" t="s">
        <v>158</v>
      </c>
      <c r="C57" s="145" t="s">
        <v>91</v>
      </c>
      <c r="D57" s="146" t="s">
        <v>92</v>
      </c>
      <c r="E57" s="148">
        <v>4409154.38</v>
      </c>
      <c r="F57" s="148">
        <v>4071882.44</v>
      </c>
      <c r="G57" s="148">
        <v>-337.27193999999997</v>
      </c>
      <c r="H57" s="193">
        <v>-7.6493565643759559E-2</v>
      </c>
    </row>
    <row r="58" spans="1:8" ht="15" hidden="1" thickBot="1" x14ac:dyDescent="0.35">
      <c r="A58" s="199" t="str">
        <f t="shared" si="0"/>
        <v>CUST CONTACT CENTERHOURLY OVERTIME PAY</v>
      </c>
      <c r="B58" s="144" t="s">
        <v>158</v>
      </c>
      <c r="C58" s="145" t="s">
        <v>93</v>
      </c>
      <c r="D58" s="146" t="s">
        <v>94</v>
      </c>
      <c r="E58" s="147">
        <v>237854.05</v>
      </c>
      <c r="F58" s="147">
        <v>226472.1</v>
      </c>
      <c r="G58" s="147">
        <v>-11.38195</v>
      </c>
      <c r="H58" s="192">
        <v>-4.7852664270379416E-2</v>
      </c>
    </row>
    <row r="59" spans="1:8" ht="15" hidden="1" thickBot="1" x14ac:dyDescent="0.35">
      <c r="A59" s="199" t="str">
        <f t="shared" si="0"/>
        <v>CUST CONTACT CENTERP/T HOURLY PAYROLL</v>
      </c>
      <c r="B59" s="144" t="s">
        <v>158</v>
      </c>
      <c r="C59" s="145" t="s">
        <v>159</v>
      </c>
      <c r="D59" s="146" t="s">
        <v>160</v>
      </c>
      <c r="E59" s="148">
        <v>176151.83</v>
      </c>
      <c r="F59" s="148">
        <v>93374.12000000001</v>
      </c>
      <c r="G59" s="148">
        <v>-82.777709999999999</v>
      </c>
      <c r="H59" s="193">
        <v>-0.46992250946243375</v>
      </c>
    </row>
    <row r="60" spans="1:8" ht="15" hidden="1" thickBot="1" x14ac:dyDescent="0.35">
      <c r="A60" s="199" t="str">
        <f t="shared" si="0"/>
        <v>CUST CONTACT CENTERSALARY BONUS PAYROLL</v>
      </c>
      <c r="B60" s="144" t="s">
        <v>158</v>
      </c>
      <c r="C60" s="145" t="s">
        <v>134</v>
      </c>
      <c r="D60" s="146" t="s">
        <v>135</v>
      </c>
      <c r="E60" s="194">
        <v>0</v>
      </c>
      <c r="F60" s="147">
        <v>214.15</v>
      </c>
      <c r="G60" s="147">
        <v>0.21415000000000001</v>
      </c>
      <c r="H60" s="194" t="s">
        <v>136</v>
      </c>
    </row>
    <row r="61" spans="1:8" ht="15" hidden="1" thickBot="1" x14ac:dyDescent="0.35">
      <c r="A61" s="199" t="str">
        <f t="shared" si="0"/>
        <v>CUST CONTACT CENTERHOURLY BONUS PAYROLL</v>
      </c>
      <c r="B61" s="144" t="s">
        <v>158</v>
      </c>
      <c r="C61" s="145" t="s">
        <v>95</v>
      </c>
      <c r="D61" s="146" t="s">
        <v>96</v>
      </c>
      <c r="E61" s="151">
        <v>0</v>
      </c>
      <c r="F61" s="148">
        <v>449.03</v>
      </c>
      <c r="G61" s="148">
        <v>0.44902999999999998</v>
      </c>
      <c r="H61" s="151" t="s">
        <v>136</v>
      </c>
    </row>
    <row r="62" spans="1:8" ht="15" hidden="1" thickBot="1" x14ac:dyDescent="0.35">
      <c r="A62" s="199" t="str">
        <f t="shared" si="0"/>
        <v>CUST CONTACT CENTERVACATION, SICK &amp; HOL</v>
      </c>
      <c r="B62" s="144" t="s">
        <v>158</v>
      </c>
      <c r="C62" s="145" t="s">
        <v>61</v>
      </c>
      <c r="D62" s="146" t="s">
        <v>62</v>
      </c>
      <c r="E62" s="147">
        <v>843170.79999999993</v>
      </c>
      <c r="F62" s="147">
        <v>763100.25</v>
      </c>
      <c r="G62" s="147">
        <v>-80.070549999999997</v>
      </c>
      <c r="H62" s="192">
        <v>-9.4963618284693713E-2</v>
      </c>
    </row>
    <row r="63" spans="1:8" ht="15" hidden="1" thickBot="1" x14ac:dyDescent="0.35">
      <c r="A63" s="199" t="str">
        <f t="shared" si="0"/>
        <v>CUST CONTACT CENTERPAYROLL OVERHEAD</v>
      </c>
      <c r="B63" s="144" t="s">
        <v>158</v>
      </c>
      <c r="C63" s="145" t="s">
        <v>63</v>
      </c>
      <c r="D63" s="146" t="s">
        <v>64</v>
      </c>
      <c r="E63" s="148">
        <v>4495827.84</v>
      </c>
      <c r="F63" s="148">
        <v>4113302.31</v>
      </c>
      <c r="G63" s="148">
        <v>-382.52553</v>
      </c>
      <c r="H63" s="193">
        <v>-8.5084559198779358E-2</v>
      </c>
    </row>
    <row r="64" spans="1:8" ht="15" hidden="1" thickBot="1" x14ac:dyDescent="0.35">
      <c r="A64" s="199" t="str">
        <f t="shared" si="0"/>
        <v>CUST CONTACT CENTERNWN/580306</v>
      </c>
      <c r="B64" s="144" t="s">
        <v>158</v>
      </c>
      <c r="C64" s="145" t="s">
        <v>161</v>
      </c>
      <c r="D64" s="146" t="s">
        <v>162</v>
      </c>
      <c r="E64" s="194">
        <v>0</v>
      </c>
      <c r="F64" s="147">
        <v>11172.42</v>
      </c>
      <c r="G64" s="147">
        <v>11.172420000000001</v>
      </c>
      <c r="H64" s="194" t="s">
        <v>136</v>
      </c>
    </row>
    <row r="65" spans="1:8" ht="15" hidden="1" thickBot="1" x14ac:dyDescent="0.35">
      <c r="A65" s="199" t="str">
        <f t="shared" si="0"/>
        <v>CUST CONTACT CENTERHRLY - REGULAR ZTFSO</v>
      </c>
      <c r="B65" s="144" t="s">
        <v>158</v>
      </c>
      <c r="C65" s="145" t="s">
        <v>163</v>
      </c>
      <c r="D65" s="146" t="s">
        <v>164</v>
      </c>
      <c r="E65" s="151">
        <v>0</v>
      </c>
      <c r="F65" s="148">
        <v>-419.92</v>
      </c>
      <c r="G65" s="148">
        <v>-0.41992000000000002</v>
      </c>
      <c r="H65" s="151" t="s">
        <v>136</v>
      </c>
    </row>
    <row r="66" spans="1:8" ht="15" thickBot="1" x14ac:dyDescent="0.35">
      <c r="A66" s="356" t="str">
        <f t="shared" si="0"/>
        <v>CUST CONTACT CENTERPayroll</v>
      </c>
      <c r="B66" s="144" t="s">
        <v>158</v>
      </c>
      <c r="C66" s="149" t="s">
        <v>67</v>
      </c>
      <c r="D66" s="150" t="s">
        <v>68</v>
      </c>
      <c r="E66" s="195">
        <v>10992207.880000001</v>
      </c>
      <c r="F66" s="195">
        <v>10109186.58</v>
      </c>
      <c r="G66" s="195">
        <v>-883.0213</v>
      </c>
      <c r="H66" s="196">
        <v>-8.0331568474667422E-2</v>
      </c>
    </row>
    <row r="67" spans="1:8" ht="15" hidden="1" thickBot="1" x14ac:dyDescent="0.35">
      <c r="A67" s="199" t="str">
        <f t="shared" si="0"/>
        <v>CUST CONTACT CENTEREDUCATION</v>
      </c>
      <c r="B67" s="144" t="s">
        <v>158</v>
      </c>
      <c r="C67" s="145" t="s">
        <v>69</v>
      </c>
      <c r="D67" s="146" t="s">
        <v>70</v>
      </c>
      <c r="E67" s="151">
        <v>0</v>
      </c>
      <c r="F67" s="148">
        <v>4194.59</v>
      </c>
      <c r="G67" s="148">
        <v>4.1945899999999998</v>
      </c>
      <c r="H67" s="151" t="s">
        <v>136</v>
      </c>
    </row>
    <row r="68" spans="1:8" ht="15" hidden="1" thickBot="1" x14ac:dyDescent="0.35">
      <c r="A68" s="199" t="str">
        <f t="shared" si="0"/>
        <v>CUST CONTACT CENTERMATERIALS</v>
      </c>
      <c r="B68" s="144" t="s">
        <v>158</v>
      </c>
      <c r="C68" s="145" t="s">
        <v>99</v>
      </c>
      <c r="D68" s="146" t="s">
        <v>100</v>
      </c>
      <c r="E68" s="194">
        <v>0</v>
      </c>
      <c r="F68" s="147">
        <v>103.25</v>
      </c>
      <c r="G68" s="147">
        <v>0.10324999999999999</v>
      </c>
      <c r="H68" s="194" t="s">
        <v>136</v>
      </c>
    </row>
    <row r="69" spans="1:8" ht="15" hidden="1" thickBot="1" x14ac:dyDescent="0.35">
      <c r="A69" s="199" t="str">
        <f t="shared" ref="A69:A132" si="1">B69&amp;C69</f>
        <v>CUST CONTACT CENTERMATERIALS - CONS INV</v>
      </c>
      <c r="B69" s="144" t="s">
        <v>158</v>
      </c>
      <c r="C69" s="145" t="s">
        <v>165</v>
      </c>
      <c r="D69" s="146" t="s">
        <v>166</v>
      </c>
      <c r="E69" s="151">
        <v>0</v>
      </c>
      <c r="F69" s="148">
        <v>177.25</v>
      </c>
      <c r="G69" s="148">
        <v>0.17724999999999999</v>
      </c>
      <c r="H69" s="151" t="s">
        <v>136</v>
      </c>
    </row>
    <row r="70" spans="1:8" ht="15" hidden="1" thickBot="1" x14ac:dyDescent="0.35">
      <c r="A70" s="199" t="str">
        <f t="shared" si="1"/>
        <v>CUST CONTACT CENTERMILEAGE REIMBURSE</v>
      </c>
      <c r="B70" s="144" t="s">
        <v>158</v>
      </c>
      <c r="C70" s="145" t="s">
        <v>137</v>
      </c>
      <c r="D70" s="146" t="s">
        <v>138</v>
      </c>
      <c r="E70" s="195">
        <v>15489</v>
      </c>
      <c r="F70" s="195">
        <v>13123.26</v>
      </c>
      <c r="G70" s="195">
        <v>-2.3657400000000002</v>
      </c>
      <c r="H70" s="196">
        <v>-0.15273678094131315</v>
      </c>
    </row>
    <row r="71" spans="1:8" ht="15" hidden="1" thickBot="1" x14ac:dyDescent="0.35">
      <c r="A71" s="199" t="str">
        <f t="shared" si="1"/>
        <v>CUST CONTACT CENTERFURNITURE &lt; 500</v>
      </c>
      <c r="B71" s="144" t="s">
        <v>158</v>
      </c>
      <c r="C71" s="145" t="s">
        <v>167</v>
      </c>
      <c r="D71" s="146" t="s">
        <v>168</v>
      </c>
      <c r="E71" s="151">
        <v>0</v>
      </c>
      <c r="F71" s="148">
        <v>299.98999999999995</v>
      </c>
      <c r="G71" s="148">
        <v>0.29998999999999998</v>
      </c>
      <c r="H71" s="151" t="s">
        <v>136</v>
      </c>
    </row>
    <row r="72" spans="1:8" ht="15" hidden="1" thickBot="1" x14ac:dyDescent="0.35">
      <c r="A72" s="199" t="str">
        <f t="shared" si="1"/>
        <v>CUST CONTACT CENTERDUES/MEMBERSHIP</v>
      </c>
      <c r="B72" s="144" t="s">
        <v>158</v>
      </c>
      <c r="C72" s="145" t="s">
        <v>139</v>
      </c>
      <c r="D72" s="146" t="s">
        <v>140</v>
      </c>
      <c r="E72" s="194">
        <v>0</v>
      </c>
      <c r="F72" s="147">
        <v>40400</v>
      </c>
      <c r="G72" s="147">
        <v>40.4</v>
      </c>
      <c r="H72" s="194" t="s">
        <v>136</v>
      </c>
    </row>
    <row r="73" spans="1:8" ht="15" hidden="1" thickBot="1" x14ac:dyDescent="0.35">
      <c r="A73" s="199" t="str">
        <f t="shared" si="1"/>
        <v>CUST CONTACT CENTEROFFICE CONTRACT WORK</v>
      </c>
      <c r="B73" s="144" t="s">
        <v>158</v>
      </c>
      <c r="C73" s="145" t="s">
        <v>169</v>
      </c>
      <c r="D73" s="146" t="s">
        <v>170</v>
      </c>
      <c r="E73" s="151">
        <v>0</v>
      </c>
      <c r="F73" s="148">
        <v>240</v>
      </c>
      <c r="G73" s="148">
        <v>0.24</v>
      </c>
      <c r="H73" s="151" t="s">
        <v>136</v>
      </c>
    </row>
    <row r="74" spans="1:8" ht="15" hidden="1" thickBot="1" x14ac:dyDescent="0.35">
      <c r="A74" s="199" t="str">
        <f t="shared" si="1"/>
        <v>CUST CONTACT CENTEROTHER CONTRACT WORK</v>
      </c>
      <c r="B74" s="144" t="s">
        <v>158</v>
      </c>
      <c r="C74" s="145" t="s">
        <v>101</v>
      </c>
      <c r="D74" s="146" t="s">
        <v>102</v>
      </c>
      <c r="E74" s="195">
        <v>1162044</v>
      </c>
      <c r="F74" s="195">
        <v>1290352.27</v>
      </c>
      <c r="G74" s="195">
        <v>128.30826999999999</v>
      </c>
      <c r="H74" s="196">
        <v>0.11041601694944428</v>
      </c>
    </row>
    <row r="75" spans="1:8" ht="15" hidden="1" thickBot="1" x14ac:dyDescent="0.35">
      <c r="A75" s="199" t="str">
        <f t="shared" si="1"/>
        <v>CUST CONTACT CENTERMISCELLANEOUS</v>
      </c>
      <c r="B75" s="144" t="s">
        <v>158</v>
      </c>
      <c r="C75" s="145" t="s">
        <v>103</v>
      </c>
      <c r="D75" s="146" t="s">
        <v>104</v>
      </c>
      <c r="E75" s="151">
        <v>0</v>
      </c>
      <c r="F75" s="148">
        <v>-1694.55</v>
      </c>
      <c r="G75" s="148">
        <v>-1.69455</v>
      </c>
      <c r="H75" s="151" t="s">
        <v>136</v>
      </c>
    </row>
    <row r="76" spans="1:8" ht="15" hidden="1" thickBot="1" x14ac:dyDescent="0.35">
      <c r="A76" s="199" t="str">
        <f t="shared" si="1"/>
        <v>CUST CONTACT CENTERP CARD UNCODED CHARG</v>
      </c>
      <c r="B76" s="144" t="s">
        <v>158</v>
      </c>
      <c r="C76" s="145" t="s">
        <v>71</v>
      </c>
      <c r="D76" s="146" t="s">
        <v>72</v>
      </c>
      <c r="E76" s="194">
        <v>0</v>
      </c>
      <c r="F76" s="147">
        <v>1623.65</v>
      </c>
      <c r="G76" s="147">
        <v>1.62365</v>
      </c>
      <c r="H76" s="194" t="s">
        <v>136</v>
      </c>
    </row>
    <row r="77" spans="1:8" ht="15" hidden="1" thickBot="1" x14ac:dyDescent="0.35">
      <c r="A77" s="199" t="str">
        <f t="shared" si="1"/>
        <v>CUST CONTACT CENTERTELEPHONE</v>
      </c>
      <c r="B77" s="144" t="s">
        <v>158</v>
      </c>
      <c r="C77" s="145" t="s">
        <v>107</v>
      </c>
      <c r="D77" s="146" t="s">
        <v>108</v>
      </c>
      <c r="E77" s="195">
        <v>67090</v>
      </c>
      <c r="F77" s="195">
        <v>21322.48</v>
      </c>
      <c r="G77" s="195">
        <v>-45.767519999999998</v>
      </c>
      <c r="H77" s="196">
        <v>-0.68218095096139519</v>
      </c>
    </row>
    <row r="78" spans="1:8" ht="15" hidden="1" thickBot="1" x14ac:dyDescent="0.35">
      <c r="A78" s="199" t="str">
        <f t="shared" si="1"/>
        <v>CUST CONTACT CENTERPOSTAGE</v>
      </c>
      <c r="B78" s="144" t="s">
        <v>158</v>
      </c>
      <c r="C78" s="145" t="s">
        <v>109</v>
      </c>
      <c r="D78" s="146" t="s">
        <v>110</v>
      </c>
      <c r="E78" s="195">
        <v>342848</v>
      </c>
      <c r="F78" s="195">
        <v>310458.57999999996</v>
      </c>
      <c r="G78" s="195">
        <v>-32.389420000000001</v>
      </c>
      <c r="H78" s="196">
        <v>-9.4471660910957753E-2</v>
      </c>
    </row>
    <row r="79" spans="1:8" ht="15" hidden="1" thickBot="1" x14ac:dyDescent="0.35">
      <c r="A79" s="199" t="str">
        <f t="shared" si="1"/>
        <v>CUST CONTACT CENTEROFFICE SUPPLIES</v>
      </c>
      <c r="B79" s="144" t="s">
        <v>158</v>
      </c>
      <c r="C79" s="145" t="s">
        <v>73</v>
      </c>
      <c r="D79" s="146" t="s">
        <v>74</v>
      </c>
      <c r="E79" s="195">
        <v>24720</v>
      </c>
      <c r="F79" s="195">
        <v>22759.200000000001</v>
      </c>
      <c r="G79" s="195">
        <v>-1.9608000000000001</v>
      </c>
      <c r="H79" s="196">
        <v>-7.9320388349514687E-2</v>
      </c>
    </row>
    <row r="80" spans="1:8" ht="15" hidden="1" thickBot="1" x14ac:dyDescent="0.35">
      <c r="A80" s="199" t="str">
        <f t="shared" si="1"/>
        <v>CUST CONTACT CENTERPRINTING</v>
      </c>
      <c r="B80" s="144" t="s">
        <v>158</v>
      </c>
      <c r="C80" s="145" t="s">
        <v>111</v>
      </c>
      <c r="D80" s="146" t="s">
        <v>112</v>
      </c>
      <c r="E80" s="195">
        <v>38813.040000000001</v>
      </c>
      <c r="F80" s="195">
        <v>23439.800000000003</v>
      </c>
      <c r="G80" s="195">
        <v>-15.373239999999999</v>
      </c>
      <c r="H80" s="196">
        <v>-0.39608440874510209</v>
      </c>
    </row>
    <row r="81" spans="1:8" ht="15" hidden="1" thickBot="1" x14ac:dyDescent="0.35">
      <c r="A81" s="199" t="str">
        <f t="shared" si="1"/>
        <v>CUST CONTACT CENTERBOOKS AND MAGAZINES</v>
      </c>
      <c r="B81" s="144" t="s">
        <v>158</v>
      </c>
      <c r="C81" s="145" t="s">
        <v>141</v>
      </c>
      <c r="D81" s="146" t="s">
        <v>142</v>
      </c>
      <c r="E81" s="151">
        <v>0</v>
      </c>
      <c r="F81" s="148">
        <v>273</v>
      </c>
      <c r="G81" s="148">
        <v>0.27300000000000002</v>
      </c>
      <c r="H81" s="151" t="s">
        <v>136</v>
      </c>
    </row>
    <row r="82" spans="1:8" ht="15" hidden="1" thickBot="1" x14ac:dyDescent="0.35">
      <c r="A82" s="199" t="str">
        <f t="shared" si="1"/>
        <v>CUST CONTACT CENTERREFRESHMENTS</v>
      </c>
      <c r="B82" s="144" t="s">
        <v>158</v>
      </c>
      <c r="C82" s="145" t="s">
        <v>113</v>
      </c>
      <c r="D82" s="146" t="s">
        <v>114</v>
      </c>
      <c r="E82" s="195">
        <v>19982.04</v>
      </c>
      <c r="F82" s="195">
        <v>18070.27</v>
      </c>
      <c r="G82" s="195">
        <v>-1.91177</v>
      </c>
      <c r="H82" s="196">
        <v>-9.567441562523149E-2</v>
      </c>
    </row>
    <row r="83" spans="1:8" ht="15" hidden="1" thickBot="1" x14ac:dyDescent="0.35">
      <c r="A83" s="199" t="str">
        <f t="shared" si="1"/>
        <v>CUST CONTACT CENTERPARKING</v>
      </c>
      <c r="B83" s="144" t="s">
        <v>158</v>
      </c>
      <c r="C83" s="145" t="s">
        <v>145</v>
      </c>
      <c r="D83" s="146" t="s">
        <v>146</v>
      </c>
      <c r="E83" s="151">
        <v>0</v>
      </c>
      <c r="F83" s="148">
        <v>7069.58</v>
      </c>
      <c r="G83" s="148">
        <v>7.0695800000000002</v>
      </c>
      <c r="H83" s="151" t="s">
        <v>136</v>
      </c>
    </row>
    <row r="84" spans="1:8" ht="15" hidden="1" thickBot="1" x14ac:dyDescent="0.35">
      <c r="A84" s="199" t="str">
        <f t="shared" si="1"/>
        <v>CUST CONTACT CENTERLAUNDRY</v>
      </c>
      <c r="B84" s="144" t="s">
        <v>158</v>
      </c>
      <c r="C84" s="145" t="s">
        <v>147</v>
      </c>
      <c r="D84" s="146" t="s">
        <v>148</v>
      </c>
      <c r="E84" s="194">
        <v>0</v>
      </c>
      <c r="F84" s="147">
        <v>52.400000000000006</v>
      </c>
      <c r="G84" s="147">
        <v>5.2400000000000002E-2</v>
      </c>
      <c r="H84" s="194" t="s">
        <v>136</v>
      </c>
    </row>
    <row r="85" spans="1:8" ht="15" hidden="1" thickBot="1" x14ac:dyDescent="0.35">
      <c r="A85" s="199" t="str">
        <f t="shared" si="1"/>
        <v>CUST CONTACT CENTERCUSTOMER RECOVERY</v>
      </c>
      <c r="B85" s="144" t="s">
        <v>158</v>
      </c>
      <c r="C85" s="145" t="s">
        <v>171</v>
      </c>
      <c r="D85" s="146" t="s">
        <v>172</v>
      </c>
      <c r="E85" s="195">
        <v>18551</v>
      </c>
      <c r="F85" s="195">
        <v>6767.0199999999995</v>
      </c>
      <c r="G85" s="195">
        <v>-11.78398</v>
      </c>
      <c r="H85" s="196">
        <v>-0.63522074281709884</v>
      </c>
    </row>
    <row r="86" spans="1:8" ht="15" hidden="1" thickBot="1" x14ac:dyDescent="0.35">
      <c r="A86" s="199" t="str">
        <f t="shared" si="1"/>
        <v>CUST CONTACT CENTERMEAL TICKETS</v>
      </c>
      <c r="B86" s="144" t="s">
        <v>158</v>
      </c>
      <c r="C86" s="145" t="s">
        <v>173</v>
      </c>
      <c r="D86" s="146" t="s">
        <v>174</v>
      </c>
      <c r="E86" s="195">
        <v>1551</v>
      </c>
      <c r="F86" s="195">
        <v>5634.32</v>
      </c>
      <c r="G86" s="195">
        <v>4.0833199999999996</v>
      </c>
      <c r="H86" s="196">
        <v>2.632701482914249</v>
      </c>
    </row>
    <row r="87" spans="1:8" ht="15" hidden="1" thickBot="1" x14ac:dyDescent="0.35">
      <c r="A87" s="199" t="str">
        <f t="shared" si="1"/>
        <v>CUST CONTACT CENTERUNLEADED FUEL</v>
      </c>
      <c r="B87" s="144" t="s">
        <v>158</v>
      </c>
      <c r="C87" s="145" t="s">
        <v>175</v>
      </c>
      <c r="D87" s="146" t="s">
        <v>176</v>
      </c>
      <c r="E87" s="151">
        <v>0</v>
      </c>
      <c r="F87" s="148">
        <v>132.5</v>
      </c>
      <c r="G87" s="148">
        <v>0.13250000000000001</v>
      </c>
      <c r="H87" s="151" t="s">
        <v>136</v>
      </c>
    </row>
    <row r="88" spans="1:8" ht="15" hidden="1" thickBot="1" x14ac:dyDescent="0.35">
      <c r="A88" s="199" t="str">
        <f t="shared" si="1"/>
        <v>CUST CONTACT CENTERMEALS AND ENTERTAIN</v>
      </c>
      <c r="B88" s="144" t="s">
        <v>158</v>
      </c>
      <c r="C88" s="145" t="s">
        <v>75</v>
      </c>
      <c r="D88" s="146" t="s">
        <v>76</v>
      </c>
      <c r="E88" s="195">
        <v>6210.96</v>
      </c>
      <c r="F88" s="195">
        <v>3514.84</v>
      </c>
      <c r="G88" s="195">
        <v>-2.6961200000000001</v>
      </c>
      <c r="H88" s="196">
        <v>-0.43409070417455597</v>
      </c>
    </row>
    <row r="89" spans="1:8" ht="15" hidden="1" thickBot="1" x14ac:dyDescent="0.35">
      <c r="A89" s="199" t="str">
        <f t="shared" si="1"/>
        <v>CUST CONTACT CENTERTRAVEL IN TERRITORY</v>
      </c>
      <c r="B89" s="144" t="s">
        <v>158</v>
      </c>
      <c r="C89" s="145" t="s">
        <v>121</v>
      </c>
      <c r="D89" s="146" t="s">
        <v>122</v>
      </c>
      <c r="E89" s="195">
        <v>12678</v>
      </c>
      <c r="F89" s="148">
        <v>220.44</v>
      </c>
      <c r="G89" s="148">
        <v>-12.457560000000001</v>
      </c>
      <c r="H89" s="193">
        <v>-0.98261239943208711</v>
      </c>
    </row>
    <row r="90" spans="1:8" ht="15" hidden="1" thickBot="1" x14ac:dyDescent="0.35">
      <c r="A90" s="199" t="str">
        <f t="shared" si="1"/>
        <v>CUST CONTACT CENTERCONFERENCE TRAVEL</v>
      </c>
      <c r="B90" s="144" t="s">
        <v>158</v>
      </c>
      <c r="C90" s="145" t="s">
        <v>77</v>
      </c>
      <c r="D90" s="146" t="s">
        <v>78</v>
      </c>
      <c r="E90" s="195">
        <v>10000</v>
      </c>
      <c r="F90" s="195">
        <v>23402.48</v>
      </c>
      <c r="G90" s="147">
        <v>13.402480000000001</v>
      </c>
      <c r="H90" s="192">
        <v>1.3402480000000003</v>
      </c>
    </row>
    <row r="91" spans="1:8" ht="15" hidden="1" thickBot="1" x14ac:dyDescent="0.35">
      <c r="A91" s="199" t="str">
        <f t="shared" si="1"/>
        <v>CUST CONTACT CENTERBUSINESS TRAVEL</v>
      </c>
      <c r="B91" s="144" t="s">
        <v>158</v>
      </c>
      <c r="C91" s="145" t="s">
        <v>79</v>
      </c>
      <c r="D91" s="146" t="s">
        <v>80</v>
      </c>
      <c r="E91" s="151">
        <v>0</v>
      </c>
      <c r="F91" s="148">
        <v>1143.48</v>
      </c>
      <c r="G91" s="148">
        <v>1.1434800000000001</v>
      </c>
      <c r="H91" s="151" t="s">
        <v>136</v>
      </c>
    </row>
    <row r="92" spans="1:8" ht="15" hidden="1" thickBot="1" x14ac:dyDescent="0.35">
      <c r="A92" s="199" t="str">
        <f t="shared" si="1"/>
        <v>CUST CONTACT CENTEREMPLOYEE AWARDS</v>
      </c>
      <c r="B92" s="144" t="s">
        <v>158</v>
      </c>
      <c r="C92" s="145" t="s">
        <v>81</v>
      </c>
      <c r="D92" s="146" t="s">
        <v>82</v>
      </c>
      <c r="E92" s="195">
        <v>34142</v>
      </c>
      <c r="F92" s="195">
        <v>20487.29</v>
      </c>
      <c r="G92" s="147">
        <v>-13.65471</v>
      </c>
      <c r="H92" s="192">
        <v>-0.3999387850741023</v>
      </c>
    </row>
    <row r="93" spans="1:8" ht="15" hidden="1" thickBot="1" x14ac:dyDescent="0.35">
      <c r="A93" s="199" t="str">
        <f t="shared" si="1"/>
        <v>CUST CONTACT CENTEREMPLOYEE AWRDS MLS &amp;</v>
      </c>
      <c r="B93" s="144" t="s">
        <v>158</v>
      </c>
      <c r="C93" s="145" t="s">
        <v>123</v>
      </c>
      <c r="D93" s="146" t="s">
        <v>124</v>
      </c>
      <c r="E93" s="151">
        <v>0</v>
      </c>
      <c r="F93" s="148">
        <v>3849.18</v>
      </c>
      <c r="G93" s="148">
        <v>3.84918</v>
      </c>
      <c r="H93" s="151" t="s">
        <v>136</v>
      </c>
    </row>
    <row r="94" spans="1:8" ht="15" hidden="1" thickBot="1" x14ac:dyDescent="0.35">
      <c r="A94" s="199" t="str">
        <f t="shared" si="1"/>
        <v>CUST CONTACT CENTERNON EMPLOYEE GIFTS</v>
      </c>
      <c r="B94" s="144" t="s">
        <v>158</v>
      </c>
      <c r="C94" s="145" t="s">
        <v>125</v>
      </c>
      <c r="D94" s="146" t="s">
        <v>126</v>
      </c>
      <c r="E94" s="194">
        <v>0</v>
      </c>
      <c r="F94" s="147">
        <v>189.86</v>
      </c>
      <c r="G94" s="147">
        <v>0.18986</v>
      </c>
      <c r="H94" s="194" t="s">
        <v>136</v>
      </c>
    </row>
    <row r="95" spans="1:8" ht="15" hidden="1" thickBot="1" x14ac:dyDescent="0.35">
      <c r="A95" s="199" t="str">
        <f t="shared" si="1"/>
        <v>CUST CONTACT CENTERMISC. EXPENSE BUDGET</v>
      </c>
      <c r="B95" s="144" t="s">
        <v>158</v>
      </c>
      <c r="C95" s="145" t="s">
        <v>83</v>
      </c>
      <c r="D95" s="146" t="s">
        <v>84</v>
      </c>
      <c r="E95" s="148">
        <v>13131.96</v>
      </c>
      <c r="F95" s="151">
        <v>0</v>
      </c>
      <c r="G95" s="148">
        <v>-13.131959999999999</v>
      </c>
      <c r="H95" s="193">
        <v>-1</v>
      </c>
    </row>
    <row r="96" spans="1:8" ht="15" thickBot="1" x14ac:dyDescent="0.35">
      <c r="A96" s="356" t="str">
        <f t="shared" si="1"/>
        <v>CUST CONTACT CENTERNon-Payroll</v>
      </c>
      <c r="B96" s="144" t="s">
        <v>158</v>
      </c>
      <c r="C96" s="149" t="s">
        <v>85</v>
      </c>
      <c r="D96" s="150" t="s">
        <v>86</v>
      </c>
      <c r="E96" s="195">
        <v>1767251</v>
      </c>
      <c r="F96" s="195">
        <v>1817606.43</v>
      </c>
      <c r="G96" s="147">
        <v>50.355429999999998</v>
      </c>
      <c r="H96" s="192">
        <v>2.8493649176036775E-2</v>
      </c>
    </row>
    <row r="97" spans="1:8" ht="15" hidden="1" thickBot="1" x14ac:dyDescent="0.35">
      <c r="A97" s="199" t="str">
        <f t="shared" si="1"/>
        <v>CUST CONTACT CENTEREXPENSE ACCOUNTS</v>
      </c>
      <c r="B97" s="144" t="s">
        <v>158</v>
      </c>
      <c r="C97" s="144" t="s">
        <v>87</v>
      </c>
      <c r="D97" s="144" t="s">
        <v>87</v>
      </c>
      <c r="E97" s="148">
        <v>12759458.880000001</v>
      </c>
      <c r="F97" s="148">
        <v>11926793.01</v>
      </c>
      <c r="G97" s="148">
        <v>-832.66587000000004</v>
      </c>
      <c r="H97" s="193">
        <v>-6.5258713385187003E-2</v>
      </c>
    </row>
    <row r="98" spans="1:8" ht="15" hidden="1" thickBot="1" x14ac:dyDescent="0.35">
      <c r="A98" s="199" t="str">
        <f t="shared" si="1"/>
        <v>ACCOUNT SERVICESSALARY PAYROLL</v>
      </c>
      <c r="B98" s="144" t="s">
        <v>88</v>
      </c>
      <c r="C98" s="145" t="s">
        <v>59</v>
      </c>
      <c r="D98" s="146" t="s">
        <v>60</v>
      </c>
      <c r="E98" s="147">
        <v>247874.52</v>
      </c>
      <c r="F98" s="147">
        <v>246773.30000000002</v>
      </c>
      <c r="G98" s="147">
        <v>-1.1012200000000001</v>
      </c>
      <c r="H98" s="192">
        <v>-4.4426510639338328E-3</v>
      </c>
    </row>
    <row r="99" spans="1:8" ht="15" hidden="1" thickBot="1" x14ac:dyDescent="0.35">
      <c r="A99" s="199" t="str">
        <f t="shared" si="1"/>
        <v>ACCOUNT SERVICESHOURLY DOUBLE PAY</v>
      </c>
      <c r="B99" s="144" t="s">
        <v>88</v>
      </c>
      <c r="C99" s="145" t="s">
        <v>89</v>
      </c>
      <c r="D99" s="146" t="s">
        <v>90</v>
      </c>
      <c r="E99" s="151">
        <v>0</v>
      </c>
      <c r="F99" s="148">
        <v>412.96</v>
      </c>
      <c r="G99" s="148">
        <v>0.41295999999999999</v>
      </c>
      <c r="H99" s="151" t="s">
        <v>136</v>
      </c>
    </row>
    <row r="100" spans="1:8" ht="15" hidden="1" thickBot="1" x14ac:dyDescent="0.35">
      <c r="A100" s="199" t="str">
        <f t="shared" si="1"/>
        <v>ACCOUNT SERVICESHOURLY REGULAR  PAY</v>
      </c>
      <c r="B100" s="144" t="s">
        <v>88</v>
      </c>
      <c r="C100" s="145" t="s">
        <v>91</v>
      </c>
      <c r="D100" s="146" t="s">
        <v>92</v>
      </c>
      <c r="E100" s="147">
        <v>520442.81</v>
      </c>
      <c r="F100" s="147">
        <v>531486.96</v>
      </c>
      <c r="G100" s="147">
        <v>11.04415</v>
      </c>
      <c r="H100" s="192">
        <v>2.1220679367249098E-2</v>
      </c>
    </row>
    <row r="101" spans="1:8" ht="15" hidden="1" thickBot="1" x14ac:dyDescent="0.35">
      <c r="A101" s="199" t="str">
        <f t="shared" si="1"/>
        <v>ACCOUNT SERVICESHOURLY OVERTIME PAY</v>
      </c>
      <c r="B101" s="144" t="s">
        <v>88</v>
      </c>
      <c r="C101" s="145" t="s">
        <v>93</v>
      </c>
      <c r="D101" s="146" t="s">
        <v>94</v>
      </c>
      <c r="E101" s="148">
        <v>12032.5</v>
      </c>
      <c r="F101" s="148">
        <v>18743.88</v>
      </c>
      <c r="G101" s="148">
        <v>6.7113800000000001</v>
      </c>
      <c r="H101" s="193">
        <v>0.5577710367754003</v>
      </c>
    </row>
    <row r="102" spans="1:8" ht="15" hidden="1" thickBot="1" x14ac:dyDescent="0.35">
      <c r="A102" s="199" t="str">
        <f t="shared" si="1"/>
        <v>ACCOUNT SERVICESHOURLY BONUS PAYROLL</v>
      </c>
      <c r="B102" s="144" t="s">
        <v>88</v>
      </c>
      <c r="C102" s="145" t="s">
        <v>95</v>
      </c>
      <c r="D102" s="146" t="s">
        <v>96</v>
      </c>
      <c r="E102" s="194">
        <v>0</v>
      </c>
      <c r="F102" s="147">
        <v>142.80000000000001</v>
      </c>
      <c r="G102" s="147">
        <v>0.14280000000000001</v>
      </c>
      <c r="H102" s="194" t="s">
        <v>136</v>
      </c>
    </row>
    <row r="103" spans="1:8" ht="15" hidden="1" thickBot="1" x14ac:dyDescent="0.35">
      <c r="A103" s="199" t="str">
        <f t="shared" si="1"/>
        <v>ACCOUNT SERVICESVACATION, SICK &amp; HOL</v>
      </c>
      <c r="B103" s="144" t="s">
        <v>88</v>
      </c>
      <c r="C103" s="145" t="s">
        <v>61</v>
      </c>
      <c r="D103" s="146" t="s">
        <v>62</v>
      </c>
      <c r="E103" s="148">
        <v>119627.02</v>
      </c>
      <c r="F103" s="148">
        <v>120994.97</v>
      </c>
      <c r="G103" s="148">
        <v>1.36795</v>
      </c>
      <c r="H103" s="193">
        <v>1.1435125609582158E-2</v>
      </c>
    </row>
    <row r="104" spans="1:8" ht="15" hidden="1" thickBot="1" x14ac:dyDescent="0.35">
      <c r="A104" s="199" t="str">
        <f t="shared" si="1"/>
        <v>ACCOUNT SERVICESPAYROLL OVERHEAD</v>
      </c>
      <c r="B104" s="144" t="s">
        <v>88</v>
      </c>
      <c r="C104" s="145" t="s">
        <v>63</v>
      </c>
      <c r="D104" s="146" t="s">
        <v>64</v>
      </c>
      <c r="E104" s="147">
        <v>637857.04</v>
      </c>
      <c r="F104" s="147">
        <v>649104.4</v>
      </c>
      <c r="G104" s="147">
        <v>11.24736</v>
      </c>
      <c r="H104" s="192">
        <v>1.7633042037131053E-2</v>
      </c>
    </row>
    <row r="105" spans="1:8" ht="15" hidden="1" thickBot="1" x14ac:dyDescent="0.35">
      <c r="A105" s="199" t="str">
        <f t="shared" si="1"/>
        <v>ACCOUNT SERVICESSALARY PAYROLL ZTFSO</v>
      </c>
      <c r="B105" s="144" t="s">
        <v>88</v>
      </c>
      <c r="C105" s="145" t="s">
        <v>65</v>
      </c>
      <c r="D105" s="146" t="s">
        <v>66</v>
      </c>
      <c r="E105" s="148">
        <v>-72301.2</v>
      </c>
      <c r="F105" s="148">
        <v>-75379.009999999995</v>
      </c>
      <c r="G105" s="148">
        <v>-3.0778099999999999</v>
      </c>
      <c r="H105" s="193">
        <v>-4.2569279624680954E-2</v>
      </c>
    </row>
    <row r="106" spans="1:8" ht="15" hidden="1" thickBot="1" x14ac:dyDescent="0.35">
      <c r="A106" s="199" t="str">
        <f t="shared" si="1"/>
        <v>ACCOUNT SERVICESHRLY - OT ZTFSO</v>
      </c>
      <c r="B106" s="144" t="s">
        <v>88</v>
      </c>
      <c r="C106" s="145" t="s">
        <v>97</v>
      </c>
      <c r="D106" s="146" t="s">
        <v>98</v>
      </c>
      <c r="E106" s="194">
        <v>0</v>
      </c>
      <c r="F106" s="147">
        <v>-11475.78</v>
      </c>
      <c r="G106" s="147">
        <v>-11.47578</v>
      </c>
      <c r="H106" s="194" t="s">
        <v>136</v>
      </c>
    </row>
    <row r="107" spans="1:8" ht="15" thickBot="1" x14ac:dyDescent="0.35">
      <c r="A107" s="354" t="str">
        <f t="shared" si="1"/>
        <v>ACCOUNT SERVICESPayroll</v>
      </c>
      <c r="B107" s="144" t="s">
        <v>88</v>
      </c>
      <c r="C107" s="149" t="s">
        <v>67</v>
      </c>
      <c r="D107" s="150" t="s">
        <v>68</v>
      </c>
      <c r="E107" s="195">
        <v>1465532.69</v>
      </c>
      <c r="F107" s="195">
        <v>1480804.48</v>
      </c>
      <c r="G107" s="148">
        <v>15.271789999999999</v>
      </c>
      <c r="H107" s="193">
        <v>1.0420640975262066E-2</v>
      </c>
    </row>
    <row r="108" spans="1:8" ht="15" hidden="1" thickBot="1" x14ac:dyDescent="0.35">
      <c r="A108" s="354" t="str">
        <f t="shared" si="1"/>
        <v>ACCOUNT SERVICESEDUCATION</v>
      </c>
      <c r="B108" s="144" t="s">
        <v>88</v>
      </c>
      <c r="C108" s="145" t="s">
        <v>69</v>
      </c>
      <c r="D108" s="146" t="s">
        <v>70</v>
      </c>
      <c r="E108" s="194">
        <v>0</v>
      </c>
      <c r="F108" s="147">
        <v>307.83999999999997</v>
      </c>
      <c r="G108" s="147">
        <v>0.30784</v>
      </c>
      <c r="H108" s="194" t="s">
        <v>136</v>
      </c>
    </row>
    <row r="109" spans="1:8" ht="15" hidden="1" thickBot="1" x14ac:dyDescent="0.35">
      <c r="A109" s="354" t="str">
        <f t="shared" si="1"/>
        <v>ACCOUNT SERVICESMATERIALS</v>
      </c>
      <c r="B109" s="144" t="s">
        <v>88</v>
      </c>
      <c r="C109" s="145" t="s">
        <v>99</v>
      </c>
      <c r="D109" s="146" t="s">
        <v>100</v>
      </c>
      <c r="E109" s="151">
        <v>0</v>
      </c>
      <c r="F109" s="148">
        <v>0</v>
      </c>
      <c r="G109" s="148">
        <v>0</v>
      </c>
      <c r="H109" s="151" t="s">
        <v>136</v>
      </c>
    </row>
    <row r="110" spans="1:8" ht="15" hidden="1" thickBot="1" x14ac:dyDescent="0.35">
      <c r="A110" s="354" t="str">
        <f t="shared" si="1"/>
        <v>ACCOUNT SERVICESOTHER CONTRACT WORK</v>
      </c>
      <c r="B110" s="144" t="s">
        <v>88</v>
      </c>
      <c r="C110" s="145" t="s">
        <v>101</v>
      </c>
      <c r="D110" s="146" t="s">
        <v>102</v>
      </c>
      <c r="E110" s="195">
        <v>207600</v>
      </c>
      <c r="F110" s="195">
        <v>209366.19</v>
      </c>
      <c r="G110" s="147">
        <v>1.7661899999999999</v>
      </c>
      <c r="H110" s="192">
        <v>8.5076589595375843E-3</v>
      </c>
    </row>
    <row r="111" spans="1:8" ht="15" hidden="1" thickBot="1" x14ac:dyDescent="0.35">
      <c r="A111" s="354" t="str">
        <f t="shared" si="1"/>
        <v>ACCOUNT SERVICESMISCELLANEOUS</v>
      </c>
      <c r="B111" s="144" t="s">
        <v>88</v>
      </c>
      <c r="C111" s="145" t="s">
        <v>103</v>
      </c>
      <c r="D111" s="146" t="s">
        <v>104</v>
      </c>
      <c r="E111" s="151">
        <v>0</v>
      </c>
      <c r="F111" s="148">
        <v>251.94</v>
      </c>
      <c r="G111" s="148">
        <v>0.25194</v>
      </c>
      <c r="H111" s="151" t="s">
        <v>136</v>
      </c>
    </row>
    <row r="112" spans="1:8" ht="15" hidden="1" thickBot="1" x14ac:dyDescent="0.35">
      <c r="A112" s="354" t="str">
        <f t="shared" si="1"/>
        <v>ACCOUNT SERVICESP CARD UNCODED CHARG</v>
      </c>
      <c r="B112" s="144" t="s">
        <v>88</v>
      </c>
      <c r="C112" s="145" t="s">
        <v>71</v>
      </c>
      <c r="D112" s="146" t="s">
        <v>72</v>
      </c>
      <c r="E112" s="194">
        <v>0</v>
      </c>
      <c r="F112" s="147">
        <v>0</v>
      </c>
      <c r="G112" s="147">
        <v>0</v>
      </c>
      <c r="H112" s="194" t="s">
        <v>136</v>
      </c>
    </row>
    <row r="113" spans="1:8" ht="15" hidden="1" thickBot="1" x14ac:dyDescent="0.35">
      <c r="A113" s="354" t="str">
        <f t="shared" si="1"/>
        <v>ACCOUNT SERVICESBANK CHARGES</v>
      </c>
      <c r="B113" s="144" t="s">
        <v>88</v>
      </c>
      <c r="C113" s="145" t="s">
        <v>105</v>
      </c>
      <c r="D113" s="146" t="s">
        <v>106</v>
      </c>
      <c r="E113" s="151">
        <v>0</v>
      </c>
      <c r="F113" s="148">
        <v>1218</v>
      </c>
      <c r="G113" s="148">
        <v>1.218</v>
      </c>
      <c r="H113" s="151" t="s">
        <v>136</v>
      </c>
    </row>
    <row r="114" spans="1:8" ht="15" hidden="1" thickBot="1" x14ac:dyDescent="0.35">
      <c r="A114" s="354" t="str">
        <f t="shared" si="1"/>
        <v>ACCOUNT SERVICESTELEPHONE</v>
      </c>
      <c r="B114" s="144" t="s">
        <v>88</v>
      </c>
      <c r="C114" s="145" t="s">
        <v>107</v>
      </c>
      <c r="D114" s="146" t="s">
        <v>108</v>
      </c>
      <c r="E114" s="195">
        <v>1600</v>
      </c>
      <c r="F114" s="195">
        <v>1412.1200000000001</v>
      </c>
      <c r="G114" s="147">
        <v>-0.18787999999999999</v>
      </c>
      <c r="H114" s="192">
        <v>-0.11742499999999993</v>
      </c>
    </row>
    <row r="115" spans="1:8" ht="15" hidden="1" thickBot="1" x14ac:dyDescent="0.35">
      <c r="A115" s="354" t="str">
        <f t="shared" si="1"/>
        <v>ACCOUNT SERVICESPOSTAGE</v>
      </c>
      <c r="B115" s="144" t="s">
        <v>88</v>
      </c>
      <c r="C115" s="145" t="s">
        <v>109</v>
      </c>
      <c r="D115" s="146" t="s">
        <v>110</v>
      </c>
      <c r="E115" s="195">
        <v>2720791</v>
      </c>
      <c r="F115" s="195">
        <v>2663463.1599999997</v>
      </c>
      <c r="G115" s="148">
        <v>-57.327840000000002</v>
      </c>
      <c r="H115" s="193">
        <v>-2.1070284340105622E-2</v>
      </c>
    </row>
    <row r="116" spans="1:8" ht="15" hidden="1" thickBot="1" x14ac:dyDescent="0.35">
      <c r="A116" s="354" t="str">
        <f t="shared" si="1"/>
        <v>ACCOUNT SERVICESOFFICE SUPPLIES</v>
      </c>
      <c r="B116" s="144" t="s">
        <v>88</v>
      </c>
      <c r="C116" s="145" t="s">
        <v>73</v>
      </c>
      <c r="D116" s="146" t="s">
        <v>74</v>
      </c>
      <c r="E116" s="195">
        <v>3500</v>
      </c>
      <c r="F116" s="195">
        <v>4656.3999999999996</v>
      </c>
      <c r="G116" s="147">
        <v>1.1564000000000001</v>
      </c>
      <c r="H116" s="192">
        <v>0.33039999999999997</v>
      </c>
    </row>
    <row r="117" spans="1:8" ht="15" hidden="1" thickBot="1" x14ac:dyDescent="0.35">
      <c r="A117" s="354" t="str">
        <f t="shared" si="1"/>
        <v>ACCOUNT SERVICESPRINTING</v>
      </c>
      <c r="B117" s="144" t="s">
        <v>88</v>
      </c>
      <c r="C117" s="145" t="s">
        <v>111</v>
      </c>
      <c r="D117" s="146" t="s">
        <v>112</v>
      </c>
      <c r="E117" s="195">
        <v>322100</v>
      </c>
      <c r="F117" s="195">
        <v>330291.67</v>
      </c>
      <c r="G117" s="148">
        <v>8.1916700000000002</v>
      </c>
      <c r="H117" s="193">
        <v>2.5432070785470301E-2</v>
      </c>
    </row>
    <row r="118" spans="1:8" ht="15" hidden="1" thickBot="1" x14ac:dyDescent="0.35">
      <c r="A118" s="354" t="str">
        <f t="shared" si="1"/>
        <v>ACCOUNT SERVICESREFRESHMENTS</v>
      </c>
      <c r="B118" s="144" t="s">
        <v>88</v>
      </c>
      <c r="C118" s="145" t="s">
        <v>113</v>
      </c>
      <c r="D118" s="146" t="s">
        <v>114</v>
      </c>
      <c r="E118" s="194">
        <v>0</v>
      </c>
      <c r="F118" s="147">
        <v>139.16999999999999</v>
      </c>
      <c r="G118" s="147">
        <v>0.13916999999999999</v>
      </c>
      <c r="H118" s="194" t="s">
        <v>136</v>
      </c>
    </row>
    <row r="119" spans="1:8" ht="15" hidden="1" thickBot="1" x14ac:dyDescent="0.35">
      <c r="A119" s="354" t="str">
        <f t="shared" si="1"/>
        <v>ACCOUNT SERVICESPAYSTATION COMMISSIO</v>
      </c>
      <c r="B119" s="144" t="s">
        <v>88</v>
      </c>
      <c r="C119" s="145" t="s">
        <v>115</v>
      </c>
      <c r="D119" s="146" t="s">
        <v>116</v>
      </c>
      <c r="E119" s="195">
        <v>57000</v>
      </c>
      <c r="F119" s="195">
        <v>52478.450000000004</v>
      </c>
      <c r="G119" s="148">
        <v>-4.5215500000000004</v>
      </c>
      <c r="H119" s="193">
        <v>-7.9325438596491146E-2</v>
      </c>
    </row>
    <row r="120" spans="1:8" ht="15" hidden="1" thickBot="1" x14ac:dyDescent="0.35">
      <c r="A120" s="354" t="str">
        <f t="shared" si="1"/>
        <v>ACCOUNT SERVICESCASH RECEIPTS</v>
      </c>
      <c r="B120" s="144" t="s">
        <v>88</v>
      </c>
      <c r="C120" s="145" t="s">
        <v>117</v>
      </c>
      <c r="D120" s="146" t="s">
        <v>118</v>
      </c>
      <c r="E120" s="195">
        <v>-35000</v>
      </c>
      <c r="F120" s="195">
        <v>-43524.94</v>
      </c>
      <c r="G120" s="147">
        <v>-8.5249400000000009</v>
      </c>
      <c r="H120" s="192">
        <v>-0.24356971428571417</v>
      </c>
    </row>
    <row r="121" spans="1:8" ht="15" hidden="1" thickBot="1" x14ac:dyDescent="0.35">
      <c r="A121" s="354" t="str">
        <f t="shared" si="1"/>
        <v>ACCOUNT SERVICESCOLLECTION FEES</v>
      </c>
      <c r="B121" s="144" t="s">
        <v>88</v>
      </c>
      <c r="C121" s="145" t="s">
        <v>119</v>
      </c>
      <c r="D121" s="146" t="s">
        <v>120</v>
      </c>
      <c r="E121" s="195">
        <v>175071</v>
      </c>
      <c r="F121" s="195">
        <v>181021.19999999998</v>
      </c>
      <c r="G121" s="148">
        <v>5.9501999999999997</v>
      </c>
      <c r="H121" s="193">
        <v>3.3987353702212147E-2</v>
      </c>
    </row>
    <row r="122" spans="1:8" ht="15" hidden="1" thickBot="1" x14ac:dyDescent="0.35">
      <c r="A122" s="354" t="str">
        <f t="shared" si="1"/>
        <v>ACCOUNT SERVICESMEALS AND ENTERTAIN</v>
      </c>
      <c r="B122" s="144" t="s">
        <v>88</v>
      </c>
      <c r="C122" s="145" t="s">
        <v>75</v>
      </c>
      <c r="D122" s="146" t="s">
        <v>76</v>
      </c>
      <c r="E122" s="195">
        <v>2400</v>
      </c>
      <c r="F122" s="195">
        <v>586.30999999999995</v>
      </c>
      <c r="G122" s="147">
        <v>-1.81369</v>
      </c>
      <c r="H122" s="192">
        <v>-0.75570416666666673</v>
      </c>
    </row>
    <row r="123" spans="1:8" ht="15" hidden="1" thickBot="1" x14ac:dyDescent="0.35">
      <c r="A123" s="354" t="str">
        <f t="shared" si="1"/>
        <v>ACCOUNT SERVICESTRAVEL IN TERRITORY</v>
      </c>
      <c r="B123" s="144" t="s">
        <v>88</v>
      </c>
      <c r="C123" s="145" t="s">
        <v>121</v>
      </c>
      <c r="D123" s="146" t="s">
        <v>122</v>
      </c>
      <c r="E123" s="151">
        <v>0</v>
      </c>
      <c r="F123" s="148">
        <v>53</v>
      </c>
      <c r="G123" s="148">
        <v>5.2999999999999999E-2</v>
      </c>
      <c r="H123" s="151" t="s">
        <v>136</v>
      </c>
    </row>
    <row r="124" spans="1:8" ht="15" hidden="1" thickBot="1" x14ac:dyDescent="0.35">
      <c r="A124" s="354" t="str">
        <f t="shared" si="1"/>
        <v>ACCOUNT SERVICESCONFERENCE TRAVEL</v>
      </c>
      <c r="B124" s="144" t="s">
        <v>88</v>
      </c>
      <c r="C124" s="145" t="s">
        <v>77</v>
      </c>
      <c r="D124" s="146" t="s">
        <v>78</v>
      </c>
      <c r="E124" s="195">
        <v>15000</v>
      </c>
      <c r="F124" s="195">
        <v>4955.0999999999995</v>
      </c>
      <c r="G124" s="147">
        <v>-10.0449</v>
      </c>
      <c r="H124" s="192">
        <v>-0.66965999999999992</v>
      </c>
    </row>
    <row r="125" spans="1:8" ht="15" hidden="1" thickBot="1" x14ac:dyDescent="0.35">
      <c r="A125" s="354" t="str">
        <f t="shared" si="1"/>
        <v>ACCOUNT SERVICESBUSINESS TRAVEL</v>
      </c>
      <c r="B125" s="144" t="s">
        <v>88</v>
      </c>
      <c r="C125" s="145" t="s">
        <v>79</v>
      </c>
      <c r="D125" s="146" t="s">
        <v>80</v>
      </c>
      <c r="E125" s="151">
        <v>0</v>
      </c>
      <c r="F125" s="148">
        <v>96.13</v>
      </c>
      <c r="G125" s="148">
        <v>9.6129999999999993E-2</v>
      </c>
      <c r="H125" s="151" t="s">
        <v>136</v>
      </c>
    </row>
    <row r="126" spans="1:8" ht="15" hidden="1" thickBot="1" x14ac:dyDescent="0.35">
      <c r="A126" s="354" t="str">
        <f t="shared" si="1"/>
        <v>ACCOUNT SERVICESEMPLOYEE AWARDS</v>
      </c>
      <c r="B126" s="144" t="s">
        <v>88</v>
      </c>
      <c r="C126" s="145" t="s">
        <v>81</v>
      </c>
      <c r="D126" s="146" t="s">
        <v>82</v>
      </c>
      <c r="E126" s="194">
        <v>0</v>
      </c>
      <c r="F126" s="147">
        <v>1259.74</v>
      </c>
      <c r="G126" s="147">
        <v>1.2597400000000001</v>
      </c>
      <c r="H126" s="194" t="s">
        <v>136</v>
      </c>
    </row>
    <row r="127" spans="1:8" ht="15" hidden="1" thickBot="1" x14ac:dyDescent="0.35">
      <c r="A127" s="354" t="str">
        <f t="shared" si="1"/>
        <v>ACCOUNT SERVICESEMPLOYEE AWRDS MLS &amp;</v>
      </c>
      <c r="B127" s="144" t="s">
        <v>88</v>
      </c>
      <c r="C127" s="145" t="s">
        <v>123</v>
      </c>
      <c r="D127" s="146" t="s">
        <v>124</v>
      </c>
      <c r="E127" s="195">
        <v>2400</v>
      </c>
      <c r="F127" s="195">
        <v>2220.27</v>
      </c>
      <c r="G127" s="148">
        <v>-0.17973</v>
      </c>
      <c r="H127" s="193">
        <v>-7.4887499999999996E-2</v>
      </c>
    </row>
    <row r="128" spans="1:8" ht="15" hidden="1" thickBot="1" x14ac:dyDescent="0.35">
      <c r="A128" s="354" t="str">
        <f t="shared" si="1"/>
        <v>ACCOUNT SERVICESNON EMPLOYEE GIFTS</v>
      </c>
      <c r="B128" s="144" t="s">
        <v>88</v>
      </c>
      <c r="C128" s="145" t="s">
        <v>125</v>
      </c>
      <c r="D128" s="146" t="s">
        <v>126</v>
      </c>
      <c r="E128" s="194">
        <v>0</v>
      </c>
      <c r="F128" s="147">
        <v>75</v>
      </c>
      <c r="G128" s="147">
        <v>7.4999999999999997E-2</v>
      </c>
      <c r="H128" s="194" t="s">
        <v>136</v>
      </c>
    </row>
    <row r="129" spans="1:8" ht="15" hidden="1" thickBot="1" x14ac:dyDescent="0.35">
      <c r="A129" s="354" t="str">
        <f t="shared" si="1"/>
        <v>ACCOUNT SERVICESMISC. EXPENSE BUDGET</v>
      </c>
      <c r="B129" s="144" t="s">
        <v>88</v>
      </c>
      <c r="C129" s="145" t="s">
        <v>83</v>
      </c>
      <c r="D129" s="146" t="s">
        <v>84</v>
      </c>
      <c r="E129" s="195">
        <v>3600</v>
      </c>
      <c r="F129" s="151">
        <v>0</v>
      </c>
      <c r="G129" s="148">
        <v>-3.6</v>
      </c>
      <c r="H129" s="193">
        <v>-1</v>
      </c>
    </row>
    <row r="130" spans="1:8" ht="15" thickBot="1" x14ac:dyDescent="0.35">
      <c r="A130" s="354" t="str">
        <f t="shared" si="1"/>
        <v>ACCOUNT SERVICESNon-Payroll</v>
      </c>
      <c r="B130" s="144" t="s">
        <v>88</v>
      </c>
      <c r="C130" s="149" t="s">
        <v>85</v>
      </c>
      <c r="D130" s="150" t="s">
        <v>86</v>
      </c>
      <c r="E130" s="147">
        <v>3476062</v>
      </c>
      <c r="F130" s="147">
        <v>3410326.75</v>
      </c>
      <c r="G130" s="147">
        <v>-65.735249999999994</v>
      </c>
      <c r="H130" s="192">
        <v>-1.8910839334856513E-2</v>
      </c>
    </row>
    <row r="131" spans="1:8" ht="15" hidden="1" thickBot="1" x14ac:dyDescent="0.35">
      <c r="A131" s="199" t="str">
        <f t="shared" si="1"/>
        <v>ACCOUNT SERVICESEXPENSE ACCOUNTS</v>
      </c>
      <c r="B131" s="144" t="s">
        <v>88</v>
      </c>
      <c r="C131" s="144" t="s">
        <v>87</v>
      </c>
      <c r="D131" s="144" t="s">
        <v>87</v>
      </c>
      <c r="E131" s="148">
        <v>4941594.6899999995</v>
      </c>
      <c r="F131" s="148">
        <v>4891131.2299999995</v>
      </c>
      <c r="G131" s="148">
        <v>-50.463459999999998</v>
      </c>
      <c r="H131" s="193">
        <v>-1.0211978757003042E-2</v>
      </c>
    </row>
    <row r="132" spans="1:8" ht="15" hidden="1" thickBot="1" x14ac:dyDescent="0.35">
      <c r="A132" s="199" t="str">
        <f t="shared" si="1"/>
        <v>CUST FIELD SERVICESSALARY PAYROLL</v>
      </c>
      <c r="B132" s="144" t="s">
        <v>177</v>
      </c>
      <c r="C132" s="145" t="s">
        <v>59</v>
      </c>
      <c r="D132" s="146" t="s">
        <v>60</v>
      </c>
      <c r="E132" s="147">
        <v>1395906.06</v>
      </c>
      <c r="F132" s="147">
        <v>1542690.83</v>
      </c>
      <c r="G132" s="147">
        <v>146.78477000000001</v>
      </c>
      <c r="H132" s="192">
        <v>0.10515375941558704</v>
      </c>
    </row>
    <row r="133" spans="1:8" ht="15" hidden="1" thickBot="1" x14ac:dyDescent="0.35">
      <c r="A133" s="199" t="str">
        <f t="shared" ref="A133:A196" si="2">B133&amp;C133</f>
        <v>CUST FIELD SERVICESHOURLY PAYROLL</v>
      </c>
      <c r="B133" s="144" t="s">
        <v>177</v>
      </c>
      <c r="C133" s="145" t="s">
        <v>178</v>
      </c>
      <c r="D133" s="146" t="s">
        <v>179</v>
      </c>
      <c r="E133" s="151">
        <v>0</v>
      </c>
      <c r="F133" s="148">
        <v>-2960</v>
      </c>
      <c r="G133" s="148">
        <v>-2.96</v>
      </c>
      <c r="H133" s="151" t="s">
        <v>136</v>
      </c>
    </row>
    <row r="134" spans="1:8" ht="15" hidden="1" thickBot="1" x14ac:dyDescent="0.35">
      <c r="A134" s="199" t="str">
        <f t="shared" si="2"/>
        <v>CUST FIELD SERVICESHOURLY DOUBLE PAY</v>
      </c>
      <c r="B134" s="144" t="s">
        <v>177</v>
      </c>
      <c r="C134" s="145" t="s">
        <v>89</v>
      </c>
      <c r="D134" s="146" t="s">
        <v>90</v>
      </c>
      <c r="E134" s="194">
        <v>0</v>
      </c>
      <c r="F134" s="147">
        <v>96847.95</v>
      </c>
      <c r="G134" s="147">
        <v>96.847949999999997</v>
      </c>
      <c r="H134" s="194" t="s">
        <v>136</v>
      </c>
    </row>
    <row r="135" spans="1:8" ht="15" hidden="1" thickBot="1" x14ac:dyDescent="0.35">
      <c r="A135" s="199" t="str">
        <f t="shared" si="2"/>
        <v>CUST FIELD SERVICESHOURLY REGULAR  PAY</v>
      </c>
      <c r="B135" s="144" t="s">
        <v>177</v>
      </c>
      <c r="C135" s="145" t="s">
        <v>91</v>
      </c>
      <c r="D135" s="146" t="s">
        <v>92</v>
      </c>
      <c r="E135" s="148">
        <v>7677293.9699999997</v>
      </c>
      <c r="F135" s="148">
        <v>7069598.9299999997</v>
      </c>
      <c r="G135" s="148">
        <v>-607.69503999999995</v>
      </c>
      <c r="H135" s="193">
        <v>-7.915484835863322E-2</v>
      </c>
    </row>
    <row r="136" spans="1:8" ht="15" hidden="1" thickBot="1" x14ac:dyDescent="0.35">
      <c r="A136" s="199" t="str">
        <f t="shared" si="2"/>
        <v>CUST FIELD SERVICESHOURLY OVERTIME PAY</v>
      </c>
      <c r="B136" s="144" t="s">
        <v>177</v>
      </c>
      <c r="C136" s="145" t="s">
        <v>93</v>
      </c>
      <c r="D136" s="146" t="s">
        <v>94</v>
      </c>
      <c r="E136" s="147">
        <v>402045.77999999997</v>
      </c>
      <c r="F136" s="147">
        <v>294020.62</v>
      </c>
      <c r="G136" s="147">
        <v>-108.02516</v>
      </c>
      <c r="H136" s="192">
        <v>-0.26868870505244458</v>
      </c>
    </row>
    <row r="137" spans="1:8" ht="15" hidden="1" thickBot="1" x14ac:dyDescent="0.35">
      <c r="A137" s="199" t="str">
        <f t="shared" si="2"/>
        <v>CUST FIELD SERVICESSALARY BONUS PAYROLL</v>
      </c>
      <c r="B137" s="144" t="s">
        <v>177</v>
      </c>
      <c r="C137" s="145" t="s">
        <v>134</v>
      </c>
      <c r="D137" s="146" t="s">
        <v>135</v>
      </c>
      <c r="E137" s="151">
        <v>0</v>
      </c>
      <c r="F137" s="148">
        <v>2257.17</v>
      </c>
      <c r="G137" s="148">
        <v>2.2571699999999999</v>
      </c>
      <c r="H137" s="151" t="s">
        <v>136</v>
      </c>
    </row>
    <row r="138" spans="1:8" ht="15" hidden="1" thickBot="1" x14ac:dyDescent="0.35">
      <c r="A138" s="199" t="str">
        <f t="shared" si="2"/>
        <v>CUST FIELD SERVICESHOURLY BONUS PAYROLL</v>
      </c>
      <c r="B138" s="144" t="s">
        <v>177</v>
      </c>
      <c r="C138" s="145" t="s">
        <v>95</v>
      </c>
      <c r="D138" s="146" t="s">
        <v>96</v>
      </c>
      <c r="E138" s="194">
        <v>0</v>
      </c>
      <c r="F138" s="147">
        <v>1086.8800000000001</v>
      </c>
      <c r="G138" s="147">
        <v>1.0868800000000001</v>
      </c>
      <c r="H138" s="194" t="s">
        <v>136</v>
      </c>
    </row>
    <row r="139" spans="1:8" ht="15" hidden="1" thickBot="1" x14ac:dyDescent="0.35">
      <c r="A139" s="199" t="str">
        <f t="shared" si="2"/>
        <v>CUST FIELD SERVICESVACATION, SICK &amp; HOL</v>
      </c>
      <c r="B139" s="144" t="s">
        <v>177</v>
      </c>
      <c r="C139" s="145" t="s">
        <v>61</v>
      </c>
      <c r="D139" s="146" t="s">
        <v>62</v>
      </c>
      <c r="E139" s="148">
        <v>1412697.23</v>
      </c>
      <c r="F139" s="148">
        <v>1328357.4200000002</v>
      </c>
      <c r="G139" s="148">
        <v>-84.33981</v>
      </c>
      <c r="H139" s="193">
        <v>-5.9701263801586003E-2</v>
      </c>
    </row>
    <row r="140" spans="1:8" ht="15" hidden="1" thickBot="1" x14ac:dyDescent="0.35">
      <c r="A140" s="199" t="str">
        <f t="shared" si="2"/>
        <v>CUST FIELD SERVICESPAYROLL OVERHEAD</v>
      </c>
      <c r="B140" s="144" t="s">
        <v>177</v>
      </c>
      <c r="C140" s="145" t="s">
        <v>63</v>
      </c>
      <c r="D140" s="146" t="s">
        <v>64</v>
      </c>
      <c r="E140" s="147">
        <v>7532570.6699999999</v>
      </c>
      <c r="F140" s="147">
        <v>7145897.3799999999</v>
      </c>
      <c r="G140" s="147">
        <v>-386.67329000000001</v>
      </c>
      <c r="H140" s="192">
        <v>-5.1333509759159152E-2</v>
      </c>
    </row>
    <row r="141" spans="1:8" ht="15" hidden="1" thickBot="1" x14ac:dyDescent="0.35">
      <c r="A141" s="199" t="str">
        <f t="shared" si="2"/>
        <v>CUST FIELD SERVICESCOMMISSIONS</v>
      </c>
      <c r="B141" s="144" t="s">
        <v>177</v>
      </c>
      <c r="C141" s="145" t="s">
        <v>180</v>
      </c>
      <c r="D141" s="146" t="s">
        <v>181</v>
      </c>
      <c r="E141" s="151">
        <v>0</v>
      </c>
      <c r="F141" s="151">
        <v>0</v>
      </c>
      <c r="G141" s="151"/>
      <c r="H141" s="151"/>
    </row>
    <row r="142" spans="1:8" ht="15" hidden="1" thickBot="1" x14ac:dyDescent="0.35">
      <c r="A142" s="199" t="str">
        <f t="shared" si="2"/>
        <v>CUST FIELD SERVICESNWN/580105</v>
      </c>
      <c r="B142" s="144" t="s">
        <v>177</v>
      </c>
      <c r="C142" s="145" t="s">
        <v>156</v>
      </c>
      <c r="D142" s="146" t="s">
        <v>157</v>
      </c>
      <c r="E142" s="147">
        <v>223105.06</v>
      </c>
      <c r="F142" s="147">
        <v>72082.59</v>
      </c>
      <c r="G142" s="147">
        <v>-151.02247</v>
      </c>
      <c r="H142" s="192">
        <v>-0.67691189971218046</v>
      </c>
    </row>
    <row r="143" spans="1:8" ht="15" hidden="1" thickBot="1" x14ac:dyDescent="0.35">
      <c r="A143" s="199" t="str">
        <f t="shared" si="2"/>
        <v>CUST FIELD SERVICESNWN/580301</v>
      </c>
      <c r="B143" s="144" t="s">
        <v>177</v>
      </c>
      <c r="C143" s="145" t="s">
        <v>182</v>
      </c>
      <c r="D143" s="146" t="s">
        <v>183</v>
      </c>
      <c r="E143" s="151">
        <v>0</v>
      </c>
      <c r="F143" s="148">
        <v>136780.07999999999</v>
      </c>
      <c r="G143" s="148">
        <v>136.78008</v>
      </c>
      <c r="H143" s="151" t="s">
        <v>136</v>
      </c>
    </row>
    <row r="144" spans="1:8" ht="15" hidden="1" thickBot="1" x14ac:dyDescent="0.35">
      <c r="A144" s="199" t="str">
        <f t="shared" si="2"/>
        <v>CUST FIELD SERVICESNWN/580305</v>
      </c>
      <c r="B144" s="144" t="s">
        <v>177</v>
      </c>
      <c r="C144" s="145" t="s">
        <v>184</v>
      </c>
      <c r="D144" s="146" t="s">
        <v>185</v>
      </c>
      <c r="E144" s="194">
        <v>0</v>
      </c>
      <c r="F144" s="147">
        <v>12822448.75</v>
      </c>
      <c r="G144" s="147">
        <v>12822.44875</v>
      </c>
      <c r="H144" s="194" t="s">
        <v>136</v>
      </c>
    </row>
    <row r="145" spans="1:8" ht="15" hidden="1" thickBot="1" x14ac:dyDescent="0.35">
      <c r="A145" s="199" t="str">
        <f t="shared" si="2"/>
        <v>CUST FIELD SERVICESNWN/580306</v>
      </c>
      <c r="B145" s="144" t="s">
        <v>177</v>
      </c>
      <c r="C145" s="145" t="s">
        <v>161</v>
      </c>
      <c r="D145" s="146" t="s">
        <v>162</v>
      </c>
      <c r="E145" s="151">
        <v>0</v>
      </c>
      <c r="F145" s="148">
        <v>235817.37000000002</v>
      </c>
      <c r="G145" s="148">
        <v>235.81737000000001</v>
      </c>
      <c r="H145" s="151" t="s">
        <v>136</v>
      </c>
    </row>
    <row r="146" spans="1:8" ht="15" hidden="1" thickBot="1" x14ac:dyDescent="0.35">
      <c r="A146" s="199" t="str">
        <f t="shared" si="2"/>
        <v>CUST FIELD SERVICESSALARY PAYROLL ZTFSO</v>
      </c>
      <c r="B146" s="144" t="s">
        <v>177</v>
      </c>
      <c r="C146" s="145" t="s">
        <v>65</v>
      </c>
      <c r="D146" s="146" t="s">
        <v>66</v>
      </c>
      <c r="E146" s="147">
        <v>0</v>
      </c>
      <c r="F146" s="147">
        <v>-172521.71000000002</v>
      </c>
      <c r="G146" s="147">
        <v>-172.52171000000001</v>
      </c>
      <c r="H146" s="194" t="s">
        <v>136</v>
      </c>
    </row>
    <row r="147" spans="1:8" ht="15" hidden="1" thickBot="1" x14ac:dyDescent="0.35">
      <c r="A147" s="199" t="str">
        <f t="shared" si="2"/>
        <v>CUST FIELD SERVICESHRL - DBL TIME ZTFSO</v>
      </c>
      <c r="B147" s="144" t="s">
        <v>177</v>
      </c>
      <c r="C147" s="145" t="s">
        <v>186</v>
      </c>
      <c r="D147" s="146" t="s">
        <v>187</v>
      </c>
      <c r="E147" s="151">
        <v>0</v>
      </c>
      <c r="F147" s="148">
        <v>-115877.5</v>
      </c>
      <c r="G147" s="148">
        <v>-115.8775</v>
      </c>
      <c r="H147" s="151" t="s">
        <v>136</v>
      </c>
    </row>
    <row r="148" spans="1:8" ht="15" hidden="1" thickBot="1" x14ac:dyDescent="0.35">
      <c r="A148" s="199" t="str">
        <f t="shared" si="2"/>
        <v>CUST FIELD SERVICESHRLY - REGULAR ZTFSO</v>
      </c>
      <c r="B148" s="144" t="s">
        <v>177</v>
      </c>
      <c r="C148" s="145" t="s">
        <v>163</v>
      </c>
      <c r="D148" s="146" t="s">
        <v>164</v>
      </c>
      <c r="E148" s="147">
        <v>-306181.28000000003</v>
      </c>
      <c r="F148" s="147">
        <v>-13903592.08</v>
      </c>
      <c r="G148" s="147">
        <v>-13597.4108</v>
      </c>
      <c r="H148" s="192">
        <v>-44.409673902989759</v>
      </c>
    </row>
    <row r="149" spans="1:8" ht="15" hidden="1" thickBot="1" x14ac:dyDescent="0.35">
      <c r="A149" s="199" t="str">
        <f t="shared" si="2"/>
        <v>CUST FIELD SERVICESHRLY - OT ZTFSO</v>
      </c>
      <c r="B149" s="144" t="s">
        <v>177</v>
      </c>
      <c r="C149" s="145" t="s">
        <v>97</v>
      </c>
      <c r="D149" s="146" t="s">
        <v>98</v>
      </c>
      <c r="E149" s="151">
        <v>0</v>
      </c>
      <c r="F149" s="148">
        <v>-274813.07</v>
      </c>
      <c r="G149" s="148">
        <v>-274.81306999999998</v>
      </c>
      <c r="H149" s="151" t="s">
        <v>136</v>
      </c>
    </row>
    <row r="150" spans="1:8" ht="15" thickBot="1" x14ac:dyDescent="0.35">
      <c r="A150" s="355" t="str">
        <f t="shared" si="2"/>
        <v>CUST FIELD SERVICESPayroll</v>
      </c>
      <c r="B150" s="144" t="s">
        <v>177</v>
      </c>
      <c r="C150" s="149" t="s">
        <v>67</v>
      </c>
      <c r="D150" s="150" t="s">
        <v>68</v>
      </c>
      <c r="E150" s="195">
        <v>18337437.490000002</v>
      </c>
      <c r="F150" s="195">
        <v>16278121.609999999</v>
      </c>
      <c r="G150" s="147">
        <v>-2059.3158800000001</v>
      </c>
      <c r="H150" s="192">
        <v>-0.11230118063786235</v>
      </c>
    </row>
    <row r="151" spans="1:8" ht="15" hidden="1" thickBot="1" x14ac:dyDescent="0.35">
      <c r="A151" s="355" t="str">
        <f t="shared" si="2"/>
        <v>CUST FIELD SERVICESEDUCATION</v>
      </c>
      <c r="B151" s="144" t="s">
        <v>177</v>
      </c>
      <c r="C151" s="145" t="s">
        <v>69</v>
      </c>
      <c r="D151" s="146" t="s">
        <v>70</v>
      </c>
      <c r="E151" s="151">
        <v>0</v>
      </c>
      <c r="F151" s="195">
        <v>7418.43</v>
      </c>
      <c r="G151" s="148">
        <v>7.4184299999999999</v>
      </c>
      <c r="H151" s="151" t="s">
        <v>136</v>
      </c>
    </row>
    <row r="152" spans="1:8" ht="15" hidden="1" thickBot="1" x14ac:dyDescent="0.35">
      <c r="A152" s="355" t="str">
        <f t="shared" si="2"/>
        <v>CUST FIELD SERVICESMATERIALS</v>
      </c>
      <c r="B152" s="144" t="s">
        <v>177</v>
      </c>
      <c r="C152" s="145" t="s">
        <v>99</v>
      </c>
      <c r="D152" s="146" t="s">
        <v>100</v>
      </c>
      <c r="E152" s="195">
        <v>130000</v>
      </c>
      <c r="F152" s="195">
        <v>4906.66</v>
      </c>
      <c r="G152" s="147">
        <v>-125.09334</v>
      </c>
      <c r="H152" s="192">
        <v>-0.96225646153846156</v>
      </c>
    </row>
    <row r="153" spans="1:8" ht="15" hidden="1" thickBot="1" x14ac:dyDescent="0.35">
      <c r="A153" s="355" t="str">
        <f t="shared" si="2"/>
        <v>CUST FIELD SERVICESMATERIALS - CONS INV</v>
      </c>
      <c r="B153" s="144" t="s">
        <v>177</v>
      </c>
      <c r="C153" s="145" t="s">
        <v>165</v>
      </c>
      <c r="D153" s="146" t="s">
        <v>166</v>
      </c>
      <c r="E153" s="151">
        <v>0</v>
      </c>
      <c r="F153" s="195">
        <v>69097.37</v>
      </c>
      <c r="G153" s="148">
        <v>69.097369999999998</v>
      </c>
      <c r="H153" s="151" t="s">
        <v>136</v>
      </c>
    </row>
    <row r="154" spans="1:8" ht="15" hidden="1" thickBot="1" x14ac:dyDescent="0.35">
      <c r="A154" s="355" t="str">
        <f t="shared" si="2"/>
        <v>CUST FIELD SERVICESMATERIALS -CONS PIPE</v>
      </c>
      <c r="B154" s="144" t="s">
        <v>177</v>
      </c>
      <c r="C154" s="145" t="s">
        <v>188</v>
      </c>
      <c r="D154" s="146" t="s">
        <v>189</v>
      </c>
      <c r="E154" s="194">
        <v>0</v>
      </c>
      <c r="F154" s="147">
        <v>302.64000000000004</v>
      </c>
      <c r="G154" s="147">
        <v>0.30264000000000002</v>
      </c>
      <c r="H154" s="194" t="s">
        <v>136</v>
      </c>
    </row>
    <row r="155" spans="1:8" ht="15" hidden="1" thickBot="1" x14ac:dyDescent="0.35">
      <c r="A155" s="355" t="str">
        <f t="shared" si="2"/>
        <v>CUST FIELD SERVICESMILEAGE REIMBURSE</v>
      </c>
      <c r="B155" s="144" t="s">
        <v>177</v>
      </c>
      <c r="C155" s="145" t="s">
        <v>137</v>
      </c>
      <c r="D155" s="146" t="s">
        <v>138</v>
      </c>
      <c r="E155" s="195">
        <v>12000</v>
      </c>
      <c r="F155" s="195">
        <v>28298.2</v>
      </c>
      <c r="G155" s="148">
        <v>16.298200000000001</v>
      </c>
      <c r="H155" s="193">
        <v>1.3581833333333333</v>
      </c>
    </row>
    <row r="156" spans="1:8" ht="15" hidden="1" thickBot="1" x14ac:dyDescent="0.35">
      <c r="A156" s="355" t="str">
        <f t="shared" si="2"/>
        <v>CUST FIELD SERVICESTRANSPORTATION</v>
      </c>
      <c r="B156" s="144" t="s">
        <v>177</v>
      </c>
      <c r="C156" s="145" t="s">
        <v>190</v>
      </c>
      <c r="D156" s="146" t="s">
        <v>191</v>
      </c>
      <c r="E156" s="195">
        <v>235248</v>
      </c>
      <c r="F156" s="195">
        <v>235676.13</v>
      </c>
      <c r="G156" s="147">
        <v>0.42813000000000001</v>
      </c>
      <c r="H156" s="192">
        <v>1.8199092022036518E-3</v>
      </c>
    </row>
    <row r="157" spans="1:8" ht="15" hidden="1" thickBot="1" x14ac:dyDescent="0.35">
      <c r="A157" s="355" t="str">
        <f t="shared" si="2"/>
        <v>CUST FIELD SERVICESEQUIPMENT</v>
      </c>
      <c r="B157" s="144" t="s">
        <v>177</v>
      </c>
      <c r="C157" s="145" t="s">
        <v>36</v>
      </c>
      <c r="D157" s="146" t="s">
        <v>192</v>
      </c>
      <c r="E157" s="195">
        <v>1264000</v>
      </c>
      <c r="F157" s="195">
        <v>1343292.2799999998</v>
      </c>
      <c r="G157" s="148">
        <v>79.292280000000005</v>
      </c>
      <c r="H157" s="193">
        <v>6.2731234177215212E-2</v>
      </c>
    </row>
    <row r="158" spans="1:8" ht="15" hidden="1" thickBot="1" x14ac:dyDescent="0.35">
      <c r="A158" s="355" t="str">
        <f t="shared" si="2"/>
        <v>CUST FIELD SERVICESOTHER CONTRACT WORK</v>
      </c>
      <c r="B158" s="144" t="s">
        <v>177</v>
      </c>
      <c r="C158" s="145" t="s">
        <v>101</v>
      </c>
      <c r="D158" s="146" t="s">
        <v>102</v>
      </c>
      <c r="E158" s="195">
        <v>8400</v>
      </c>
      <c r="F158" s="195">
        <v>4022.3199999999997</v>
      </c>
      <c r="G158" s="147">
        <v>-4.3776799999999998</v>
      </c>
      <c r="H158" s="192">
        <v>-0.52115238095238092</v>
      </c>
    </row>
    <row r="159" spans="1:8" ht="15" hidden="1" thickBot="1" x14ac:dyDescent="0.35">
      <c r="A159" s="355" t="str">
        <f t="shared" si="2"/>
        <v>CUST FIELD SERVICESFLAGGING</v>
      </c>
      <c r="B159" s="144" t="s">
        <v>177</v>
      </c>
      <c r="C159" s="145" t="s">
        <v>193</v>
      </c>
      <c r="D159" s="146" t="s">
        <v>194</v>
      </c>
      <c r="E159" s="151">
        <v>0</v>
      </c>
      <c r="F159" s="148">
        <v>461.84999999999997</v>
      </c>
      <c r="G159" s="148">
        <v>0.46184999999999998</v>
      </c>
      <c r="H159" s="151" t="s">
        <v>136</v>
      </c>
    </row>
    <row r="160" spans="1:8" ht="15" hidden="1" thickBot="1" x14ac:dyDescent="0.35">
      <c r="A160" s="355" t="str">
        <f t="shared" si="2"/>
        <v>CUST FIELD SERVICESASPHALT PAVING</v>
      </c>
      <c r="B160" s="144" t="s">
        <v>177</v>
      </c>
      <c r="C160" s="145" t="s">
        <v>195</v>
      </c>
      <c r="D160" s="146" t="s">
        <v>196</v>
      </c>
      <c r="E160" s="194">
        <v>0</v>
      </c>
      <c r="F160" s="195">
        <v>1000.0899999999999</v>
      </c>
      <c r="G160" s="147">
        <v>1.0000899999999999</v>
      </c>
      <c r="H160" s="194" t="s">
        <v>136</v>
      </c>
    </row>
    <row r="161" spans="1:8" ht="15" hidden="1" thickBot="1" x14ac:dyDescent="0.35">
      <c r="A161" s="355" t="str">
        <f t="shared" si="2"/>
        <v>CUST FIELD SERVICESSAW CUTS</v>
      </c>
      <c r="B161" s="144" t="s">
        <v>177</v>
      </c>
      <c r="C161" s="145" t="s">
        <v>197</v>
      </c>
      <c r="D161" s="146" t="s">
        <v>198</v>
      </c>
      <c r="E161" s="151">
        <v>0</v>
      </c>
      <c r="F161" s="148">
        <v>160</v>
      </c>
      <c r="G161" s="148">
        <v>0.16</v>
      </c>
      <c r="H161" s="151" t="s">
        <v>136</v>
      </c>
    </row>
    <row r="162" spans="1:8" ht="15" hidden="1" thickBot="1" x14ac:dyDescent="0.35">
      <c r="A162" s="355" t="str">
        <f t="shared" si="2"/>
        <v>CUST FIELD SERVICESMISCELLANEOUS</v>
      </c>
      <c r="B162" s="144" t="s">
        <v>177</v>
      </c>
      <c r="C162" s="145" t="s">
        <v>103</v>
      </c>
      <c r="D162" s="146" t="s">
        <v>104</v>
      </c>
      <c r="E162" s="194">
        <v>0</v>
      </c>
      <c r="F162" s="147">
        <v>406.54</v>
      </c>
      <c r="G162" s="147">
        <v>0.40654000000000001</v>
      </c>
      <c r="H162" s="194" t="s">
        <v>136</v>
      </c>
    </row>
    <row r="163" spans="1:8" ht="15" hidden="1" thickBot="1" x14ac:dyDescent="0.35">
      <c r="A163" s="355" t="str">
        <f t="shared" si="2"/>
        <v>CUST FIELD SERVICESP CARD UNCODED CHARG</v>
      </c>
      <c r="B163" s="144" t="s">
        <v>177</v>
      </c>
      <c r="C163" s="145" t="s">
        <v>71</v>
      </c>
      <c r="D163" s="146" t="s">
        <v>72</v>
      </c>
      <c r="E163" s="151">
        <v>0</v>
      </c>
      <c r="F163" s="195">
        <v>1572.3</v>
      </c>
      <c r="G163" s="148">
        <v>1.5723</v>
      </c>
      <c r="H163" s="151" t="s">
        <v>136</v>
      </c>
    </row>
    <row r="164" spans="1:8" ht="15" hidden="1" thickBot="1" x14ac:dyDescent="0.35">
      <c r="A164" s="355" t="str">
        <f t="shared" si="2"/>
        <v>CUST FIELD SERVICESPOSTAGE</v>
      </c>
      <c r="B164" s="144" t="s">
        <v>177</v>
      </c>
      <c r="C164" s="145" t="s">
        <v>109</v>
      </c>
      <c r="D164" s="146" t="s">
        <v>110</v>
      </c>
      <c r="E164" s="194">
        <v>0</v>
      </c>
      <c r="F164" s="147">
        <v>36.369999999999997</v>
      </c>
      <c r="G164" s="147">
        <v>3.637E-2</v>
      </c>
      <c r="H164" s="194" t="s">
        <v>136</v>
      </c>
    </row>
    <row r="165" spans="1:8" ht="15" hidden="1" thickBot="1" x14ac:dyDescent="0.35">
      <c r="A165" s="355" t="str">
        <f t="shared" si="2"/>
        <v>CUST FIELD SERVICESCOMPANY GAS USE</v>
      </c>
      <c r="B165" s="144" t="s">
        <v>177</v>
      </c>
      <c r="C165" s="145" t="s">
        <v>199</v>
      </c>
      <c r="D165" s="146" t="s">
        <v>200</v>
      </c>
      <c r="E165" s="195">
        <v>115000</v>
      </c>
      <c r="F165" s="195">
        <v>88647.400000000009</v>
      </c>
      <c r="G165" s="148">
        <v>-26.352599999999999</v>
      </c>
      <c r="H165" s="193">
        <v>-0.2291530434782609</v>
      </c>
    </row>
    <row r="166" spans="1:8" ht="15" hidden="1" thickBot="1" x14ac:dyDescent="0.35">
      <c r="A166" s="355" t="str">
        <f t="shared" si="2"/>
        <v>CUST FIELD SERVICESOFFICE SUPPLIES</v>
      </c>
      <c r="B166" s="144" t="s">
        <v>177</v>
      </c>
      <c r="C166" s="145" t="s">
        <v>73</v>
      </c>
      <c r="D166" s="146" t="s">
        <v>74</v>
      </c>
      <c r="E166" s="195">
        <v>12000</v>
      </c>
      <c r="F166" s="195">
        <v>7843.9800000000005</v>
      </c>
      <c r="G166" s="147">
        <v>-4.1560199999999998</v>
      </c>
      <c r="H166" s="192">
        <v>-0.34633500000000006</v>
      </c>
    </row>
    <row r="167" spans="1:8" ht="15" hidden="1" thickBot="1" x14ac:dyDescent="0.35">
      <c r="A167" s="355" t="str">
        <f t="shared" si="2"/>
        <v>CUST FIELD SERVICESPRINTING</v>
      </c>
      <c r="B167" s="144" t="s">
        <v>177</v>
      </c>
      <c r="C167" s="145" t="s">
        <v>111</v>
      </c>
      <c r="D167" s="146" t="s">
        <v>112</v>
      </c>
      <c r="E167" s="195">
        <v>18000</v>
      </c>
      <c r="F167" s="195">
        <v>21108.78</v>
      </c>
      <c r="G167" s="148">
        <v>3.1087799999999999</v>
      </c>
      <c r="H167" s="193">
        <v>0.17270999999999995</v>
      </c>
    </row>
    <row r="168" spans="1:8" ht="15" hidden="1" thickBot="1" x14ac:dyDescent="0.35">
      <c r="A168" s="355" t="str">
        <f t="shared" si="2"/>
        <v>CUST FIELD SERVICESREFRESHMENTS</v>
      </c>
      <c r="B168" s="144" t="s">
        <v>177</v>
      </c>
      <c r="C168" s="145" t="s">
        <v>113</v>
      </c>
      <c r="D168" s="146" t="s">
        <v>114</v>
      </c>
      <c r="E168" s="195">
        <v>22000</v>
      </c>
      <c r="F168" s="195">
        <v>17817.5</v>
      </c>
      <c r="G168" s="147">
        <v>-4.1825000000000001</v>
      </c>
      <c r="H168" s="192">
        <v>-0.19011363636363637</v>
      </c>
    </row>
    <row r="169" spans="1:8" ht="15" hidden="1" thickBot="1" x14ac:dyDescent="0.35">
      <c r="A169" s="355" t="str">
        <f t="shared" si="2"/>
        <v>CUST FIELD SERVICESTOOL EXPENSE</v>
      </c>
      <c r="B169" s="144" t="s">
        <v>177</v>
      </c>
      <c r="C169" s="145" t="s">
        <v>201</v>
      </c>
      <c r="D169" s="146" t="s">
        <v>202</v>
      </c>
      <c r="E169" s="195">
        <v>18000</v>
      </c>
      <c r="F169" s="195">
        <v>4645.7300000000005</v>
      </c>
      <c r="G169" s="148">
        <v>-13.35427</v>
      </c>
      <c r="H169" s="193">
        <v>-0.74190388888888881</v>
      </c>
    </row>
    <row r="170" spans="1:8" ht="15" hidden="1" thickBot="1" x14ac:dyDescent="0.35">
      <c r="A170" s="355" t="str">
        <f t="shared" si="2"/>
        <v>CUST FIELD SERVICESCASH RECEIPTS</v>
      </c>
      <c r="B170" s="144" t="s">
        <v>177</v>
      </c>
      <c r="C170" s="145" t="s">
        <v>117</v>
      </c>
      <c r="D170" s="146" t="s">
        <v>118</v>
      </c>
      <c r="E170" s="194">
        <v>0</v>
      </c>
      <c r="F170" s="147">
        <v>208.5</v>
      </c>
      <c r="G170" s="147">
        <v>0.20849999999999999</v>
      </c>
      <c r="H170" s="194" t="s">
        <v>136</v>
      </c>
    </row>
    <row r="171" spans="1:8" ht="15" hidden="1" thickBot="1" x14ac:dyDescent="0.35">
      <c r="A171" s="355" t="str">
        <f t="shared" si="2"/>
        <v>CUST FIELD SERVICESPARKING</v>
      </c>
      <c r="B171" s="144" t="s">
        <v>177</v>
      </c>
      <c r="C171" s="145" t="s">
        <v>145</v>
      </c>
      <c r="D171" s="146" t="s">
        <v>146</v>
      </c>
      <c r="E171" s="195">
        <v>4800</v>
      </c>
      <c r="F171" s="195">
        <v>7499.1500000000005</v>
      </c>
      <c r="G171" s="148">
        <v>2.6991499999999999</v>
      </c>
      <c r="H171" s="193">
        <v>0.56232291666666656</v>
      </c>
    </row>
    <row r="172" spans="1:8" ht="15" hidden="1" thickBot="1" x14ac:dyDescent="0.35">
      <c r="A172" s="355" t="str">
        <f t="shared" si="2"/>
        <v>CUST FIELD SERVICESLAUNDRY</v>
      </c>
      <c r="B172" s="144" t="s">
        <v>177</v>
      </c>
      <c r="C172" s="145" t="s">
        <v>147</v>
      </c>
      <c r="D172" s="146" t="s">
        <v>148</v>
      </c>
      <c r="E172" s="195">
        <v>15000</v>
      </c>
      <c r="F172" s="195">
        <v>14682.800000000001</v>
      </c>
      <c r="G172" s="147">
        <v>-0.31719999999999998</v>
      </c>
      <c r="H172" s="192">
        <v>-2.1146666666666713E-2</v>
      </c>
    </row>
    <row r="173" spans="1:8" ht="15" hidden="1" thickBot="1" x14ac:dyDescent="0.35">
      <c r="A173" s="355" t="str">
        <f t="shared" si="2"/>
        <v>CUST FIELD SERVICESUNIFORMS</v>
      </c>
      <c r="B173" s="144" t="s">
        <v>177</v>
      </c>
      <c r="C173" s="145" t="s">
        <v>203</v>
      </c>
      <c r="D173" s="146" t="s">
        <v>204</v>
      </c>
      <c r="E173" s="195">
        <v>93000</v>
      </c>
      <c r="F173" s="195">
        <v>81555.16</v>
      </c>
      <c r="G173" s="148">
        <v>-11.444839999999999</v>
      </c>
      <c r="H173" s="193">
        <v>-0.12306279569892485</v>
      </c>
    </row>
    <row r="174" spans="1:8" ht="15" hidden="1" thickBot="1" x14ac:dyDescent="0.35">
      <c r="A174" s="355" t="str">
        <f t="shared" si="2"/>
        <v>CUST FIELD SERVICESCUSTOMER RECOVERY</v>
      </c>
      <c r="B174" s="144" t="s">
        <v>177</v>
      </c>
      <c r="C174" s="145" t="s">
        <v>171</v>
      </c>
      <c r="D174" s="146" t="s">
        <v>172</v>
      </c>
      <c r="E174" s="194">
        <v>0</v>
      </c>
      <c r="F174" s="147">
        <v>265</v>
      </c>
      <c r="G174" s="147">
        <v>0.26500000000000001</v>
      </c>
      <c r="H174" s="194" t="s">
        <v>136</v>
      </c>
    </row>
    <row r="175" spans="1:8" ht="15" hidden="1" thickBot="1" x14ac:dyDescent="0.35">
      <c r="A175" s="355" t="str">
        <f t="shared" si="2"/>
        <v>CUST FIELD SERVICESREPAIRS AND MAINT</v>
      </c>
      <c r="B175" s="144" t="s">
        <v>177</v>
      </c>
      <c r="C175" s="145" t="s">
        <v>205</v>
      </c>
      <c r="D175" s="146" t="s">
        <v>206</v>
      </c>
      <c r="E175" s="151">
        <v>0</v>
      </c>
      <c r="F175" s="148">
        <v>374.79</v>
      </c>
      <c r="G175" s="148">
        <v>0.37479000000000001</v>
      </c>
      <c r="H175" s="151" t="s">
        <v>136</v>
      </c>
    </row>
    <row r="176" spans="1:8" ht="15" hidden="1" thickBot="1" x14ac:dyDescent="0.35">
      <c r="A176" s="355" t="str">
        <f t="shared" si="2"/>
        <v>CUST FIELD SERVICESMEAL TICKETS</v>
      </c>
      <c r="B176" s="144" t="s">
        <v>177</v>
      </c>
      <c r="C176" s="145" t="s">
        <v>173</v>
      </c>
      <c r="D176" s="146" t="s">
        <v>174</v>
      </c>
      <c r="E176" s="195">
        <v>43200</v>
      </c>
      <c r="F176" s="195">
        <v>21821.26</v>
      </c>
      <c r="G176" s="147">
        <v>-21.378740000000001</v>
      </c>
      <c r="H176" s="192">
        <v>-0.49487824074074077</v>
      </c>
    </row>
    <row r="177" spans="1:8" ht="15" hidden="1" thickBot="1" x14ac:dyDescent="0.35">
      <c r="A177" s="355" t="str">
        <f t="shared" si="2"/>
        <v>CUST FIELD SERVICESSMALL TOOLS</v>
      </c>
      <c r="B177" s="144" t="s">
        <v>177</v>
      </c>
      <c r="C177" s="145" t="s">
        <v>207</v>
      </c>
      <c r="D177" s="146" t="s">
        <v>208</v>
      </c>
      <c r="E177" s="148">
        <v>0</v>
      </c>
      <c r="F177" s="195">
        <v>17870.79</v>
      </c>
      <c r="G177" s="148">
        <v>17.87079</v>
      </c>
      <c r="H177" s="151" t="s">
        <v>136</v>
      </c>
    </row>
    <row r="178" spans="1:8" ht="15" hidden="1" thickBot="1" x14ac:dyDescent="0.35">
      <c r="A178" s="355" t="str">
        <f t="shared" si="2"/>
        <v>CUST FIELD SERVICESMEALS AND ENTERTAIN</v>
      </c>
      <c r="B178" s="144" t="s">
        <v>177</v>
      </c>
      <c r="C178" s="145" t="s">
        <v>75</v>
      </c>
      <c r="D178" s="146" t="s">
        <v>76</v>
      </c>
      <c r="E178" s="195">
        <v>40000</v>
      </c>
      <c r="F178" s="195">
        <v>21668.84</v>
      </c>
      <c r="G178" s="147">
        <v>-18.331160000000001</v>
      </c>
      <c r="H178" s="192">
        <v>-0.45827900000000016</v>
      </c>
    </row>
    <row r="179" spans="1:8" ht="15" hidden="1" thickBot="1" x14ac:dyDescent="0.35">
      <c r="A179" s="355" t="str">
        <f t="shared" si="2"/>
        <v>CUST FIELD SERVICESTRAVEL IN TERRITORY</v>
      </c>
      <c r="B179" s="144" t="s">
        <v>177</v>
      </c>
      <c r="C179" s="145" t="s">
        <v>121</v>
      </c>
      <c r="D179" s="146" t="s">
        <v>122</v>
      </c>
      <c r="E179" s="195">
        <v>25000</v>
      </c>
      <c r="F179" s="195">
        <v>16020.849999999999</v>
      </c>
      <c r="G179" s="148">
        <v>-8.9791500000000006</v>
      </c>
      <c r="H179" s="193">
        <v>-0.35916600000000004</v>
      </c>
    </row>
    <row r="180" spans="1:8" ht="15" hidden="1" thickBot="1" x14ac:dyDescent="0.35">
      <c r="A180" s="355" t="str">
        <f t="shared" si="2"/>
        <v>CUST FIELD SERVICESCONFERENCE TRAVEL</v>
      </c>
      <c r="B180" s="144" t="s">
        <v>177</v>
      </c>
      <c r="C180" s="145" t="s">
        <v>77</v>
      </c>
      <c r="D180" s="146" t="s">
        <v>78</v>
      </c>
      <c r="E180" s="195">
        <v>24000</v>
      </c>
      <c r="F180" s="195">
        <v>16338.49</v>
      </c>
      <c r="G180" s="147">
        <v>-7.6615099999999998</v>
      </c>
      <c r="H180" s="192">
        <v>-0.31922958333333329</v>
      </c>
    </row>
    <row r="181" spans="1:8" ht="15" hidden="1" thickBot="1" x14ac:dyDescent="0.35">
      <c r="A181" s="355" t="str">
        <f t="shared" si="2"/>
        <v>CUST FIELD SERVICESBUSINESS TRAVEL</v>
      </c>
      <c r="B181" s="144" t="s">
        <v>177</v>
      </c>
      <c r="C181" s="145" t="s">
        <v>79</v>
      </c>
      <c r="D181" s="146" t="s">
        <v>80</v>
      </c>
      <c r="E181" s="151">
        <v>0</v>
      </c>
      <c r="F181" s="195">
        <v>16194.759999999998</v>
      </c>
      <c r="G181" s="148">
        <v>16.194759999999999</v>
      </c>
      <c r="H181" s="151" t="s">
        <v>136</v>
      </c>
    </row>
    <row r="182" spans="1:8" ht="15" hidden="1" thickBot="1" x14ac:dyDescent="0.35">
      <c r="A182" s="355" t="str">
        <f t="shared" si="2"/>
        <v>CUST FIELD SERVICESEMPLOYEE AWARDS</v>
      </c>
      <c r="B182" s="144" t="s">
        <v>177</v>
      </c>
      <c r="C182" s="145" t="s">
        <v>81</v>
      </c>
      <c r="D182" s="146" t="s">
        <v>82</v>
      </c>
      <c r="E182" s="147">
        <v>4800</v>
      </c>
      <c r="F182" s="147">
        <v>1346.75</v>
      </c>
      <c r="G182" s="147">
        <v>-3.4532500000000002</v>
      </c>
      <c r="H182" s="192">
        <v>-0.71942708333333327</v>
      </c>
    </row>
    <row r="183" spans="1:8" ht="15" hidden="1" thickBot="1" x14ac:dyDescent="0.35">
      <c r="A183" s="355" t="str">
        <f t="shared" si="2"/>
        <v>CUST FIELD SERVICESEMPLOYEE AWRDS MLS &amp;</v>
      </c>
      <c r="B183" s="144" t="s">
        <v>177</v>
      </c>
      <c r="C183" s="145" t="s">
        <v>123</v>
      </c>
      <c r="D183" s="146" t="s">
        <v>124</v>
      </c>
      <c r="E183" s="151">
        <v>0</v>
      </c>
      <c r="F183" s="148">
        <v>1979.69</v>
      </c>
      <c r="G183" s="148">
        <v>1.9796899999999999</v>
      </c>
      <c r="H183" s="151" t="s">
        <v>136</v>
      </c>
    </row>
    <row r="184" spans="1:8" ht="15" hidden="1" thickBot="1" x14ac:dyDescent="0.35">
      <c r="A184" s="355" t="str">
        <f t="shared" si="2"/>
        <v>CUST FIELD SERVICESNON EMPLOYEE GIFTS</v>
      </c>
      <c r="B184" s="144" t="s">
        <v>177</v>
      </c>
      <c r="C184" s="145" t="s">
        <v>125</v>
      </c>
      <c r="D184" s="146" t="s">
        <v>126</v>
      </c>
      <c r="E184" s="194">
        <v>0</v>
      </c>
      <c r="F184" s="147">
        <v>300</v>
      </c>
      <c r="G184" s="147">
        <v>0.3</v>
      </c>
      <c r="H184" s="194" t="s">
        <v>136</v>
      </c>
    </row>
    <row r="185" spans="1:8" ht="15" hidden="1" thickBot="1" x14ac:dyDescent="0.35">
      <c r="A185" s="355" t="str">
        <f t="shared" si="2"/>
        <v>CUST FIELD SERVICESNWN/581500</v>
      </c>
      <c r="B185" s="144" t="s">
        <v>177</v>
      </c>
      <c r="C185" s="145" t="s">
        <v>209</v>
      </c>
      <c r="D185" s="146" t="s">
        <v>210</v>
      </c>
      <c r="E185" s="151">
        <v>0</v>
      </c>
      <c r="F185" s="195">
        <v>3837.2799999999997</v>
      </c>
      <c r="G185" s="148">
        <v>3.8372799999999998</v>
      </c>
      <c r="H185" s="151" t="s">
        <v>136</v>
      </c>
    </row>
    <row r="186" spans="1:8" ht="15" hidden="1" thickBot="1" x14ac:dyDescent="0.35">
      <c r="A186" s="355" t="str">
        <f t="shared" si="2"/>
        <v>CUST FIELD SERVICESNWN/585800</v>
      </c>
      <c r="B186" s="144" t="s">
        <v>177</v>
      </c>
      <c r="C186" s="145" t="s">
        <v>211</v>
      </c>
      <c r="D186" s="146" t="s">
        <v>212</v>
      </c>
      <c r="E186" s="194">
        <v>0</v>
      </c>
      <c r="F186" s="195">
        <v>1702.9</v>
      </c>
      <c r="G186" s="147">
        <v>1.7029000000000001</v>
      </c>
      <c r="H186" s="194" t="s">
        <v>136</v>
      </c>
    </row>
    <row r="187" spans="1:8" ht="15" hidden="1" thickBot="1" x14ac:dyDescent="0.35">
      <c r="A187" s="355" t="str">
        <f t="shared" si="2"/>
        <v>CUST FIELD SERVICESMILEAGE REIMB ZTFSO</v>
      </c>
      <c r="B187" s="144" t="s">
        <v>177</v>
      </c>
      <c r="C187" s="145" t="s">
        <v>213</v>
      </c>
      <c r="D187" s="146" t="s">
        <v>214</v>
      </c>
      <c r="E187" s="151">
        <v>0</v>
      </c>
      <c r="F187" s="195">
        <v>-3836.1200000000003</v>
      </c>
      <c r="G187" s="148">
        <v>-3.8361200000000002</v>
      </c>
      <c r="H187" s="151" t="s">
        <v>136</v>
      </c>
    </row>
    <row r="188" spans="1:8" ht="15" hidden="1" thickBot="1" x14ac:dyDescent="0.35">
      <c r="A188" s="355" t="str">
        <f t="shared" si="2"/>
        <v>CUST FIELD SERVICESMEAL TICKETS ZTFSO</v>
      </c>
      <c r="B188" s="144" t="s">
        <v>177</v>
      </c>
      <c r="C188" s="145" t="s">
        <v>215</v>
      </c>
      <c r="D188" s="146" t="s">
        <v>216</v>
      </c>
      <c r="E188" s="194">
        <v>0</v>
      </c>
      <c r="F188" s="195">
        <v>-1924.3300000000002</v>
      </c>
      <c r="G188" s="147">
        <v>-1.9243300000000001</v>
      </c>
      <c r="H188" s="194" t="s">
        <v>136</v>
      </c>
    </row>
    <row r="189" spans="1:8" ht="15" hidden="1" thickBot="1" x14ac:dyDescent="0.35">
      <c r="A189" s="355" t="str">
        <f t="shared" si="2"/>
        <v>CUST FIELD SERVICESMISC. EXPENSE BUDGET</v>
      </c>
      <c r="B189" s="144" t="s">
        <v>177</v>
      </c>
      <c r="C189" s="145" t="s">
        <v>83</v>
      </c>
      <c r="D189" s="146" t="s">
        <v>84</v>
      </c>
      <c r="E189" s="195">
        <v>59900</v>
      </c>
      <c r="F189" s="151">
        <v>0</v>
      </c>
      <c r="G189" s="148">
        <v>-59.9</v>
      </c>
      <c r="H189" s="193">
        <v>-1</v>
      </c>
    </row>
    <row r="190" spans="1:8" ht="15" thickBot="1" x14ac:dyDescent="0.35">
      <c r="A190" s="355" t="str">
        <f t="shared" si="2"/>
        <v>CUST FIELD SERVICESNon-Payroll</v>
      </c>
      <c r="B190" s="144" t="s">
        <v>177</v>
      </c>
      <c r="C190" s="149" t="s">
        <v>85</v>
      </c>
      <c r="D190" s="150" t="s">
        <v>86</v>
      </c>
      <c r="E190" s="147">
        <v>2144348</v>
      </c>
      <c r="F190" s="147">
        <v>2054621.13</v>
      </c>
      <c r="G190" s="147">
        <v>-89.726870000000005</v>
      </c>
      <c r="H190" s="192">
        <v>-4.1843427466064231E-2</v>
      </c>
    </row>
    <row r="191" spans="1:8" ht="15" hidden="1" thickBot="1" x14ac:dyDescent="0.35">
      <c r="A191" s="355" t="str">
        <f t="shared" si="2"/>
        <v>CUST FIELD SERVICESEXPENSE ACCOUNTS</v>
      </c>
      <c r="B191" s="144" t="s">
        <v>177</v>
      </c>
      <c r="C191" s="144" t="s">
        <v>87</v>
      </c>
      <c r="D191" s="144" t="s">
        <v>87</v>
      </c>
      <c r="E191" s="148">
        <v>20481785.489999998</v>
      </c>
      <c r="F191" s="148">
        <v>18332742.740000002</v>
      </c>
      <c r="G191" s="148">
        <v>-2149.0427500000001</v>
      </c>
      <c r="H191" s="193">
        <v>-0.104924580479043</v>
      </c>
    </row>
    <row r="192" spans="1:8" ht="15" hidden="1" thickBot="1" x14ac:dyDescent="0.35">
      <c r="A192" s="199" t="str">
        <f t="shared" si="2"/>
        <v>RESOURCE MGMT CTRSALARY PAYROLL</v>
      </c>
      <c r="B192" s="144" t="s">
        <v>217</v>
      </c>
      <c r="C192" s="145" t="s">
        <v>59</v>
      </c>
      <c r="D192" s="146" t="s">
        <v>60</v>
      </c>
      <c r="E192" s="147">
        <v>1718272.1400000001</v>
      </c>
      <c r="F192" s="147">
        <v>1787057.66</v>
      </c>
      <c r="G192" s="147">
        <v>68.785520000000005</v>
      </c>
      <c r="H192" s="192">
        <v>4.0031796127475046E-2</v>
      </c>
    </row>
    <row r="193" spans="1:8" ht="15" hidden="1" thickBot="1" x14ac:dyDescent="0.35">
      <c r="A193" s="199" t="str">
        <f t="shared" si="2"/>
        <v>RESOURCE MGMT CTRHOURLY REGULAR  PAY</v>
      </c>
      <c r="B193" s="144" t="s">
        <v>217</v>
      </c>
      <c r="C193" s="145" t="s">
        <v>91</v>
      </c>
      <c r="D193" s="146" t="s">
        <v>92</v>
      </c>
      <c r="E193" s="148">
        <v>332560.73</v>
      </c>
      <c r="F193" s="148">
        <v>247650.72</v>
      </c>
      <c r="G193" s="148">
        <v>-84.91001</v>
      </c>
      <c r="H193" s="193">
        <v>-0.2553218174617311</v>
      </c>
    </row>
    <row r="194" spans="1:8" ht="15" hidden="1" thickBot="1" x14ac:dyDescent="0.35">
      <c r="A194" s="199" t="str">
        <f t="shared" si="2"/>
        <v>RESOURCE MGMT CTRHOURLY OVERTIME PAY</v>
      </c>
      <c r="B194" s="144" t="s">
        <v>217</v>
      </c>
      <c r="C194" s="145" t="s">
        <v>93</v>
      </c>
      <c r="D194" s="146" t="s">
        <v>94</v>
      </c>
      <c r="E194" s="147">
        <v>12032.5</v>
      </c>
      <c r="F194" s="147">
        <v>3448.77</v>
      </c>
      <c r="G194" s="147">
        <v>-8.5837299999999992</v>
      </c>
      <c r="H194" s="192">
        <v>-0.71337876584250992</v>
      </c>
    </row>
    <row r="195" spans="1:8" ht="15" hidden="1" thickBot="1" x14ac:dyDescent="0.35">
      <c r="A195" s="199" t="str">
        <f t="shared" si="2"/>
        <v>RESOURCE MGMT CTRSALARY BONUS PAYROLL</v>
      </c>
      <c r="B195" s="144" t="s">
        <v>217</v>
      </c>
      <c r="C195" s="145" t="s">
        <v>134</v>
      </c>
      <c r="D195" s="146" t="s">
        <v>135</v>
      </c>
      <c r="E195" s="151">
        <v>0</v>
      </c>
      <c r="F195" s="148">
        <v>588.92999999999995</v>
      </c>
      <c r="G195" s="148">
        <v>0.58892999999999995</v>
      </c>
      <c r="H195" s="151" t="s">
        <v>136</v>
      </c>
    </row>
    <row r="196" spans="1:8" ht="15" hidden="1" thickBot="1" x14ac:dyDescent="0.35">
      <c r="A196" s="199" t="str">
        <f t="shared" si="2"/>
        <v>RESOURCE MGMT CTRHOURLY BONUS PAYROLL</v>
      </c>
      <c r="B196" s="144" t="s">
        <v>217</v>
      </c>
      <c r="C196" s="145" t="s">
        <v>95</v>
      </c>
      <c r="D196" s="146" t="s">
        <v>96</v>
      </c>
      <c r="E196" s="194">
        <v>0</v>
      </c>
      <c r="F196" s="147">
        <v>178.44</v>
      </c>
      <c r="G196" s="147">
        <v>0.17843999999999999</v>
      </c>
      <c r="H196" s="194" t="s">
        <v>136</v>
      </c>
    </row>
    <row r="197" spans="1:8" ht="15" hidden="1" thickBot="1" x14ac:dyDescent="0.35">
      <c r="A197" s="199" t="str">
        <f t="shared" ref="A197:A260" si="3">B197&amp;C197</f>
        <v>RESOURCE MGMT CTRVACATION, SICK &amp; HOL</v>
      </c>
      <c r="B197" s="144" t="s">
        <v>217</v>
      </c>
      <c r="C197" s="145" t="s">
        <v>61</v>
      </c>
      <c r="D197" s="146" t="s">
        <v>62</v>
      </c>
      <c r="E197" s="148">
        <v>319314.64</v>
      </c>
      <c r="F197" s="148">
        <v>315138.98</v>
      </c>
      <c r="G197" s="148">
        <v>-4.1756599999999997</v>
      </c>
      <c r="H197" s="193">
        <v>-1.3076945047054631E-2</v>
      </c>
    </row>
    <row r="198" spans="1:8" ht="15" hidden="1" thickBot="1" x14ac:dyDescent="0.35">
      <c r="A198" s="199" t="str">
        <f t="shared" si="3"/>
        <v>RESOURCE MGMT CTRPAYROLL OVERHEAD</v>
      </c>
      <c r="B198" s="144" t="s">
        <v>217</v>
      </c>
      <c r="C198" s="145" t="s">
        <v>63</v>
      </c>
      <c r="D198" s="146" t="s">
        <v>64</v>
      </c>
      <c r="E198" s="147">
        <v>1702601.42</v>
      </c>
      <c r="F198" s="147">
        <v>1682522.99</v>
      </c>
      <c r="G198" s="147">
        <v>-20.078430000000001</v>
      </c>
      <c r="H198" s="192">
        <v>-1.179279528616858E-2</v>
      </c>
    </row>
    <row r="199" spans="1:8" ht="15" hidden="1" thickBot="1" x14ac:dyDescent="0.35">
      <c r="A199" s="199" t="str">
        <f t="shared" si="3"/>
        <v>RESOURCE MGMT CTRNWN/580305</v>
      </c>
      <c r="B199" s="144" t="s">
        <v>217</v>
      </c>
      <c r="C199" s="145" t="s">
        <v>184</v>
      </c>
      <c r="D199" s="146" t="s">
        <v>185</v>
      </c>
      <c r="E199" s="151">
        <v>0</v>
      </c>
      <c r="F199" s="148">
        <v>141199.69</v>
      </c>
      <c r="G199" s="148">
        <v>141.19969</v>
      </c>
      <c r="H199" s="151" t="s">
        <v>136</v>
      </c>
    </row>
    <row r="200" spans="1:8" ht="15" hidden="1" thickBot="1" x14ac:dyDescent="0.35">
      <c r="A200" s="199" t="str">
        <f t="shared" si="3"/>
        <v>RESOURCE MGMT CTRNWN/580306</v>
      </c>
      <c r="B200" s="144" t="s">
        <v>217</v>
      </c>
      <c r="C200" s="145" t="s">
        <v>161</v>
      </c>
      <c r="D200" s="146" t="s">
        <v>162</v>
      </c>
      <c r="E200" s="194">
        <v>0</v>
      </c>
      <c r="F200" s="147">
        <v>184.76000000000002</v>
      </c>
      <c r="G200" s="147">
        <v>0.18476000000000001</v>
      </c>
      <c r="H200" s="194" t="s">
        <v>136</v>
      </c>
    </row>
    <row r="201" spans="1:8" ht="15" hidden="1" thickBot="1" x14ac:dyDescent="0.35">
      <c r="A201" s="199" t="str">
        <f t="shared" si="3"/>
        <v>RESOURCE MGMT CTRSALARY PAYROLL ZTFSO</v>
      </c>
      <c r="B201" s="144" t="s">
        <v>217</v>
      </c>
      <c r="C201" s="145" t="s">
        <v>65</v>
      </c>
      <c r="D201" s="146" t="s">
        <v>66</v>
      </c>
      <c r="E201" s="148">
        <v>-1774404.94</v>
      </c>
      <c r="F201" s="148">
        <v>-1845900.57</v>
      </c>
      <c r="G201" s="148">
        <v>-71.495630000000006</v>
      </c>
      <c r="H201" s="193">
        <v>-4.0292736110169057E-2</v>
      </c>
    </row>
    <row r="202" spans="1:8" ht="15" hidden="1" thickBot="1" x14ac:dyDescent="0.35">
      <c r="A202" s="199" t="str">
        <f t="shared" si="3"/>
        <v>RESOURCE MGMT CTRHRLY - REGULAR ZTFSO</v>
      </c>
      <c r="B202" s="144" t="s">
        <v>217</v>
      </c>
      <c r="C202" s="145" t="s">
        <v>163</v>
      </c>
      <c r="D202" s="146" t="s">
        <v>164</v>
      </c>
      <c r="E202" s="147">
        <v>0</v>
      </c>
      <c r="F202" s="147">
        <v>-360809.61000000004</v>
      </c>
      <c r="G202" s="147">
        <v>-360.80961000000002</v>
      </c>
      <c r="H202" s="194" t="s">
        <v>136</v>
      </c>
    </row>
    <row r="203" spans="1:8" ht="15" hidden="1" thickBot="1" x14ac:dyDescent="0.35">
      <c r="A203" s="199" t="str">
        <f t="shared" si="3"/>
        <v>RESOURCE MGMT CTRHRLY - OT ZTFSO</v>
      </c>
      <c r="B203" s="144" t="s">
        <v>217</v>
      </c>
      <c r="C203" s="145" t="s">
        <v>97</v>
      </c>
      <c r="D203" s="146" t="s">
        <v>98</v>
      </c>
      <c r="E203" s="151">
        <v>0</v>
      </c>
      <c r="F203" s="148">
        <v>-406.45</v>
      </c>
      <c r="G203" s="148">
        <v>-0.40644999999999998</v>
      </c>
      <c r="H203" s="151" t="s">
        <v>136</v>
      </c>
    </row>
    <row r="204" spans="1:8" ht="15" thickBot="1" x14ac:dyDescent="0.35">
      <c r="A204" s="356" t="str">
        <f t="shared" si="3"/>
        <v>RESOURCE MGMT CTRPayroll</v>
      </c>
      <c r="B204" s="144" t="s">
        <v>217</v>
      </c>
      <c r="C204" s="149" t="s">
        <v>67</v>
      </c>
      <c r="D204" s="150" t="s">
        <v>68</v>
      </c>
      <c r="E204" s="195">
        <v>2310376.4900000002</v>
      </c>
      <c r="F204" s="195">
        <v>1970854.31</v>
      </c>
      <c r="G204" s="147">
        <v>-339.52217999999999</v>
      </c>
      <c r="H204" s="192">
        <v>-0.14695534752433365</v>
      </c>
    </row>
    <row r="205" spans="1:8" ht="15" hidden="1" thickBot="1" x14ac:dyDescent="0.35">
      <c r="A205" s="356" t="str">
        <f t="shared" si="3"/>
        <v>RESOURCE MGMT CTREDUCATION</v>
      </c>
      <c r="B205" s="144" t="s">
        <v>217</v>
      </c>
      <c r="C205" s="145" t="s">
        <v>69</v>
      </c>
      <c r="D205" s="146" t="s">
        <v>70</v>
      </c>
      <c r="E205" s="151">
        <v>0</v>
      </c>
      <c r="F205" s="148">
        <v>259.97999999999996</v>
      </c>
      <c r="G205" s="148">
        <v>0.25997999999999999</v>
      </c>
      <c r="H205" s="151" t="s">
        <v>136</v>
      </c>
    </row>
    <row r="206" spans="1:8" ht="15" hidden="1" thickBot="1" x14ac:dyDescent="0.35">
      <c r="A206" s="356" t="str">
        <f t="shared" si="3"/>
        <v>RESOURCE MGMT CTRMATERIALS - CONS INV</v>
      </c>
      <c r="B206" s="144" t="s">
        <v>217</v>
      </c>
      <c r="C206" s="145" t="s">
        <v>165</v>
      </c>
      <c r="D206" s="146" t="s">
        <v>166</v>
      </c>
      <c r="E206" s="194">
        <v>0</v>
      </c>
      <c r="F206" s="147">
        <v>1109.77</v>
      </c>
      <c r="G206" s="147">
        <v>1.1097699999999999</v>
      </c>
      <c r="H206" s="194" t="s">
        <v>136</v>
      </c>
    </row>
    <row r="207" spans="1:8" ht="15" hidden="1" thickBot="1" x14ac:dyDescent="0.35">
      <c r="A207" s="356" t="str">
        <f t="shared" si="3"/>
        <v>RESOURCE MGMT CTRMILEAGE REIMBURSE</v>
      </c>
      <c r="B207" s="144" t="s">
        <v>217</v>
      </c>
      <c r="C207" s="145" t="s">
        <v>137</v>
      </c>
      <c r="D207" s="146" t="s">
        <v>138</v>
      </c>
      <c r="E207" s="195">
        <v>3000</v>
      </c>
      <c r="F207" s="195">
        <v>2147.2000000000003</v>
      </c>
      <c r="G207" s="148">
        <v>-0.8528</v>
      </c>
      <c r="H207" s="193">
        <v>-0.28426666666666656</v>
      </c>
    </row>
    <row r="208" spans="1:8" ht="15" hidden="1" thickBot="1" x14ac:dyDescent="0.35">
      <c r="A208" s="356" t="str">
        <f t="shared" si="3"/>
        <v>RESOURCE MGMT CTRTRANSPORTATION</v>
      </c>
      <c r="B208" s="144" t="s">
        <v>217</v>
      </c>
      <c r="C208" s="145" t="s">
        <v>190</v>
      </c>
      <c r="D208" s="146" t="s">
        <v>191</v>
      </c>
      <c r="E208" s="147">
        <v>0</v>
      </c>
      <c r="F208" s="147">
        <v>132.64999999999998</v>
      </c>
      <c r="G208" s="147">
        <v>0.13264999999999999</v>
      </c>
      <c r="H208" s="194" t="s">
        <v>136</v>
      </c>
    </row>
    <row r="209" spans="1:8" ht="15" hidden="1" thickBot="1" x14ac:dyDescent="0.35">
      <c r="A209" s="356" t="str">
        <f t="shared" si="3"/>
        <v>RESOURCE MGMT CTRDUES/MEMBERSHIP</v>
      </c>
      <c r="B209" s="144" t="s">
        <v>217</v>
      </c>
      <c r="C209" s="145" t="s">
        <v>139</v>
      </c>
      <c r="D209" s="146" t="s">
        <v>140</v>
      </c>
      <c r="E209" s="151">
        <v>0</v>
      </c>
      <c r="F209" s="148">
        <v>230</v>
      </c>
      <c r="G209" s="148">
        <v>0.23</v>
      </c>
      <c r="H209" s="151" t="s">
        <v>136</v>
      </c>
    </row>
    <row r="210" spans="1:8" ht="15" hidden="1" thickBot="1" x14ac:dyDescent="0.35">
      <c r="A210" s="356" t="str">
        <f t="shared" si="3"/>
        <v>RESOURCE MGMT CTROFFICE CONTRACT WORK</v>
      </c>
      <c r="B210" s="144" t="s">
        <v>217</v>
      </c>
      <c r="C210" s="145" t="s">
        <v>169</v>
      </c>
      <c r="D210" s="146" t="s">
        <v>170</v>
      </c>
      <c r="E210" s="195">
        <v>40000</v>
      </c>
      <c r="F210" s="194">
        <v>0</v>
      </c>
      <c r="G210" s="147">
        <v>-40</v>
      </c>
      <c r="H210" s="192">
        <v>-1</v>
      </c>
    </row>
    <row r="211" spans="1:8" ht="15" hidden="1" thickBot="1" x14ac:dyDescent="0.35">
      <c r="A211" s="356" t="str">
        <f t="shared" si="3"/>
        <v>RESOURCE MGMT CTROTHER CONTRACT WORK</v>
      </c>
      <c r="B211" s="144" t="s">
        <v>217</v>
      </c>
      <c r="C211" s="145" t="s">
        <v>101</v>
      </c>
      <c r="D211" s="146" t="s">
        <v>102</v>
      </c>
      <c r="E211" s="151">
        <v>0</v>
      </c>
      <c r="F211" s="195">
        <v>766.24</v>
      </c>
      <c r="G211" s="148">
        <v>0.76624000000000003</v>
      </c>
      <c r="H211" s="151" t="s">
        <v>136</v>
      </c>
    </row>
    <row r="212" spans="1:8" ht="15" hidden="1" thickBot="1" x14ac:dyDescent="0.35">
      <c r="A212" s="356" t="str">
        <f t="shared" si="3"/>
        <v>RESOURCE MGMT CTRTRACKHOE</v>
      </c>
      <c r="B212" s="144" t="s">
        <v>217</v>
      </c>
      <c r="C212" s="145" t="s">
        <v>218</v>
      </c>
      <c r="D212" s="146" t="s">
        <v>219</v>
      </c>
      <c r="E212" s="194">
        <v>0</v>
      </c>
      <c r="F212" s="147">
        <v>-93.600000000000009</v>
      </c>
      <c r="G212" s="147">
        <v>-9.3600000000000003E-2</v>
      </c>
      <c r="H212" s="194" t="s">
        <v>136</v>
      </c>
    </row>
    <row r="213" spans="1:8" ht="15" hidden="1" thickBot="1" x14ac:dyDescent="0.35">
      <c r="A213" s="356" t="str">
        <f t="shared" si="3"/>
        <v>RESOURCE MGMT CTRMISCELLANEOUS</v>
      </c>
      <c r="B213" s="144" t="s">
        <v>217</v>
      </c>
      <c r="C213" s="145" t="s">
        <v>103</v>
      </c>
      <c r="D213" s="146" t="s">
        <v>104</v>
      </c>
      <c r="E213" s="151">
        <v>0</v>
      </c>
      <c r="F213" s="148">
        <v>44</v>
      </c>
      <c r="G213" s="148">
        <v>4.3999999999999997E-2</v>
      </c>
      <c r="H213" s="151" t="s">
        <v>136</v>
      </c>
    </row>
    <row r="214" spans="1:8" ht="15" hidden="1" thickBot="1" x14ac:dyDescent="0.35">
      <c r="A214" s="356" t="str">
        <f t="shared" si="3"/>
        <v>RESOURCE MGMT CTRP CARD UNCODED CHARG</v>
      </c>
      <c r="B214" s="144" t="s">
        <v>217</v>
      </c>
      <c r="C214" s="145" t="s">
        <v>71</v>
      </c>
      <c r="D214" s="146" t="s">
        <v>72</v>
      </c>
      <c r="E214" s="194">
        <v>0</v>
      </c>
      <c r="F214" s="147">
        <v>487.09000000000003</v>
      </c>
      <c r="G214" s="147">
        <v>0.48709000000000002</v>
      </c>
      <c r="H214" s="194" t="s">
        <v>136</v>
      </c>
    </row>
    <row r="215" spans="1:8" ht="15" hidden="1" thickBot="1" x14ac:dyDescent="0.35">
      <c r="A215" s="356" t="str">
        <f t="shared" si="3"/>
        <v>RESOURCE MGMT CTROFFICE SUPPLIES</v>
      </c>
      <c r="B215" s="144" t="s">
        <v>217</v>
      </c>
      <c r="C215" s="145" t="s">
        <v>73</v>
      </c>
      <c r="D215" s="146" t="s">
        <v>74</v>
      </c>
      <c r="E215" s="195">
        <v>4000</v>
      </c>
      <c r="F215" s="195">
        <v>3223.91</v>
      </c>
      <c r="G215" s="148">
        <v>-0.77608999999999995</v>
      </c>
      <c r="H215" s="193">
        <v>-0.19402250000000001</v>
      </c>
    </row>
    <row r="216" spans="1:8" ht="15" hidden="1" thickBot="1" x14ac:dyDescent="0.35">
      <c r="A216" s="356" t="str">
        <f t="shared" si="3"/>
        <v>RESOURCE MGMT CTRPRINTING</v>
      </c>
      <c r="B216" s="144" t="s">
        <v>217</v>
      </c>
      <c r="C216" s="145" t="s">
        <v>111</v>
      </c>
      <c r="D216" s="146" t="s">
        <v>112</v>
      </c>
      <c r="E216" s="195">
        <v>15000</v>
      </c>
      <c r="F216" s="195">
        <v>13135.25</v>
      </c>
      <c r="G216" s="147">
        <v>-1.8647499999999999</v>
      </c>
      <c r="H216" s="192">
        <v>-0.12431666666666677</v>
      </c>
    </row>
    <row r="217" spans="1:8" ht="15" hidden="1" thickBot="1" x14ac:dyDescent="0.35">
      <c r="A217" s="356" t="str">
        <f t="shared" si="3"/>
        <v>RESOURCE MGMT CTRREFRESHMENTS</v>
      </c>
      <c r="B217" s="144" t="s">
        <v>217</v>
      </c>
      <c r="C217" s="145" t="s">
        <v>113</v>
      </c>
      <c r="D217" s="146" t="s">
        <v>114</v>
      </c>
      <c r="E217" s="151">
        <v>0</v>
      </c>
      <c r="F217" s="148">
        <v>601.19999999999993</v>
      </c>
      <c r="G217" s="148">
        <v>0.60119999999999996</v>
      </c>
      <c r="H217" s="151" t="s">
        <v>136</v>
      </c>
    </row>
    <row r="218" spans="1:8" ht="15" hidden="1" thickBot="1" x14ac:dyDescent="0.35">
      <c r="A218" s="356" t="str">
        <f t="shared" si="3"/>
        <v>RESOURCE MGMT CTRPARKING</v>
      </c>
      <c r="B218" s="144" t="s">
        <v>217</v>
      </c>
      <c r="C218" s="145" t="s">
        <v>145</v>
      </c>
      <c r="D218" s="146" t="s">
        <v>146</v>
      </c>
      <c r="E218" s="195">
        <v>4500</v>
      </c>
      <c r="F218" s="195">
        <v>3907.2</v>
      </c>
      <c r="G218" s="147">
        <v>-0.59279999999999999</v>
      </c>
      <c r="H218" s="192">
        <v>-0.13173333333333326</v>
      </c>
    </row>
    <row r="219" spans="1:8" ht="15" hidden="1" thickBot="1" x14ac:dyDescent="0.35">
      <c r="A219" s="356" t="str">
        <f t="shared" si="3"/>
        <v>RESOURCE MGMT CTRPROFESSIONAL SERVICE</v>
      </c>
      <c r="B219" s="144" t="s">
        <v>217</v>
      </c>
      <c r="C219" s="145" t="s">
        <v>149</v>
      </c>
      <c r="D219" s="146" t="s">
        <v>150</v>
      </c>
      <c r="E219" s="148">
        <v>0</v>
      </c>
      <c r="F219" s="195">
        <v>39926.28</v>
      </c>
      <c r="G219" s="148">
        <v>39.926279999999998</v>
      </c>
      <c r="H219" s="151" t="s">
        <v>136</v>
      </c>
    </row>
    <row r="220" spans="1:8" ht="15" hidden="1" thickBot="1" x14ac:dyDescent="0.35">
      <c r="A220" s="356" t="str">
        <f t="shared" si="3"/>
        <v>RESOURCE MGMT CTRMEAL TICKETS</v>
      </c>
      <c r="B220" s="144" t="s">
        <v>217</v>
      </c>
      <c r="C220" s="145" t="s">
        <v>173</v>
      </c>
      <c r="D220" s="146" t="s">
        <v>174</v>
      </c>
      <c r="E220" s="194">
        <v>0</v>
      </c>
      <c r="F220" s="147">
        <v>20</v>
      </c>
      <c r="G220" s="147">
        <v>0.02</v>
      </c>
      <c r="H220" s="194" t="s">
        <v>136</v>
      </c>
    </row>
    <row r="221" spans="1:8" ht="15" hidden="1" thickBot="1" x14ac:dyDescent="0.35">
      <c r="A221" s="356" t="str">
        <f t="shared" si="3"/>
        <v>RESOURCE MGMT CTRPERMITS AND FEES</v>
      </c>
      <c r="B221" s="144" t="s">
        <v>217</v>
      </c>
      <c r="C221" s="145" t="s">
        <v>151</v>
      </c>
      <c r="D221" s="146" t="s">
        <v>152</v>
      </c>
      <c r="E221" s="151">
        <v>0</v>
      </c>
      <c r="F221" s="148">
        <v>42.24</v>
      </c>
      <c r="G221" s="148">
        <v>4.224E-2</v>
      </c>
      <c r="H221" s="151" t="s">
        <v>136</v>
      </c>
    </row>
    <row r="222" spans="1:8" ht="15" hidden="1" thickBot="1" x14ac:dyDescent="0.35">
      <c r="A222" s="356" t="str">
        <f t="shared" si="3"/>
        <v>RESOURCE MGMT CTRCORPORATE IDENTITY</v>
      </c>
      <c r="B222" s="144" t="s">
        <v>217</v>
      </c>
      <c r="C222" s="145" t="s">
        <v>153</v>
      </c>
      <c r="D222" s="146" t="s">
        <v>154</v>
      </c>
      <c r="E222" s="194">
        <v>0</v>
      </c>
      <c r="F222" s="147">
        <v>659.62</v>
      </c>
      <c r="G222" s="147">
        <v>0.65961999999999998</v>
      </c>
      <c r="H222" s="194" t="s">
        <v>136</v>
      </c>
    </row>
    <row r="223" spans="1:8" ht="15" hidden="1" thickBot="1" x14ac:dyDescent="0.35">
      <c r="A223" s="356" t="str">
        <f t="shared" si="3"/>
        <v>RESOURCE MGMT CTRMEALS AND ENTERTAIN</v>
      </c>
      <c r="B223" s="144" t="s">
        <v>217</v>
      </c>
      <c r="C223" s="145" t="s">
        <v>75</v>
      </c>
      <c r="D223" s="146" t="s">
        <v>76</v>
      </c>
      <c r="E223" s="195">
        <v>12000</v>
      </c>
      <c r="F223" s="195">
        <v>6864.9</v>
      </c>
      <c r="G223" s="148">
        <v>-5.1351000000000004</v>
      </c>
      <c r="H223" s="193">
        <v>-0.42792499999999994</v>
      </c>
    </row>
    <row r="224" spans="1:8" ht="15" hidden="1" thickBot="1" x14ac:dyDescent="0.35">
      <c r="A224" s="356" t="str">
        <f t="shared" si="3"/>
        <v>RESOURCE MGMT CTRTRAVEL IN TERRITORY</v>
      </c>
      <c r="B224" s="144" t="s">
        <v>217</v>
      </c>
      <c r="C224" s="145" t="s">
        <v>121</v>
      </c>
      <c r="D224" s="146" t="s">
        <v>122</v>
      </c>
      <c r="E224" s="195">
        <v>1500</v>
      </c>
      <c r="F224" s="195">
        <v>1320.68</v>
      </c>
      <c r="G224" s="147">
        <v>-0.17932000000000001</v>
      </c>
      <c r="H224" s="192">
        <v>-0.11954666666666661</v>
      </c>
    </row>
    <row r="225" spans="1:8" ht="15" hidden="1" thickBot="1" x14ac:dyDescent="0.35">
      <c r="A225" s="356" t="str">
        <f t="shared" si="3"/>
        <v>RESOURCE MGMT CTRCONFERENCE TRAVEL</v>
      </c>
      <c r="B225" s="144" t="s">
        <v>217</v>
      </c>
      <c r="C225" s="145" t="s">
        <v>77</v>
      </c>
      <c r="D225" s="146" t="s">
        <v>78</v>
      </c>
      <c r="E225" s="195">
        <v>8000</v>
      </c>
      <c r="F225" s="195">
        <v>9802.6099999999988</v>
      </c>
      <c r="G225" s="148">
        <v>1.80261</v>
      </c>
      <c r="H225" s="193">
        <v>0.22532624999999984</v>
      </c>
    </row>
    <row r="226" spans="1:8" ht="15" hidden="1" thickBot="1" x14ac:dyDescent="0.35">
      <c r="A226" s="356" t="str">
        <f t="shared" si="3"/>
        <v>RESOURCE MGMT CTRBUSINESS TRAVEL</v>
      </c>
      <c r="B226" s="144" t="s">
        <v>217</v>
      </c>
      <c r="C226" s="145" t="s">
        <v>79</v>
      </c>
      <c r="D226" s="146" t="s">
        <v>80</v>
      </c>
      <c r="E226" s="147">
        <v>1200</v>
      </c>
      <c r="F226" s="194">
        <v>0</v>
      </c>
      <c r="G226" s="147">
        <v>-1.2</v>
      </c>
      <c r="H226" s="192">
        <v>-1</v>
      </c>
    </row>
    <row r="227" spans="1:8" ht="15" hidden="1" thickBot="1" x14ac:dyDescent="0.35">
      <c r="A227" s="356" t="str">
        <f t="shared" si="3"/>
        <v>RESOURCE MGMT CTREMPLOYEE AWARDS</v>
      </c>
      <c r="B227" s="144" t="s">
        <v>217</v>
      </c>
      <c r="C227" s="145" t="s">
        <v>81</v>
      </c>
      <c r="D227" s="146" t="s">
        <v>82</v>
      </c>
      <c r="E227" s="195">
        <v>1200</v>
      </c>
      <c r="F227" s="195">
        <v>1286.83</v>
      </c>
      <c r="G227" s="148">
        <v>8.6830000000000004E-2</v>
      </c>
      <c r="H227" s="193">
        <v>7.2358333333333275E-2</v>
      </c>
    </row>
    <row r="228" spans="1:8" ht="15" hidden="1" thickBot="1" x14ac:dyDescent="0.35">
      <c r="A228" s="356" t="str">
        <f t="shared" si="3"/>
        <v>RESOURCE MGMT CTREMPLOYEE AWRDS MLS &amp;</v>
      </c>
      <c r="B228" s="144" t="s">
        <v>217</v>
      </c>
      <c r="C228" s="145" t="s">
        <v>123</v>
      </c>
      <c r="D228" s="146" t="s">
        <v>124</v>
      </c>
      <c r="E228" s="194">
        <v>0</v>
      </c>
      <c r="F228" s="147">
        <v>1257.0600000000002</v>
      </c>
      <c r="G228" s="147">
        <v>1.2570600000000001</v>
      </c>
      <c r="H228" s="194" t="s">
        <v>136</v>
      </c>
    </row>
    <row r="229" spans="1:8" ht="15" hidden="1" thickBot="1" x14ac:dyDescent="0.35">
      <c r="A229" s="356" t="str">
        <f t="shared" si="3"/>
        <v>RESOURCE MGMT CTRMISC. EXPENSE BUDGET</v>
      </c>
      <c r="B229" s="144" t="s">
        <v>217</v>
      </c>
      <c r="C229" s="145" t="s">
        <v>83</v>
      </c>
      <c r="D229" s="146" t="s">
        <v>84</v>
      </c>
      <c r="E229" s="195">
        <v>7600</v>
      </c>
      <c r="F229" s="151">
        <v>0</v>
      </c>
      <c r="G229" s="148">
        <v>-7.6</v>
      </c>
      <c r="H229" s="193">
        <v>-1</v>
      </c>
    </row>
    <row r="230" spans="1:8" ht="15" thickBot="1" x14ac:dyDescent="0.35">
      <c r="A230" s="356" t="str">
        <f t="shared" si="3"/>
        <v>RESOURCE MGMT CTRNon-Payroll</v>
      </c>
      <c r="B230" s="144" t="s">
        <v>217</v>
      </c>
      <c r="C230" s="149" t="s">
        <v>85</v>
      </c>
      <c r="D230" s="150" t="s">
        <v>86</v>
      </c>
      <c r="E230" s="147">
        <v>98000</v>
      </c>
      <c r="F230" s="147">
        <v>87131.11</v>
      </c>
      <c r="G230" s="147">
        <v>-10.86889</v>
      </c>
      <c r="H230" s="192">
        <v>-0.11090704081632667</v>
      </c>
    </row>
    <row r="231" spans="1:8" ht="15" hidden="1" thickBot="1" x14ac:dyDescent="0.35">
      <c r="A231" s="356" t="str">
        <f t="shared" si="3"/>
        <v>RESOURCE MGMT CTREXPENSE ACCOUNTS</v>
      </c>
      <c r="B231" s="144" t="s">
        <v>217</v>
      </c>
      <c r="C231" s="144" t="s">
        <v>87</v>
      </c>
      <c r="D231" s="144" t="s">
        <v>87</v>
      </c>
      <c r="E231" s="148">
        <v>2408376.4900000002</v>
      </c>
      <c r="F231" s="148">
        <v>2057985.42</v>
      </c>
      <c r="G231" s="148">
        <v>-350.39107000000001</v>
      </c>
      <c r="H231" s="193">
        <v>-0.14548849461655405</v>
      </c>
    </row>
    <row r="232" spans="1:8" hidden="1" x14ac:dyDescent="0.3">
      <c r="A232" s="199" t="str">
        <f t="shared" si="3"/>
        <v/>
      </c>
    </row>
    <row r="233" spans="1:8" hidden="1" x14ac:dyDescent="0.3">
      <c r="A233" s="199" t="str">
        <f t="shared" si="3"/>
        <v/>
      </c>
    </row>
    <row r="234" spans="1:8" hidden="1" x14ac:dyDescent="0.3">
      <c r="A234" s="199" t="str">
        <f t="shared" si="3"/>
        <v/>
      </c>
    </row>
    <row r="235" spans="1:8" hidden="1" x14ac:dyDescent="0.3">
      <c r="A235" s="199" t="str">
        <f t="shared" si="3"/>
        <v/>
      </c>
    </row>
    <row r="236" spans="1:8" hidden="1" x14ac:dyDescent="0.3">
      <c r="A236" s="199" t="str">
        <f t="shared" si="3"/>
        <v/>
      </c>
    </row>
    <row r="237" spans="1:8" hidden="1" x14ac:dyDescent="0.3">
      <c r="A237" s="199" t="str">
        <f t="shared" si="3"/>
        <v/>
      </c>
    </row>
    <row r="238" spans="1:8" hidden="1" x14ac:dyDescent="0.3">
      <c r="A238" s="199" t="str">
        <f t="shared" si="3"/>
        <v/>
      </c>
    </row>
    <row r="239" spans="1:8" hidden="1" x14ac:dyDescent="0.3">
      <c r="A239" s="199" t="str">
        <f t="shared" si="3"/>
        <v/>
      </c>
    </row>
    <row r="240" spans="1:8" hidden="1" x14ac:dyDescent="0.3">
      <c r="A240" s="199" t="str">
        <f t="shared" si="3"/>
        <v/>
      </c>
    </row>
    <row r="241" spans="1:1" hidden="1" x14ac:dyDescent="0.3">
      <c r="A241" s="199" t="str">
        <f t="shared" si="3"/>
        <v/>
      </c>
    </row>
    <row r="242" spans="1:1" hidden="1" x14ac:dyDescent="0.3">
      <c r="A242" s="199" t="str">
        <f t="shared" si="3"/>
        <v/>
      </c>
    </row>
    <row r="243" spans="1:1" hidden="1" x14ac:dyDescent="0.3">
      <c r="A243" s="199" t="str">
        <f t="shared" si="3"/>
        <v/>
      </c>
    </row>
    <row r="244" spans="1:1" hidden="1" x14ac:dyDescent="0.3">
      <c r="A244" s="199" t="str">
        <f t="shared" si="3"/>
        <v/>
      </c>
    </row>
    <row r="245" spans="1:1" hidden="1" x14ac:dyDescent="0.3">
      <c r="A245" s="199" t="str">
        <f t="shared" si="3"/>
        <v/>
      </c>
    </row>
    <row r="246" spans="1:1" hidden="1" x14ac:dyDescent="0.3">
      <c r="A246" s="199" t="str">
        <f t="shared" si="3"/>
        <v/>
      </c>
    </row>
    <row r="247" spans="1:1" hidden="1" x14ac:dyDescent="0.3">
      <c r="A247" s="199" t="str">
        <f t="shared" si="3"/>
        <v/>
      </c>
    </row>
    <row r="248" spans="1:1" hidden="1" x14ac:dyDescent="0.3">
      <c r="A248" s="199" t="str">
        <f t="shared" si="3"/>
        <v/>
      </c>
    </row>
    <row r="249" spans="1:1" hidden="1" x14ac:dyDescent="0.3">
      <c r="A249" s="199" t="str">
        <f t="shared" si="3"/>
        <v/>
      </c>
    </row>
    <row r="250" spans="1:1" hidden="1" x14ac:dyDescent="0.3">
      <c r="A250" s="199" t="str">
        <f t="shared" si="3"/>
        <v/>
      </c>
    </row>
    <row r="251" spans="1:1" hidden="1" x14ac:dyDescent="0.3">
      <c r="A251" s="199" t="str">
        <f t="shared" si="3"/>
        <v/>
      </c>
    </row>
    <row r="252" spans="1:1" hidden="1" x14ac:dyDescent="0.3">
      <c r="A252" s="199" t="str">
        <f t="shared" si="3"/>
        <v/>
      </c>
    </row>
    <row r="253" spans="1:1" hidden="1" x14ac:dyDescent="0.3">
      <c r="A253" s="199" t="str">
        <f t="shared" si="3"/>
        <v/>
      </c>
    </row>
    <row r="254" spans="1:1" hidden="1" x14ac:dyDescent="0.3">
      <c r="A254" s="199" t="str">
        <f t="shared" si="3"/>
        <v/>
      </c>
    </row>
    <row r="255" spans="1:1" hidden="1" x14ac:dyDescent="0.3">
      <c r="A255" s="199" t="str">
        <f t="shared" si="3"/>
        <v/>
      </c>
    </row>
    <row r="256" spans="1:1" hidden="1" x14ac:dyDescent="0.3">
      <c r="A256" s="199" t="str">
        <f t="shared" si="3"/>
        <v/>
      </c>
    </row>
    <row r="257" spans="1:1" hidden="1" x14ac:dyDescent="0.3">
      <c r="A257" s="199" t="str">
        <f t="shared" si="3"/>
        <v/>
      </c>
    </row>
    <row r="258" spans="1:1" hidden="1" x14ac:dyDescent="0.3">
      <c r="A258" s="199" t="str">
        <f t="shared" si="3"/>
        <v/>
      </c>
    </row>
    <row r="259" spans="1:1" hidden="1" x14ac:dyDescent="0.3">
      <c r="A259" s="199" t="str">
        <f t="shared" si="3"/>
        <v/>
      </c>
    </row>
    <row r="260" spans="1:1" hidden="1" x14ac:dyDescent="0.3">
      <c r="A260" s="199" t="str">
        <f t="shared" si="3"/>
        <v/>
      </c>
    </row>
    <row r="261" spans="1:1" hidden="1" x14ac:dyDescent="0.3">
      <c r="A261" s="199" t="str">
        <f t="shared" ref="A261:A324" si="4">B261&amp;C261</f>
        <v/>
      </c>
    </row>
    <row r="262" spans="1:1" hidden="1" x14ac:dyDescent="0.3">
      <c r="A262" s="199" t="str">
        <f t="shared" si="4"/>
        <v/>
      </c>
    </row>
    <row r="263" spans="1:1" hidden="1" x14ac:dyDescent="0.3">
      <c r="A263" s="199" t="str">
        <f t="shared" si="4"/>
        <v/>
      </c>
    </row>
    <row r="264" spans="1:1" hidden="1" x14ac:dyDescent="0.3">
      <c r="A264" s="199" t="str">
        <f t="shared" si="4"/>
        <v/>
      </c>
    </row>
    <row r="265" spans="1:1" hidden="1" x14ac:dyDescent="0.3">
      <c r="A265" s="199" t="str">
        <f t="shared" si="4"/>
        <v/>
      </c>
    </row>
    <row r="266" spans="1:1" hidden="1" x14ac:dyDescent="0.3">
      <c r="A266" s="199" t="str">
        <f t="shared" si="4"/>
        <v/>
      </c>
    </row>
    <row r="267" spans="1:1" hidden="1" x14ac:dyDescent="0.3">
      <c r="A267" s="199" t="str">
        <f t="shared" si="4"/>
        <v/>
      </c>
    </row>
    <row r="268" spans="1:1" hidden="1" x14ac:dyDescent="0.3">
      <c r="A268" s="199" t="str">
        <f t="shared" si="4"/>
        <v/>
      </c>
    </row>
    <row r="269" spans="1:1" hidden="1" x14ac:dyDescent="0.3">
      <c r="A269" s="199" t="str">
        <f t="shared" si="4"/>
        <v/>
      </c>
    </row>
    <row r="270" spans="1:1" hidden="1" x14ac:dyDescent="0.3">
      <c r="A270" s="199" t="str">
        <f t="shared" si="4"/>
        <v/>
      </c>
    </row>
    <row r="271" spans="1:1" hidden="1" x14ac:dyDescent="0.3">
      <c r="A271" s="199" t="str">
        <f t="shared" si="4"/>
        <v/>
      </c>
    </row>
    <row r="272" spans="1:1" hidden="1" x14ac:dyDescent="0.3">
      <c r="A272" s="199" t="str">
        <f t="shared" si="4"/>
        <v/>
      </c>
    </row>
    <row r="273" spans="1:1" hidden="1" x14ac:dyDescent="0.3">
      <c r="A273" s="199" t="str">
        <f t="shared" si="4"/>
        <v/>
      </c>
    </row>
    <row r="274" spans="1:1" hidden="1" x14ac:dyDescent="0.3">
      <c r="A274" s="199" t="str">
        <f t="shared" si="4"/>
        <v/>
      </c>
    </row>
    <row r="275" spans="1:1" hidden="1" x14ac:dyDescent="0.3">
      <c r="A275" s="199" t="str">
        <f t="shared" si="4"/>
        <v/>
      </c>
    </row>
    <row r="276" spans="1:1" hidden="1" x14ac:dyDescent="0.3">
      <c r="A276" s="199" t="str">
        <f t="shared" si="4"/>
        <v/>
      </c>
    </row>
    <row r="277" spans="1:1" hidden="1" x14ac:dyDescent="0.3">
      <c r="A277" s="199" t="str">
        <f t="shared" si="4"/>
        <v/>
      </c>
    </row>
    <row r="278" spans="1:1" hidden="1" x14ac:dyDescent="0.3">
      <c r="A278" s="199" t="str">
        <f t="shared" si="4"/>
        <v/>
      </c>
    </row>
    <row r="279" spans="1:1" hidden="1" x14ac:dyDescent="0.3">
      <c r="A279" s="199" t="str">
        <f t="shared" si="4"/>
        <v/>
      </c>
    </row>
    <row r="280" spans="1:1" hidden="1" x14ac:dyDescent="0.3">
      <c r="A280" s="199" t="str">
        <f t="shared" si="4"/>
        <v/>
      </c>
    </row>
    <row r="281" spans="1:1" hidden="1" x14ac:dyDescent="0.3">
      <c r="A281" s="199" t="str">
        <f t="shared" si="4"/>
        <v/>
      </c>
    </row>
    <row r="282" spans="1:1" hidden="1" x14ac:dyDescent="0.3">
      <c r="A282" s="199" t="str">
        <f t="shared" si="4"/>
        <v/>
      </c>
    </row>
    <row r="283" spans="1:1" hidden="1" x14ac:dyDescent="0.3">
      <c r="A283" s="199" t="str">
        <f t="shared" si="4"/>
        <v/>
      </c>
    </row>
    <row r="284" spans="1:1" hidden="1" x14ac:dyDescent="0.3">
      <c r="A284" s="199" t="str">
        <f t="shared" si="4"/>
        <v/>
      </c>
    </row>
    <row r="285" spans="1:1" hidden="1" x14ac:dyDescent="0.3">
      <c r="A285" s="199" t="str">
        <f t="shared" si="4"/>
        <v/>
      </c>
    </row>
    <row r="286" spans="1:1" hidden="1" x14ac:dyDescent="0.3">
      <c r="A286" s="199" t="str">
        <f t="shared" si="4"/>
        <v/>
      </c>
    </row>
    <row r="287" spans="1:1" hidden="1" x14ac:dyDescent="0.3">
      <c r="A287" s="199" t="str">
        <f t="shared" si="4"/>
        <v/>
      </c>
    </row>
    <row r="288" spans="1:1" hidden="1" x14ac:dyDescent="0.3">
      <c r="A288" s="199" t="str">
        <f t="shared" si="4"/>
        <v/>
      </c>
    </row>
    <row r="289" spans="1:1" hidden="1" x14ac:dyDescent="0.3">
      <c r="A289" s="199" t="str">
        <f t="shared" si="4"/>
        <v/>
      </c>
    </row>
    <row r="290" spans="1:1" hidden="1" x14ac:dyDescent="0.3">
      <c r="A290" s="199" t="str">
        <f t="shared" si="4"/>
        <v/>
      </c>
    </row>
    <row r="291" spans="1:1" hidden="1" x14ac:dyDescent="0.3">
      <c r="A291" s="199" t="str">
        <f t="shared" si="4"/>
        <v/>
      </c>
    </row>
    <row r="292" spans="1:1" hidden="1" x14ac:dyDescent="0.3">
      <c r="A292" s="199" t="str">
        <f t="shared" si="4"/>
        <v/>
      </c>
    </row>
    <row r="293" spans="1:1" hidden="1" x14ac:dyDescent="0.3">
      <c r="A293" s="199" t="str">
        <f t="shared" si="4"/>
        <v/>
      </c>
    </row>
    <row r="294" spans="1:1" hidden="1" x14ac:dyDescent="0.3">
      <c r="A294" s="199" t="str">
        <f t="shared" si="4"/>
        <v/>
      </c>
    </row>
    <row r="295" spans="1:1" hidden="1" x14ac:dyDescent="0.3">
      <c r="A295" s="199" t="str">
        <f t="shared" si="4"/>
        <v/>
      </c>
    </row>
    <row r="296" spans="1:1" hidden="1" x14ac:dyDescent="0.3">
      <c r="A296" s="199" t="str">
        <f t="shared" si="4"/>
        <v/>
      </c>
    </row>
    <row r="297" spans="1:1" hidden="1" x14ac:dyDescent="0.3">
      <c r="A297" s="199" t="str">
        <f t="shared" si="4"/>
        <v/>
      </c>
    </row>
    <row r="298" spans="1:1" hidden="1" x14ac:dyDescent="0.3">
      <c r="A298" s="199" t="str">
        <f t="shared" si="4"/>
        <v/>
      </c>
    </row>
    <row r="299" spans="1:1" hidden="1" x14ac:dyDescent="0.3">
      <c r="A299" s="199" t="str">
        <f t="shared" si="4"/>
        <v/>
      </c>
    </row>
    <row r="300" spans="1:1" hidden="1" x14ac:dyDescent="0.3">
      <c r="A300" s="199" t="str">
        <f t="shared" si="4"/>
        <v/>
      </c>
    </row>
    <row r="301" spans="1:1" hidden="1" x14ac:dyDescent="0.3">
      <c r="A301" s="199" t="str">
        <f t="shared" si="4"/>
        <v/>
      </c>
    </row>
    <row r="302" spans="1:1" hidden="1" x14ac:dyDescent="0.3">
      <c r="A302" s="199" t="str">
        <f t="shared" si="4"/>
        <v/>
      </c>
    </row>
    <row r="303" spans="1:1" hidden="1" x14ac:dyDescent="0.3">
      <c r="A303" s="199" t="str">
        <f t="shared" si="4"/>
        <v/>
      </c>
    </row>
    <row r="304" spans="1:1" hidden="1" x14ac:dyDescent="0.3">
      <c r="A304" s="199" t="str">
        <f t="shared" si="4"/>
        <v/>
      </c>
    </row>
    <row r="305" spans="1:1" hidden="1" x14ac:dyDescent="0.3">
      <c r="A305" s="199" t="str">
        <f t="shared" si="4"/>
        <v/>
      </c>
    </row>
    <row r="306" spans="1:1" hidden="1" x14ac:dyDescent="0.3">
      <c r="A306" s="199" t="str">
        <f t="shared" si="4"/>
        <v/>
      </c>
    </row>
    <row r="307" spans="1:1" hidden="1" x14ac:dyDescent="0.3">
      <c r="A307" s="199" t="str">
        <f t="shared" si="4"/>
        <v/>
      </c>
    </row>
    <row r="308" spans="1:1" hidden="1" x14ac:dyDescent="0.3">
      <c r="A308" s="199" t="str">
        <f t="shared" si="4"/>
        <v/>
      </c>
    </row>
    <row r="309" spans="1:1" hidden="1" x14ac:dyDescent="0.3">
      <c r="A309" s="199" t="str">
        <f t="shared" si="4"/>
        <v/>
      </c>
    </row>
    <row r="310" spans="1:1" hidden="1" x14ac:dyDescent="0.3">
      <c r="A310" s="199" t="str">
        <f t="shared" si="4"/>
        <v/>
      </c>
    </row>
    <row r="311" spans="1:1" hidden="1" x14ac:dyDescent="0.3">
      <c r="A311" s="199" t="str">
        <f t="shared" si="4"/>
        <v/>
      </c>
    </row>
    <row r="312" spans="1:1" hidden="1" x14ac:dyDescent="0.3">
      <c r="A312" s="199" t="str">
        <f t="shared" si="4"/>
        <v/>
      </c>
    </row>
    <row r="313" spans="1:1" hidden="1" x14ac:dyDescent="0.3">
      <c r="A313" s="199" t="str">
        <f t="shared" si="4"/>
        <v/>
      </c>
    </row>
    <row r="314" spans="1:1" hidden="1" x14ac:dyDescent="0.3">
      <c r="A314" s="199" t="str">
        <f t="shared" si="4"/>
        <v/>
      </c>
    </row>
    <row r="315" spans="1:1" hidden="1" x14ac:dyDescent="0.3">
      <c r="A315" s="199" t="str">
        <f t="shared" si="4"/>
        <v/>
      </c>
    </row>
    <row r="316" spans="1:1" hidden="1" x14ac:dyDescent="0.3">
      <c r="A316" s="199" t="str">
        <f t="shared" si="4"/>
        <v/>
      </c>
    </row>
    <row r="317" spans="1:1" hidden="1" x14ac:dyDescent="0.3">
      <c r="A317" s="199" t="str">
        <f t="shared" si="4"/>
        <v/>
      </c>
    </row>
    <row r="318" spans="1:1" hidden="1" x14ac:dyDescent="0.3">
      <c r="A318" s="199" t="str">
        <f t="shared" si="4"/>
        <v/>
      </c>
    </row>
    <row r="319" spans="1:1" hidden="1" x14ac:dyDescent="0.3">
      <c r="A319" s="199" t="str">
        <f t="shared" si="4"/>
        <v/>
      </c>
    </row>
    <row r="320" spans="1:1" hidden="1" x14ac:dyDescent="0.3">
      <c r="A320" s="199" t="str">
        <f t="shared" si="4"/>
        <v/>
      </c>
    </row>
    <row r="321" spans="1:1" hidden="1" x14ac:dyDescent="0.3">
      <c r="A321" s="199" t="str">
        <f t="shared" si="4"/>
        <v/>
      </c>
    </row>
    <row r="322" spans="1:1" hidden="1" x14ac:dyDescent="0.3">
      <c r="A322" s="199" t="str">
        <f t="shared" si="4"/>
        <v/>
      </c>
    </row>
    <row r="323" spans="1:1" hidden="1" x14ac:dyDescent="0.3">
      <c r="A323" s="199" t="str">
        <f t="shared" si="4"/>
        <v/>
      </c>
    </row>
    <row r="324" spans="1:1" hidden="1" x14ac:dyDescent="0.3">
      <c r="A324" s="199" t="str">
        <f t="shared" si="4"/>
        <v/>
      </c>
    </row>
    <row r="325" spans="1:1" hidden="1" x14ac:dyDescent="0.3">
      <c r="A325" s="199" t="str">
        <f t="shared" ref="A325:A374" si="5">B325&amp;C325</f>
        <v/>
      </c>
    </row>
    <row r="326" spans="1:1" hidden="1" x14ac:dyDescent="0.3">
      <c r="A326" s="199" t="str">
        <f t="shared" si="5"/>
        <v/>
      </c>
    </row>
    <row r="327" spans="1:1" hidden="1" x14ac:dyDescent="0.3">
      <c r="A327" s="199" t="str">
        <f t="shared" si="5"/>
        <v/>
      </c>
    </row>
    <row r="328" spans="1:1" hidden="1" x14ac:dyDescent="0.3">
      <c r="A328" s="199" t="str">
        <f t="shared" si="5"/>
        <v/>
      </c>
    </row>
    <row r="329" spans="1:1" hidden="1" x14ac:dyDescent="0.3">
      <c r="A329" s="199" t="str">
        <f t="shared" si="5"/>
        <v/>
      </c>
    </row>
    <row r="330" spans="1:1" hidden="1" x14ac:dyDescent="0.3">
      <c r="A330" s="199" t="str">
        <f t="shared" si="5"/>
        <v/>
      </c>
    </row>
    <row r="331" spans="1:1" hidden="1" x14ac:dyDescent="0.3">
      <c r="A331" s="199" t="str">
        <f t="shared" si="5"/>
        <v/>
      </c>
    </row>
    <row r="332" spans="1:1" hidden="1" x14ac:dyDescent="0.3">
      <c r="A332" s="199" t="str">
        <f t="shared" si="5"/>
        <v/>
      </c>
    </row>
    <row r="333" spans="1:1" hidden="1" x14ac:dyDescent="0.3">
      <c r="A333" s="199" t="str">
        <f t="shared" si="5"/>
        <v/>
      </c>
    </row>
    <row r="334" spans="1:1" hidden="1" x14ac:dyDescent="0.3">
      <c r="A334" s="199" t="str">
        <f t="shared" si="5"/>
        <v/>
      </c>
    </row>
    <row r="335" spans="1:1" hidden="1" x14ac:dyDescent="0.3">
      <c r="A335" s="199" t="str">
        <f t="shared" si="5"/>
        <v/>
      </c>
    </row>
    <row r="336" spans="1:1" hidden="1" x14ac:dyDescent="0.3">
      <c r="A336" s="199" t="str">
        <f t="shared" si="5"/>
        <v/>
      </c>
    </row>
    <row r="337" spans="1:1" hidden="1" x14ac:dyDescent="0.3">
      <c r="A337" s="199" t="str">
        <f t="shared" si="5"/>
        <v/>
      </c>
    </row>
    <row r="338" spans="1:1" hidden="1" x14ac:dyDescent="0.3">
      <c r="A338" s="199" t="str">
        <f t="shared" si="5"/>
        <v/>
      </c>
    </row>
    <row r="339" spans="1:1" hidden="1" x14ac:dyDescent="0.3">
      <c r="A339" s="199" t="str">
        <f t="shared" si="5"/>
        <v/>
      </c>
    </row>
    <row r="340" spans="1:1" hidden="1" x14ac:dyDescent="0.3">
      <c r="A340" s="199" t="str">
        <f t="shared" si="5"/>
        <v/>
      </c>
    </row>
    <row r="341" spans="1:1" hidden="1" x14ac:dyDescent="0.3">
      <c r="A341" s="199" t="str">
        <f t="shared" si="5"/>
        <v/>
      </c>
    </row>
    <row r="342" spans="1:1" hidden="1" x14ac:dyDescent="0.3">
      <c r="A342" s="199" t="str">
        <f t="shared" si="5"/>
        <v/>
      </c>
    </row>
    <row r="343" spans="1:1" hidden="1" x14ac:dyDescent="0.3">
      <c r="A343" s="199" t="str">
        <f t="shared" si="5"/>
        <v/>
      </c>
    </row>
    <row r="344" spans="1:1" hidden="1" x14ac:dyDescent="0.3">
      <c r="A344" s="199" t="str">
        <f t="shared" si="5"/>
        <v/>
      </c>
    </row>
    <row r="345" spans="1:1" hidden="1" x14ac:dyDescent="0.3">
      <c r="A345" s="199" t="str">
        <f t="shared" si="5"/>
        <v/>
      </c>
    </row>
    <row r="346" spans="1:1" hidden="1" x14ac:dyDescent="0.3">
      <c r="A346" s="199" t="str">
        <f t="shared" si="5"/>
        <v/>
      </c>
    </row>
    <row r="347" spans="1:1" hidden="1" x14ac:dyDescent="0.3">
      <c r="A347" s="199" t="str">
        <f t="shared" si="5"/>
        <v/>
      </c>
    </row>
    <row r="348" spans="1:1" hidden="1" x14ac:dyDescent="0.3">
      <c r="A348" s="199" t="str">
        <f t="shared" si="5"/>
        <v/>
      </c>
    </row>
    <row r="349" spans="1:1" hidden="1" x14ac:dyDescent="0.3">
      <c r="A349" s="199" t="str">
        <f t="shared" si="5"/>
        <v/>
      </c>
    </row>
    <row r="350" spans="1:1" hidden="1" x14ac:dyDescent="0.3">
      <c r="A350" s="199" t="str">
        <f t="shared" si="5"/>
        <v/>
      </c>
    </row>
    <row r="351" spans="1:1" hidden="1" x14ac:dyDescent="0.3">
      <c r="A351" s="199" t="str">
        <f t="shared" si="5"/>
        <v/>
      </c>
    </row>
    <row r="352" spans="1:1" hidden="1" x14ac:dyDescent="0.3">
      <c r="A352" s="199" t="str">
        <f t="shared" si="5"/>
        <v/>
      </c>
    </row>
    <row r="353" spans="1:1" hidden="1" x14ac:dyDescent="0.3">
      <c r="A353" s="199" t="str">
        <f t="shared" si="5"/>
        <v/>
      </c>
    </row>
    <row r="354" spans="1:1" hidden="1" x14ac:dyDescent="0.3">
      <c r="A354" s="199" t="str">
        <f t="shared" si="5"/>
        <v/>
      </c>
    </row>
    <row r="355" spans="1:1" hidden="1" x14ac:dyDescent="0.3">
      <c r="A355" s="199" t="str">
        <f t="shared" si="5"/>
        <v/>
      </c>
    </row>
    <row r="356" spans="1:1" hidden="1" x14ac:dyDescent="0.3">
      <c r="A356" s="199" t="str">
        <f t="shared" si="5"/>
        <v/>
      </c>
    </row>
    <row r="357" spans="1:1" hidden="1" x14ac:dyDescent="0.3">
      <c r="A357" s="199" t="str">
        <f t="shared" si="5"/>
        <v/>
      </c>
    </row>
    <row r="358" spans="1:1" hidden="1" x14ac:dyDescent="0.3">
      <c r="A358" s="199" t="str">
        <f t="shared" si="5"/>
        <v/>
      </c>
    </row>
    <row r="359" spans="1:1" hidden="1" x14ac:dyDescent="0.3">
      <c r="A359" s="199" t="str">
        <f t="shared" si="5"/>
        <v/>
      </c>
    </row>
    <row r="360" spans="1:1" hidden="1" x14ac:dyDescent="0.3">
      <c r="A360" s="199" t="str">
        <f t="shared" si="5"/>
        <v/>
      </c>
    </row>
    <row r="361" spans="1:1" hidden="1" x14ac:dyDescent="0.3">
      <c r="A361" s="199" t="str">
        <f t="shared" si="5"/>
        <v/>
      </c>
    </row>
    <row r="362" spans="1:1" hidden="1" x14ac:dyDescent="0.3">
      <c r="A362" s="199" t="str">
        <f t="shared" si="5"/>
        <v/>
      </c>
    </row>
    <row r="363" spans="1:1" hidden="1" x14ac:dyDescent="0.3">
      <c r="A363" s="199" t="str">
        <f t="shared" si="5"/>
        <v/>
      </c>
    </row>
    <row r="364" spans="1:1" hidden="1" x14ac:dyDescent="0.3">
      <c r="A364" s="199" t="str">
        <f t="shared" si="5"/>
        <v/>
      </c>
    </row>
    <row r="365" spans="1:1" hidden="1" x14ac:dyDescent="0.3">
      <c r="A365" s="199" t="str">
        <f t="shared" si="5"/>
        <v/>
      </c>
    </row>
    <row r="366" spans="1:1" hidden="1" x14ac:dyDescent="0.3">
      <c r="A366" s="199" t="str">
        <f t="shared" si="5"/>
        <v/>
      </c>
    </row>
    <row r="367" spans="1:1" hidden="1" x14ac:dyDescent="0.3">
      <c r="A367" s="199" t="str">
        <f t="shared" si="5"/>
        <v/>
      </c>
    </row>
    <row r="368" spans="1:1" hidden="1" x14ac:dyDescent="0.3">
      <c r="A368" s="199" t="str">
        <f t="shared" si="5"/>
        <v/>
      </c>
    </row>
    <row r="369" spans="1:8" hidden="1" x14ac:dyDescent="0.3">
      <c r="A369" s="199" t="str">
        <f t="shared" si="5"/>
        <v/>
      </c>
    </row>
    <row r="370" spans="1:8" hidden="1" x14ac:dyDescent="0.3">
      <c r="A370" s="199" t="str">
        <f t="shared" si="5"/>
        <v/>
      </c>
    </row>
    <row r="371" spans="1:8" hidden="1" x14ac:dyDescent="0.3">
      <c r="A371" s="199" t="str">
        <f t="shared" si="5"/>
        <v/>
      </c>
    </row>
    <row r="372" spans="1:8" hidden="1" x14ac:dyDescent="0.3">
      <c r="A372" s="199" t="str">
        <f t="shared" si="5"/>
        <v/>
      </c>
    </row>
    <row r="373" spans="1:8" hidden="1" x14ac:dyDescent="0.3">
      <c r="A373" s="199" t="str">
        <f t="shared" si="5"/>
        <v/>
      </c>
    </row>
    <row r="374" spans="1:8" hidden="1" x14ac:dyDescent="0.3">
      <c r="A374" s="199" t="str">
        <f t="shared" si="5"/>
        <v/>
      </c>
    </row>
    <row r="377" spans="1:8" x14ac:dyDescent="0.3">
      <c r="A377" s="468">
        <f>('Meter Reading'!I143+'Meter Reading'!I149)</f>
        <v>683980.59009081672</v>
      </c>
      <c r="B377">
        <f>ROUND((('Meter Reading'!I143+'Meter Reading'!I149)/VLOOKUP("CUST FIELD SERVICESPayroll",'Base 2015 actual for Cost Cente'!$A:$F,6,FALSE))*VLOOKUP("CUST FIELD SERVICESNon-Payroll",'Base 2015 actual for Cost Cente'!$A:$F,6,FALSE),0)</f>
        <v>86332</v>
      </c>
    </row>
    <row r="379" spans="1:8" x14ac:dyDescent="0.3">
      <c r="A379" s="468">
        <f>(A377/F150)*F190</f>
        <v>86331.888075288851</v>
      </c>
    </row>
    <row r="381" spans="1:8" ht="15" thickBot="1" x14ac:dyDescent="0.35"/>
    <row r="382" spans="1:8" ht="21" thickBot="1" x14ac:dyDescent="0.35">
      <c r="B382" s="474"/>
      <c r="C382" s="475"/>
      <c r="D382" s="140" t="s">
        <v>378</v>
      </c>
      <c r="E382" s="141" t="s">
        <v>380</v>
      </c>
      <c r="F382" s="141" t="s">
        <v>380</v>
      </c>
      <c r="G382" s="141" t="s">
        <v>380</v>
      </c>
      <c r="H382" s="141" t="s">
        <v>380</v>
      </c>
    </row>
    <row r="383" spans="1:8" ht="15" thickBot="1" x14ac:dyDescent="0.35">
      <c r="B383" s="476"/>
      <c r="C383" s="477"/>
      <c r="D383" s="140" t="s">
        <v>379</v>
      </c>
      <c r="E383" s="141" t="s">
        <v>381</v>
      </c>
      <c r="F383" s="141" t="s">
        <v>381</v>
      </c>
      <c r="G383" s="141" t="s">
        <v>381</v>
      </c>
      <c r="H383" s="141" t="s">
        <v>381</v>
      </c>
    </row>
    <row r="384" spans="1:8" ht="21" thickBot="1" x14ac:dyDescent="0.35">
      <c r="B384" s="478"/>
      <c r="C384" s="479"/>
      <c r="D384" s="140"/>
      <c r="E384" s="141" t="s">
        <v>130</v>
      </c>
      <c r="F384" s="141" t="s">
        <v>54</v>
      </c>
      <c r="G384" s="141" t="s">
        <v>382</v>
      </c>
      <c r="H384" s="141" t="s">
        <v>383</v>
      </c>
    </row>
    <row r="385" spans="1:8" ht="15" thickBot="1" x14ac:dyDescent="0.35">
      <c r="B385" s="480" t="s">
        <v>55</v>
      </c>
      <c r="C385" s="141" t="s">
        <v>56</v>
      </c>
      <c r="D385" s="142"/>
      <c r="E385" s="140" t="s">
        <v>384</v>
      </c>
      <c r="F385" s="140" t="s">
        <v>384</v>
      </c>
      <c r="G385" s="140" t="s">
        <v>384</v>
      </c>
      <c r="H385" s="140" t="s">
        <v>384</v>
      </c>
    </row>
    <row r="386" spans="1:8" ht="15" thickBot="1" x14ac:dyDescent="0.35">
      <c r="A386" s="355" t="str">
        <f t="shared" ref="A386:A387" si="6">B386&amp;C386</f>
        <v>FIELD SERVICESPAYROLL</v>
      </c>
      <c r="B386" s="144" t="s">
        <v>385</v>
      </c>
      <c r="C386" s="149" t="s">
        <v>68</v>
      </c>
      <c r="D386" s="150" t="s">
        <v>67</v>
      </c>
      <c r="E386" s="469">
        <v>706147.06</v>
      </c>
      <c r="F386" s="469">
        <v>669413.53</v>
      </c>
      <c r="G386" s="469">
        <v>-36733.53</v>
      </c>
      <c r="H386" s="470">
        <v>706147.06</v>
      </c>
    </row>
    <row r="387" spans="1:8" ht="15" thickBot="1" x14ac:dyDescent="0.35">
      <c r="A387" s="355" t="str">
        <f t="shared" si="6"/>
        <v>FIELD SERVICESNON-PAYROLL</v>
      </c>
      <c r="B387" s="144" t="s">
        <v>385</v>
      </c>
      <c r="C387" s="149" t="s">
        <v>86</v>
      </c>
      <c r="D387" s="150" t="s">
        <v>85</v>
      </c>
      <c r="E387" s="469">
        <v>41648.080000000002</v>
      </c>
      <c r="F387" s="471">
        <v>24947.64</v>
      </c>
      <c r="G387" s="469">
        <v>-16700.439999999999</v>
      </c>
      <c r="H387" s="470">
        <v>41648.080000000002</v>
      </c>
    </row>
    <row r="388" spans="1:8" ht="15" thickBot="1" x14ac:dyDescent="0.35">
      <c r="B388" s="144" t="s">
        <v>155</v>
      </c>
      <c r="C388" s="149" t="s">
        <v>68</v>
      </c>
      <c r="D388" s="150" t="s">
        <v>67</v>
      </c>
      <c r="E388" s="472">
        <v>457454.43</v>
      </c>
      <c r="F388" s="472">
        <v>422213.3</v>
      </c>
      <c r="G388" s="472">
        <v>-35241.129999999997</v>
      </c>
      <c r="H388" s="473">
        <v>457454.43</v>
      </c>
    </row>
    <row r="389" spans="1:8" ht="15" thickBot="1" x14ac:dyDescent="0.35">
      <c r="B389" s="144" t="s">
        <v>155</v>
      </c>
      <c r="C389" s="149" t="s">
        <v>86</v>
      </c>
      <c r="D389" s="150" t="s">
        <v>85</v>
      </c>
      <c r="E389" s="469">
        <v>23400</v>
      </c>
      <c r="F389" s="471">
        <v>7960.49</v>
      </c>
      <c r="G389" s="469">
        <v>-15439.51</v>
      </c>
      <c r="H389" s="470">
        <v>23400</v>
      </c>
    </row>
    <row r="390" spans="1:8" ht="15" thickBot="1" x14ac:dyDescent="0.35">
      <c r="C390" s="481" t="s">
        <v>34</v>
      </c>
      <c r="D390" s="150" t="s">
        <v>67</v>
      </c>
      <c r="E390" s="482">
        <f>E386+E388</f>
        <v>1163601.49</v>
      </c>
      <c r="F390" s="482">
        <f>F386+F388</f>
        <v>1091626.83</v>
      </c>
    </row>
    <row r="391" spans="1:8" ht="15" thickBot="1" x14ac:dyDescent="0.35">
      <c r="C391" s="481" t="s">
        <v>34</v>
      </c>
      <c r="D391" s="150" t="s">
        <v>85</v>
      </c>
      <c r="E391" s="482">
        <f>E387+E389</f>
        <v>65048.08</v>
      </c>
      <c r="F391" s="482">
        <f>F387+F389</f>
        <v>32908.129999999997</v>
      </c>
    </row>
  </sheetData>
  <autoFilter ref="A2:F374">
    <filterColumn colId="2">
      <filters>
        <filter val="Non-Payroll"/>
        <filter val="Payroll"/>
      </filters>
    </filterColumn>
  </autoFilter>
  <mergeCells count="2">
    <mergeCell ref="B1:C1"/>
    <mergeCell ref="B3:D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zoomScale="70" zoomScaleNormal="70" workbookViewId="0">
      <selection activeCell="H24" sqref="H24"/>
    </sheetView>
  </sheetViews>
  <sheetFormatPr defaultRowHeight="14.4" x14ac:dyDescent="0.3"/>
  <cols>
    <col min="1" max="1" width="16.109375" customWidth="1"/>
    <col min="2" max="2" width="34.33203125" bestFit="1" customWidth="1"/>
    <col min="3" max="3" width="8.5546875" bestFit="1" customWidth="1"/>
    <col min="4" max="5" width="10.5546875" customWidth="1"/>
    <col min="6" max="6" width="15.33203125" bestFit="1" customWidth="1"/>
    <col min="7" max="8" width="10.5546875" customWidth="1"/>
    <col min="9" max="9" width="15.33203125" bestFit="1" customWidth="1"/>
    <col min="10" max="11" width="10.5546875" customWidth="1"/>
    <col min="12" max="12" width="15.33203125" bestFit="1" customWidth="1"/>
    <col min="13" max="14" width="10.5546875" customWidth="1"/>
    <col min="15" max="15" width="12.44140625" customWidth="1"/>
    <col min="20" max="20" width="12.5546875" customWidth="1"/>
  </cols>
  <sheetData>
    <row r="1" spans="1:26" ht="21" x14ac:dyDescent="0.4">
      <c r="A1" s="4"/>
      <c r="B1" s="5"/>
      <c r="D1" s="603" t="s">
        <v>0</v>
      </c>
      <c r="E1" s="20"/>
      <c r="F1" s="20"/>
      <c r="G1" s="337" t="s">
        <v>1</v>
      </c>
      <c r="H1" s="20"/>
      <c r="I1" s="338"/>
      <c r="J1" s="604" t="s">
        <v>252</v>
      </c>
      <c r="K1" s="20"/>
      <c r="L1" s="338"/>
      <c r="M1" s="604" t="s">
        <v>3</v>
      </c>
      <c r="N1" s="20"/>
      <c r="O1" s="338"/>
      <c r="T1" t="s">
        <v>520</v>
      </c>
    </row>
    <row r="2" spans="1:26" ht="21" x14ac:dyDescent="0.4">
      <c r="B2" s="608">
        <v>2015</v>
      </c>
      <c r="C2" s="9"/>
      <c r="D2" s="601" t="s">
        <v>22</v>
      </c>
      <c r="E2" s="601" t="s">
        <v>23</v>
      </c>
      <c r="F2" s="609" t="s">
        <v>53</v>
      </c>
      <c r="G2" s="601" t="s">
        <v>22</v>
      </c>
      <c r="H2" s="601" t="s">
        <v>23</v>
      </c>
      <c r="I2" s="609" t="s">
        <v>53</v>
      </c>
      <c r="J2" s="601" t="s">
        <v>22</v>
      </c>
      <c r="K2" s="601" t="s">
        <v>23</v>
      </c>
      <c r="L2" s="609" t="s">
        <v>53</v>
      </c>
      <c r="M2" s="601" t="s">
        <v>22</v>
      </c>
      <c r="N2" s="601" t="s">
        <v>23</v>
      </c>
      <c r="O2" s="609" t="s">
        <v>53</v>
      </c>
      <c r="T2" s="604" t="s">
        <v>3</v>
      </c>
      <c r="U2" s="20"/>
      <c r="V2" s="338"/>
    </row>
    <row r="3" spans="1:26" ht="21" x14ac:dyDescent="0.4">
      <c r="A3" s="605" t="s">
        <v>396</v>
      </c>
      <c r="B3" s="8"/>
      <c r="C3" s="9"/>
      <c r="D3" s="371">
        <v>6957485</v>
      </c>
      <c r="E3" s="371">
        <v>693226</v>
      </c>
      <c r="F3" s="371">
        <v>23142</v>
      </c>
      <c r="G3" s="372">
        <v>6937370</v>
      </c>
      <c r="H3" s="372">
        <v>693226</v>
      </c>
      <c r="I3" s="372">
        <v>23142</v>
      </c>
      <c r="J3" s="372">
        <v>6139122</v>
      </c>
      <c r="K3" s="372">
        <v>654481</v>
      </c>
      <c r="L3" s="372">
        <v>23142</v>
      </c>
      <c r="M3" s="613">
        <f>M6*($D$3/($D$3+$D$4))</f>
        <v>130756.86812123199</v>
      </c>
      <c r="N3" s="613">
        <f t="shared" ref="N3:O3" si="0">N6*($D$3/($D$3+$D$4))</f>
        <v>6266.4316472939427</v>
      </c>
      <c r="O3" s="613">
        <f t="shared" si="0"/>
        <v>20.487267645737127</v>
      </c>
      <c r="T3" s="611" t="s">
        <v>22</v>
      </c>
      <c r="U3" s="611" t="s">
        <v>23</v>
      </c>
      <c r="V3" s="609" t="s">
        <v>53</v>
      </c>
    </row>
    <row r="4" spans="1:26" ht="21.6" thickBot="1" x14ac:dyDescent="0.45">
      <c r="A4" s="605" t="s">
        <v>397</v>
      </c>
      <c r="B4" s="8"/>
      <c r="C4" s="9"/>
      <c r="D4" s="371">
        <v>853325</v>
      </c>
      <c r="E4" s="371">
        <v>68580</v>
      </c>
      <c r="F4" s="371">
        <v>1915</v>
      </c>
      <c r="G4" s="371">
        <v>846712</v>
      </c>
      <c r="H4" s="371">
        <v>68580</v>
      </c>
      <c r="I4" s="371">
        <v>1915</v>
      </c>
      <c r="J4" s="371">
        <v>744805</v>
      </c>
      <c r="K4" s="371">
        <v>69296</v>
      </c>
      <c r="L4" s="371">
        <v>1915</v>
      </c>
      <c r="M4" s="371">
        <f>M6*($D$4/($D3+$D4))</f>
        <v>16037.131878768014</v>
      </c>
      <c r="N4" s="371">
        <f t="shared" ref="N4:O4" si="1">N6*($D$4/($D3+$D4))</f>
        <v>768.56835270605734</v>
      </c>
      <c r="O4" s="371">
        <f t="shared" si="1"/>
        <v>2.5127323542628739</v>
      </c>
      <c r="T4" s="372">
        <v>17178</v>
      </c>
      <c r="U4" s="372">
        <v>2059</v>
      </c>
      <c r="V4" s="372">
        <v>0</v>
      </c>
    </row>
    <row r="5" spans="1:26" ht="22.2" thickTop="1" thickBot="1" x14ac:dyDescent="0.45">
      <c r="A5" s="7"/>
      <c r="B5" s="374" t="s">
        <v>513</v>
      </c>
      <c r="D5" s="399">
        <f>(D3+D4)/12</f>
        <v>650900.83333333337</v>
      </c>
      <c r="E5" s="399">
        <f t="shared" ref="E5:O5" si="2">(E3+E4)/12</f>
        <v>63483.833333333336</v>
      </c>
      <c r="F5" s="399">
        <f t="shared" si="2"/>
        <v>2088.0833333333335</v>
      </c>
      <c r="G5" s="399">
        <f t="shared" si="2"/>
        <v>648673.5</v>
      </c>
      <c r="H5" s="399">
        <f t="shared" si="2"/>
        <v>63483.833333333336</v>
      </c>
      <c r="I5" s="399">
        <f t="shared" si="2"/>
        <v>2088.0833333333335</v>
      </c>
      <c r="J5" s="399">
        <f t="shared" si="2"/>
        <v>573660.58333333337</v>
      </c>
      <c r="K5" s="399">
        <f t="shared" si="2"/>
        <v>60314.75</v>
      </c>
      <c r="L5" s="399">
        <f t="shared" si="2"/>
        <v>2088.0833333333335</v>
      </c>
      <c r="M5" s="399">
        <f t="shared" si="2"/>
        <v>12232.833333333334</v>
      </c>
      <c r="N5" s="399">
        <f t="shared" si="2"/>
        <v>586.25</v>
      </c>
      <c r="O5" s="399">
        <f t="shared" si="2"/>
        <v>1.9166666666666667</v>
      </c>
      <c r="T5" s="371">
        <v>2629</v>
      </c>
      <c r="U5" s="371">
        <v>230</v>
      </c>
      <c r="V5" s="371">
        <v>0</v>
      </c>
    </row>
    <row r="6" spans="1:26" ht="21.6" thickTop="1" x14ac:dyDescent="0.4">
      <c r="A6" s="7"/>
      <c r="B6" s="606"/>
      <c r="D6" s="607"/>
      <c r="E6" s="607"/>
      <c r="F6" s="607"/>
      <c r="G6" s="607"/>
      <c r="H6" s="607"/>
      <c r="I6" s="607"/>
      <c r="J6" s="607"/>
      <c r="K6" s="607"/>
      <c r="L6" s="607"/>
      <c r="M6" s="614">
        <v>146794</v>
      </c>
      <c r="N6" s="614">
        <v>7035</v>
      </c>
      <c r="O6" s="614">
        <v>23</v>
      </c>
      <c r="P6" t="s">
        <v>519</v>
      </c>
      <c r="T6" s="399">
        <f t="shared" ref="T6:V6" si="3">(T4+T5)/12</f>
        <v>1650.5833333333333</v>
      </c>
      <c r="U6" s="399">
        <f t="shared" si="3"/>
        <v>190.75</v>
      </c>
      <c r="V6" s="399">
        <f t="shared" si="3"/>
        <v>0</v>
      </c>
    </row>
    <row r="7" spans="1:26" ht="21" x14ac:dyDescent="0.4">
      <c r="B7" s="608">
        <v>2016</v>
      </c>
      <c r="C7" s="9"/>
      <c r="D7" s="601" t="s">
        <v>22</v>
      </c>
      <c r="E7" s="601" t="s">
        <v>23</v>
      </c>
      <c r="F7" s="609" t="s">
        <v>53</v>
      </c>
      <c r="G7" s="601" t="s">
        <v>22</v>
      </c>
      <c r="H7" s="601" t="s">
        <v>23</v>
      </c>
      <c r="I7" s="609" t="s">
        <v>53</v>
      </c>
      <c r="J7" s="601" t="s">
        <v>22</v>
      </c>
      <c r="K7" s="601" t="s">
        <v>23</v>
      </c>
      <c r="L7" s="609" t="s">
        <v>53</v>
      </c>
      <c r="M7" s="601" t="s">
        <v>22</v>
      </c>
      <c r="N7" s="601" t="s">
        <v>23</v>
      </c>
      <c r="O7" s="609" t="s">
        <v>53</v>
      </c>
    </row>
    <row r="8" spans="1:26" ht="21" x14ac:dyDescent="0.4">
      <c r="A8" s="605" t="s">
        <v>396</v>
      </c>
      <c r="B8" s="8"/>
      <c r="C8" s="9"/>
      <c r="D8" s="371">
        <v>7071493</v>
      </c>
      <c r="E8" s="371">
        <v>725380</v>
      </c>
      <c r="F8" s="371">
        <v>25979</v>
      </c>
      <c r="G8" s="372">
        <v>7046405</v>
      </c>
      <c r="H8" s="372">
        <v>719493</v>
      </c>
      <c r="I8" s="372">
        <v>23771</v>
      </c>
      <c r="J8" s="631">
        <v>6102732</v>
      </c>
      <c r="K8" s="631">
        <f>654517-23771</f>
        <v>630746</v>
      </c>
      <c r="L8" s="631">
        <v>23771</v>
      </c>
      <c r="M8" s="632">
        <f>M11*($D$8/($D$8+$D$9))</f>
        <v>121067.51307996671</v>
      </c>
      <c r="N8" s="632">
        <f t="shared" ref="N8:O8" si="4">N11*($D$8/($D$8+$D$9))</f>
        <v>6014.5391695676217</v>
      </c>
      <c r="O8" s="632">
        <f t="shared" si="4"/>
        <v>32.030090252135267</v>
      </c>
      <c r="Q8" s="501" t="s">
        <v>526</v>
      </c>
      <c r="R8" s="501"/>
      <c r="S8" s="501"/>
      <c r="T8" s="501"/>
      <c r="U8" s="501"/>
      <c r="V8" s="501"/>
      <c r="W8" s="501"/>
      <c r="X8" s="501"/>
      <c r="Y8" s="501"/>
      <c r="Z8" s="501"/>
    </row>
    <row r="9" spans="1:26" ht="21.6" thickBot="1" x14ac:dyDescent="0.45">
      <c r="A9" s="605" t="s">
        <v>397</v>
      </c>
      <c r="B9" s="8"/>
      <c r="C9" s="9"/>
      <c r="D9" s="371">
        <v>876463</v>
      </c>
      <c r="E9" s="371">
        <v>78145</v>
      </c>
      <c r="F9" s="371">
        <v>2068</v>
      </c>
      <c r="G9" s="371">
        <v>871639</v>
      </c>
      <c r="H9" s="371">
        <v>77626</v>
      </c>
      <c r="I9" s="371">
        <v>1884</v>
      </c>
      <c r="J9" s="633">
        <v>746554</v>
      </c>
      <c r="K9" s="633">
        <f>67414-1884</f>
        <v>65530</v>
      </c>
      <c r="L9" s="633">
        <v>1884</v>
      </c>
      <c r="M9" s="633">
        <f>M11*($D$9/($D8+$D9))</f>
        <v>15005.486920033276</v>
      </c>
      <c r="N9" s="633">
        <f t="shared" ref="N9:O9" si="5">N11*($D$9/($D8+$D9))</f>
        <v>745.46083043237775</v>
      </c>
      <c r="O9" s="633">
        <f t="shared" si="5"/>
        <v>3.9699097478647341</v>
      </c>
    </row>
    <row r="10" spans="1:26" ht="22.2" thickTop="1" thickBot="1" x14ac:dyDescent="0.45">
      <c r="A10" s="7"/>
      <c r="B10" s="374" t="s">
        <v>513</v>
      </c>
      <c r="D10" s="399">
        <f>(D8+D9)/12</f>
        <v>662329.66666666663</v>
      </c>
      <c r="E10" s="399">
        <f t="shared" ref="E10:O10" si="6">(E8+E9)/12</f>
        <v>66960.416666666672</v>
      </c>
      <c r="F10" s="399">
        <f t="shared" si="6"/>
        <v>2337.25</v>
      </c>
      <c r="G10" s="399">
        <f t="shared" si="6"/>
        <v>659837</v>
      </c>
      <c r="H10" s="399">
        <f t="shared" si="6"/>
        <v>66426.583333333328</v>
      </c>
      <c r="I10" s="399">
        <f t="shared" si="6"/>
        <v>2137.9166666666665</v>
      </c>
      <c r="J10" s="399">
        <f t="shared" si="6"/>
        <v>570773.83333333337</v>
      </c>
      <c r="K10" s="399">
        <f t="shared" si="6"/>
        <v>58023</v>
      </c>
      <c r="L10" s="399">
        <f t="shared" si="6"/>
        <v>2137.9166666666665</v>
      </c>
      <c r="M10" s="399">
        <f t="shared" si="6"/>
        <v>11339.416666666666</v>
      </c>
      <c r="N10" s="399">
        <f t="shared" si="6"/>
        <v>563.33333333333326</v>
      </c>
      <c r="O10" s="399">
        <f t="shared" si="6"/>
        <v>3</v>
      </c>
    </row>
    <row r="11" spans="1:26" ht="21.6" thickTop="1" x14ac:dyDescent="0.4">
      <c r="A11" s="7"/>
      <c r="B11" s="606"/>
      <c r="D11" s="607"/>
      <c r="E11" s="607"/>
      <c r="F11" s="607"/>
      <c r="G11" s="607"/>
      <c r="H11" s="607"/>
      <c r="I11" s="607"/>
      <c r="J11" s="607"/>
      <c r="K11" s="607"/>
      <c r="L11" s="607"/>
      <c r="M11" s="614">
        <v>136073</v>
      </c>
      <c r="N11" s="614">
        <v>6760</v>
      </c>
      <c r="O11" s="614">
        <v>36</v>
      </c>
      <c r="P11" t="s">
        <v>519</v>
      </c>
    </row>
    <row r="12" spans="1:26" x14ac:dyDescent="0.3">
      <c r="A12" t="s">
        <v>512</v>
      </c>
      <c r="I12" t="s">
        <v>516</v>
      </c>
      <c r="J12" s="612" t="s">
        <v>514</v>
      </c>
      <c r="K12" s="2"/>
      <c r="L12" s="2"/>
      <c r="M12" s="2"/>
    </row>
    <row r="13" spans="1:26" x14ac:dyDescent="0.3">
      <c r="J13" s="612" t="s">
        <v>515</v>
      </c>
      <c r="K13" s="2"/>
      <c r="L13" s="2"/>
      <c r="M13" s="2"/>
    </row>
    <row r="14" spans="1:26" x14ac:dyDescent="0.3">
      <c r="J14" s="612" t="s">
        <v>517</v>
      </c>
      <c r="K14" s="2"/>
      <c r="L14" s="264"/>
      <c r="M14" s="264"/>
      <c r="N14" s="602"/>
    </row>
    <row r="15" spans="1:26" x14ac:dyDescent="0.3">
      <c r="J15" s="612" t="s">
        <v>518</v>
      </c>
      <c r="K15" s="2"/>
      <c r="L15" s="264"/>
      <c r="M15" s="264"/>
      <c r="N15" s="602"/>
    </row>
    <row r="16" spans="1:26" x14ac:dyDescent="0.3">
      <c r="J16" s="612"/>
      <c r="K16" s="2"/>
      <c r="L16" s="264"/>
      <c r="M16" s="264"/>
      <c r="N16" s="648"/>
    </row>
    <row r="17" spans="1:25" x14ac:dyDescent="0.3">
      <c r="J17" s="612"/>
      <c r="K17" s="2"/>
      <c r="L17" s="264"/>
      <c r="M17" s="264"/>
      <c r="N17" s="648"/>
    </row>
    <row r="18" spans="1:25" ht="21" x14ac:dyDescent="0.4">
      <c r="A18" s="4" t="s">
        <v>534</v>
      </c>
      <c r="K18" s="4" t="s">
        <v>570</v>
      </c>
      <c r="X18" s="4" t="s">
        <v>570</v>
      </c>
    </row>
    <row r="19" spans="1:25" ht="21" x14ac:dyDescent="0.4">
      <c r="A19" t="s">
        <v>535</v>
      </c>
      <c r="G19" s="4">
        <v>2015</v>
      </c>
      <c r="K19" s="4">
        <v>2015</v>
      </c>
      <c r="N19" t="s">
        <v>571</v>
      </c>
      <c r="T19" s="4">
        <v>2016</v>
      </c>
      <c r="X19" s="4">
        <v>2016</v>
      </c>
    </row>
    <row r="20" spans="1:25" x14ac:dyDescent="0.3">
      <c r="A20" t="s">
        <v>536</v>
      </c>
      <c r="B20" t="s">
        <v>128</v>
      </c>
      <c r="C20" t="s">
        <v>537</v>
      </c>
      <c r="D20" t="s">
        <v>538</v>
      </c>
      <c r="E20" t="s">
        <v>539</v>
      </c>
      <c r="F20" t="s">
        <v>540</v>
      </c>
      <c r="G20" t="s">
        <v>541</v>
      </c>
      <c r="H20" t="s">
        <v>542</v>
      </c>
      <c r="I20" t="s">
        <v>543</v>
      </c>
      <c r="N20" t="s">
        <v>536</v>
      </c>
      <c r="O20" t="s">
        <v>128</v>
      </c>
      <c r="P20" t="s">
        <v>537</v>
      </c>
      <c r="Q20" t="s">
        <v>538</v>
      </c>
      <c r="R20" t="s">
        <v>539</v>
      </c>
      <c r="S20" t="s">
        <v>540</v>
      </c>
      <c r="T20" t="s">
        <v>541</v>
      </c>
      <c r="U20" t="s">
        <v>542</v>
      </c>
      <c r="V20" t="s">
        <v>543</v>
      </c>
    </row>
    <row r="21" spans="1:25" x14ac:dyDescent="0.3">
      <c r="A21" t="s">
        <v>544</v>
      </c>
      <c r="B21" s="649" t="s">
        <v>545</v>
      </c>
      <c r="C21" s="650">
        <v>576247</v>
      </c>
      <c r="D21" s="468">
        <v>550555</v>
      </c>
      <c r="E21" t="s">
        <v>367</v>
      </c>
      <c r="F21">
        <v>201512</v>
      </c>
      <c r="G21" s="468">
        <v>57661141.100000001</v>
      </c>
      <c r="H21">
        <v>-58750768.009999998</v>
      </c>
      <c r="I21">
        <v>-1.0188999999999999</v>
      </c>
      <c r="K21" s="649" t="s">
        <v>572</v>
      </c>
      <c r="L21" s="650">
        <f>C21+C42+C43+C23+C46</f>
        <v>649132</v>
      </c>
      <c r="N21" t="s">
        <v>544</v>
      </c>
      <c r="O21" s="649" t="s">
        <v>545</v>
      </c>
      <c r="P21" s="650">
        <v>584289</v>
      </c>
      <c r="Q21" s="468">
        <v>558491</v>
      </c>
      <c r="R21" t="s">
        <v>367</v>
      </c>
      <c r="S21">
        <v>201612</v>
      </c>
      <c r="T21" s="468">
        <v>55468509.799999997</v>
      </c>
      <c r="U21">
        <v>-55765012.840000004</v>
      </c>
      <c r="V21">
        <v>-1.0053000000000001</v>
      </c>
      <c r="X21" s="649" t="s">
        <v>572</v>
      </c>
      <c r="Y21" s="650">
        <f>P21+P42+P43+P23+P46</f>
        <v>659613</v>
      </c>
    </row>
    <row r="22" spans="1:25" x14ac:dyDescent="0.3">
      <c r="A22" t="s">
        <v>544</v>
      </c>
      <c r="B22" s="649" t="s">
        <v>546</v>
      </c>
      <c r="C22" s="651">
        <v>57021</v>
      </c>
      <c r="D22" s="468">
        <v>51554</v>
      </c>
      <c r="E22" t="s">
        <v>367</v>
      </c>
      <c r="F22">
        <v>201512</v>
      </c>
      <c r="G22" s="468">
        <v>23240138.800000001</v>
      </c>
      <c r="H22">
        <v>-21356967.010000002</v>
      </c>
      <c r="I22">
        <v>-0.91900000000000004</v>
      </c>
      <c r="K22" s="649">
        <v>3</v>
      </c>
      <c r="L22" s="651">
        <f>C22+C26+C45+C49+C44</f>
        <v>63091</v>
      </c>
      <c r="N22" t="s">
        <v>544</v>
      </c>
      <c r="O22" s="649" t="s">
        <v>546</v>
      </c>
      <c r="P22" s="651">
        <v>57247</v>
      </c>
      <c r="Q22" s="468">
        <v>51800</v>
      </c>
      <c r="R22" t="s">
        <v>367</v>
      </c>
      <c r="S22">
        <v>201612</v>
      </c>
      <c r="T22" s="468">
        <v>21907124.399999999</v>
      </c>
      <c r="U22">
        <v>-20006744.57</v>
      </c>
      <c r="V22">
        <v>-0.9133</v>
      </c>
      <c r="X22" s="649">
        <v>3</v>
      </c>
      <c r="Y22" s="651">
        <f>P22+P26+P45+P49+P44</f>
        <v>63443</v>
      </c>
    </row>
    <row r="23" spans="1:25" x14ac:dyDescent="0.3">
      <c r="A23" t="s">
        <v>544</v>
      </c>
      <c r="B23" s="649" t="s">
        <v>547</v>
      </c>
      <c r="C23" s="650">
        <v>1750</v>
      </c>
      <c r="D23" s="468">
        <v>1667</v>
      </c>
      <c r="E23" t="s">
        <v>367</v>
      </c>
      <c r="F23">
        <v>201512</v>
      </c>
      <c r="G23" s="468">
        <v>158719.70000000001</v>
      </c>
      <c r="H23">
        <v>-137149.59</v>
      </c>
      <c r="I23">
        <v>-0.86409999999999998</v>
      </c>
      <c r="K23" s="649" t="s">
        <v>573</v>
      </c>
      <c r="L23" s="652">
        <f>SUM(C24:C25,C27:C33,C40,C47:C48,C50:C55,C57)</f>
        <v>2061</v>
      </c>
      <c r="N23" t="s">
        <v>544</v>
      </c>
      <c r="O23" s="649" t="s">
        <v>547</v>
      </c>
      <c r="P23" s="650">
        <v>2074</v>
      </c>
      <c r="Q23" s="468">
        <v>1950</v>
      </c>
      <c r="R23" t="s">
        <v>367</v>
      </c>
      <c r="S23">
        <v>201612</v>
      </c>
      <c r="T23" s="468">
        <v>196101.6</v>
      </c>
      <c r="U23">
        <v>-167384.54999999999</v>
      </c>
      <c r="V23">
        <v>-0.85360000000000003</v>
      </c>
      <c r="X23" s="649" t="s">
        <v>573</v>
      </c>
      <c r="Y23" s="652">
        <f>SUM(P24:P25,P27:P33,P40,P47:P48,P50:P55,P57)</f>
        <v>2049</v>
      </c>
    </row>
    <row r="24" spans="1:25" x14ac:dyDescent="0.3">
      <c r="A24" t="s">
        <v>544</v>
      </c>
      <c r="B24" s="649" t="s">
        <v>548</v>
      </c>
      <c r="C24" s="652">
        <v>839</v>
      </c>
      <c r="D24" s="468">
        <v>601</v>
      </c>
      <c r="E24" t="s">
        <v>367</v>
      </c>
      <c r="F24">
        <v>201512</v>
      </c>
      <c r="G24" s="468">
        <v>4152929.9</v>
      </c>
      <c r="H24">
        <v>-3248167.68</v>
      </c>
      <c r="I24">
        <v>-0.78210000000000002</v>
      </c>
      <c r="K24" s="649" t="s">
        <v>278</v>
      </c>
      <c r="L24" s="649">
        <f>SUM(C21:C33,C40,C42:C55,C57)-SUM(L21:L23)</f>
        <v>0</v>
      </c>
      <c r="N24" t="s">
        <v>544</v>
      </c>
      <c r="O24" s="649" t="s">
        <v>548</v>
      </c>
      <c r="P24" s="652">
        <v>773</v>
      </c>
      <c r="Q24" s="468">
        <v>550</v>
      </c>
      <c r="R24" t="s">
        <v>367</v>
      </c>
      <c r="S24">
        <v>201612</v>
      </c>
      <c r="T24" s="468">
        <v>3522339.4</v>
      </c>
      <c r="U24">
        <v>-2728655.58</v>
      </c>
      <c r="V24">
        <v>-0.77470000000000006</v>
      </c>
      <c r="X24" s="649" t="s">
        <v>278</v>
      </c>
      <c r="Y24" s="649">
        <f>SUM(P21:P33,P40,P42:P55,P57)-SUM(Y21:Y23)</f>
        <v>0</v>
      </c>
    </row>
    <row r="25" spans="1:25" x14ac:dyDescent="0.3">
      <c r="A25" t="s">
        <v>544</v>
      </c>
      <c r="B25" s="649" t="s">
        <v>549</v>
      </c>
      <c r="C25" s="652">
        <v>354</v>
      </c>
      <c r="D25" s="468">
        <v>226</v>
      </c>
      <c r="E25" t="s">
        <v>367</v>
      </c>
      <c r="F25">
        <v>201512</v>
      </c>
      <c r="G25" s="468">
        <v>4417653.5</v>
      </c>
      <c r="H25">
        <v>-2821406.64</v>
      </c>
      <c r="I25">
        <v>-0.63870000000000005</v>
      </c>
      <c r="N25" t="s">
        <v>544</v>
      </c>
      <c r="O25" s="649" t="s">
        <v>549</v>
      </c>
      <c r="P25" s="652">
        <v>412</v>
      </c>
      <c r="Q25" s="468">
        <v>265</v>
      </c>
      <c r="R25" t="s">
        <v>367</v>
      </c>
      <c r="S25">
        <v>201612</v>
      </c>
      <c r="T25" s="468">
        <v>4681622.5</v>
      </c>
      <c r="U25">
        <v>-2968596.01</v>
      </c>
      <c r="V25">
        <v>-0.6341</v>
      </c>
    </row>
    <row r="26" spans="1:25" x14ac:dyDescent="0.3">
      <c r="A26" t="s">
        <v>544</v>
      </c>
      <c r="B26" s="649" t="s">
        <v>550</v>
      </c>
      <c r="C26" s="651">
        <v>334</v>
      </c>
      <c r="D26" s="468">
        <v>203</v>
      </c>
      <c r="E26" t="s">
        <v>367</v>
      </c>
      <c r="F26">
        <v>201512</v>
      </c>
      <c r="G26" s="468">
        <v>506246.40000000002</v>
      </c>
      <c r="H26">
        <v>-426016.17</v>
      </c>
      <c r="I26">
        <v>-0.84150000000000003</v>
      </c>
      <c r="N26" t="s">
        <v>544</v>
      </c>
      <c r="O26" s="649" t="s">
        <v>550</v>
      </c>
      <c r="P26" s="651">
        <v>343</v>
      </c>
      <c r="Q26" s="468">
        <v>212</v>
      </c>
      <c r="R26" t="s">
        <v>367</v>
      </c>
      <c r="S26">
        <v>201612</v>
      </c>
      <c r="T26" s="468">
        <v>534197.5</v>
      </c>
      <c r="U26">
        <v>-459029.7</v>
      </c>
      <c r="V26">
        <v>-0.85929999999999995</v>
      </c>
    </row>
    <row r="27" spans="1:25" x14ac:dyDescent="0.3">
      <c r="A27" t="s">
        <v>544</v>
      </c>
      <c r="B27" s="649" t="s">
        <v>551</v>
      </c>
      <c r="C27" s="652">
        <v>202</v>
      </c>
      <c r="D27" s="468">
        <v>139</v>
      </c>
      <c r="E27" t="s">
        <v>367</v>
      </c>
      <c r="F27">
        <v>201512</v>
      </c>
      <c r="G27" s="468">
        <v>1340197.5</v>
      </c>
      <c r="H27">
        <v>-896290.3</v>
      </c>
      <c r="I27">
        <v>-0.66879999999999995</v>
      </c>
      <c r="N27" t="s">
        <v>544</v>
      </c>
      <c r="O27" s="649" t="s">
        <v>551</v>
      </c>
      <c r="P27" s="652">
        <v>209</v>
      </c>
      <c r="Q27" s="468">
        <v>145</v>
      </c>
      <c r="R27" t="s">
        <v>367</v>
      </c>
      <c r="S27">
        <v>201612</v>
      </c>
      <c r="T27" s="468">
        <v>1278632.2</v>
      </c>
      <c r="U27">
        <v>-852716.76</v>
      </c>
      <c r="V27">
        <v>-0.66690000000000005</v>
      </c>
    </row>
    <row r="28" spans="1:25" x14ac:dyDescent="0.3">
      <c r="A28" t="s">
        <v>544</v>
      </c>
      <c r="B28" s="649" t="s">
        <v>552</v>
      </c>
      <c r="C28" s="652">
        <v>53</v>
      </c>
      <c r="D28" s="468">
        <v>39</v>
      </c>
      <c r="E28" t="s">
        <v>367</v>
      </c>
      <c r="F28">
        <v>201512</v>
      </c>
      <c r="G28" s="468">
        <v>1208448.6000000001</v>
      </c>
      <c r="H28">
        <v>-711913.26</v>
      </c>
      <c r="I28">
        <v>-0.58909999999999996</v>
      </c>
      <c r="N28" t="s">
        <v>544</v>
      </c>
      <c r="O28" s="649" t="s">
        <v>552</v>
      </c>
      <c r="P28" s="652">
        <v>50</v>
      </c>
      <c r="Q28" s="468">
        <v>38</v>
      </c>
      <c r="R28" t="s">
        <v>367</v>
      </c>
      <c r="S28">
        <v>201612</v>
      </c>
      <c r="T28" s="468">
        <v>1063951.7</v>
      </c>
      <c r="U28">
        <v>-627012.24</v>
      </c>
      <c r="V28">
        <v>-0.58930000000000005</v>
      </c>
    </row>
    <row r="29" spans="1:25" x14ac:dyDescent="0.3">
      <c r="A29" t="s">
        <v>544</v>
      </c>
      <c r="B29" s="649" t="s">
        <v>553</v>
      </c>
      <c r="C29" s="652">
        <v>131</v>
      </c>
      <c r="D29" s="468">
        <v>26</v>
      </c>
      <c r="E29" t="s">
        <v>367</v>
      </c>
      <c r="F29">
        <v>201512</v>
      </c>
      <c r="G29" s="468">
        <v>5154455</v>
      </c>
      <c r="H29">
        <v>-2320565.94</v>
      </c>
      <c r="I29">
        <v>-0.45019999999999999</v>
      </c>
      <c r="N29" t="s">
        <v>544</v>
      </c>
      <c r="O29" s="649" t="s">
        <v>553</v>
      </c>
      <c r="P29" s="652">
        <v>119</v>
      </c>
      <c r="Q29" s="468">
        <v>28</v>
      </c>
      <c r="R29" t="s">
        <v>367</v>
      </c>
      <c r="S29">
        <v>201612</v>
      </c>
      <c r="T29" s="468">
        <v>5251397</v>
      </c>
      <c r="U29">
        <v>-2257110.13</v>
      </c>
      <c r="V29">
        <v>-0.42980000000000002</v>
      </c>
    </row>
    <row r="30" spans="1:25" x14ac:dyDescent="0.3">
      <c r="A30" t="s">
        <v>554</v>
      </c>
      <c r="B30" s="649" t="s">
        <v>548</v>
      </c>
      <c r="C30" s="652">
        <v>70</v>
      </c>
      <c r="D30" s="468">
        <v>64</v>
      </c>
      <c r="E30" t="s">
        <v>367</v>
      </c>
      <c r="F30">
        <v>201512</v>
      </c>
      <c r="G30" s="468">
        <v>466602</v>
      </c>
      <c r="H30">
        <v>-124475.53</v>
      </c>
      <c r="I30">
        <v>-0.26679999999999998</v>
      </c>
      <c r="N30" t="s">
        <v>554</v>
      </c>
      <c r="O30" s="649" t="s">
        <v>548</v>
      </c>
      <c r="P30" s="652">
        <v>70</v>
      </c>
      <c r="Q30" s="468">
        <v>65</v>
      </c>
      <c r="R30" t="s">
        <v>367</v>
      </c>
      <c r="S30">
        <v>201612</v>
      </c>
      <c r="T30" s="468">
        <v>534206</v>
      </c>
      <c r="U30">
        <v>-139068.48000000001</v>
      </c>
      <c r="V30">
        <v>-0.26029999999999998</v>
      </c>
    </row>
    <row r="31" spans="1:25" x14ac:dyDescent="0.3">
      <c r="A31" t="s">
        <v>554</v>
      </c>
      <c r="B31" s="649" t="s">
        <v>549</v>
      </c>
      <c r="C31" s="652">
        <v>71</v>
      </c>
      <c r="D31" s="468">
        <v>60</v>
      </c>
      <c r="E31" t="s">
        <v>367</v>
      </c>
      <c r="F31">
        <v>201512</v>
      </c>
      <c r="G31" s="468">
        <v>1084309</v>
      </c>
      <c r="H31">
        <v>-168260.73</v>
      </c>
      <c r="I31">
        <v>-0.1552</v>
      </c>
      <c r="N31" t="s">
        <v>554</v>
      </c>
      <c r="O31" s="649" t="s">
        <v>549</v>
      </c>
      <c r="P31" s="652">
        <v>73</v>
      </c>
      <c r="Q31" s="468">
        <v>60</v>
      </c>
      <c r="R31" t="s">
        <v>367</v>
      </c>
      <c r="S31">
        <v>201612</v>
      </c>
      <c r="T31" s="468">
        <v>1290575</v>
      </c>
      <c r="U31">
        <v>-184743.62</v>
      </c>
      <c r="V31">
        <v>-0.1431</v>
      </c>
    </row>
    <row r="32" spans="1:25" x14ac:dyDescent="0.3">
      <c r="A32" t="s">
        <v>554</v>
      </c>
      <c r="B32" s="649" t="s">
        <v>551</v>
      </c>
      <c r="C32" s="652">
        <v>7</v>
      </c>
      <c r="D32" s="468">
        <v>7</v>
      </c>
      <c r="E32" t="s">
        <v>367</v>
      </c>
      <c r="F32">
        <v>201512</v>
      </c>
      <c r="G32" s="468">
        <v>82306</v>
      </c>
      <c r="H32">
        <v>-16899.810000000001</v>
      </c>
      <c r="I32">
        <v>-0.20530000000000001</v>
      </c>
      <c r="N32" t="s">
        <v>554</v>
      </c>
      <c r="O32" s="649" t="s">
        <v>551</v>
      </c>
      <c r="P32" s="652">
        <v>5</v>
      </c>
      <c r="Q32" s="468">
        <v>4</v>
      </c>
      <c r="R32" t="s">
        <v>367</v>
      </c>
      <c r="S32">
        <v>201612</v>
      </c>
      <c r="T32" s="468">
        <v>53743</v>
      </c>
      <c r="U32">
        <v>-12593.29</v>
      </c>
      <c r="V32">
        <v>-0.23430000000000001</v>
      </c>
    </row>
    <row r="33" spans="1:22" x14ac:dyDescent="0.3">
      <c r="A33" t="s">
        <v>554</v>
      </c>
      <c r="B33" s="649" t="s">
        <v>552</v>
      </c>
      <c r="C33" s="652">
        <v>94</v>
      </c>
      <c r="D33" s="468">
        <v>67</v>
      </c>
      <c r="E33" t="s">
        <v>367</v>
      </c>
      <c r="F33">
        <v>201512</v>
      </c>
      <c r="G33" s="468">
        <v>7568311</v>
      </c>
      <c r="H33">
        <v>-508665.65</v>
      </c>
      <c r="I33">
        <v>-6.7199999999999996E-2</v>
      </c>
      <c r="N33" t="s">
        <v>554</v>
      </c>
      <c r="O33" s="649" t="s">
        <v>552</v>
      </c>
      <c r="P33" s="652">
        <v>96</v>
      </c>
      <c r="Q33" s="468">
        <v>68</v>
      </c>
      <c r="R33" t="s">
        <v>367</v>
      </c>
      <c r="S33">
        <v>201612</v>
      </c>
      <c r="T33" s="468">
        <v>8107328</v>
      </c>
      <c r="U33">
        <v>-557977.29</v>
      </c>
      <c r="V33">
        <v>-6.88E-2</v>
      </c>
    </row>
    <row r="34" spans="1:22" x14ac:dyDescent="0.3">
      <c r="A34" t="s">
        <v>554</v>
      </c>
      <c r="B34" t="s">
        <v>555</v>
      </c>
      <c r="C34" s="468">
        <v>1</v>
      </c>
      <c r="D34" s="468">
        <v>0</v>
      </c>
      <c r="E34" t="s">
        <v>367</v>
      </c>
      <c r="F34">
        <v>201512</v>
      </c>
      <c r="G34" s="468">
        <v>1886206</v>
      </c>
      <c r="H34">
        <v>-38723.050000000003</v>
      </c>
      <c r="I34">
        <v>-2.0500000000000001E-2</v>
      </c>
      <c r="N34" t="s">
        <v>554</v>
      </c>
      <c r="O34" t="s">
        <v>555</v>
      </c>
      <c r="P34" s="468">
        <v>1</v>
      </c>
      <c r="Q34" s="468">
        <v>0</v>
      </c>
      <c r="R34" t="s">
        <v>367</v>
      </c>
      <c r="S34">
        <v>201612</v>
      </c>
      <c r="T34" s="468">
        <v>2154548</v>
      </c>
      <c r="U34">
        <v>-38917.9</v>
      </c>
      <c r="V34">
        <v>-1.8100000000000002E-2</v>
      </c>
    </row>
    <row r="35" spans="1:22" x14ac:dyDescent="0.3">
      <c r="A35" t="s">
        <v>554</v>
      </c>
      <c r="B35" t="s">
        <v>556</v>
      </c>
      <c r="C35" s="468">
        <v>1</v>
      </c>
      <c r="D35" s="468">
        <v>0</v>
      </c>
      <c r="E35" t="s">
        <v>367</v>
      </c>
      <c r="F35">
        <v>201512</v>
      </c>
      <c r="G35" s="468">
        <v>461828</v>
      </c>
      <c r="H35">
        <v>-12818.68</v>
      </c>
      <c r="I35">
        <v>-2.7799999999999998E-2</v>
      </c>
      <c r="N35" t="s">
        <v>554</v>
      </c>
      <c r="O35" t="s">
        <v>556</v>
      </c>
      <c r="P35" s="468">
        <v>1</v>
      </c>
      <c r="Q35" s="468">
        <v>0</v>
      </c>
      <c r="R35" t="s">
        <v>367</v>
      </c>
      <c r="S35">
        <v>201612</v>
      </c>
      <c r="T35" s="468">
        <v>512025</v>
      </c>
      <c r="U35">
        <v>-13057.12</v>
      </c>
      <c r="V35">
        <v>-2.5499999999999998E-2</v>
      </c>
    </row>
    <row r="36" spans="1:22" x14ac:dyDescent="0.3">
      <c r="A36" t="s">
        <v>554</v>
      </c>
      <c r="B36" t="s">
        <v>557</v>
      </c>
      <c r="C36" s="468">
        <v>2</v>
      </c>
      <c r="D36" s="468">
        <v>1</v>
      </c>
      <c r="E36" t="s">
        <v>367</v>
      </c>
      <c r="F36">
        <v>201512</v>
      </c>
      <c r="G36" s="468">
        <v>192888</v>
      </c>
      <c r="H36">
        <v>-18503.009999999998</v>
      </c>
      <c r="I36">
        <v>-9.5899999999999999E-2</v>
      </c>
      <c r="N36" t="s">
        <v>554</v>
      </c>
      <c r="O36" t="s">
        <v>557</v>
      </c>
      <c r="P36" s="468">
        <v>2</v>
      </c>
      <c r="Q36" s="468">
        <v>1</v>
      </c>
      <c r="R36" t="s">
        <v>367</v>
      </c>
      <c r="S36">
        <v>201612</v>
      </c>
      <c r="T36" s="468">
        <v>185786</v>
      </c>
      <c r="U36">
        <v>-18471.66</v>
      </c>
      <c r="V36">
        <v>-9.9400000000000002E-2</v>
      </c>
    </row>
    <row r="37" spans="1:22" x14ac:dyDescent="0.3">
      <c r="A37" t="s">
        <v>554</v>
      </c>
      <c r="B37" t="s">
        <v>558</v>
      </c>
      <c r="C37" s="468">
        <v>1</v>
      </c>
      <c r="D37" s="468">
        <v>0</v>
      </c>
      <c r="E37" t="s">
        <v>367</v>
      </c>
      <c r="F37">
        <v>201512</v>
      </c>
      <c r="G37" s="468">
        <v>237494</v>
      </c>
      <c r="H37">
        <v>-6037.49</v>
      </c>
      <c r="I37">
        <v>-2.5399999999999999E-2</v>
      </c>
      <c r="N37" t="s">
        <v>554</v>
      </c>
      <c r="O37" t="s">
        <v>558</v>
      </c>
      <c r="P37" s="468">
        <v>1</v>
      </c>
      <c r="Q37" s="468">
        <v>0</v>
      </c>
      <c r="R37" t="s">
        <v>367</v>
      </c>
      <c r="S37">
        <v>201612</v>
      </c>
      <c r="T37" s="468">
        <v>273366</v>
      </c>
      <c r="U37">
        <v>-6073.37</v>
      </c>
      <c r="V37">
        <v>-2.2200000000000001E-2</v>
      </c>
    </row>
    <row r="38" spans="1:22" x14ac:dyDescent="0.3">
      <c r="A38" t="s">
        <v>554</v>
      </c>
      <c r="B38" t="s">
        <v>559</v>
      </c>
      <c r="C38" s="468">
        <v>1</v>
      </c>
      <c r="D38" s="468">
        <v>1</v>
      </c>
      <c r="E38" t="s">
        <v>367</v>
      </c>
      <c r="F38">
        <v>201512</v>
      </c>
      <c r="G38" s="468">
        <v>2982382</v>
      </c>
      <c r="H38">
        <v>-28244.91</v>
      </c>
      <c r="I38">
        <v>-9.4999999999999998E-3</v>
      </c>
      <c r="N38" t="s">
        <v>554</v>
      </c>
      <c r="O38" t="s">
        <v>559</v>
      </c>
      <c r="P38" s="468">
        <v>1</v>
      </c>
      <c r="Q38" s="468">
        <v>1</v>
      </c>
      <c r="R38" t="s">
        <v>367</v>
      </c>
      <c r="S38">
        <v>201612</v>
      </c>
      <c r="T38" s="468">
        <v>3208646</v>
      </c>
      <c r="U38">
        <v>-29376.23</v>
      </c>
      <c r="V38">
        <v>-9.1999999999999998E-3</v>
      </c>
    </row>
    <row r="39" spans="1:22" x14ac:dyDescent="0.3">
      <c r="A39" t="s">
        <v>554</v>
      </c>
      <c r="B39" t="s">
        <v>560</v>
      </c>
      <c r="C39" s="468">
        <v>1</v>
      </c>
      <c r="D39" s="468">
        <v>0</v>
      </c>
      <c r="E39" t="s">
        <v>367</v>
      </c>
      <c r="F39">
        <v>201512</v>
      </c>
      <c r="G39" s="468">
        <v>0</v>
      </c>
      <c r="H39">
        <v>-20000</v>
      </c>
      <c r="I39">
        <v>9.9999000000000002</v>
      </c>
      <c r="N39" t="s">
        <v>554</v>
      </c>
      <c r="O39" t="s">
        <v>560</v>
      </c>
      <c r="P39" s="468">
        <v>1</v>
      </c>
      <c r="Q39" s="468">
        <v>0</v>
      </c>
      <c r="R39" t="s">
        <v>367</v>
      </c>
      <c r="S39">
        <v>201612</v>
      </c>
      <c r="T39" s="468">
        <v>0</v>
      </c>
      <c r="U39">
        <v>-20000</v>
      </c>
      <c r="V39">
        <v>9.9999000000000002</v>
      </c>
    </row>
    <row r="40" spans="1:22" x14ac:dyDescent="0.3">
      <c r="A40" t="s">
        <v>554</v>
      </c>
      <c r="B40" s="649" t="s">
        <v>553</v>
      </c>
      <c r="C40" s="652">
        <v>88</v>
      </c>
      <c r="D40" s="468">
        <v>23</v>
      </c>
      <c r="E40" t="s">
        <v>367</v>
      </c>
      <c r="F40">
        <v>201512</v>
      </c>
      <c r="G40" s="468">
        <v>18720295</v>
      </c>
      <c r="H40">
        <v>-576502.93999999994</v>
      </c>
      <c r="I40">
        <v>-3.0800000000000001E-2</v>
      </c>
      <c r="N40" t="s">
        <v>554</v>
      </c>
      <c r="O40" s="649" t="s">
        <v>553</v>
      </c>
      <c r="P40" s="652">
        <v>87</v>
      </c>
      <c r="Q40" s="468">
        <v>23</v>
      </c>
      <c r="R40" t="s">
        <v>367</v>
      </c>
      <c r="S40">
        <v>201612</v>
      </c>
      <c r="T40" s="468">
        <v>19122967</v>
      </c>
      <c r="U40">
        <v>-619267.06000000006</v>
      </c>
      <c r="V40">
        <v>-3.2399999999999998E-2</v>
      </c>
    </row>
    <row r="41" spans="1:22" x14ac:dyDescent="0.3">
      <c r="A41" t="s">
        <v>554</v>
      </c>
      <c r="B41" t="s">
        <v>561</v>
      </c>
      <c r="C41" s="468">
        <v>1</v>
      </c>
      <c r="D41" s="468">
        <v>1</v>
      </c>
      <c r="E41" t="s">
        <v>367</v>
      </c>
      <c r="F41">
        <v>201512</v>
      </c>
      <c r="G41" s="468">
        <v>1414985</v>
      </c>
      <c r="H41">
        <v>-25859.94</v>
      </c>
      <c r="I41">
        <v>-1.83E-2</v>
      </c>
      <c r="N41" t="s">
        <v>554</v>
      </c>
      <c r="O41" t="s">
        <v>561</v>
      </c>
      <c r="P41" s="468">
        <v>1</v>
      </c>
      <c r="Q41" s="468">
        <v>1</v>
      </c>
      <c r="R41" t="s">
        <v>367</v>
      </c>
      <c r="S41">
        <v>201612</v>
      </c>
      <c r="T41" s="468">
        <v>1381732</v>
      </c>
      <c r="U41">
        <v>-25726.93</v>
      </c>
      <c r="V41">
        <v>-1.8599999999999998E-2</v>
      </c>
    </row>
    <row r="42" spans="1:22" x14ac:dyDescent="0.3">
      <c r="A42" t="s">
        <v>544</v>
      </c>
      <c r="B42" s="649" t="s">
        <v>562</v>
      </c>
      <c r="C42" s="650">
        <v>829</v>
      </c>
      <c r="D42" s="468">
        <v>301</v>
      </c>
      <c r="E42" t="s">
        <v>563</v>
      </c>
      <c r="F42">
        <v>201512</v>
      </c>
      <c r="G42" s="468">
        <v>28300.799999999999</v>
      </c>
      <c r="H42">
        <v>-34985.39</v>
      </c>
      <c r="I42">
        <v>-1.2362</v>
      </c>
      <c r="N42" t="s">
        <v>544</v>
      </c>
      <c r="O42" s="649" t="s">
        <v>562</v>
      </c>
      <c r="P42" s="650">
        <v>828</v>
      </c>
      <c r="Q42" s="468">
        <v>308</v>
      </c>
      <c r="R42" t="s">
        <v>563</v>
      </c>
      <c r="S42">
        <v>201612</v>
      </c>
      <c r="T42" s="468">
        <v>25567.1</v>
      </c>
      <c r="U42">
        <v>-31598.54</v>
      </c>
      <c r="V42">
        <v>-1.2359</v>
      </c>
    </row>
    <row r="43" spans="1:22" x14ac:dyDescent="0.3">
      <c r="A43" t="s">
        <v>544</v>
      </c>
      <c r="B43" s="649" t="s">
        <v>545</v>
      </c>
      <c r="C43" s="650">
        <v>69763</v>
      </c>
      <c r="D43" s="468">
        <v>66126</v>
      </c>
      <c r="E43" t="s">
        <v>563</v>
      </c>
      <c r="F43">
        <v>201512</v>
      </c>
      <c r="G43" s="468">
        <v>7355864.4000000004</v>
      </c>
      <c r="H43">
        <v>-6726422.7800000003</v>
      </c>
      <c r="I43">
        <v>-0.91439999999999999</v>
      </c>
      <c r="N43" t="s">
        <v>544</v>
      </c>
      <c r="O43" s="649" t="s">
        <v>545</v>
      </c>
      <c r="P43" s="650">
        <v>71738</v>
      </c>
      <c r="Q43" s="468">
        <v>68114</v>
      </c>
      <c r="R43" t="s">
        <v>563</v>
      </c>
      <c r="S43">
        <v>201612</v>
      </c>
      <c r="T43" s="468">
        <v>6812285.9000000004</v>
      </c>
      <c r="U43">
        <v>-6172157.0899999999</v>
      </c>
      <c r="V43">
        <v>-0.90600000000000003</v>
      </c>
    </row>
    <row r="44" spans="1:22" x14ac:dyDescent="0.3">
      <c r="A44" t="s">
        <v>544</v>
      </c>
      <c r="B44" s="649" t="s">
        <v>564</v>
      </c>
      <c r="C44" s="651">
        <v>39</v>
      </c>
      <c r="D44" s="468">
        <v>29</v>
      </c>
      <c r="E44" t="s">
        <v>563</v>
      </c>
      <c r="F44">
        <v>201512</v>
      </c>
      <c r="G44" s="468">
        <v>3717.6</v>
      </c>
      <c r="H44">
        <v>-4326.6499999999996</v>
      </c>
      <c r="I44">
        <v>-1.1637999999999999</v>
      </c>
      <c r="N44" t="s">
        <v>544</v>
      </c>
      <c r="O44" s="649" t="s">
        <v>564</v>
      </c>
      <c r="P44" s="651">
        <v>38</v>
      </c>
      <c r="Q44" s="468">
        <v>28</v>
      </c>
      <c r="R44" t="s">
        <v>563</v>
      </c>
      <c r="S44">
        <v>201612</v>
      </c>
      <c r="T44" s="468">
        <v>2986.9</v>
      </c>
      <c r="U44">
        <v>-3459.36</v>
      </c>
      <c r="V44">
        <v>-1.1581999999999999</v>
      </c>
    </row>
    <row r="45" spans="1:22" x14ac:dyDescent="0.3">
      <c r="A45" t="s">
        <v>544</v>
      </c>
      <c r="B45" s="649" t="s">
        <v>546</v>
      </c>
      <c r="C45" s="651">
        <v>5671</v>
      </c>
      <c r="D45" s="468">
        <v>5198</v>
      </c>
      <c r="E45" t="s">
        <v>563</v>
      </c>
      <c r="F45">
        <v>201512</v>
      </c>
      <c r="G45" s="468">
        <v>2315898</v>
      </c>
      <c r="H45">
        <v>-2052462.34</v>
      </c>
      <c r="I45">
        <v>-0.88619999999999999</v>
      </c>
      <c r="N45" t="s">
        <v>544</v>
      </c>
      <c r="O45" s="649" t="s">
        <v>546</v>
      </c>
      <c r="P45" s="651">
        <v>5788</v>
      </c>
      <c r="Q45" s="468">
        <v>5325</v>
      </c>
      <c r="R45" t="s">
        <v>563</v>
      </c>
      <c r="S45">
        <v>201612</v>
      </c>
      <c r="T45" s="468">
        <v>2020063.4</v>
      </c>
      <c r="U45">
        <v>-1769213.5</v>
      </c>
      <c r="V45">
        <v>-0.87580000000000002</v>
      </c>
    </row>
    <row r="46" spans="1:22" x14ac:dyDescent="0.3">
      <c r="A46" t="s">
        <v>544</v>
      </c>
      <c r="B46" s="649" t="s">
        <v>547</v>
      </c>
      <c r="C46" s="650">
        <v>543</v>
      </c>
      <c r="D46" s="468">
        <v>539</v>
      </c>
      <c r="E46" t="s">
        <v>563</v>
      </c>
      <c r="F46">
        <v>201512</v>
      </c>
      <c r="G46" s="468">
        <v>60659.9</v>
      </c>
      <c r="H46">
        <v>-44079.98</v>
      </c>
      <c r="I46">
        <v>-0.72670000000000001</v>
      </c>
      <c r="N46" t="s">
        <v>544</v>
      </c>
      <c r="O46" s="649" t="s">
        <v>547</v>
      </c>
      <c r="P46" s="650">
        <v>684</v>
      </c>
      <c r="Q46" s="468">
        <v>674</v>
      </c>
      <c r="R46" t="s">
        <v>563</v>
      </c>
      <c r="S46">
        <v>201612</v>
      </c>
      <c r="T46" s="468">
        <v>70046.399999999994</v>
      </c>
      <c r="U46">
        <v>-50065.45</v>
      </c>
      <c r="V46">
        <v>-0.7147</v>
      </c>
    </row>
    <row r="47" spans="1:22" x14ac:dyDescent="0.3">
      <c r="A47" t="s">
        <v>544</v>
      </c>
      <c r="B47" s="649" t="s">
        <v>565</v>
      </c>
      <c r="C47" s="652">
        <v>83</v>
      </c>
      <c r="D47" s="468">
        <v>66</v>
      </c>
      <c r="E47" t="s">
        <v>563</v>
      </c>
      <c r="F47">
        <v>201512</v>
      </c>
      <c r="G47" s="468">
        <v>424709.3</v>
      </c>
      <c r="H47">
        <v>-315863.43</v>
      </c>
      <c r="I47">
        <v>-0.74370000000000003</v>
      </c>
      <c r="N47" t="s">
        <v>544</v>
      </c>
      <c r="O47" s="649" t="s">
        <v>565</v>
      </c>
      <c r="P47" s="652">
        <v>84</v>
      </c>
      <c r="Q47" s="468">
        <v>65</v>
      </c>
      <c r="R47" t="s">
        <v>563</v>
      </c>
      <c r="S47">
        <v>201612</v>
      </c>
      <c r="T47" s="468">
        <v>395100.5</v>
      </c>
      <c r="U47">
        <v>-290317.14</v>
      </c>
      <c r="V47">
        <v>-0.73480000000000001</v>
      </c>
    </row>
    <row r="48" spans="1:22" x14ac:dyDescent="0.3">
      <c r="A48" t="s">
        <v>544</v>
      </c>
      <c r="B48" s="649" t="s">
        <v>566</v>
      </c>
      <c r="C48" s="652">
        <v>6</v>
      </c>
      <c r="D48" s="468">
        <v>4</v>
      </c>
      <c r="E48" t="s">
        <v>563</v>
      </c>
      <c r="F48">
        <v>201512</v>
      </c>
      <c r="G48" s="468">
        <v>99476</v>
      </c>
      <c r="H48">
        <v>-63053.29</v>
      </c>
      <c r="I48">
        <v>-0.63390000000000002</v>
      </c>
      <c r="N48" t="s">
        <v>544</v>
      </c>
      <c r="O48" s="649" t="s">
        <v>566</v>
      </c>
      <c r="P48" s="652">
        <v>6</v>
      </c>
      <c r="Q48" s="468">
        <v>4</v>
      </c>
      <c r="R48" t="s">
        <v>563</v>
      </c>
      <c r="S48">
        <v>201612</v>
      </c>
      <c r="T48" s="468">
        <v>106990.6</v>
      </c>
      <c r="U48">
        <v>-64319.77</v>
      </c>
      <c r="V48">
        <v>-0.60119999999999996</v>
      </c>
    </row>
    <row r="49" spans="1:22" x14ac:dyDescent="0.3">
      <c r="A49" t="s">
        <v>544</v>
      </c>
      <c r="B49" s="649" t="s">
        <v>550</v>
      </c>
      <c r="C49" s="651">
        <v>26</v>
      </c>
      <c r="D49" s="468">
        <v>19</v>
      </c>
      <c r="E49" t="s">
        <v>563</v>
      </c>
      <c r="F49">
        <v>201512</v>
      </c>
      <c r="G49" s="468">
        <v>61911.5</v>
      </c>
      <c r="H49">
        <v>-51702.37</v>
      </c>
      <c r="I49">
        <v>-0.83509999999999995</v>
      </c>
      <c r="N49" t="s">
        <v>544</v>
      </c>
      <c r="O49" s="649" t="s">
        <v>550</v>
      </c>
      <c r="P49" s="651">
        <v>27</v>
      </c>
      <c r="Q49" s="468">
        <v>20</v>
      </c>
      <c r="R49" t="s">
        <v>563</v>
      </c>
      <c r="S49">
        <v>201612</v>
      </c>
      <c r="T49" s="468">
        <v>42853.7</v>
      </c>
      <c r="U49">
        <v>-34977.43</v>
      </c>
      <c r="V49">
        <v>-0.81620000000000004</v>
      </c>
    </row>
    <row r="50" spans="1:22" x14ac:dyDescent="0.3">
      <c r="A50" t="s">
        <v>544</v>
      </c>
      <c r="B50" s="649" t="s">
        <v>567</v>
      </c>
      <c r="C50" s="652">
        <v>11</v>
      </c>
      <c r="D50" s="468">
        <v>9</v>
      </c>
      <c r="E50" t="s">
        <v>563</v>
      </c>
      <c r="F50">
        <v>201512</v>
      </c>
      <c r="G50" s="468">
        <v>56887.199999999997</v>
      </c>
      <c r="H50">
        <v>-41012.79</v>
      </c>
      <c r="I50">
        <v>-0.72089999999999999</v>
      </c>
      <c r="N50" t="s">
        <v>544</v>
      </c>
      <c r="O50" s="649" t="s">
        <v>567</v>
      </c>
      <c r="P50" s="652">
        <v>12</v>
      </c>
      <c r="Q50" s="468">
        <v>10</v>
      </c>
      <c r="R50" t="s">
        <v>563</v>
      </c>
      <c r="S50">
        <v>201612</v>
      </c>
      <c r="T50" s="468">
        <v>53355.9</v>
      </c>
      <c r="U50">
        <v>-37734.620000000003</v>
      </c>
      <c r="V50">
        <v>-0.70720000000000005</v>
      </c>
    </row>
    <row r="51" spans="1:22" x14ac:dyDescent="0.3">
      <c r="A51" t="s">
        <v>544</v>
      </c>
      <c r="B51" s="649" t="s">
        <v>568</v>
      </c>
      <c r="C51" s="652">
        <v>10</v>
      </c>
      <c r="D51" s="468">
        <v>9</v>
      </c>
      <c r="E51" t="s">
        <v>563</v>
      </c>
      <c r="F51">
        <v>201512</v>
      </c>
      <c r="G51" s="468">
        <v>201718.2</v>
      </c>
      <c r="H51">
        <v>-120212.51</v>
      </c>
      <c r="I51">
        <v>-0.59589999999999999</v>
      </c>
      <c r="N51" t="s">
        <v>544</v>
      </c>
      <c r="O51" s="649" t="s">
        <v>568</v>
      </c>
      <c r="P51" s="652">
        <v>11</v>
      </c>
      <c r="Q51" s="468">
        <v>10</v>
      </c>
      <c r="R51" t="s">
        <v>563</v>
      </c>
      <c r="S51">
        <v>201612</v>
      </c>
      <c r="T51" s="468">
        <v>192714</v>
      </c>
      <c r="U51">
        <v>-113726.34</v>
      </c>
      <c r="V51">
        <v>-0.59009999999999996</v>
      </c>
    </row>
    <row r="52" spans="1:22" x14ac:dyDescent="0.3">
      <c r="A52" t="s">
        <v>544</v>
      </c>
      <c r="B52" s="649" t="s">
        <v>569</v>
      </c>
      <c r="C52" s="652">
        <v>4</v>
      </c>
      <c r="D52" s="468">
        <v>0</v>
      </c>
      <c r="E52" t="s">
        <v>563</v>
      </c>
      <c r="F52">
        <v>201512</v>
      </c>
      <c r="G52" s="468">
        <v>133111</v>
      </c>
      <c r="H52">
        <v>-62936.79</v>
      </c>
      <c r="I52">
        <v>-0.4728</v>
      </c>
      <c r="N52" t="s">
        <v>544</v>
      </c>
      <c r="O52" s="649" t="s">
        <v>569</v>
      </c>
      <c r="P52" s="652">
        <v>3</v>
      </c>
      <c r="Q52" s="468">
        <v>0</v>
      </c>
      <c r="R52" t="s">
        <v>563</v>
      </c>
      <c r="S52">
        <v>201612</v>
      </c>
      <c r="T52" s="468">
        <v>67181</v>
      </c>
      <c r="U52">
        <v>-33187.730000000003</v>
      </c>
      <c r="V52">
        <v>-0.49399999999999999</v>
      </c>
    </row>
    <row r="53" spans="1:22" x14ac:dyDescent="0.3">
      <c r="A53" t="s">
        <v>554</v>
      </c>
      <c r="B53" s="649" t="s">
        <v>565</v>
      </c>
      <c r="C53" s="652">
        <v>17</v>
      </c>
      <c r="D53" s="468">
        <v>17</v>
      </c>
      <c r="E53" t="s">
        <v>563</v>
      </c>
      <c r="F53">
        <v>201512</v>
      </c>
      <c r="G53" s="468">
        <v>132770</v>
      </c>
      <c r="H53">
        <v>-42666.9</v>
      </c>
      <c r="I53">
        <v>-0.32140000000000002</v>
      </c>
      <c r="N53" t="s">
        <v>554</v>
      </c>
      <c r="O53" s="649" t="s">
        <v>565</v>
      </c>
      <c r="P53" s="652">
        <v>16</v>
      </c>
      <c r="Q53" s="468">
        <v>16</v>
      </c>
      <c r="R53" t="s">
        <v>563</v>
      </c>
      <c r="S53">
        <v>201612</v>
      </c>
      <c r="T53" s="468">
        <v>135126</v>
      </c>
      <c r="U53">
        <v>-44953.06</v>
      </c>
      <c r="V53">
        <v>-0.3327</v>
      </c>
    </row>
    <row r="54" spans="1:22" x14ac:dyDescent="0.3">
      <c r="A54" t="s">
        <v>554</v>
      </c>
      <c r="B54" s="649" t="s">
        <v>566</v>
      </c>
      <c r="C54" s="652">
        <v>3</v>
      </c>
      <c r="D54" s="468">
        <v>0</v>
      </c>
      <c r="E54" t="s">
        <v>563</v>
      </c>
      <c r="F54">
        <v>201512</v>
      </c>
      <c r="G54" s="468">
        <v>122183</v>
      </c>
      <c r="H54">
        <v>-17293.61</v>
      </c>
      <c r="I54">
        <v>-0.14149999999999999</v>
      </c>
      <c r="N54" t="s">
        <v>554</v>
      </c>
      <c r="O54" s="649" t="s">
        <v>566</v>
      </c>
      <c r="P54" s="652">
        <v>4</v>
      </c>
      <c r="Q54" s="468">
        <v>0</v>
      </c>
      <c r="R54" t="s">
        <v>563</v>
      </c>
      <c r="S54">
        <v>201612</v>
      </c>
      <c r="T54" s="468">
        <v>255965</v>
      </c>
      <c r="U54">
        <v>-33457.94</v>
      </c>
      <c r="V54">
        <v>-0.13070000000000001</v>
      </c>
    </row>
    <row r="55" spans="1:22" x14ac:dyDescent="0.3">
      <c r="A55" t="s">
        <v>554</v>
      </c>
      <c r="B55" s="649" t="s">
        <v>568</v>
      </c>
      <c r="C55" s="652">
        <v>8</v>
      </c>
      <c r="D55" s="468">
        <v>7</v>
      </c>
      <c r="E55" t="s">
        <v>563</v>
      </c>
      <c r="F55">
        <v>201512</v>
      </c>
      <c r="G55" s="468">
        <v>426704</v>
      </c>
      <c r="H55">
        <v>-52420.78</v>
      </c>
      <c r="I55">
        <v>-0.1229</v>
      </c>
      <c r="N55" t="s">
        <v>554</v>
      </c>
      <c r="O55" s="649" t="s">
        <v>568</v>
      </c>
      <c r="P55" s="652">
        <v>8</v>
      </c>
      <c r="Q55" s="468">
        <v>7</v>
      </c>
      <c r="R55" t="s">
        <v>563</v>
      </c>
      <c r="S55">
        <v>201612</v>
      </c>
      <c r="T55" s="468">
        <v>432400</v>
      </c>
      <c r="U55">
        <v>-49267.05</v>
      </c>
      <c r="V55">
        <v>-0.1139</v>
      </c>
    </row>
    <row r="56" spans="1:22" x14ac:dyDescent="0.3">
      <c r="A56" t="s">
        <v>554</v>
      </c>
      <c r="B56" t="s">
        <v>555</v>
      </c>
      <c r="C56" s="468">
        <v>1</v>
      </c>
      <c r="D56" s="468">
        <v>1</v>
      </c>
      <c r="E56" t="s">
        <v>563</v>
      </c>
      <c r="F56">
        <v>201512</v>
      </c>
      <c r="G56" s="468">
        <v>343202</v>
      </c>
      <c r="H56">
        <v>-23444.39</v>
      </c>
      <c r="I56">
        <v>-6.83E-2</v>
      </c>
      <c r="N56" t="s">
        <v>554</v>
      </c>
      <c r="O56" t="s">
        <v>555</v>
      </c>
      <c r="P56" s="468">
        <v>1</v>
      </c>
      <c r="Q56" s="468">
        <v>1</v>
      </c>
      <c r="R56" t="s">
        <v>563</v>
      </c>
      <c r="S56">
        <v>201612</v>
      </c>
      <c r="T56" s="468">
        <v>262382</v>
      </c>
      <c r="U56">
        <v>-20922.810000000001</v>
      </c>
      <c r="V56">
        <v>-7.9699999999999993E-2</v>
      </c>
    </row>
    <row r="57" spans="1:22" x14ac:dyDescent="0.3">
      <c r="A57" t="s">
        <v>554</v>
      </c>
      <c r="B57" s="649" t="s">
        <v>569</v>
      </c>
      <c r="C57" s="652">
        <v>10</v>
      </c>
      <c r="D57" s="468">
        <v>2</v>
      </c>
      <c r="E57" t="s">
        <v>563</v>
      </c>
      <c r="F57">
        <v>201512</v>
      </c>
      <c r="G57" s="468">
        <v>822281</v>
      </c>
      <c r="H57">
        <v>-66366.039999999994</v>
      </c>
      <c r="I57">
        <v>-8.0699999999999994E-2</v>
      </c>
      <c r="N57" t="s">
        <v>554</v>
      </c>
      <c r="O57" s="649" t="s">
        <v>569</v>
      </c>
      <c r="P57" s="652">
        <v>11</v>
      </c>
      <c r="Q57" s="468">
        <v>2</v>
      </c>
      <c r="R57" t="s">
        <v>563</v>
      </c>
      <c r="S57">
        <v>201612</v>
      </c>
      <c r="T57" s="468">
        <v>928956</v>
      </c>
      <c r="U57">
        <v>-76349.89</v>
      </c>
      <c r="V57">
        <v>-8.2199999999999995E-2</v>
      </c>
    </row>
    <row r="79" spans="12:14" x14ac:dyDescent="0.3">
      <c r="L79">
        <v>6102732</v>
      </c>
      <c r="M79">
        <f>654517-23771</f>
        <v>630746</v>
      </c>
      <c r="N79">
        <v>23771</v>
      </c>
    </row>
    <row r="80" spans="12:14" x14ac:dyDescent="0.3">
      <c r="L80">
        <v>746554</v>
      </c>
      <c r="M80">
        <f>67414-1884</f>
        <v>65530</v>
      </c>
      <c r="N80">
        <v>1884</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2"/>
  <sheetViews>
    <sheetView zoomScale="80" zoomScaleNormal="80" workbookViewId="0">
      <selection activeCell="N30" sqref="N30"/>
    </sheetView>
  </sheetViews>
  <sheetFormatPr defaultRowHeight="14.4" x14ac:dyDescent="0.3"/>
  <cols>
    <col min="1" max="1" width="25.77734375" bestFit="1" customWidth="1"/>
    <col min="2" max="2" width="10" bestFit="1" customWidth="1"/>
    <col min="3" max="3" width="11.21875" bestFit="1" customWidth="1"/>
    <col min="4" max="4" width="14.21875" bestFit="1" customWidth="1"/>
    <col min="5" max="5" width="10" bestFit="1" customWidth="1"/>
    <col min="6" max="7" width="9.6640625" bestFit="1" customWidth="1"/>
    <col min="8" max="8" width="13.109375" bestFit="1" customWidth="1"/>
    <col min="9" max="9" width="17.21875" customWidth="1"/>
    <col min="10" max="10" width="32.44140625" customWidth="1"/>
    <col min="11" max="11" width="36.5546875" customWidth="1"/>
    <col min="12" max="12" width="11.5546875" customWidth="1"/>
    <col min="13" max="13" width="11.21875" bestFit="1" customWidth="1"/>
  </cols>
  <sheetData>
    <row r="1" spans="1:9" ht="27" customHeight="1" x14ac:dyDescent="0.35">
      <c r="D1" s="398" t="s">
        <v>443</v>
      </c>
    </row>
    <row r="2" spans="1:9" ht="27" customHeight="1" x14ac:dyDescent="0.3">
      <c r="A2" s="773" t="s">
        <v>453</v>
      </c>
      <c r="B2" s="774"/>
      <c r="C2" s="774"/>
      <c r="D2" s="774"/>
      <c r="E2" s="774"/>
      <c r="F2" s="774"/>
      <c r="G2" s="774"/>
      <c r="H2" s="774"/>
      <c r="I2" s="557"/>
    </row>
    <row r="3" spans="1:9" ht="41.4" customHeight="1" thickBot="1" x14ac:dyDescent="0.35">
      <c r="A3" s="264" t="s">
        <v>415</v>
      </c>
      <c r="B3" s="509" t="s">
        <v>127</v>
      </c>
      <c r="C3" s="510" t="s">
        <v>416</v>
      </c>
      <c r="D3" s="262" t="s">
        <v>417</v>
      </c>
      <c r="E3" s="262" t="s">
        <v>418</v>
      </c>
      <c r="F3" s="511" t="s">
        <v>419</v>
      </c>
      <c r="G3" s="509" t="s">
        <v>420</v>
      </c>
      <c r="H3" s="509" t="s">
        <v>421</v>
      </c>
      <c r="I3" s="539"/>
    </row>
    <row r="4" spans="1:9" x14ac:dyDescent="0.3">
      <c r="A4" s="512" t="s">
        <v>422</v>
      </c>
      <c r="B4" s="513">
        <v>6811000</v>
      </c>
      <c r="C4" s="514">
        <v>3.1199999999999999E-3</v>
      </c>
      <c r="D4" s="515" t="s">
        <v>425</v>
      </c>
      <c r="E4" s="514">
        <v>2.0459999999999999E-2</v>
      </c>
      <c r="F4" s="514">
        <v>1.755E-2</v>
      </c>
      <c r="G4" s="514">
        <v>4.113E-2</v>
      </c>
      <c r="H4" s="516">
        <v>280136.43</v>
      </c>
      <c r="I4" s="538"/>
    </row>
    <row r="5" spans="1:9" x14ac:dyDescent="0.3">
      <c r="A5" s="517" t="s">
        <v>423</v>
      </c>
      <c r="B5" s="518">
        <v>72600</v>
      </c>
      <c r="C5" s="519">
        <v>3.1199999999999999E-3</v>
      </c>
      <c r="D5" s="520" t="s">
        <v>425</v>
      </c>
      <c r="E5" s="519">
        <v>2.0459999999999999E-2</v>
      </c>
      <c r="F5" s="519"/>
      <c r="G5" s="521">
        <v>2.358E-2</v>
      </c>
      <c r="H5" s="522">
        <v>1711.9080000000001</v>
      </c>
      <c r="I5" s="538"/>
    </row>
    <row r="6" spans="1:9" x14ac:dyDescent="0.3">
      <c r="A6" s="517" t="s">
        <v>424</v>
      </c>
      <c r="B6" s="523">
        <v>2612000</v>
      </c>
      <c r="C6" s="520" t="s">
        <v>425</v>
      </c>
      <c r="D6" s="520" t="s">
        <v>425</v>
      </c>
      <c r="E6" s="520" t="s">
        <v>425</v>
      </c>
      <c r="F6" s="520" t="s">
        <v>425</v>
      </c>
      <c r="G6" s="521">
        <v>1.4829999999999999E-2</v>
      </c>
      <c r="H6" s="522">
        <v>38735.96</v>
      </c>
      <c r="I6" s="538"/>
    </row>
    <row r="7" spans="1:9" x14ac:dyDescent="0.3">
      <c r="A7" s="517" t="s">
        <v>426</v>
      </c>
      <c r="B7" s="523">
        <v>10620</v>
      </c>
      <c r="C7" s="519">
        <v>3.1199999999999999E-3</v>
      </c>
      <c r="D7" s="520" t="s">
        <v>425</v>
      </c>
      <c r="E7" s="519">
        <v>2.0459999999999999E-2</v>
      </c>
      <c r="F7" s="519">
        <v>1.755E-2</v>
      </c>
      <c r="G7" s="521">
        <v>4.113E-2</v>
      </c>
      <c r="H7" s="522">
        <v>436.80059999999997</v>
      </c>
      <c r="I7" s="538"/>
    </row>
    <row r="8" spans="1:9" ht="15" thickBot="1" x14ac:dyDescent="0.35">
      <c r="A8" s="517" t="s">
        <v>427</v>
      </c>
      <c r="B8" s="523">
        <v>10620</v>
      </c>
      <c r="C8" s="520" t="s">
        <v>425</v>
      </c>
      <c r="D8" s="520" t="s">
        <v>425</v>
      </c>
      <c r="E8" s="520" t="s">
        <v>425</v>
      </c>
      <c r="F8" s="520" t="s">
        <v>425</v>
      </c>
      <c r="G8" s="519">
        <v>1.4829999999999999E-2</v>
      </c>
      <c r="H8" s="524">
        <v>157.49459999999999</v>
      </c>
      <c r="I8" s="558"/>
    </row>
    <row r="9" spans="1:9" x14ac:dyDescent="0.3">
      <c r="A9" s="512" t="s">
        <v>428</v>
      </c>
      <c r="B9" s="525">
        <v>541200</v>
      </c>
      <c r="C9" s="514">
        <v>3.1199999999999999E-3</v>
      </c>
      <c r="D9" s="514"/>
      <c r="E9" s="514">
        <v>2.0459999999999999E-2</v>
      </c>
      <c r="F9" s="514">
        <v>1.8409999999999999E-2</v>
      </c>
      <c r="G9" s="514">
        <v>4.199E-2</v>
      </c>
      <c r="H9" s="526">
        <v>22724.988000000001</v>
      </c>
      <c r="I9" s="558"/>
    </row>
    <row r="10" spans="1:9" ht="15" thickBot="1" x14ac:dyDescent="0.35">
      <c r="A10" s="527" t="s">
        <v>429</v>
      </c>
      <c r="B10" s="528">
        <v>340400</v>
      </c>
      <c r="C10" s="529" t="s">
        <v>425</v>
      </c>
      <c r="D10" s="529" t="s">
        <v>425</v>
      </c>
      <c r="E10" s="529" t="s">
        <v>425</v>
      </c>
      <c r="F10" s="529">
        <v>1.4829999999999999E-2</v>
      </c>
      <c r="G10" s="530">
        <v>1.4829999999999999E-2</v>
      </c>
      <c r="H10" s="531">
        <v>5048.1319999999996</v>
      </c>
      <c r="I10" s="558"/>
    </row>
    <row r="11" spans="1:9" ht="15" thickBot="1" x14ac:dyDescent="0.35">
      <c r="A11" s="532" t="s">
        <v>430</v>
      </c>
      <c r="B11" s="533">
        <v>50000</v>
      </c>
      <c r="C11" s="534">
        <v>3.1199999999999999E-3</v>
      </c>
      <c r="D11" s="535" t="s">
        <v>425</v>
      </c>
      <c r="E11" s="534">
        <v>6.3799999999999996E-2</v>
      </c>
      <c r="F11" s="534">
        <v>4.2799999999999998E-2</v>
      </c>
      <c r="G11" s="534">
        <v>0.10972</v>
      </c>
      <c r="H11" s="536">
        <v>5486</v>
      </c>
      <c r="I11" s="538"/>
    </row>
    <row r="12" spans="1:9" ht="15" thickBot="1" x14ac:dyDescent="0.35">
      <c r="A12" s="532" t="s">
        <v>431</v>
      </c>
      <c r="B12" s="533">
        <v>150000</v>
      </c>
      <c r="C12" s="534">
        <v>3.1199999999999999E-3</v>
      </c>
      <c r="D12" s="535" t="s">
        <v>425</v>
      </c>
      <c r="E12" s="534">
        <v>5.6000000000000001E-2</v>
      </c>
      <c r="F12" s="534">
        <v>1.755E-2</v>
      </c>
      <c r="G12" s="534">
        <v>7.6670000000000002E-2</v>
      </c>
      <c r="H12" s="575">
        <v>11500.5</v>
      </c>
      <c r="I12" s="538"/>
    </row>
    <row r="13" spans="1:9" ht="15" thickBot="1" x14ac:dyDescent="0.35">
      <c r="H13" s="537">
        <v>365938.2132</v>
      </c>
      <c r="I13" s="538"/>
    </row>
    <row r="14" spans="1:9" x14ac:dyDescent="0.3">
      <c r="H14" s="538"/>
      <c r="I14" s="538"/>
    </row>
    <row r="15" spans="1:9" ht="15" thickBot="1" x14ac:dyDescent="0.35">
      <c r="A15" s="539" t="s">
        <v>432</v>
      </c>
      <c r="B15" s="539" t="s">
        <v>127</v>
      </c>
      <c r="C15" s="509"/>
      <c r="D15" s="509"/>
      <c r="E15" s="509"/>
      <c r="F15" s="509"/>
      <c r="G15" s="509" t="s">
        <v>420</v>
      </c>
      <c r="H15" s="540" t="s">
        <v>421</v>
      </c>
      <c r="I15" s="540"/>
    </row>
    <row r="16" spans="1:9" ht="28.8" x14ac:dyDescent="0.3">
      <c r="A16" s="541" t="s">
        <v>433</v>
      </c>
      <c r="B16" s="542">
        <v>7635420</v>
      </c>
      <c r="C16" s="468"/>
      <c r="D16" s="468"/>
      <c r="E16" s="468"/>
      <c r="F16" s="468"/>
      <c r="G16" s="543">
        <v>2.4961298789064647E-3</v>
      </c>
      <c r="H16" s="526">
        <v>19059</v>
      </c>
      <c r="I16" s="558"/>
    </row>
    <row r="17" spans="1:13" x14ac:dyDescent="0.3">
      <c r="A17" s="544" t="s">
        <v>434</v>
      </c>
      <c r="B17" s="545">
        <v>7635420</v>
      </c>
      <c r="G17" s="543">
        <v>1.4974945713529838E-3</v>
      </c>
      <c r="H17" s="524">
        <v>11434</v>
      </c>
      <c r="I17" s="558"/>
    </row>
    <row r="18" spans="1:13" ht="28.8" x14ac:dyDescent="0.3">
      <c r="A18" s="544" t="s">
        <v>435</v>
      </c>
      <c r="B18" s="545">
        <v>7635420</v>
      </c>
      <c r="G18" s="543">
        <v>1.1557975854635371E-2</v>
      </c>
      <c r="H18" s="577">
        <v>88250</v>
      </c>
      <c r="I18" s="558"/>
    </row>
    <row r="19" spans="1:13" x14ac:dyDescent="0.3">
      <c r="A19" s="517" t="s">
        <v>436</v>
      </c>
      <c r="B19" s="545">
        <v>7635420</v>
      </c>
      <c r="G19" s="543">
        <v>5.7626168567020547E-3</v>
      </c>
      <c r="H19" s="524">
        <v>44000</v>
      </c>
      <c r="I19" s="551"/>
      <c r="J19" s="3"/>
      <c r="K19" s="3"/>
    </row>
    <row r="20" spans="1:13" ht="29.4" thickBot="1" x14ac:dyDescent="0.35">
      <c r="A20" s="544" t="s">
        <v>437</v>
      </c>
      <c r="B20" s="545">
        <v>7635420</v>
      </c>
      <c r="G20" s="543">
        <v>1.0477485194003734E-3</v>
      </c>
      <c r="H20" s="571">
        <v>8000</v>
      </c>
      <c r="I20" s="775" t="s">
        <v>445</v>
      </c>
      <c r="J20" s="776"/>
      <c r="K20" s="776"/>
    </row>
    <row r="21" spans="1:13" ht="15" thickBot="1" x14ac:dyDescent="0.35">
      <c r="A21" s="544" t="s">
        <v>438</v>
      </c>
      <c r="B21" s="545">
        <v>7635420</v>
      </c>
      <c r="G21" s="543">
        <v>2.3574341686508405E-3</v>
      </c>
      <c r="H21" s="579">
        <v>18000</v>
      </c>
      <c r="I21" s="551"/>
      <c r="J21" s="568" t="s">
        <v>442</v>
      </c>
      <c r="K21" s="569" t="s">
        <v>494</v>
      </c>
    </row>
    <row r="22" spans="1:13" x14ac:dyDescent="0.3">
      <c r="A22" s="544" t="s">
        <v>439</v>
      </c>
      <c r="B22" s="545">
        <v>7635420</v>
      </c>
      <c r="G22" s="543">
        <v>3.1696802533455921E-2</v>
      </c>
      <c r="H22" s="552">
        <v>242018.40000000002</v>
      </c>
      <c r="I22" s="552" t="s">
        <v>444</v>
      </c>
      <c r="J22" s="555">
        <f>'2015Summary METER to CASH (Base'!W26</f>
        <v>223436.58785000001</v>
      </c>
      <c r="K22" s="591">
        <f>'2016 Summary Proj. From Inputs'!W26</f>
        <v>232793.33518315182</v>
      </c>
      <c r="L22" s="777" t="s">
        <v>495</v>
      </c>
      <c r="M22" s="778"/>
    </row>
    <row r="23" spans="1:13" ht="15" thickBot="1" x14ac:dyDescent="0.35">
      <c r="A23" s="527" t="s">
        <v>440</v>
      </c>
      <c r="B23" s="546">
        <v>7635420</v>
      </c>
      <c r="G23" s="543">
        <v>9.6445251210804384E-3</v>
      </c>
      <c r="H23" s="573">
        <v>73640</v>
      </c>
      <c r="I23" s="561" t="s">
        <v>292</v>
      </c>
      <c r="J23" s="559">
        <f>'2015Summary METER to CASH (Base'!W27</f>
        <v>139007</v>
      </c>
      <c r="K23" s="592">
        <f>'2016 Summary Proj. From Inputs'!W27</f>
        <v>137300.07417707317</v>
      </c>
      <c r="L23" s="779"/>
      <c r="M23" s="778"/>
    </row>
    <row r="24" spans="1:13" x14ac:dyDescent="0.3">
      <c r="A24" s="373"/>
      <c r="B24" s="468"/>
      <c r="G24" s="543"/>
      <c r="H24" s="547"/>
      <c r="I24" s="562" t="s">
        <v>34</v>
      </c>
      <c r="J24" s="560">
        <f>SUM(J22:J23)</f>
        <v>362443.58785000001</v>
      </c>
      <c r="K24" s="556">
        <f>SUM(K22:K23)</f>
        <v>370093.40936022496</v>
      </c>
    </row>
    <row r="25" spans="1:13" x14ac:dyDescent="0.3">
      <c r="A25" s="548" t="s">
        <v>441</v>
      </c>
      <c r="B25" s="549"/>
      <c r="C25" s="549"/>
      <c r="D25" s="549"/>
      <c r="E25" s="549"/>
      <c r="F25" s="549"/>
      <c r="G25" s="550">
        <v>6.6060727504184458E-2</v>
      </c>
      <c r="H25" s="553">
        <v>504401.4</v>
      </c>
      <c r="I25" s="562"/>
      <c r="J25" s="560"/>
      <c r="K25" s="556"/>
    </row>
    <row r="26" spans="1:13" x14ac:dyDescent="0.3">
      <c r="I26" s="562"/>
      <c r="J26" s="567" t="s">
        <v>447</v>
      </c>
      <c r="K26" s="564"/>
    </row>
    <row r="27" spans="1:13" x14ac:dyDescent="0.3">
      <c r="I27" s="562"/>
      <c r="J27" s="560" t="s">
        <v>448</v>
      </c>
      <c r="K27" s="570">
        <f>H20</f>
        <v>8000</v>
      </c>
    </row>
    <row r="28" spans="1:13" x14ac:dyDescent="0.3">
      <c r="I28" s="562"/>
      <c r="J28" s="560" t="s">
        <v>450</v>
      </c>
      <c r="K28" s="572">
        <f>H23</f>
        <v>73640</v>
      </c>
    </row>
    <row r="29" spans="1:13" x14ac:dyDescent="0.3">
      <c r="I29" s="562"/>
      <c r="J29" s="560" t="s">
        <v>449</v>
      </c>
      <c r="K29" s="580">
        <f>H21</f>
        <v>18000</v>
      </c>
    </row>
    <row r="30" spans="1:13" ht="28.8" x14ac:dyDescent="0.3">
      <c r="I30" s="562"/>
      <c r="J30" s="563" t="s">
        <v>452</v>
      </c>
      <c r="K30" s="574">
        <f>H12</f>
        <v>11500.5</v>
      </c>
    </row>
    <row r="31" spans="1:13" ht="51" customHeight="1" thickBot="1" x14ac:dyDescent="0.35">
      <c r="I31" s="562"/>
      <c r="J31" s="565" t="s">
        <v>454</v>
      </c>
      <c r="K31" s="576">
        <v>20000</v>
      </c>
    </row>
    <row r="32" spans="1:13" ht="15" thickBot="1" x14ac:dyDescent="0.35">
      <c r="I32" s="554" t="s">
        <v>446</v>
      </c>
      <c r="J32" s="554" t="s">
        <v>451</v>
      </c>
      <c r="K32" s="566">
        <f>SUM(K24:K31)</f>
        <v>501233.90936022496</v>
      </c>
    </row>
  </sheetData>
  <mergeCells count="3">
    <mergeCell ref="A2:H2"/>
    <mergeCell ref="I20:K20"/>
    <mergeCell ref="L22:M23"/>
  </mergeCells>
  <pageMargins left="0.2" right="0.2" top="0.75" bottom="0.75" header="0.3" footer="0.3"/>
  <pageSetup scale="6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BA55"/>
  <sheetViews>
    <sheetView zoomScale="50" zoomScaleNormal="50" workbookViewId="0">
      <pane xSplit="2" ySplit="9" topLeftCell="C10" activePane="bottomRight" state="frozen"/>
      <selection activeCell="P64" sqref="P64"/>
      <selection pane="topRight" activeCell="P64" sqref="P64"/>
      <selection pane="bottomLeft" activeCell="P64" sqref="P64"/>
      <selection pane="bottomRight" activeCell="U43" sqref="U43"/>
    </sheetView>
  </sheetViews>
  <sheetFormatPr defaultRowHeight="14.4" x14ac:dyDescent="0.3"/>
  <cols>
    <col min="1" max="1" width="21.33203125" customWidth="1"/>
    <col min="2" max="2" width="1.33203125" style="3" customWidth="1"/>
    <col min="3" max="3" width="33.88671875" style="1" customWidth="1"/>
    <col min="4" max="4" width="16.44140625" style="1" customWidth="1"/>
    <col min="5" max="5" width="12.6640625" style="1" customWidth="1"/>
    <col min="6" max="6" width="15.77734375" style="1" customWidth="1"/>
    <col min="7" max="7" width="32.44140625" style="1" customWidth="1"/>
    <col min="8" max="8" width="16.44140625" style="1" customWidth="1"/>
    <col min="9" max="9" width="12.6640625" style="1" customWidth="1"/>
    <col min="10" max="10" width="15.77734375" style="1" customWidth="1"/>
    <col min="11" max="11" width="32.44140625" style="1" customWidth="1"/>
    <col min="12" max="12" width="16.44140625" style="1" customWidth="1"/>
    <col min="13" max="13" width="12.6640625" style="1" customWidth="1"/>
    <col min="14" max="14" width="16" style="1" customWidth="1"/>
    <col min="15" max="15" width="38.33203125" style="1" customWidth="1"/>
    <col min="16" max="16" width="16.44140625" style="1" customWidth="1"/>
    <col min="17" max="17" width="12.6640625" style="1" customWidth="1"/>
    <col min="18" max="18" width="15.5546875" style="1" customWidth="1"/>
    <col min="19" max="19" width="1.6640625" customWidth="1"/>
    <col min="20" max="22" width="17.44140625" customWidth="1"/>
    <col min="23" max="23" width="17.109375" customWidth="1"/>
    <col min="25" max="25" width="22.88671875" customWidth="1"/>
  </cols>
  <sheetData>
    <row r="1" spans="1:53" ht="32.4" customHeight="1" x14ac:dyDescent="0.65">
      <c r="C1" s="139"/>
      <c r="D1" s="139"/>
      <c r="E1" s="139"/>
      <c r="F1" s="139"/>
      <c r="G1" s="488"/>
      <c r="H1" s="488"/>
      <c r="I1" s="728" t="s">
        <v>402</v>
      </c>
      <c r="J1" s="729"/>
      <c r="K1" s="729"/>
      <c r="L1" s="729"/>
      <c r="M1" s="729"/>
      <c r="N1" s="729"/>
      <c r="P1" s="139"/>
      <c r="Q1" s="139"/>
      <c r="R1" s="139"/>
      <c r="T1" t="s">
        <v>532</v>
      </c>
    </row>
    <row r="2" spans="1:53" ht="20.399999999999999" customHeight="1" x14ac:dyDescent="0.3">
      <c r="G2" s="725"/>
      <c r="H2" s="725"/>
      <c r="I2" s="725"/>
      <c r="J2" s="725"/>
      <c r="K2" s="725"/>
      <c r="L2" s="725"/>
      <c r="M2" s="725"/>
      <c r="N2" s="139"/>
    </row>
    <row r="3" spans="1:53" s="2" customFormat="1" ht="39" customHeight="1" x14ac:dyDescent="0.4">
      <c r="A3" s="4"/>
      <c r="B3" s="5"/>
      <c r="C3" s="14"/>
      <c r="D3" s="15" t="s">
        <v>18</v>
      </c>
      <c r="E3" s="16" t="s">
        <v>19</v>
      </c>
      <c r="F3" s="680" t="s">
        <v>20</v>
      </c>
      <c r="G3" s="669"/>
      <c r="H3" s="23" t="s">
        <v>18</v>
      </c>
      <c r="I3" s="16" t="s">
        <v>19</v>
      </c>
      <c r="J3" s="680" t="s">
        <v>20</v>
      </c>
      <c r="K3" s="669"/>
      <c r="L3" s="15" t="s">
        <v>18</v>
      </c>
      <c r="M3" s="16" t="s">
        <v>19</v>
      </c>
      <c r="N3" s="680" t="s">
        <v>20</v>
      </c>
      <c r="O3" s="669"/>
      <c r="P3" s="15" t="s">
        <v>18</v>
      </c>
      <c r="Q3" s="16" t="s">
        <v>19</v>
      </c>
      <c r="R3" s="680" t="s">
        <v>20</v>
      </c>
    </row>
    <row r="4" spans="1:53" s="2" customFormat="1" ht="73.2" customHeight="1" thickBot="1" x14ac:dyDescent="0.45">
      <c r="A4" s="4"/>
      <c r="B4" s="5"/>
      <c r="C4" s="14"/>
      <c r="D4" s="15" t="s">
        <v>18</v>
      </c>
      <c r="E4" s="18" t="s">
        <v>21</v>
      </c>
      <c r="F4" s="681" t="s">
        <v>25</v>
      </c>
      <c r="G4" s="14"/>
      <c r="H4" s="15" t="s">
        <v>18</v>
      </c>
      <c r="I4" s="18" t="s">
        <v>21</v>
      </c>
      <c r="J4" s="681" t="s">
        <v>25</v>
      </c>
      <c r="K4" s="14"/>
      <c r="L4" s="15" t="s">
        <v>18</v>
      </c>
      <c r="M4" s="18" t="s">
        <v>21</v>
      </c>
      <c r="N4" s="681" t="s">
        <v>25</v>
      </c>
      <c r="O4" s="14"/>
      <c r="P4" s="15" t="s">
        <v>18</v>
      </c>
      <c r="Q4" s="18" t="s">
        <v>21</v>
      </c>
      <c r="R4" s="681" t="s">
        <v>25</v>
      </c>
    </row>
    <row r="5" spans="1:53" ht="27.6" customHeight="1" thickBot="1" x14ac:dyDescent="0.65">
      <c r="A5" s="7"/>
      <c r="B5" s="8"/>
      <c r="C5" s="9"/>
      <c r="D5" s="619" t="s">
        <v>22</v>
      </c>
      <c r="E5" s="619" t="s">
        <v>23</v>
      </c>
      <c r="F5" s="682" t="s">
        <v>533</v>
      </c>
      <c r="G5" s="669"/>
      <c r="H5" s="619" t="s">
        <v>22</v>
      </c>
      <c r="I5" s="619" t="s">
        <v>23</v>
      </c>
      <c r="J5" s="682" t="s">
        <v>533</v>
      </c>
      <c r="K5" s="669"/>
      <c r="L5" s="619" t="s">
        <v>22</v>
      </c>
      <c r="M5" s="619" t="s">
        <v>23</v>
      </c>
      <c r="N5" s="682" t="s">
        <v>533</v>
      </c>
      <c r="O5" s="669"/>
      <c r="P5" s="619" t="s">
        <v>22</v>
      </c>
      <c r="Q5" s="619" t="s">
        <v>23</v>
      </c>
      <c r="R5" s="682" t="s">
        <v>533</v>
      </c>
      <c r="T5" s="731" t="s">
        <v>531</v>
      </c>
      <c r="U5" s="732"/>
      <c r="V5" s="732"/>
      <c r="W5" s="733"/>
      <c r="Y5" s="2"/>
    </row>
    <row r="6" spans="1:53" ht="20.399999999999999" customHeight="1" thickBot="1" x14ac:dyDescent="0.45">
      <c r="A6" s="7" t="s">
        <v>393</v>
      </c>
      <c r="B6" s="8"/>
      <c r="C6" s="9"/>
      <c r="D6" s="629">
        <f>'2015 - 2016 Customers'!D3</f>
        <v>6957485</v>
      </c>
      <c r="E6" s="629">
        <f>'2015 - 2016 Customers'!E3</f>
        <v>693226</v>
      </c>
      <c r="F6" s="702">
        <f>'2015 - 2016 Customers'!F3</f>
        <v>23142</v>
      </c>
      <c r="G6" s="670"/>
      <c r="H6" s="630">
        <f>'2015 - 2016 Customers'!G3</f>
        <v>6937370</v>
      </c>
      <c r="I6" s="630">
        <f>'2015 - 2016 Customers'!H3</f>
        <v>693226</v>
      </c>
      <c r="J6" s="683">
        <f>'2015 - 2016 Customers'!I3</f>
        <v>23142</v>
      </c>
      <c r="K6" s="670"/>
      <c r="L6" s="630">
        <f>'2015 - 2016 Customers'!J3</f>
        <v>6139122</v>
      </c>
      <c r="M6" s="630">
        <f>'2015 - 2016 Customers'!K3</f>
        <v>654481</v>
      </c>
      <c r="N6" s="683">
        <f>'2015 - 2016 Customers'!L3</f>
        <v>23142</v>
      </c>
      <c r="O6" s="670"/>
      <c r="P6" s="630">
        <f>'2015 - 2016 Customers'!M3</f>
        <v>130756.86812123199</v>
      </c>
      <c r="Q6" s="630">
        <f>'2015 - 2016 Customers'!N3</f>
        <v>6266.4316472939427</v>
      </c>
      <c r="R6" s="683">
        <f>'2015 - 2016 Customers'!O3</f>
        <v>20.487267645737127</v>
      </c>
      <c r="S6" s="373"/>
      <c r="T6" s="619" t="s">
        <v>22</v>
      </c>
      <c r="U6" s="619" t="s">
        <v>23</v>
      </c>
      <c r="V6" s="609" t="s">
        <v>533</v>
      </c>
      <c r="W6" s="646" t="s">
        <v>34</v>
      </c>
      <c r="Y6" s="2"/>
    </row>
    <row r="7" spans="1:53" ht="20.399999999999999" customHeight="1" thickBot="1" x14ac:dyDescent="0.45">
      <c r="A7" s="7" t="s">
        <v>395</v>
      </c>
      <c r="B7" s="8"/>
      <c r="C7" s="9"/>
      <c r="D7" s="629">
        <f>'2015 - 2016 Customers'!D4</f>
        <v>853325</v>
      </c>
      <c r="E7" s="629">
        <f>'2015 - 2016 Customers'!E4</f>
        <v>68580</v>
      </c>
      <c r="F7" s="702">
        <f>'2015 - 2016 Customers'!F4</f>
        <v>1915</v>
      </c>
      <c r="G7" s="670"/>
      <c r="H7" s="630">
        <f>'2015 - 2016 Customers'!G4</f>
        <v>846712</v>
      </c>
      <c r="I7" s="630">
        <f>'2015 - 2016 Customers'!H4</f>
        <v>68580</v>
      </c>
      <c r="J7" s="683">
        <f>'2015 - 2016 Customers'!I4</f>
        <v>1915</v>
      </c>
      <c r="K7" s="670"/>
      <c r="L7" s="630">
        <f>'2015 - 2016 Customers'!J4</f>
        <v>744805</v>
      </c>
      <c r="M7" s="630">
        <f>'2015 - 2016 Customers'!K4</f>
        <v>69296</v>
      </c>
      <c r="N7" s="683">
        <f>'2015 - 2016 Customers'!L4</f>
        <v>1915</v>
      </c>
      <c r="O7" s="670"/>
      <c r="P7" s="630">
        <f>'2015 - 2016 Customers'!M4</f>
        <v>16037.131878768014</v>
      </c>
      <c r="Q7" s="630">
        <f>'2015 - 2016 Customers'!N4</f>
        <v>768.56835270605734</v>
      </c>
      <c r="R7" s="683">
        <f>'2015 - 2016 Customers'!O4</f>
        <v>2.5127323542628739</v>
      </c>
      <c r="S7" s="373"/>
      <c r="T7" s="370">
        <f>'2015 - 2016 Customers'!L21</f>
        <v>649132</v>
      </c>
      <c r="U7" s="370">
        <f>'2015 - 2016 Customers'!L22</f>
        <v>63091</v>
      </c>
      <c r="V7" s="370">
        <f>'2015 - 2016 Customers'!L23</f>
        <v>2061</v>
      </c>
      <c r="W7" s="640">
        <f>SUM(T7:V9)</f>
        <v>714284</v>
      </c>
      <c r="Y7" s="2"/>
    </row>
    <row r="8" spans="1:53" ht="20.399999999999999" customHeight="1" thickTop="1" thickBot="1" x14ac:dyDescent="0.45">
      <c r="A8" s="7"/>
      <c r="B8" s="8"/>
      <c r="C8" s="374" t="s">
        <v>363</v>
      </c>
      <c r="D8" s="369">
        <f>(D6+D7)/12</f>
        <v>650900.83333333337</v>
      </c>
      <c r="E8" s="369">
        <f>(E6+E7)/12</f>
        <v>63483.833333333336</v>
      </c>
      <c r="F8" s="369">
        <f>(F6+F7)/12</f>
        <v>2088.0833333333335</v>
      </c>
      <c r="G8" s="671" t="s">
        <v>364</v>
      </c>
      <c r="H8" s="369">
        <f>(H6+H7)/12</f>
        <v>648673.5</v>
      </c>
      <c r="I8" s="369">
        <f>(I6+I7)/12</f>
        <v>63483.833333333336</v>
      </c>
      <c r="J8" s="369">
        <f>(J6+J7)/12</f>
        <v>2088.0833333333335</v>
      </c>
      <c r="K8" s="671" t="s">
        <v>365</v>
      </c>
      <c r="L8" s="369">
        <f>(L6+L7)/12</f>
        <v>573660.58333333337</v>
      </c>
      <c r="M8" s="369">
        <f>(M6+M7)/12</f>
        <v>60314.75</v>
      </c>
      <c r="N8" s="369">
        <f>(N6+N7)/12</f>
        <v>2088.0833333333335</v>
      </c>
      <c r="O8" s="671" t="s">
        <v>366</v>
      </c>
      <c r="P8" s="369">
        <f>(P6+P7)/12</f>
        <v>12232.833333333334</v>
      </c>
      <c r="Q8" s="369">
        <f>(Q6+Q7)/12</f>
        <v>586.25</v>
      </c>
      <c r="R8" s="369">
        <f>(R6+R7)/12</f>
        <v>1.9166666666666667</v>
      </c>
      <c r="T8" s="726"/>
      <c r="U8" s="726"/>
      <c r="V8" s="726"/>
      <c r="W8" s="726" t="s">
        <v>340</v>
      </c>
    </row>
    <row r="9" spans="1:53" s="2" customFormat="1" ht="21.6" thickTop="1" x14ac:dyDescent="0.4">
      <c r="A9" s="4"/>
      <c r="B9" s="5"/>
      <c r="C9" s="327" t="s">
        <v>0</v>
      </c>
      <c r="D9" s="19"/>
      <c r="E9" s="20"/>
      <c r="F9" s="684"/>
      <c r="G9" s="20" t="s">
        <v>1</v>
      </c>
      <c r="H9" s="20"/>
      <c r="I9" s="20"/>
      <c r="J9" s="684"/>
      <c r="K9" s="20" t="s">
        <v>252</v>
      </c>
      <c r="L9" s="20"/>
      <c r="M9" s="20"/>
      <c r="N9" s="684"/>
      <c r="O9" s="20" t="s">
        <v>3</v>
      </c>
      <c r="P9" s="20"/>
      <c r="Q9" s="20"/>
      <c r="R9" s="684"/>
      <c r="T9" s="727" t="s">
        <v>339</v>
      </c>
      <c r="U9" s="727" t="s">
        <v>339</v>
      </c>
      <c r="V9" s="727" t="s">
        <v>339</v>
      </c>
      <c r="W9" s="727"/>
      <c r="BA9" s="6"/>
    </row>
    <row r="10" spans="1:53" ht="120" customHeight="1" x14ac:dyDescent="0.4">
      <c r="A10" s="312" t="s">
        <v>8</v>
      </c>
      <c r="B10" s="5"/>
      <c r="C10" s="328" t="s">
        <v>16</v>
      </c>
      <c r="D10" s="308">
        <f>'Meter Reading'!E7</f>
        <v>26760.439398000002</v>
      </c>
      <c r="E10" s="308">
        <f>'Meter Reading'!F7</f>
        <v>2167.3119649999999</v>
      </c>
      <c r="F10" s="685">
        <f>'Meter Reading'!G7</f>
        <v>0</v>
      </c>
      <c r="G10" s="672" t="s">
        <v>17</v>
      </c>
      <c r="H10" s="308">
        <f>Billing!E7</f>
        <v>3441884.8067899998</v>
      </c>
      <c r="I10" s="308">
        <f>Billing!F7</f>
        <v>393339.83981499996</v>
      </c>
      <c r="J10" s="685">
        <f>Billing!G7</f>
        <v>11977.528000000002</v>
      </c>
      <c r="K10" s="672" t="s">
        <v>306</v>
      </c>
      <c r="L10" s="308">
        <f>'Payment Processing'!E7</f>
        <v>640265.95629200002</v>
      </c>
      <c r="M10" s="308">
        <f>'Payment Processing'!F7</f>
        <v>53661.471661999996</v>
      </c>
      <c r="N10" s="685">
        <f>'Payment Processing'!G7</f>
        <v>2309.9983199999997</v>
      </c>
      <c r="O10" s="672" t="s">
        <v>307</v>
      </c>
      <c r="P10" s="308">
        <f>Collections!E7</f>
        <v>288258.248226</v>
      </c>
      <c r="Q10" s="308">
        <f>Collections!F7</f>
        <v>24334.117876</v>
      </c>
      <c r="R10" s="685">
        <f>Collections!G7</f>
        <v>0</v>
      </c>
      <c r="T10" s="308">
        <f>D10+H10+L10+P10</f>
        <v>4397169.4507059995</v>
      </c>
      <c r="U10" s="308">
        <f t="shared" ref="U10:V10" si="0">E10+I10+M10+Q10</f>
        <v>473502.74131799996</v>
      </c>
      <c r="V10" s="340">
        <f t="shared" si="0"/>
        <v>14287.526320000001</v>
      </c>
      <c r="W10" s="308">
        <f>SUM(T10:V10)</f>
        <v>4884959.7183439992</v>
      </c>
    </row>
    <row r="11" spans="1:53" ht="21" x14ac:dyDescent="0.4">
      <c r="A11" s="313"/>
      <c r="B11" s="5"/>
      <c r="C11" s="329" t="s">
        <v>67</v>
      </c>
      <c r="D11" s="314">
        <f>'Meter Reading'!I47</f>
        <v>26760.439398000002</v>
      </c>
      <c r="E11" s="314">
        <f>'Meter Reading'!S47</f>
        <v>2167.3119649999999</v>
      </c>
      <c r="F11" s="686">
        <f>'Meter Reading'!AC47</f>
        <v>0</v>
      </c>
      <c r="G11" s="673" t="s">
        <v>67</v>
      </c>
      <c r="H11" s="314">
        <f>Billing!I47</f>
        <v>761132.11979000003</v>
      </c>
      <c r="I11" s="314">
        <f>Billing!S47</f>
        <v>77555.054814999996</v>
      </c>
      <c r="J11" s="686">
        <f>Billing!AC47</f>
        <v>0</v>
      </c>
      <c r="K11" s="673" t="s">
        <v>67</v>
      </c>
      <c r="L11" s="314">
        <f>'Payment Processing'!I48</f>
        <v>393315.20029200002</v>
      </c>
      <c r="M11" s="314">
        <f>'Payment Processing'!S48</f>
        <v>37688.767661999998</v>
      </c>
      <c r="N11" s="686">
        <f>'Payment Processing'!AC48</f>
        <v>2273.4583199999997</v>
      </c>
      <c r="O11" s="673" t="s">
        <v>67</v>
      </c>
      <c r="P11" s="314">
        <f>Collections!I47</f>
        <v>157637.04822599998</v>
      </c>
      <c r="Q11" s="314">
        <f>Collections!S47</f>
        <v>17459.317876000001</v>
      </c>
      <c r="R11" s="686">
        <f>Collections!AC47</f>
        <v>0</v>
      </c>
      <c r="T11" s="314">
        <f t="shared" ref="T11:T30" si="1">D11+H11+L11+P11</f>
        <v>1338844.8077060001</v>
      </c>
      <c r="U11" s="314">
        <f t="shared" ref="U11:U30" si="2">E11+I11+M11+Q11</f>
        <v>134870.452318</v>
      </c>
      <c r="V11" s="342">
        <f t="shared" ref="V11:V30" si="3">F11+J11+N11+R11</f>
        <v>2273.4583199999997</v>
      </c>
      <c r="W11" s="314">
        <f t="shared" ref="W11:W30" si="4">SUM(T11:V11)</f>
        <v>1475988.7183439999</v>
      </c>
    </row>
    <row r="12" spans="1:53" ht="21" x14ac:dyDescent="0.4">
      <c r="A12" s="310"/>
      <c r="B12" s="5"/>
      <c r="C12" s="330" t="s">
        <v>292</v>
      </c>
      <c r="D12" s="314">
        <f>'Meter Reading'!I48</f>
        <v>0</v>
      </c>
      <c r="E12" s="314">
        <f>'Meter Reading'!S48</f>
        <v>0</v>
      </c>
      <c r="F12" s="686">
        <f>'Meter Reading'!AC48</f>
        <v>0</v>
      </c>
      <c r="G12" s="674" t="s">
        <v>292</v>
      </c>
      <c r="H12" s="314">
        <f>Billing!I48</f>
        <v>2680752.6869999999</v>
      </c>
      <c r="I12" s="314">
        <f>Billing!S48</f>
        <v>315784.78499999997</v>
      </c>
      <c r="J12" s="686">
        <f>Billing!AC48</f>
        <v>11977.528000000002</v>
      </c>
      <c r="K12" s="674" t="s">
        <v>292</v>
      </c>
      <c r="L12" s="314">
        <f>'Payment Processing'!I49</f>
        <v>246950.75599999999</v>
      </c>
      <c r="M12" s="314">
        <f>'Payment Processing'!S49</f>
        <v>15972.704</v>
      </c>
      <c r="N12" s="686">
        <f>'Payment Processing'!AC49</f>
        <v>36.54</v>
      </c>
      <c r="O12" s="674" t="s">
        <v>292</v>
      </c>
      <c r="P12" s="314">
        <f>Collections!I48</f>
        <v>130621.2</v>
      </c>
      <c r="Q12" s="314">
        <f>Collections!S48</f>
        <v>6874.8</v>
      </c>
      <c r="R12" s="686">
        <f>Collections!AC48</f>
        <v>0</v>
      </c>
      <c r="T12" s="315">
        <f t="shared" si="1"/>
        <v>3058324.6430000002</v>
      </c>
      <c r="U12" s="315">
        <f t="shared" si="2"/>
        <v>338632.28899999999</v>
      </c>
      <c r="V12" s="344">
        <f t="shared" si="3"/>
        <v>12014.068000000003</v>
      </c>
      <c r="W12" s="315">
        <f t="shared" si="4"/>
        <v>3408971</v>
      </c>
    </row>
    <row r="13" spans="1:53" ht="291.60000000000002" customHeight="1" x14ac:dyDescent="0.4">
      <c r="A13" s="307" t="s">
        <v>4</v>
      </c>
      <c r="B13" s="5"/>
      <c r="C13" s="331"/>
      <c r="D13" s="316">
        <v>0</v>
      </c>
      <c r="E13" s="316">
        <v>0</v>
      </c>
      <c r="F13" s="696">
        <v>0</v>
      </c>
      <c r="G13" s="672" t="s">
        <v>341</v>
      </c>
      <c r="H13" s="308">
        <f>Billing!E50</f>
        <v>2733598.0414367509</v>
      </c>
      <c r="I13" s="308">
        <f>Billing!F50</f>
        <v>267529.47740719659</v>
      </c>
      <c r="J13" s="685">
        <f>Billing!G50</f>
        <v>8799.4661572527966</v>
      </c>
      <c r="K13" s="675"/>
      <c r="L13" s="316">
        <v>0</v>
      </c>
      <c r="M13" s="316">
        <v>0</v>
      </c>
      <c r="N13" s="696">
        <v>0</v>
      </c>
      <c r="O13" s="672" t="s">
        <v>308</v>
      </c>
      <c r="P13" s="308">
        <f>Collections!E50</f>
        <v>1254638.709617347</v>
      </c>
      <c r="Q13" s="308">
        <f>Collections!F50</f>
        <v>60127.684524967197</v>
      </c>
      <c r="R13" s="685">
        <f>Collections!G50</f>
        <v>196.5794945379169</v>
      </c>
      <c r="T13" s="308">
        <f t="shared" si="1"/>
        <v>3988236.7510540979</v>
      </c>
      <c r="U13" s="308">
        <f t="shared" si="2"/>
        <v>327657.16193216381</v>
      </c>
      <c r="V13" s="340">
        <f t="shared" si="3"/>
        <v>8996.0456517907132</v>
      </c>
      <c r="W13" s="308">
        <f t="shared" si="4"/>
        <v>4324889.9586380525</v>
      </c>
    </row>
    <row r="14" spans="1:53" ht="21" x14ac:dyDescent="0.4">
      <c r="A14" s="317"/>
      <c r="B14" s="5"/>
      <c r="C14" s="332" t="s">
        <v>67</v>
      </c>
      <c r="D14" s="319">
        <v>0</v>
      </c>
      <c r="E14" s="319">
        <v>0</v>
      </c>
      <c r="F14" s="688">
        <v>0</v>
      </c>
      <c r="G14" s="673" t="s">
        <v>67</v>
      </c>
      <c r="H14" s="314">
        <f>Billing!I95</f>
        <v>2188854.1041447641</v>
      </c>
      <c r="I14" s="314">
        <f>Billing!S95</f>
        <v>214216.93523553663</v>
      </c>
      <c r="J14" s="686">
        <f>Billing!AC95</f>
        <v>7045.9326208993371</v>
      </c>
      <c r="K14" s="676" t="s">
        <v>67</v>
      </c>
      <c r="L14" s="319">
        <v>0</v>
      </c>
      <c r="M14" s="319">
        <v>0</v>
      </c>
      <c r="N14" s="688">
        <v>0</v>
      </c>
      <c r="O14" s="673" t="s">
        <v>67</v>
      </c>
      <c r="P14" s="314">
        <f>Collections!I95</f>
        <v>961578.78217044577</v>
      </c>
      <c r="Q14" s="314">
        <f>Collections!S95</f>
        <v>46082.99203352374</v>
      </c>
      <c r="R14" s="686">
        <f>Collections!AC95</f>
        <v>150.66223408259361</v>
      </c>
      <c r="T14" s="314">
        <f t="shared" si="1"/>
        <v>3150432.8863152098</v>
      </c>
      <c r="U14" s="314">
        <f t="shared" si="2"/>
        <v>260299.92726906037</v>
      </c>
      <c r="V14" s="342">
        <f t="shared" si="3"/>
        <v>7196.5948549819304</v>
      </c>
      <c r="W14" s="314">
        <f t="shared" si="4"/>
        <v>3417929.4084392521</v>
      </c>
    </row>
    <row r="15" spans="1:53" ht="21" x14ac:dyDescent="0.4">
      <c r="A15" s="320"/>
      <c r="B15" s="5"/>
      <c r="C15" s="333" t="s">
        <v>292</v>
      </c>
      <c r="D15" s="322">
        <v>0</v>
      </c>
      <c r="E15" s="322">
        <v>0</v>
      </c>
      <c r="F15" s="697">
        <v>0</v>
      </c>
      <c r="G15" s="674" t="s">
        <v>292</v>
      </c>
      <c r="H15" s="314">
        <f>Billing!I96</f>
        <v>544743.93729198666</v>
      </c>
      <c r="I15" s="314">
        <f>Billing!S96</f>
        <v>53312.542171659959</v>
      </c>
      <c r="J15" s="686">
        <f>Billing!AC96</f>
        <v>1753.5335363534593</v>
      </c>
      <c r="K15" s="677" t="s">
        <v>292</v>
      </c>
      <c r="L15" s="322">
        <v>0</v>
      </c>
      <c r="M15" s="322">
        <v>0</v>
      </c>
      <c r="N15" s="697">
        <v>0</v>
      </c>
      <c r="O15" s="674" t="s">
        <v>292</v>
      </c>
      <c r="P15" s="314">
        <f>Collections!I96</f>
        <v>293059.92744690122</v>
      </c>
      <c r="Q15" s="314">
        <f>Collections!S96</f>
        <v>14044.692491443451</v>
      </c>
      <c r="R15" s="686">
        <f>Collections!AC96</f>
        <v>45.917260455323301</v>
      </c>
      <c r="T15" s="315">
        <f t="shared" si="1"/>
        <v>837803.86473888787</v>
      </c>
      <c r="U15" s="315">
        <f t="shared" si="2"/>
        <v>67357.234663103416</v>
      </c>
      <c r="V15" s="344">
        <f t="shared" si="3"/>
        <v>1799.4507968087826</v>
      </c>
      <c r="W15" s="315">
        <f t="shared" si="4"/>
        <v>906960.55019880016</v>
      </c>
    </row>
    <row r="16" spans="1:53" ht="70.8" customHeight="1" x14ac:dyDescent="0.4">
      <c r="A16" s="312" t="s">
        <v>5</v>
      </c>
      <c r="B16" s="5"/>
      <c r="C16" s="328" t="s">
        <v>15</v>
      </c>
      <c r="D16" s="308">
        <f>'Meter Reading'!E50</f>
        <v>0</v>
      </c>
      <c r="E16" s="308">
        <f>'Meter Reading'!F50</f>
        <v>4029.6458827993793</v>
      </c>
      <c r="F16" s="685">
        <f>'Meter Reading'!G50</f>
        <v>44810.427262778067</v>
      </c>
      <c r="G16" s="672" t="s">
        <v>9</v>
      </c>
      <c r="H16" s="308">
        <f>Billing!E98</f>
        <v>0</v>
      </c>
      <c r="I16" s="308">
        <f>Billing!F98</f>
        <v>101167.92131299998</v>
      </c>
      <c r="J16" s="685">
        <f>Billing!G98</f>
        <v>281372.08834833326</v>
      </c>
      <c r="K16" s="672" t="s">
        <v>12</v>
      </c>
      <c r="L16" s="308">
        <f>'Payment Processing'!E51</f>
        <v>8743.7062330000008</v>
      </c>
      <c r="M16" s="308">
        <f>'Payment Processing'!F51</f>
        <v>2150.6443140000001</v>
      </c>
      <c r="N16" s="685">
        <f>'Payment Processing'!G51</f>
        <v>0</v>
      </c>
      <c r="O16" s="672" t="s">
        <v>12</v>
      </c>
      <c r="P16" s="308">
        <f>Collections!E98</f>
        <v>0</v>
      </c>
      <c r="Q16" s="308">
        <f>Collections!F98</f>
        <v>30177.796298000001</v>
      </c>
      <c r="R16" s="685">
        <f>Collections!G98</f>
        <v>910.40042400000004</v>
      </c>
      <c r="T16" s="308">
        <f t="shared" si="1"/>
        <v>8743.7062330000008</v>
      </c>
      <c r="U16" s="308">
        <f t="shared" si="2"/>
        <v>137526.00780779938</v>
      </c>
      <c r="V16" s="340">
        <f t="shared" si="3"/>
        <v>327092.9160351113</v>
      </c>
      <c r="W16" s="308">
        <f t="shared" si="4"/>
        <v>473362.63007591071</v>
      </c>
    </row>
    <row r="17" spans="1:23" ht="21" x14ac:dyDescent="0.4">
      <c r="A17" s="313" t="s">
        <v>342</v>
      </c>
      <c r="B17" s="5"/>
      <c r="C17" s="329" t="s">
        <v>67</v>
      </c>
      <c r="D17" s="314">
        <f>'Meter Reading'!I92</f>
        <v>0</v>
      </c>
      <c r="E17" s="314">
        <f>'Meter Reading'!S92</f>
        <v>3878.6458827993793</v>
      </c>
      <c r="F17" s="686">
        <f>'Meter Reading'!AC92</f>
        <v>43195.427262778067</v>
      </c>
      <c r="G17" s="673" t="s">
        <v>67</v>
      </c>
      <c r="H17" s="314">
        <f>Billing!I139</f>
        <v>0</v>
      </c>
      <c r="I17" s="314">
        <f>Billing!S139</f>
        <v>92986.52131299999</v>
      </c>
      <c r="J17" s="686">
        <f>Billing!AC139</f>
        <v>264786.48834833328</v>
      </c>
      <c r="K17" s="673" t="s">
        <v>67</v>
      </c>
      <c r="L17" s="314">
        <f>'Payment Processing'!I93</f>
        <v>8173.7062329999999</v>
      </c>
      <c r="M17" s="314">
        <f>'Payment Processing'!S93</f>
        <v>2010.6443140000001</v>
      </c>
      <c r="N17" s="686">
        <f>'Payment Processing'!AC93</f>
        <v>0</v>
      </c>
      <c r="O17" s="673" t="s">
        <v>67</v>
      </c>
      <c r="P17" s="314">
        <f>Collections!I140</f>
        <v>0</v>
      </c>
      <c r="Q17" s="314">
        <f>Collections!S140</f>
        <v>29059.796298000001</v>
      </c>
      <c r="R17" s="686">
        <f>Collections!AC140</f>
        <v>877.40042400000004</v>
      </c>
      <c r="T17" s="314">
        <f t="shared" si="1"/>
        <v>8173.7062329999999</v>
      </c>
      <c r="U17" s="314">
        <f t="shared" si="2"/>
        <v>127935.60780779937</v>
      </c>
      <c r="V17" s="342">
        <f t="shared" si="3"/>
        <v>308859.31603511132</v>
      </c>
      <c r="W17" s="314">
        <f t="shared" si="4"/>
        <v>444968.63007591071</v>
      </c>
    </row>
    <row r="18" spans="1:23" ht="21" x14ac:dyDescent="0.4">
      <c r="A18" s="310"/>
      <c r="B18" s="5"/>
      <c r="C18" s="330" t="s">
        <v>581</v>
      </c>
      <c r="D18" s="314">
        <f>'Meter Reading'!I93</f>
        <v>0</v>
      </c>
      <c r="E18" s="314">
        <f>'Meter Reading'!S93</f>
        <v>151</v>
      </c>
      <c r="F18" s="686">
        <f>'Meter Reading'!AC93</f>
        <v>1615</v>
      </c>
      <c r="G18" s="674" t="s">
        <v>581</v>
      </c>
      <c r="H18" s="314">
        <f>Billing!I140</f>
        <v>0</v>
      </c>
      <c r="I18" s="314">
        <f>Billing!S140</f>
        <v>8181.4</v>
      </c>
      <c r="J18" s="686">
        <f>Billing!AC140</f>
        <v>16585.599999999999</v>
      </c>
      <c r="K18" s="674" t="s">
        <v>292</v>
      </c>
      <c r="L18" s="314">
        <f>'Payment Processing'!I94</f>
        <v>570</v>
      </c>
      <c r="M18" s="314">
        <f>'Payment Processing'!S94</f>
        <v>140</v>
      </c>
      <c r="N18" s="686">
        <f>'Payment Processing'!AC94</f>
        <v>0</v>
      </c>
      <c r="O18" s="674" t="s">
        <v>292</v>
      </c>
      <c r="P18" s="314">
        <f>Collections!I141</f>
        <v>0</v>
      </c>
      <c r="Q18" s="314">
        <f>Collections!S141</f>
        <v>1118</v>
      </c>
      <c r="R18" s="686">
        <f>Collections!AC141</f>
        <v>33</v>
      </c>
      <c r="T18" s="315">
        <f t="shared" si="1"/>
        <v>570</v>
      </c>
      <c r="U18" s="315">
        <f t="shared" si="2"/>
        <v>9590.4</v>
      </c>
      <c r="V18" s="344">
        <f t="shared" si="3"/>
        <v>18233.599999999999</v>
      </c>
      <c r="W18" s="315">
        <f t="shared" si="4"/>
        <v>28394</v>
      </c>
    </row>
    <row r="19" spans="1:23" ht="85.2" customHeight="1" x14ac:dyDescent="0.4">
      <c r="A19" s="307" t="s">
        <v>6</v>
      </c>
      <c r="B19" s="5"/>
      <c r="C19" s="328" t="s">
        <v>309</v>
      </c>
      <c r="D19" s="308">
        <f>'Meter Reading'!E95</f>
        <v>39590.008439999998</v>
      </c>
      <c r="E19" s="308">
        <f>'Meter Reading'!F95</f>
        <v>3891.34276</v>
      </c>
      <c r="F19" s="685">
        <f>'Meter Reading'!G95</f>
        <v>78.464200000000005</v>
      </c>
      <c r="G19" s="672" t="s">
        <v>387</v>
      </c>
      <c r="H19" s="308">
        <f>Billing!E142</f>
        <v>326669.03263999999</v>
      </c>
      <c r="I19" s="308">
        <f>Billing!F142</f>
        <v>31973.400560000002</v>
      </c>
      <c r="J19" s="685">
        <f>Billing!G142</f>
        <v>0</v>
      </c>
      <c r="K19" s="675"/>
      <c r="L19" s="309">
        <v>0</v>
      </c>
      <c r="M19" s="309">
        <v>0</v>
      </c>
      <c r="N19" s="698">
        <v>0</v>
      </c>
      <c r="O19" s="672" t="s">
        <v>310</v>
      </c>
      <c r="P19" s="308">
        <f>Collections!E143</f>
        <v>83229.288039999999</v>
      </c>
      <c r="Q19" s="308">
        <f>Collections!F143</f>
        <v>4048.2711599999998</v>
      </c>
      <c r="R19" s="685">
        <f>Collections!G143</f>
        <v>0</v>
      </c>
      <c r="T19" s="308">
        <f t="shared" si="1"/>
        <v>449488.32912000001</v>
      </c>
      <c r="U19" s="308">
        <f t="shared" si="2"/>
        <v>39913.014479999998</v>
      </c>
      <c r="V19" s="340">
        <f t="shared" si="3"/>
        <v>78.464200000000005</v>
      </c>
      <c r="W19" s="308">
        <f t="shared" si="4"/>
        <v>489479.80780000001</v>
      </c>
    </row>
    <row r="20" spans="1:23" ht="21" x14ac:dyDescent="0.4">
      <c r="A20" s="317"/>
      <c r="B20" s="5"/>
      <c r="C20" s="329" t="s">
        <v>67</v>
      </c>
      <c r="D20" s="314">
        <f>'Meter Reading'!I133</f>
        <v>37914.008439999998</v>
      </c>
      <c r="E20" s="314">
        <f>'Meter Reading'!S133</f>
        <v>3726.34276</v>
      </c>
      <c r="F20" s="686">
        <f>'Meter Reading'!AC133</f>
        <v>75.464200000000005</v>
      </c>
      <c r="G20" s="673" t="s">
        <v>67</v>
      </c>
      <c r="H20" s="314">
        <f>Billing!I180</f>
        <v>312838.03263999999</v>
      </c>
      <c r="I20" s="314">
        <f>Billing!S180</f>
        <v>30619.400560000002</v>
      </c>
      <c r="J20" s="686">
        <f>Billing!AC180</f>
        <v>0</v>
      </c>
      <c r="K20" s="676" t="s">
        <v>67</v>
      </c>
      <c r="L20" s="318">
        <v>0</v>
      </c>
      <c r="M20" s="318">
        <v>0</v>
      </c>
      <c r="N20" s="699">
        <v>0</v>
      </c>
      <c r="O20" s="673" t="s">
        <v>67</v>
      </c>
      <c r="P20" s="314">
        <f>Collections!I181</f>
        <v>79705.288039999999</v>
      </c>
      <c r="Q20" s="314">
        <f>Collections!S181</f>
        <v>3877.2711599999998</v>
      </c>
      <c r="R20" s="686">
        <f>Collections!AC181</f>
        <v>0</v>
      </c>
      <c r="T20" s="314">
        <f t="shared" si="1"/>
        <v>430457.32912000001</v>
      </c>
      <c r="U20" s="314">
        <f t="shared" si="2"/>
        <v>38223.014479999998</v>
      </c>
      <c r="V20" s="342">
        <f t="shared" si="3"/>
        <v>75.464200000000005</v>
      </c>
      <c r="W20" s="314">
        <f t="shared" si="4"/>
        <v>468755.80780000001</v>
      </c>
    </row>
    <row r="21" spans="1:23" ht="21" x14ac:dyDescent="0.4">
      <c r="A21" s="320"/>
      <c r="B21" s="5"/>
      <c r="C21" s="329" t="s">
        <v>292</v>
      </c>
      <c r="D21" s="314">
        <f>'Meter Reading'!I134</f>
        <v>1676</v>
      </c>
      <c r="E21" s="314">
        <f>'Meter Reading'!S134</f>
        <v>165</v>
      </c>
      <c r="F21" s="686">
        <f>'Meter Reading'!AC134</f>
        <v>3</v>
      </c>
      <c r="G21" s="674" t="s">
        <v>292</v>
      </c>
      <c r="H21" s="314">
        <f>Billing!I181</f>
        <v>13831</v>
      </c>
      <c r="I21" s="314">
        <f>Billing!S181</f>
        <v>1354</v>
      </c>
      <c r="J21" s="686">
        <f>Billing!AC181</f>
        <v>0</v>
      </c>
      <c r="K21" s="677" t="s">
        <v>292</v>
      </c>
      <c r="L21" s="321">
        <v>0</v>
      </c>
      <c r="M21" s="321">
        <v>0</v>
      </c>
      <c r="N21" s="700">
        <v>0</v>
      </c>
      <c r="O21" s="674" t="s">
        <v>292</v>
      </c>
      <c r="P21" s="314">
        <f>Collections!I182</f>
        <v>3524</v>
      </c>
      <c r="Q21" s="314">
        <f>Collections!S182</f>
        <v>171</v>
      </c>
      <c r="R21" s="686">
        <f>Collections!AC182</f>
        <v>0</v>
      </c>
      <c r="T21" s="311">
        <f t="shared" si="1"/>
        <v>19031</v>
      </c>
      <c r="U21" s="311">
        <f t="shared" si="2"/>
        <v>1690</v>
      </c>
      <c r="V21" s="353">
        <f t="shared" si="3"/>
        <v>3</v>
      </c>
      <c r="W21" s="311">
        <f t="shared" si="4"/>
        <v>20724</v>
      </c>
    </row>
    <row r="22" spans="1:23" ht="56.4" customHeight="1" x14ac:dyDescent="0.4">
      <c r="A22" s="312" t="s">
        <v>52</v>
      </c>
      <c r="B22" s="5"/>
      <c r="C22" s="328" t="s">
        <v>14</v>
      </c>
      <c r="D22" s="308">
        <f>'Meter Reading'!E136</f>
        <v>770312.59009081672</v>
      </c>
      <c r="E22" s="308">
        <f>'Meter Reading'!F136</f>
        <v>74685.748028237285</v>
      </c>
      <c r="F22" s="685">
        <f>'Meter Reading'!G136</f>
        <v>2456.2294709460698</v>
      </c>
      <c r="G22" s="672" t="s">
        <v>386</v>
      </c>
      <c r="H22" s="308">
        <f>Billing!E183</f>
        <v>5278553.4671258768</v>
      </c>
      <c r="I22" s="308">
        <f>Billing!F183</f>
        <v>516616.45907612337</v>
      </c>
      <c r="J22" s="685">
        <f>Billing!G183</f>
        <v>0</v>
      </c>
      <c r="K22" s="675" t="s">
        <v>13</v>
      </c>
      <c r="L22" s="309">
        <v>0</v>
      </c>
      <c r="M22" s="309">
        <v>0</v>
      </c>
      <c r="N22" s="698">
        <v>0</v>
      </c>
      <c r="O22" s="672" t="s">
        <v>311</v>
      </c>
      <c r="P22" s="308">
        <f>Collections!E184</f>
        <v>1215213.161278822</v>
      </c>
      <c r="Q22" s="308">
        <f>Collections!F184</f>
        <v>58238.240238678089</v>
      </c>
      <c r="R22" s="685">
        <f>Collections!G184</f>
        <v>0</v>
      </c>
      <c r="T22" s="308">
        <f t="shared" si="1"/>
        <v>7264079.2184955161</v>
      </c>
      <c r="U22" s="308">
        <f t="shared" si="2"/>
        <v>649540.44734303874</v>
      </c>
      <c r="V22" s="340">
        <f t="shared" si="3"/>
        <v>2456.2294709460698</v>
      </c>
      <c r="W22" s="308">
        <f t="shared" si="4"/>
        <v>7916075.8953095004</v>
      </c>
    </row>
    <row r="23" spans="1:23" ht="21" x14ac:dyDescent="0.4">
      <c r="A23" s="313"/>
      <c r="B23" s="5"/>
      <c r="C23" s="329" t="s">
        <v>67</v>
      </c>
      <c r="D23" s="314">
        <f>'Meter Reading'!I175</f>
        <v>683980.59009081672</v>
      </c>
      <c r="E23" s="314">
        <f>'Meter Reading'!S175</f>
        <v>66315.748028237285</v>
      </c>
      <c r="F23" s="686">
        <f>'Meter Reading'!AC175</f>
        <v>2181.2294709460698</v>
      </c>
      <c r="G23" s="673" t="s">
        <v>67</v>
      </c>
      <c r="H23" s="314">
        <f>Billing!I223</f>
        <v>4686965.4671258768</v>
      </c>
      <c r="I23" s="314">
        <f>Billing!S223</f>
        <v>458717.45907612337</v>
      </c>
      <c r="J23" s="686">
        <f>Billing!AC223</f>
        <v>0</v>
      </c>
      <c r="K23" s="676" t="s">
        <v>67</v>
      </c>
      <c r="L23" s="318">
        <v>0</v>
      </c>
      <c r="M23" s="318">
        <v>0</v>
      </c>
      <c r="N23" s="699">
        <v>0</v>
      </c>
      <c r="O23" s="673" t="s">
        <v>67</v>
      </c>
      <c r="P23" s="314">
        <f>Collections!I223</f>
        <v>1079019.161278822</v>
      </c>
      <c r="Q23" s="314">
        <f>Collections!S223</f>
        <v>51711.240238678089</v>
      </c>
      <c r="R23" s="686">
        <f>Collections!AC223</f>
        <v>0</v>
      </c>
      <c r="T23" s="314">
        <f t="shared" si="1"/>
        <v>6449965.2184955161</v>
      </c>
      <c r="U23" s="314">
        <f t="shared" si="2"/>
        <v>576744.44734303874</v>
      </c>
      <c r="V23" s="342">
        <f t="shared" si="3"/>
        <v>2181.2294709460698</v>
      </c>
      <c r="W23" s="314">
        <f t="shared" si="4"/>
        <v>7028890.8953095004</v>
      </c>
    </row>
    <row r="24" spans="1:23" ht="21" x14ac:dyDescent="0.4">
      <c r="A24" s="310"/>
      <c r="B24" s="5"/>
      <c r="C24" s="330" t="s">
        <v>581</v>
      </c>
      <c r="D24" s="314">
        <f>'Meter Reading'!I176</f>
        <v>86332</v>
      </c>
      <c r="E24" s="314">
        <f>'Meter Reading'!S176</f>
        <v>8370</v>
      </c>
      <c r="F24" s="686">
        <f>'Meter Reading'!AC176</f>
        <v>275</v>
      </c>
      <c r="G24" s="674" t="s">
        <v>292</v>
      </c>
      <c r="H24" s="314">
        <f>Billing!I224</f>
        <v>591588</v>
      </c>
      <c r="I24" s="314">
        <f>Billing!S224</f>
        <v>57899</v>
      </c>
      <c r="J24" s="686">
        <f>Billing!AC224</f>
        <v>0</v>
      </c>
      <c r="K24" s="677" t="s">
        <v>292</v>
      </c>
      <c r="L24" s="321">
        <v>0</v>
      </c>
      <c r="M24" s="321">
        <v>0</v>
      </c>
      <c r="N24" s="700">
        <v>0</v>
      </c>
      <c r="O24" s="674" t="s">
        <v>292</v>
      </c>
      <c r="P24" s="314">
        <f>Collections!I224</f>
        <v>136194</v>
      </c>
      <c r="Q24" s="314">
        <f>Collections!S224</f>
        <v>6527</v>
      </c>
      <c r="R24" s="686">
        <f>Collections!AC224</f>
        <v>0</v>
      </c>
      <c r="T24" s="315">
        <f t="shared" si="1"/>
        <v>814114</v>
      </c>
      <c r="U24" s="315">
        <f t="shared" si="2"/>
        <v>72796</v>
      </c>
      <c r="V24" s="344">
        <f t="shared" si="3"/>
        <v>275</v>
      </c>
      <c r="W24" s="315">
        <f t="shared" si="4"/>
        <v>887185</v>
      </c>
    </row>
    <row r="25" spans="1:23" ht="82.8" customHeight="1" x14ac:dyDescent="0.4">
      <c r="A25" s="307" t="s">
        <v>7</v>
      </c>
      <c r="B25" s="5"/>
      <c r="C25" s="331"/>
      <c r="D25" s="316">
        <v>0</v>
      </c>
      <c r="E25" s="316">
        <v>0</v>
      </c>
      <c r="F25" s="696">
        <v>0</v>
      </c>
      <c r="G25" s="672" t="s">
        <v>11</v>
      </c>
      <c r="H25" s="308">
        <f>Billing!E226</f>
        <v>310307.20874999999</v>
      </c>
      <c r="I25" s="308">
        <f>Billing!F226</f>
        <v>39050.124499999998</v>
      </c>
      <c r="J25" s="685">
        <f>Billing!G226</f>
        <v>1379.3741</v>
      </c>
      <c r="K25" s="675"/>
      <c r="L25" s="316">
        <v>0</v>
      </c>
      <c r="M25" s="316">
        <v>0</v>
      </c>
      <c r="N25" s="696">
        <v>0</v>
      </c>
      <c r="O25" s="672" t="s">
        <v>312</v>
      </c>
      <c r="P25" s="308">
        <f>Collections!E226</f>
        <v>10420.0173</v>
      </c>
      <c r="Q25" s="308">
        <f>Collections!F226</f>
        <v>1286.8632</v>
      </c>
      <c r="R25" s="685">
        <f>Collections!G226</f>
        <v>0</v>
      </c>
      <c r="T25" s="308">
        <f t="shared" si="1"/>
        <v>320727.22605</v>
      </c>
      <c r="U25" s="308">
        <f t="shared" si="2"/>
        <v>40336.987699999998</v>
      </c>
      <c r="V25" s="340">
        <f t="shared" si="3"/>
        <v>1379.3741</v>
      </c>
      <c r="W25" s="308">
        <f t="shared" si="4"/>
        <v>362443.58785000001</v>
      </c>
    </row>
    <row r="26" spans="1:23" ht="21" x14ac:dyDescent="0.4">
      <c r="A26" s="317"/>
      <c r="B26" s="5"/>
      <c r="C26" s="332" t="s">
        <v>67</v>
      </c>
      <c r="D26" s="319">
        <v>0</v>
      </c>
      <c r="E26" s="319">
        <v>0</v>
      </c>
      <c r="F26" s="688">
        <v>0</v>
      </c>
      <c r="G26" s="673" t="s">
        <v>67</v>
      </c>
      <c r="H26" s="314">
        <f>Billing!I264</f>
        <v>188983.20875000002</v>
      </c>
      <c r="I26" s="314">
        <f>Billing!S264</f>
        <v>21954.124499999998</v>
      </c>
      <c r="J26" s="686">
        <f>Billing!AC264</f>
        <v>792.3741</v>
      </c>
      <c r="K26" s="676" t="s">
        <v>67</v>
      </c>
      <c r="L26" s="319">
        <v>0</v>
      </c>
      <c r="M26" s="319">
        <v>0</v>
      </c>
      <c r="N26" s="688">
        <v>0</v>
      </c>
      <c r="O26" s="673" t="s">
        <v>67</v>
      </c>
      <c r="P26" s="314">
        <f>Collections!I264</f>
        <v>10420.0173</v>
      </c>
      <c r="Q26" s="314">
        <f>Collections!S264</f>
        <v>1286.8632</v>
      </c>
      <c r="R26" s="686">
        <f>Collections!AC264</f>
        <v>0</v>
      </c>
      <c r="T26" s="314">
        <f t="shared" si="1"/>
        <v>199403.22605000003</v>
      </c>
      <c r="U26" s="314">
        <f t="shared" si="2"/>
        <v>23240.987699999998</v>
      </c>
      <c r="V26" s="342">
        <f t="shared" si="3"/>
        <v>792.3741</v>
      </c>
      <c r="W26" s="314">
        <f t="shared" si="4"/>
        <v>223436.58785000001</v>
      </c>
    </row>
    <row r="27" spans="1:23" ht="21" x14ac:dyDescent="0.4">
      <c r="A27" s="320"/>
      <c r="B27" s="5"/>
      <c r="C27" s="333" t="s">
        <v>292</v>
      </c>
      <c r="D27" s="322">
        <v>0</v>
      </c>
      <c r="E27" s="322">
        <v>0</v>
      </c>
      <c r="F27" s="697">
        <v>0</v>
      </c>
      <c r="G27" s="674" t="s">
        <v>292</v>
      </c>
      <c r="H27" s="314">
        <f>Billing!I265</f>
        <v>121324</v>
      </c>
      <c r="I27" s="314">
        <f>Billing!S265</f>
        <v>17096</v>
      </c>
      <c r="J27" s="686">
        <f>Billing!AC265</f>
        <v>587</v>
      </c>
      <c r="K27" s="677" t="s">
        <v>292</v>
      </c>
      <c r="L27" s="322">
        <v>0</v>
      </c>
      <c r="M27" s="322">
        <v>0</v>
      </c>
      <c r="N27" s="697">
        <v>0</v>
      </c>
      <c r="O27" s="674" t="s">
        <v>292</v>
      </c>
      <c r="P27" s="314">
        <f>Collections!I265</f>
        <v>0</v>
      </c>
      <c r="Q27" s="314">
        <f>Collections!S265</f>
        <v>0</v>
      </c>
      <c r="R27" s="686">
        <f>Collections!AC265</f>
        <v>0</v>
      </c>
      <c r="T27" s="315">
        <f t="shared" si="1"/>
        <v>121324</v>
      </c>
      <c r="U27" s="315">
        <f t="shared" si="2"/>
        <v>17096</v>
      </c>
      <c r="V27" s="344">
        <f t="shared" si="3"/>
        <v>587</v>
      </c>
      <c r="W27" s="315">
        <f t="shared" si="4"/>
        <v>139007</v>
      </c>
    </row>
    <row r="28" spans="1:23" ht="50.4" customHeight="1" x14ac:dyDescent="0.3">
      <c r="A28" s="323" t="s">
        <v>10</v>
      </c>
      <c r="C28" s="334"/>
      <c r="D28" s="316">
        <v>0</v>
      </c>
      <c r="E28" s="316">
        <v>0</v>
      </c>
      <c r="F28" s="696">
        <v>0</v>
      </c>
      <c r="G28" s="693"/>
      <c r="H28" s="324"/>
      <c r="I28" s="324"/>
      <c r="J28" s="687"/>
      <c r="K28" s="672" t="s">
        <v>338</v>
      </c>
      <c r="L28" s="308">
        <f>'Payment Processing'!E96</f>
        <v>1377057.4526405602</v>
      </c>
      <c r="M28" s="308">
        <f>'Payment Processing'!F96</f>
        <v>146365.73124380747</v>
      </c>
      <c r="N28" s="685">
        <f>'Payment Processing'!G96</f>
        <v>6773.5265776322876</v>
      </c>
      <c r="O28" s="693" t="s">
        <v>313</v>
      </c>
      <c r="P28" s="324">
        <v>0</v>
      </c>
      <c r="Q28" s="324">
        <v>0</v>
      </c>
      <c r="R28" s="687">
        <v>0</v>
      </c>
      <c r="T28" s="308">
        <f t="shared" si="1"/>
        <v>1377057.4526405602</v>
      </c>
      <c r="U28" s="308">
        <f t="shared" si="2"/>
        <v>146365.73124380747</v>
      </c>
      <c r="V28" s="340">
        <f t="shared" si="3"/>
        <v>6773.5265776322876</v>
      </c>
      <c r="W28" s="308">
        <f t="shared" si="4"/>
        <v>1530196.710462</v>
      </c>
    </row>
    <row r="29" spans="1:23" ht="21.6" customHeight="1" x14ac:dyDescent="0.3">
      <c r="A29" s="325"/>
      <c r="C29" s="332" t="s">
        <v>67</v>
      </c>
      <c r="D29" s="319">
        <v>0</v>
      </c>
      <c r="E29" s="319">
        <v>0</v>
      </c>
      <c r="F29" s="688">
        <v>0</v>
      </c>
      <c r="G29" s="676" t="s">
        <v>67</v>
      </c>
      <c r="H29" s="319">
        <v>0</v>
      </c>
      <c r="I29" s="319">
        <v>0</v>
      </c>
      <c r="J29" s="688">
        <v>0</v>
      </c>
      <c r="K29" s="673" t="s">
        <v>67</v>
      </c>
      <c r="L29" s="314">
        <f>'Payment Processing'!I134</f>
        <v>1767.570154</v>
      </c>
      <c r="M29" s="314">
        <f>'Payment Processing'!S134</f>
        <v>1767.570154</v>
      </c>
      <c r="N29" s="686">
        <f>'Payment Processing'!AC134</f>
        <v>1767.570154</v>
      </c>
      <c r="O29" s="676" t="s">
        <v>67</v>
      </c>
      <c r="P29" s="319">
        <v>0</v>
      </c>
      <c r="Q29" s="319">
        <v>0</v>
      </c>
      <c r="R29" s="688">
        <v>0</v>
      </c>
      <c r="T29" s="314">
        <f t="shared" si="1"/>
        <v>1767.570154</v>
      </c>
      <c r="U29" s="314">
        <f t="shared" si="2"/>
        <v>1767.570154</v>
      </c>
      <c r="V29" s="342">
        <f t="shared" si="3"/>
        <v>1767.570154</v>
      </c>
      <c r="W29" s="314">
        <f t="shared" si="4"/>
        <v>5302.710462</v>
      </c>
    </row>
    <row r="30" spans="1:23" ht="21.6" customHeight="1" thickBot="1" x14ac:dyDescent="0.35">
      <c r="A30" s="326"/>
      <c r="C30" s="335" t="s">
        <v>292</v>
      </c>
      <c r="D30" s="336">
        <v>0</v>
      </c>
      <c r="E30" s="336">
        <v>0</v>
      </c>
      <c r="F30" s="703">
        <v>0</v>
      </c>
      <c r="G30" s="694" t="s">
        <v>292</v>
      </c>
      <c r="H30" s="350">
        <v>0</v>
      </c>
      <c r="I30" s="350">
        <v>0</v>
      </c>
      <c r="J30" s="689">
        <v>0</v>
      </c>
      <c r="K30" s="678" t="s">
        <v>292</v>
      </c>
      <c r="L30" s="351">
        <f>'Payment Processing'!I135</f>
        <v>1375289.8824865601</v>
      </c>
      <c r="M30" s="351">
        <f>'Payment Processing'!S135</f>
        <v>144598.16108980749</v>
      </c>
      <c r="N30" s="701">
        <f>'Payment Processing'!AC135</f>
        <v>5005.9564236322876</v>
      </c>
      <c r="O30" s="694" t="s">
        <v>292</v>
      </c>
      <c r="P30" s="350">
        <v>0</v>
      </c>
      <c r="Q30" s="350">
        <v>0</v>
      </c>
      <c r="R30" s="689">
        <v>0</v>
      </c>
      <c r="T30" s="351">
        <f t="shared" si="1"/>
        <v>1375289.8824865601</v>
      </c>
      <c r="U30" s="351">
        <f t="shared" si="2"/>
        <v>144598.16108980749</v>
      </c>
      <c r="V30" s="352">
        <f t="shared" si="3"/>
        <v>5005.9564236322876</v>
      </c>
      <c r="W30" s="351">
        <f t="shared" si="4"/>
        <v>1524894</v>
      </c>
    </row>
    <row r="31" spans="1:23" ht="15.6" thickTop="1" thickBot="1" x14ac:dyDescent="0.35">
      <c r="F31" s="690"/>
      <c r="J31" s="690"/>
      <c r="N31" s="690"/>
      <c r="R31" s="690"/>
    </row>
    <row r="32" spans="1:23" ht="21.6" thickBot="1" x14ac:dyDescent="0.35">
      <c r="A32" s="323" t="s">
        <v>373</v>
      </c>
      <c r="C32" s="297" t="s">
        <v>67</v>
      </c>
      <c r="D32" s="412">
        <f t="shared" ref="D32:F33" si="5">D11+D14+D17+D20+D23+D26+D29</f>
        <v>748655.03792881675</v>
      </c>
      <c r="E32" s="412">
        <f t="shared" si="5"/>
        <v>76088.048636036663</v>
      </c>
      <c r="F32" s="691">
        <f t="shared" si="5"/>
        <v>45452.120933724138</v>
      </c>
      <c r="G32" s="679"/>
      <c r="H32" s="412">
        <f t="shared" ref="H32:J33" si="6">H11+H14+H17+H20+H23+H26+H29</f>
        <v>8138772.9324506409</v>
      </c>
      <c r="I32" s="412">
        <f t="shared" si="6"/>
        <v>896049.49549966003</v>
      </c>
      <c r="J32" s="691">
        <f t="shared" si="6"/>
        <v>272624.79506923264</v>
      </c>
      <c r="K32" s="679"/>
      <c r="L32" s="412">
        <f t="shared" ref="L32:N33" si="7">L11+L14+L17+L20+L23+L26+L29</f>
        <v>403256.47667900001</v>
      </c>
      <c r="M32" s="412">
        <f t="shared" si="7"/>
        <v>41466.982129999997</v>
      </c>
      <c r="N32" s="691">
        <f t="shared" si="7"/>
        <v>4041.0284739999997</v>
      </c>
      <c r="O32" s="695"/>
      <c r="P32" s="412">
        <f>P11+P14+P17+P20+P23+P26+P29</f>
        <v>2288360.2970152679</v>
      </c>
      <c r="Q32" s="412">
        <f t="shared" ref="P32:R33" si="8">Q11+Q14+Q17+Q20+Q23+Q26+Q29</f>
        <v>149477.48080620184</v>
      </c>
      <c r="R32" s="691">
        <f t="shared" si="8"/>
        <v>1028.0626580825938</v>
      </c>
      <c r="T32" s="408">
        <f t="shared" ref="T32:V33" si="9">D32+H32+L32+P32</f>
        <v>11579044.744073724</v>
      </c>
      <c r="U32" s="408">
        <f t="shared" si="9"/>
        <v>1163082.0070718986</v>
      </c>
      <c r="V32" s="408">
        <f t="shared" si="9"/>
        <v>323146.00713503937</v>
      </c>
      <c r="W32" s="409">
        <f>SUM(T32:V32)</f>
        <v>13065272.758280663</v>
      </c>
    </row>
    <row r="33" spans="1:25" ht="21.6" thickBot="1" x14ac:dyDescent="0.35">
      <c r="A33" s="325"/>
      <c r="C33" s="297" t="s">
        <v>292</v>
      </c>
      <c r="D33" s="412">
        <f t="shared" si="5"/>
        <v>88008</v>
      </c>
      <c r="E33" s="412">
        <f t="shared" si="5"/>
        <v>8686</v>
      </c>
      <c r="F33" s="691">
        <f t="shared" si="5"/>
        <v>1893</v>
      </c>
      <c r="G33" s="679"/>
      <c r="H33" s="412">
        <f t="shared" si="6"/>
        <v>3952239.6242919867</v>
      </c>
      <c r="I33" s="412">
        <f t="shared" si="6"/>
        <v>453627.72717165994</v>
      </c>
      <c r="J33" s="691">
        <f t="shared" si="6"/>
        <v>30903.661536353458</v>
      </c>
      <c r="K33" s="679"/>
      <c r="L33" s="412">
        <f t="shared" si="7"/>
        <v>1622810.6384865602</v>
      </c>
      <c r="M33" s="412">
        <f t="shared" si="7"/>
        <v>160710.86508980748</v>
      </c>
      <c r="N33" s="691">
        <f t="shared" si="7"/>
        <v>5042.4964236322876</v>
      </c>
      <c r="O33" s="695"/>
      <c r="P33" s="412">
        <f t="shared" si="8"/>
        <v>563399.12744690129</v>
      </c>
      <c r="Q33" s="412">
        <f t="shared" si="8"/>
        <v>28735.492491443452</v>
      </c>
      <c r="R33" s="691">
        <f t="shared" si="8"/>
        <v>78.917260455323301</v>
      </c>
      <c r="T33" s="408">
        <f t="shared" si="9"/>
        <v>6226457.3902254477</v>
      </c>
      <c r="U33" s="408">
        <f t="shared" si="9"/>
        <v>651760.08475291077</v>
      </c>
      <c r="V33" s="408">
        <f t="shared" si="9"/>
        <v>37918.075220441067</v>
      </c>
      <c r="W33" s="409">
        <f>SUM(T33:V33)</f>
        <v>6916135.5501987999</v>
      </c>
    </row>
    <row r="34" spans="1:25" ht="19.8" customHeight="1" thickBot="1" x14ac:dyDescent="0.35">
      <c r="A34" s="326"/>
      <c r="C34" s="379" t="s">
        <v>34</v>
      </c>
      <c r="D34" s="412">
        <f>D10+D13+D16+D19+D22+D25+D28</f>
        <v>836663.03792881675</v>
      </c>
      <c r="E34" s="412">
        <f>E10+E13+E16+E19+E22+E25+E28</f>
        <v>84774.048636036663</v>
      </c>
      <c r="F34" s="691">
        <f>F10+F13+F16+F19+F22+F25+F28</f>
        <v>47345.120933724138</v>
      </c>
      <c r="G34" s="679"/>
      <c r="H34" s="412">
        <f>H10+H13+H16+H19+H22+H25+H28</f>
        <v>12091012.556742627</v>
      </c>
      <c r="I34" s="412">
        <f>I10+I13+I16+I19+I22+I25+I28</f>
        <v>1349677.22267132</v>
      </c>
      <c r="J34" s="691">
        <f>J10+J13+J16+J19+J22+J25+J28</f>
        <v>303528.45660558605</v>
      </c>
      <c r="K34" s="679"/>
      <c r="L34" s="412">
        <f>L10+L13+L16+L19+L22+L25+L28</f>
        <v>2026067.1151655603</v>
      </c>
      <c r="M34" s="412">
        <f>M10+M13+M16+M19+M22+M25+M28</f>
        <v>202177.84721980747</v>
      </c>
      <c r="N34" s="691">
        <f>N10+N13+N16+N19+N22+N25+N28</f>
        <v>9083.5248976322873</v>
      </c>
      <c r="O34" s="695"/>
      <c r="P34" s="412">
        <f>P10+P13+P16+P19+P22+P25+P28</f>
        <v>2851759.4244621689</v>
      </c>
      <c r="Q34" s="412">
        <f>Q10+Q13+Q16+Q19+Q22+Q25+Q28</f>
        <v>178212.97329764528</v>
      </c>
      <c r="R34" s="691">
        <f>R10+R13+R16+R19+R22+R25+R28</f>
        <v>1106.979918537917</v>
      </c>
      <c r="T34" s="410">
        <f t="shared" ref="T34" si="10">D34+H34+L34+P34</f>
        <v>17805502.13429917</v>
      </c>
      <c r="U34" s="410">
        <f t="shared" ref="U34" si="11">E34+I34+M34+Q34</f>
        <v>1814842.0918248096</v>
      </c>
      <c r="V34" s="410">
        <f t="shared" ref="V34" si="12">F34+J34+N34+R34</f>
        <v>361064.08235548041</v>
      </c>
      <c r="W34" s="411">
        <f t="shared" ref="W34" si="13">SUM(T34:V34)</f>
        <v>19981408.308479462</v>
      </c>
      <c r="Y34" s="411">
        <v>20385877.282041486</v>
      </c>
    </row>
    <row r="35" spans="1:25" ht="19.8" customHeight="1" x14ac:dyDescent="0.3">
      <c r="A35" s="641" t="s">
        <v>587</v>
      </c>
      <c r="C35" s="641" t="s">
        <v>0</v>
      </c>
      <c r="D35" s="668">
        <f>SUM(D34:F34)</f>
        <v>968782.20749857754</v>
      </c>
      <c r="E35" s="643"/>
      <c r="F35" s="692"/>
      <c r="G35" s="641" t="s">
        <v>1</v>
      </c>
      <c r="H35" s="668">
        <f>SUM(H34:J34)</f>
        <v>13744218.236019533</v>
      </c>
      <c r="I35" s="643"/>
      <c r="J35" s="692"/>
      <c r="K35" s="641" t="s">
        <v>252</v>
      </c>
      <c r="L35" s="668">
        <f>SUM(L34:N34)</f>
        <v>2237328.4872829998</v>
      </c>
      <c r="M35" s="643"/>
      <c r="N35" s="692"/>
      <c r="O35" s="641" t="s">
        <v>3</v>
      </c>
      <c r="P35" s="668">
        <f>SUM(P34:R34)</f>
        <v>3031079.3776783524</v>
      </c>
      <c r="Q35" s="643"/>
      <c r="R35" s="692"/>
      <c r="T35" s="668"/>
      <c r="U35" s="668"/>
      <c r="V35" s="668"/>
      <c r="W35" s="668"/>
    </row>
    <row r="36" spans="1:25" ht="21" x14ac:dyDescent="0.3">
      <c r="B36"/>
      <c r="C36"/>
      <c r="D36"/>
      <c r="E36"/>
      <c r="F36" s="692"/>
      <c r="G36" s="641"/>
      <c r="H36"/>
      <c r="I36"/>
      <c r="J36" s="692"/>
      <c r="K36" s="641"/>
      <c r="L36"/>
      <c r="M36"/>
      <c r="N36" s="692"/>
      <c r="O36" s="641"/>
      <c r="P36"/>
      <c r="Q36"/>
      <c r="R36" s="692"/>
      <c r="S36" s="641"/>
    </row>
    <row r="37" spans="1:25" ht="31.2" x14ac:dyDescent="0.3">
      <c r="C37" s="642" t="s">
        <v>529</v>
      </c>
      <c r="D37" s="645">
        <f>D34/(T$7)</f>
        <v>1.2888950751600856</v>
      </c>
      <c r="E37" s="645">
        <f>E34/(U$7)</f>
        <v>1.3436789500251487</v>
      </c>
      <c r="F37" s="704">
        <f>F34/(V$7)</f>
        <v>22.971916998410546</v>
      </c>
      <c r="G37" s="641"/>
      <c r="H37" s="645">
        <f>H34/(T$7)</f>
        <v>18.62643122930718</v>
      </c>
      <c r="I37" s="645">
        <f>I34/(U$7)</f>
        <v>21.392547632329808</v>
      </c>
      <c r="J37" s="704">
        <f>J34/(V$7)</f>
        <v>147.27241950780498</v>
      </c>
      <c r="K37" s="641"/>
      <c r="L37" s="645">
        <f>L34/(T$7)</f>
        <v>3.1211943259083825</v>
      </c>
      <c r="M37" s="645">
        <f>M34/(U$7)</f>
        <v>3.2045433931909062</v>
      </c>
      <c r="N37" s="704">
        <f>N34/(V$7)</f>
        <v>4.4073386208793242</v>
      </c>
      <c r="O37" s="641"/>
      <c r="P37" s="645">
        <f>P34/(T$7)</f>
        <v>4.3931887882005034</v>
      </c>
      <c r="Q37" s="645">
        <f>Q34/(U$7)</f>
        <v>2.8246972357015308</v>
      </c>
      <c r="R37" s="704">
        <f>R34/(V$7)</f>
        <v>0.53710816037744635</v>
      </c>
      <c r="S37" s="641"/>
      <c r="T37" s="645">
        <f>(T34/T7)</f>
        <v>27.429709418576145</v>
      </c>
      <c r="U37" s="645">
        <f>(U34/U7)</f>
        <v>28.765467211247397</v>
      </c>
      <c r="V37" s="645">
        <f>(V34/V7)</f>
        <v>175.18878328747229</v>
      </c>
      <c r="W37" s="645">
        <f>(W34/W7)</f>
        <v>27.974038769564295</v>
      </c>
    </row>
    <row r="39" spans="1:25" x14ac:dyDescent="0.3">
      <c r="C39" s="730" t="s">
        <v>521</v>
      </c>
      <c r="D39" s="730"/>
      <c r="E39" s="730"/>
      <c r="F39" s="730"/>
      <c r="G39" s="730"/>
      <c r="H39" s="730"/>
      <c r="I39" s="730"/>
      <c r="J39" s="730"/>
      <c r="K39" s="730"/>
      <c r="L39" s="730"/>
      <c r="M39" s="730"/>
      <c r="N39" s="730"/>
      <c r="O39" s="730"/>
      <c r="P39" s="730"/>
      <c r="Q39" s="730"/>
      <c r="R39" s="730"/>
      <c r="S39" s="730"/>
      <c r="T39" s="730"/>
    </row>
    <row r="40" spans="1:25" x14ac:dyDescent="0.3">
      <c r="C40" s="730"/>
      <c r="D40" s="730"/>
      <c r="E40" s="730"/>
      <c r="F40" s="730"/>
      <c r="G40" s="730"/>
      <c r="H40" s="730"/>
      <c r="I40" s="730"/>
      <c r="J40" s="730"/>
      <c r="K40" s="730"/>
      <c r="L40" s="730"/>
      <c r="M40" s="730"/>
      <c r="N40" s="730"/>
      <c r="O40" s="730"/>
      <c r="P40" s="730"/>
      <c r="Q40" s="730"/>
      <c r="R40" s="730"/>
      <c r="S40" s="730"/>
      <c r="T40" s="730"/>
    </row>
    <row r="41" spans="1:25" x14ac:dyDescent="0.3">
      <c r="C41" s="724" t="s">
        <v>582</v>
      </c>
      <c r="D41" s="724"/>
      <c r="E41" s="724"/>
      <c r="F41" s="724"/>
      <c r="G41" s="724"/>
      <c r="H41" s="724"/>
      <c r="I41" s="724"/>
      <c r="J41" s="724"/>
      <c r="K41" s="724"/>
      <c r="L41" s="724"/>
      <c r="M41" s="724"/>
      <c r="N41" s="724"/>
      <c r="O41" s="724"/>
      <c r="P41" s="724"/>
      <c r="Q41" s="724"/>
      <c r="R41" s="724"/>
      <c r="S41" s="724"/>
      <c r="T41" s="724"/>
    </row>
    <row r="47" spans="1:25" x14ac:dyDescent="0.3">
      <c r="O47" s="486"/>
      <c r="P47" s="486"/>
    </row>
    <row r="48" spans="1:25" x14ac:dyDescent="0.3">
      <c r="O48" s="486"/>
      <c r="P48" s="486"/>
    </row>
    <row r="49" spans="14:17" x14ac:dyDescent="0.3">
      <c r="O49" s="486"/>
      <c r="P49" s="486"/>
    </row>
    <row r="50" spans="14:17" x14ac:dyDescent="0.3">
      <c r="O50" s="486"/>
      <c r="P50" s="486"/>
    </row>
    <row r="51" spans="14:17" x14ac:dyDescent="0.3">
      <c r="N51" s="298"/>
      <c r="O51" s="486"/>
      <c r="P51" s="486"/>
      <c r="Q51" s="298"/>
    </row>
    <row r="52" spans="14:17" x14ac:dyDescent="0.3">
      <c r="N52" s="298"/>
      <c r="O52" s="486"/>
      <c r="P52" s="486"/>
      <c r="Q52" s="298"/>
    </row>
    <row r="53" spans="14:17" x14ac:dyDescent="0.3">
      <c r="N53" s="298"/>
      <c r="O53" s="298"/>
      <c r="P53" s="298"/>
      <c r="Q53" s="298"/>
    </row>
    <row r="54" spans="14:17" x14ac:dyDescent="0.3">
      <c r="N54" s="298"/>
      <c r="O54" s="298"/>
      <c r="P54" s="298"/>
      <c r="Q54" s="298"/>
    </row>
    <row r="55" spans="14:17" x14ac:dyDescent="0.3">
      <c r="N55" s="298"/>
      <c r="O55" s="298"/>
      <c r="P55" s="298"/>
      <c r="Q55" s="298"/>
    </row>
  </sheetData>
  <mergeCells count="9">
    <mergeCell ref="C41:T41"/>
    <mergeCell ref="G2:M2"/>
    <mergeCell ref="W8:W9"/>
    <mergeCell ref="I1:N1"/>
    <mergeCell ref="C39:T40"/>
    <mergeCell ref="T8:T9"/>
    <mergeCell ref="U8:U9"/>
    <mergeCell ref="V8:V9"/>
    <mergeCell ref="T5:W5"/>
  </mergeCells>
  <printOptions horizontalCentered="1"/>
  <pageMargins left="0.04" right="0.1" top="0.6" bottom="0.4" header="0.44" footer="0.3"/>
  <pageSetup paperSize="17" scale="51" orientation="landscape" r:id="rId1"/>
  <headerFooter>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Y47"/>
  <sheetViews>
    <sheetView zoomScale="50" zoomScaleNormal="50" workbookViewId="0">
      <pane xSplit="2" ySplit="9" topLeftCell="C10" activePane="bottomRight" state="frozen"/>
      <selection activeCell="D59" sqref="D59"/>
      <selection pane="topRight" activeCell="D59" sqref="D59"/>
      <selection pane="bottomLeft" activeCell="D59" sqref="D59"/>
      <selection pane="bottomRight" activeCell="G13" sqref="G13"/>
    </sheetView>
  </sheetViews>
  <sheetFormatPr defaultRowHeight="14.4" x14ac:dyDescent="0.3"/>
  <cols>
    <col min="1" max="1" width="21.33203125" customWidth="1"/>
    <col min="2" max="2" width="1.33203125" style="3" customWidth="1"/>
    <col min="3" max="3" width="33.88671875" style="489" customWidth="1"/>
    <col min="4" max="4" width="16.6640625" style="489" customWidth="1"/>
    <col min="5" max="5" width="12.6640625" style="489" customWidth="1"/>
    <col min="6" max="6" width="15.77734375" style="489" customWidth="1"/>
    <col min="7" max="7" width="32.44140625" style="489" customWidth="1"/>
    <col min="8" max="8" width="16.6640625" style="489" customWidth="1"/>
    <col min="9" max="9" width="12.6640625" style="489" customWidth="1"/>
    <col min="10" max="10" width="15.77734375" style="489" customWidth="1"/>
    <col min="11" max="11" width="32.44140625" style="489" customWidth="1"/>
    <col min="12" max="12" width="16.6640625" style="489" customWidth="1"/>
    <col min="13" max="13" width="12.6640625" style="489" customWidth="1"/>
    <col min="14" max="14" width="16" style="489" customWidth="1"/>
    <col min="15" max="15" width="38.33203125" style="489" customWidth="1"/>
    <col min="16" max="16" width="16.6640625" style="489" customWidth="1"/>
    <col min="17" max="17" width="12.6640625" style="489" customWidth="1"/>
    <col min="18" max="18" width="15.5546875" style="489" customWidth="1"/>
    <col min="19" max="19" width="3" customWidth="1"/>
    <col min="20" max="22" width="17.44140625" customWidth="1"/>
    <col min="23" max="23" width="17.109375" customWidth="1"/>
  </cols>
  <sheetData>
    <row r="1" spans="1:25" ht="34.799999999999997" customHeight="1" thickBot="1" x14ac:dyDescent="0.7">
      <c r="H1" s="505"/>
      <c r="I1" s="728" t="s">
        <v>510</v>
      </c>
      <c r="J1" s="729"/>
      <c r="K1" s="729"/>
      <c r="L1" s="729"/>
      <c r="M1" s="729"/>
      <c r="N1" s="729"/>
      <c r="T1" t="s">
        <v>532</v>
      </c>
    </row>
    <row r="2" spans="1:25" ht="16.8" hidden="1" customHeight="1" x14ac:dyDescent="0.3">
      <c r="G2" s="725"/>
      <c r="H2" s="725"/>
      <c r="I2" s="725"/>
      <c r="J2" s="725"/>
      <c r="K2" s="725"/>
      <c r="L2" s="725"/>
      <c r="M2" s="725"/>
    </row>
    <row r="3" spans="1:25" s="2" customFormat="1" ht="16.8" hidden="1" customHeight="1" x14ac:dyDescent="0.4">
      <c r="A3" s="4"/>
      <c r="B3" s="5"/>
      <c r="C3" s="14"/>
      <c r="D3" s="15" t="s">
        <v>18</v>
      </c>
      <c r="E3" s="16" t="s">
        <v>19</v>
      </c>
      <c r="F3" s="21" t="s">
        <v>20</v>
      </c>
      <c r="G3" s="24"/>
      <c r="H3" s="23" t="s">
        <v>18</v>
      </c>
      <c r="I3" s="16" t="s">
        <v>19</v>
      </c>
      <c r="J3" s="16" t="s">
        <v>20</v>
      </c>
      <c r="K3" s="24"/>
      <c r="L3" s="15" t="s">
        <v>18</v>
      </c>
      <c r="M3" s="16" t="s">
        <v>19</v>
      </c>
      <c r="N3" s="16" t="s">
        <v>20</v>
      </c>
      <c r="O3" s="24"/>
      <c r="P3" s="15" t="s">
        <v>18</v>
      </c>
      <c r="Q3" s="16" t="s">
        <v>19</v>
      </c>
      <c r="R3" s="16" t="s">
        <v>20</v>
      </c>
    </row>
    <row r="4" spans="1:25" s="2" customFormat="1" ht="16.8" hidden="1" customHeight="1" x14ac:dyDescent="0.4">
      <c r="A4" s="4"/>
      <c r="B4" s="5"/>
      <c r="C4" s="14"/>
      <c r="D4" s="15" t="s">
        <v>18</v>
      </c>
      <c r="E4" s="18" t="s">
        <v>21</v>
      </c>
      <c r="F4" s="22" t="s">
        <v>25</v>
      </c>
      <c r="G4" s="14"/>
      <c r="H4" s="15" t="s">
        <v>18</v>
      </c>
      <c r="I4" s="18" t="s">
        <v>21</v>
      </c>
      <c r="J4" s="18" t="s">
        <v>25</v>
      </c>
      <c r="K4" s="14"/>
      <c r="L4" s="15" t="s">
        <v>18</v>
      </c>
      <c r="M4" s="18" t="s">
        <v>21</v>
      </c>
      <c r="N4" s="18" t="s">
        <v>25</v>
      </c>
      <c r="O4" s="14"/>
      <c r="P4" s="15" t="s">
        <v>18</v>
      </c>
      <c r="Q4" s="18" t="s">
        <v>21</v>
      </c>
      <c r="R4" s="18" t="s">
        <v>25</v>
      </c>
    </row>
    <row r="5" spans="1:25" ht="28.8" customHeight="1" thickBot="1" x14ac:dyDescent="0.65">
      <c r="A5" s="7"/>
      <c r="B5" s="8"/>
      <c r="C5" s="9"/>
      <c r="D5" s="619" t="s">
        <v>22</v>
      </c>
      <c r="E5" s="619" t="s">
        <v>23</v>
      </c>
      <c r="F5" s="682" t="s">
        <v>53</v>
      </c>
      <c r="G5" s="669"/>
      <c r="H5" s="619" t="s">
        <v>22</v>
      </c>
      <c r="I5" s="619" t="s">
        <v>23</v>
      </c>
      <c r="J5" s="682" t="s">
        <v>533</v>
      </c>
      <c r="K5" s="669"/>
      <c r="L5" s="619" t="s">
        <v>22</v>
      </c>
      <c r="M5" s="619" t="s">
        <v>23</v>
      </c>
      <c r="N5" s="682" t="s">
        <v>533</v>
      </c>
      <c r="O5" s="669"/>
      <c r="P5" s="619" t="s">
        <v>22</v>
      </c>
      <c r="Q5" s="619" t="s">
        <v>23</v>
      </c>
      <c r="R5" s="682" t="s">
        <v>533</v>
      </c>
      <c r="T5" s="731" t="s">
        <v>530</v>
      </c>
      <c r="U5" s="732"/>
      <c r="V5" s="732"/>
      <c r="W5" s="733"/>
      <c r="Y5" s="2"/>
    </row>
    <row r="6" spans="1:25" ht="20.399999999999999" customHeight="1" thickBot="1" x14ac:dyDescent="0.45">
      <c r="A6" s="7" t="s">
        <v>396</v>
      </c>
      <c r="B6" s="8"/>
      <c r="C6" s="9"/>
      <c r="D6" s="629">
        <f>'2015 - 2016 Customers'!D8</f>
        <v>7071493</v>
      </c>
      <c r="E6" s="629">
        <f>'2015 - 2016 Customers'!E8</f>
        <v>725380</v>
      </c>
      <c r="F6" s="702">
        <f>'2015 - 2016 Customers'!F8</f>
        <v>25979</v>
      </c>
      <c r="G6" s="670"/>
      <c r="H6" s="630">
        <f>'2015 - 2016 Customers'!G8</f>
        <v>7046405</v>
      </c>
      <c r="I6" s="630">
        <f>'2015 - 2016 Customers'!H8</f>
        <v>719493</v>
      </c>
      <c r="J6" s="683">
        <f>'2015 - 2016 Customers'!I8</f>
        <v>23771</v>
      </c>
      <c r="K6" s="670"/>
      <c r="L6" s="630">
        <f>'2015 - 2016 Customers'!J8</f>
        <v>6102732</v>
      </c>
      <c r="M6" s="630">
        <f>'2015 - 2016 Customers'!K8</f>
        <v>630746</v>
      </c>
      <c r="N6" s="683">
        <f>'2015 - 2016 Customers'!L8</f>
        <v>23771</v>
      </c>
      <c r="O6" s="711" t="s">
        <v>527</v>
      </c>
      <c r="P6" s="630">
        <f>'2015 - 2016 Customers'!M8</f>
        <v>121067.51307996671</v>
      </c>
      <c r="Q6" s="630">
        <f>'2015 - 2016 Customers'!N8</f>
        <v>6014.5391695676217</v>
      </c>
      <c r="R6" s="683">
        <f>'2015 - 2016 Customers'!O8</f>
        <v>32.030090252135267</v>
      </c>
      <c r="S6" s="711" t="s">
        <v>527</v>
      </c>
      <c r="T6" s="647" t="str">
        <f>'Projection Inputs'!G27</f>
        <v>SCH 2</v>
      </c>
      <c r="U6" s="647" t="str">
        <f>'Projection Inputs'!H27</f>
        <v>SCH 3</v>
      </c>
      <c r="V6" s="609" t="s">
        <v>533</v>
      </c>
      <c r="W6" s="646" t="s">
        <v>34</v>
      </c>
      <c r="Y6" s="2"/>
    </row>
    <row r="7" spans="1:25" ht="20.399999999999999" customHeight="1" thickBot="1" x14ac:dyDescent="0.45">
      <c r="A7" s="7" t="s">
        <v>397</v>
      </c>
      <c r="B7" s="8"/>
      <c r="C7" s="9"/>
      <c r="D7" s="629">
        <f>'2015 - 2016 Customers'!D9</f>
        <v>876463</v>
      </c>
      <c r="E7" s="629">
        <f>'2015 - 2016 Customers'!E9</f>
        <v>78145</v>
      </c>
      <c r="F7" s="702">
        <f>'2015 - 2016 Customers'!F9</f>
        <v>2068</v>
      </c>
      <c r="G7" s="670"/>
      <c r="H7" s="630">
        <f>'2015 - 2016 Customers'!G9</f>
        <v>871639</v>
      </c>
      <c r="I7" s="630">
        <f>'2015 - 2016 Customers'!H9</f>
        <v>77626</v>
      </c>
      <c r="J7" s="683">
        <f>'2015 - 2016 Customers'!I9</f>
        <v>1884</v>
      </c>
      <c r="K7" s="670"/>
      <c r="L7" s="630">
        <f>'2015 - 2016 Customers'!J9</f>
        <v>746554</v>
      </c>
      <c r="M7" s="630">
        <f>'2015 - 2016 Customers'!K9</f>
        <v>65530</v>
      </c>
      <c r="N7" s="683">
        <f>'2015 - 2016 Customers'!L9</f>
        <v>1884</v>
      </c>
      <c r="O7" s="711" t="s">
        <v>527</v>
      </c>
      <c r="P7" s="630">
        <f>'2015 - 2016 Customers'!M9</f>
        <v>15005.486920033276</v>
      </c>
      <c r="Q7" s="630">
        <f>'2015 - 2016 Customers'!N9</f>
        <v>745.46083043237775</v>
      </c>
      <c r="R7" s="683">
        <f>'2015 - 2016 Customers'!O9</f>
        <v>3.9699097478647341</v>
      </c>
      <c r="S7" s="712" t="s">
        <v>527</v>
      </c>
      <c r="T7" s="638">
        <f>'2015 - 2016 Customers'!Y21</f>
        <v>659613</v>
      </c>
      <c r="U7" s="639">
        <f>'2015 - 2016 Customers'!Y22</f>
        <v>63443</v>
      </c>
      <c r="V7" s="640">
        <f>'2015 - 2016 Customers'!Y23</f>
        <v>2049</v>
      </c>
      <c r="W7" s="640">
        <f>SUM(T7:V7)</f>
        <v>725105</v>
      </c>
      <c r="Y7" s="2"/>
    </row>
    <row r="8" spans="1:25" ht="20.399999999999999" customHeight="1" thickTop="1" thickBot="1" x14ac:dyDescent="0.45">
      <c r="A8" s="7"/>
      <c r="B8" s="8"/>
      <c r="C8" s="623" t="s">
        <v>363</v>
      </c>
      <c r="D8" s="624">
        <f>(D6+D7)/12</f>
        <v>662329.66666666663</v>
      </c>
      <c r="E8" s="624">
        <f>(E6+E7)/12</f>
        <v>66960.416666666672</v>
      </c>
      <c r="F8" s="624">
        <f>(F6+F7)/12</f>
        <v>2337.25</v>
      </c>
      <c r="G8" s="705" t="s">
        <v>364</v>
      </c>
      <c r="H8" s="624">
        <f>(H6+H7)/12</f>
        <v>659837</v>
      </c>
      <c r="I8" s="624">
        <f>(I6+I7)/12</f>
        <v>66426.583333333328</v>
      </c>
      <c r="J8" s="624">
        <f>(J6+J7)/12</f>
        <v>2137.9166666666665</v>
      </c>
      <c r="K8" s="705" t="s">
        <v>365</v>
      </c>
      <c r="L8" s="624">
        <f>(L6+L7)/12</f>
        <v>570773.83333333337</v>
      </c>
      <c r="M8" s="624">
        <f>(M6+M7)/12</f>
        <v>58023</v>
      </c>
      <c r="N8" s="624">
        <f>(N6+N7)/12</f>
        <v>2137.9166666666665</v>
      </c>
      <c r="O8" s="705" t="s">
        <v>366</v>
      </c>
      <c r="P8" s="624">
        <f>(P6+P7)/12</f>
        <v>11339.416666666666</v>
      </c>
      <c r="Q8" s="624">
        <f>(Q6+Q7)/12</f>
        <v>563.33333333333326</v>
      </c>
      <c r="R8" s="624">
        <f>(R6+R7)/12</f>
        <v>3</v>
      </c>
      <c r="T8" s="636"/>
      <c r="U8" s="636"/>
      <c r="V8" s="636"/>
      <c r="W8" s="726" t="s">
        <v>340</v>
      </c>
    </row>
    <row r="9" spans="1:25" s="2" customFormat="1" ht="24" thickBot="1" x14ac:dyDescent="0.5">
      <c r="A9" s="4"/>
      <c r="B9" s="5"/>
      <c r="C9" s="628" t="s">
        <v>0</v>
      </c>
      <c r="D9" s="625"/>
      <c r="E9" s="626"/>
      <c r="F9" s="708"/>
      <c r="G9" s="706" t="s">
        <v>1</v>
      </c>
      <c r="H9" s="626"/>
      <c r="I9" s="626"/>
      <c r="J9" s="708"/>
      <c r="K9" s="706" t="s">
        <v>252</v>
      </c>
      <c r="L9" s="626"/>
      <c r="M9" s="626"/>
      <c r="N9" s="708"/>
      <c r="O9" s="706" t="s">
        <v>3</v>
      </c>
      <c r="P9" s="626"/>
      <c r="Q9" s="626"/>
      <c r="R9" s="708"/>
      <c r="T9" s="637" t="s">
        <v>339</v>
      </c>
      <c r="U9" s="637" t="s">
        <v>339</v>
      </c>
      <c r="V9" s="637" t="s">
        <v>339</v>
      </c>
      <c r="W9" s="727"/>
    </row>
    <row r="10" spans="1:25" ht="120" customHeight="1" x14ac:dyDescent="0.4">
      <c r="A10" s="312" t="s">
        <v>8</v>
      </c>
      <c r="B10" s="5"/>
      <c r="C10" s="621" t="s">
        <v>16</v>
      </c>
      <c r="D10" s="622">
        <f>D11+D12</f>
        <v>26415.62617977745</v>
      </c>
      <c r="E10" s="622">
        <f>E11+E12</f>
        <v>2139.3857489005832</v>
      </c>
      <c r="F10" s="709">
        <f>F11+F12</f>
        <v>0</v>
      </c>
      <c r="G10" s="707" t="s">
        <v>17</v>
      </c>
      <c r="H10" s="622">
        <f>H11+H12</f>
        <v>3394326.4283868941</v>
      </c>
      <c r="I10" s="622">
        <f>I11+I12</f>
        <v>387893.56586129434</v>
      </c>
      <c r="J10" s="709">
        <f>J11+J12</f>
        <v>11808.857364568134</v>
      </c>
      <c r="K10" s="707" t="s">
        <v>306</v>
      </c>
      <c r="L10" s="622">
        <f>L11+L12</f>
        <v>631720.39291079075</v>
      </c>
      <c r="M10" s="622">
        <f>M11+M12</f>
        <v>52950.913176683534</v>
      </c>
      <c r="N10" s="709">
        <f>N11+N12</f>
        <v>2280.1898227610227</v>
      </c>
      <c r="O10" s="707" t="s">
        <v>307</v>
      </c>
      <c r="P10" s="622">
        <f>P11+P12</f>
        <v>284387.62426768674</v>
      </c>
      <c r="Q10" s="622">
        <f>Q11+Q12</f>
        <v>24012.338626381465</v>
      </c>
      <c r="R10" s="709">
        <f>R11+R12</f>
        <v>0</v>
      </c>
      <c r="T10" s="314">
        <f>T11+T12</f>
        <v>4336850.0717451489</v>
      </c>
      <c r="U10" s="314">
        <f>U11+U12</f>
        <v>466996.20341325988</v>
      </c>
      <c r="V10" s="340">
        <f>V11+V12</f>
        <v>14089.047187329157</v>
      </c>
      <c r="W10" s="308">
        <f t="shared" ref="W10:W30" si="0">SUM(T10:V10)</f>
        <v>4817935.3223457383</v>
      </c>
    </row>
    <row r="11" spans="1:25" ht="21" x14ac:dyDescent="0.4">
      <c r="A11" s="313"/>
      <c r="B11" s="5"/>
      <c r="C11" s="341" t="s">
        <v>67</v>
      </c>
      <c r="D11" s="314">
        <f>'Projection Inputs'!B$42*'2015Summary METER to CASH (Base'!D11*'Projection Inputs'!$I$12</f>
        <v>26415.62617977745</v>
      </c>
      <c r="E11" s="314">
        <f>'Projection Inputs'!C$42*'2015Summary METER to CASH (Base'!E11*'Projection Inputs'!$I$12</f>
        <v>2139.3857489005832</v>
      </c>
      <c r="F11" s="686">
        <f>'Projection Inputs'!D$42*'2015Summary METER to CASH (Base'!F11*'Projection Inputs'!$I$12</f>
        <v>0</v>
      </c>
      <c r="G11" s="673" t="s">
        <v>67</v>
      </c>
      <c r="H11" s="314">
        <f>'Projection Inputs'!F$42*'2015Summary METER to CASH (Base'!H11*'Projection Inputs'!$I$12</f>
        <v>751324.79144930921</v>
      </c>
      <c r="I11" s="314">
        <f>'Projection Inputs'!G$42*'2015Summary METER to CASH (Base'!I11*'Projection Inputs'!$I$12</f>
        <v>76555.743568930353</v>
      </c>
      <c r="J11" s="686">
        <f>'Projection Inputs'!H$42*'2015Summary METER to CASH (Base'!J11*'Projection Inputs'!$I$12</f>
        <v>0</v>
      </c>
      <c r="K11" s="673" t="s">
        <v>67</v>
      </c>
      <c r="L11" s="314">
        <f>'Projection Inputs'!J$42*'2015Summary METER to CASH (Base'!L11*'Projection Inputs'!$I$12</f>
        <v>388247.26108623837</v>
      </c>
      <c r="M11" s="314">
        <f>'Projection Inputs'!K$42*'2015Summary METER to CASH (Base'!M11*'Projection Inputs'!$I$12</f>
        <v>37203.140909946458</v>
      </c>
      <c r="N11" s="686">
        <f>'Projection Inputs'!L$42*'2015Summary METER to CASH (Base'!N11*'Projection Inputs'!$I$12</f>
        <v>2244.1643884559376</v>
      </c>
      <c r="O11" s="673" t="s">
        <v>67</v>
      </c>
      <c r="P11" s="314">
        <f>'Projection Inputs'!N$42*'2015Summary METER to CASH (Base'!P11*'Projection Inputs'!$I$12</f>
        <v>155605.86566201065</v>
      </c>
      <c r="Q11" s="314">
        <f>'Projection Inputs'!O$42*'2015Summary METER to CASH (Base'!Q11*'Projection Inputs'!$I$12</f>
        <v>17234.351331345879</v>
      </c>
      <c r="R11" s="686">
        <f>'Projection Inputs'!P$42*'2015Summary METER to CASH (Base'!R11*'Projection Inputs'!$I$12</f>
        <v>0</v>
      </c>
      <c r="T11" s="314">
        <f t="shared" ref="T11:V15" si="1">D11+H11+L11+P11</f>
        <v>1321593.5443773356</v>
      </c>
      <c r="U11" s="314">
        <f t="shared" si="1"/>
        <v>133132.62155912328</v>
      </c>
      <c r="V11" s="342">
        <f t="shared" si="1"/>
        <v>2244.1643884559376</v>
      </c>
      <c r="W11" s="314">
        <f t="shared" si="0"/>
        <v>1456970.3303249148</v>
      </c>
    </row>
    <row r="12" spans="1:25" ht="21" x14ac:dyDescent="0.4">
      <c r="A12" s="310"/>
      <c r="B12" s="5"/>
      <c r="C12" s="343" t="s">
        <v>292</v>
      </c>
      <c r="D12" s="314">
        <f>'Projection Inputs'!B$42*'2015Summary METER to CASH (Base'!D12*'Projection Inputs'!$I$13</f>
        <v>0</v>
      </c>
      <c r="E12" s="314">
        <f>'Projection Inputs'!C$42*'2015Summary METER to CASH (Base'!E12*'Projection Inputs'!$I$13</f>
        <v>0</v>
      </c>
      <c r="F12" s="686">
        <f>'Projection Inputs'!D$42*'2015Summary METER to CASH (Base'!F12*'Projection Inputs'!$I$13</f>
        <v>0</v>
      </c>
      <c r="G12" s="674" t="s">
        <v>292</v>
      </c>
      <c r="H12" s="314">
        <f>'Projection Inputs'!F$42*'2015Summary METER to CASH (Base'!H12*'Projection Inputs'!$I$13</f>
        <v>2643001.6369375847</v>
      </c>
      <c r="I12" s="314">
        <f>'Projection Inputs'!G$42*'2015Summary METER to CASH (Base'!I12*'Projection Inputs'!$I$13</f>
        <v>311337.82229236397</v>
      </c>
      <c r="J12" s="686">
        <f>'Projection Inputs'!H$42*'2015Summary METER to CASH (Base'!J12*'Projection Inputs'!$I$13</f>
        <v>11808.857364568134</v>
      </c>
      <c r="K12" s="674" t="s">
        <v>292</v>
      </c>
      <c r="L12" s="314">
        <f>'Projection Inputs'!J$42*'2015Summary METER to CASH (Base'!L12*'Projection Inputs'!$I$13</f>
        <v>243473.1318245524</v>
      </c>
      <c r="M12" s="314">
        <f>'Projection Inputs'!K$42*'2015Summary METER to CASH (Base'!M12*'Projection Inputs'!$I$13</f>
        <v>15747.77226673708</v>
      </c>
      <c r="N12" s="686">
        <f>'Projection Inputs'!L$42*'2015Summary METER to CASH (Base'!N12*'Projection Inputs'!$I$13</f>
        <v>36.025434305085284</v>
      </c>
      <c r="O12" s="674" t="s">
        <v>292</v>
      </c>
      <c r="P12" s="314">
        <f>'Projection Inputs'!N$42*'2015Summary METER to CASH (Base'!P12*'Projection Inputs'!$I$13</f>
        <v>128781.75860567612</v>
      </c>
      <c r="Q12" s="314">
        <f>'Projection Inputs'!O$42*'2015Summary METER to CASH (Base'!Q12*'Projection Inputs'!$I$13</f>
        <v>6777.9872950355857</v>
      </c>
      <c r="R12" s="686">
        <f>'Projection Inputs'!P$42*'2015Summary METER to CASH (Base'!R12*'Projection Inputs'!$I$13</f>
        <v>0</v>
      </c>
      <c r="T12" s="315">
        <f t="shared" si="1"/>
        <v>3015256.5273678135</v>
      </c>
      <c r="U12" s="315">
        <f t="shared" si="1"/>
        <v>333863.5818541366</v>
      </c>
      <c r="V12" s="344">
        <f t="shared" si="1"/>
        <v>11844.882798873219</v>
      </c>
      <c r="W12" s="315">
        <f t="shared" si="0"/>
        <v>3360964.9920208235</v>
      </c>
    </row>
    <row r="13" spans="1:25" ht="291.60000000000002" customHeight="1" x14ac:dyDescent="0.4">
      <c r="A13" s="307" t="s">
        <v>4</v>
      </c>
      <c r="B13" s="5"/>
      <c r="C13" s="345">
        <v>0</v>
      </c>
      <c r="D13" s="316">
        <v>0</v>
      </c>
      <c r="E13" s="316">
        <v>0</v>
      </c>
      <c r="F13" s="696">
        <v>0</v>
      </c>
      <c r="G13" s="672" t="s">
        <v>341</v>
      </c>
      <c r="H13" s="308">
        <f>H14+H15</f>
        <v>2775915.6282001836</v>
      </c>
      <c r="I13" s="308">
        <f>I14+I15</f>
        <v>271670.97944968584</v>
      </c>
      <c r="J13" s="685">
        <f>J14+J15</f>
        <v>8935.6866867296612</v>
      </c>
      <c r="K13" s="675"/>
      <c r="L13" s="316">
        <v>0</v>
      </c>
      <c r="M13" s="316">
        <v>0</v>
      </c>
      <c r="N13" s="696">
        <v>0</v>
      </c>
      <c r="O13" s="672" t="s">
        <v>308</v>
      </c>
      <c r="P13" s="308">
        <f>P14+P15</f>
        <v>1279636.5625842335</v>
      </c>
      <c r="Q13" s="308">
        <f>Q14+Q15</f>
        <v>61325.689181983464</v>
      </c>
      <c r="R13" s="685">
        <f>R14+R15</f>
        <v>200.49621196668369</v>
      </c>
      <c r="T13" s="308">
        <f t="shared" si="1"/>
        <v>4055552.1907844171</v>
      </c>
      <c r="U13" s="308">
        <f t="shared" si="1"/>
        <v>332996.66863166931</v>
      </c>
      <c r="V13" s="340">
        <f t="shared" si="1"/>
        <v>9136.1828986963446</v>
      </c>
      <c r="W13" s="308">
        <f t="shared" si="0"/>
        <v>4397685.0423147827</v>
      </c>
    </row>
    <row r="14" spans="1:25" ht="21" x14ac:dyDescent="0.4">
      <c r="A14" s="317"/>
      <c r="B14" s="5"/>
      <c r="C14" s="346" t="s">
        <v>67</v>
      </c>
      <c r="D14" s="319">
        <v>0</v>
      </c>
      <c r="E14" s="319">
        <v>0</v>
      </c>
      <c r="F14" s="688">
        <v>0</v>
      </c>
      <c r="G14" s="673" t="s">
        <v>67</v>
      </c>
      <c r="H14" s="314">
        <f>'Projection Inputs'!F$42*'2015Summary METER to CASH (Base'!H14*'Projection Inputs'!$I$10</f>
        <v>2166233.8847949239</v>
      </c>
      <c r="I14" s="314">
        <f>'Projection Inputs'!G$42*'2015Summary METER to CASH (Base'!I14*'Projection Inputs'!$I$10</f>
        <v>212003.15860496869</v>
      </c>
      <c r="J14" s="686">
        <f>'Projection Inputs'!H$42*'2015Summary METER to CASH (Base'!J14*'Projection Inputs'!$I$10</f>
        <v>6973.1180184518098</v>
      </c>
      <c r="K14" s="676" t="s">
        <v>67</v>
      </c>
      <c r="L14" s="319">
        <v>0</v>
      </c>
      <c r="M14" s="319">
        <v>0</v>
      </c>
      <c r="N14" s="688">
        <v>0</v>
      </c>
      <c r="O14" s="673" t="s">
        <v>67</v>
      </c>
      <c r="P14" s="314">
        <f>'Projection Inputs'!N$42*'2015Summary METER to CASH (Base'!P14*'Projection Inputs'!$I$10</f>
        <v>951641.56299550831</v>
      </c>
      <c r="Q14" s="314">
        <f>'Projection Inputs'!O$42*'2015Summary METER to CASH (Base'!Q14*'Projection Inputs'!$I$10</f>
        <v>45606.757739917157</v>
      </c>
      <c r="R14" s="686">
        <f>'Projection Inputs'!P$42*'2015Summary METER to CASH (Base'!R14*'Projection Inputs'!$I$10</f>
        <v>149.10524918523024</v>
      </c>
      <c r="T14" s="314">
        <f t="shared" si="1"/>
        <v>3117875.4477904323</v>
      </c>
      <c r="U14" s="314">
        <f t="shared" si="1"/>
        <v>257609.91634488583</v>
      </c>
      <c r="V14" s="342">
        <f t="shared" si="1"/>
        <v>7122.2232676370404</v>
      </c>
      <c r="W14" s="314">
        <f t="shared" si="0"/>
        <v>3382607.5874029552</v>
      </c>
    </row>
    <row r="15" spans="1:25" ht="21" x14ac:dyDescent="0.4">
      <c r="A15" s="320"/>
      <c r="B15" s="5"/>
      <c r="C15" s="347" t="s">
        <v>292</v>
      </c>
      <c r="D15" s="322">
        <v>0</v>
      </c>
      <c r="E15" s="322">
        <v>0</v>
      </c>
      <c r="F15" s="697">
        <v>0</v>
      </c>
      <c r="G15" s="674" t="s">
        <v>292</v>
      </c>
      <c r="H15" s="314">
        <f>'Projection Inputs'!F$42*'2015Summary METER to CASH (Base'!H15*'Projection Inputs'!$I$11</f>
        <v>609681.7434052598</v>
      </c>
      <c r="I15" s="314">
        <f>'Projection Inputs'!G$42*'2015Summary METER to CASH (Base'!I15*'Projection Inputs'!$I$11</f>
        <v>59667.820844717127</v>
      </c>
      <c r="J15" s="686">
        <f>'Projection Inputs'!H$42*'2015Summary METER to CASH (Base'!J15*'Projection Inputs'!$I$11</f>
        <v>1962.5686682778514</v>
      </c>
      <c r="K15" s="677" t="s">
        <v>292</v>
      </c>
      <c r="L15" s="322">
        <v>0</v>
      </c>
      <c r="M15" s="322">
        <v>0</v>
      </c>
      <c r="N15" s="697">
        <v>0</v>
      </c>
      <c r="O15" s="674" t="s">
        <v>292</v>
      </c>
      <c r="P15" s="314">
        <f>'Projection Inputs'!N$42*'2015Summary METER to CASH (Base'!P15*'Projection Inputs'!$I$11</f>
        <v>327994.99958872516</v>
      </c>
      <c r="Q15" s="314">
        <f>'Projection Inputs'!O$42*'2015Summary METER to CASH (Base'!Q15*'Projection Inputs'!$I$11</f>
        <v>15718.931442066307</v>
      </c>
      <c r="R15" s="686">
        <f>'Projection Inputs'!P$42*'2015Summary METER to CASH (Base'!R15*'Projection Inputs'!$I$11</f>
        <v>51.39096278145346</v>
      </c>
      <c r="T15" s="315">
        <f t="shared" si="1"/>
        <v>937676.74299398495</v>
      </c>
      <c r="U15" s="315">
        <f t="shared" si="1"/>
        <v>75386.752286783434</v>
      </c>
      <c r="V15" s="344">
        <f t="shared" si="1"/>
        <v>2013.9596310593049</v>
      </c>
      <c r="W15" s="315">
        <f t="shared" si="0"/>
        <v>1015077.4549118277</v>
      </c>
    </row>
    <row r="16" spans="1:25" ht="70.8" customHeight="1" x14ac:dyDescent="0.4">
      <c r="A16" s="312" t="s">
        <v>5</v>
      </c>
      <c r="B16" s="5"/>
      <c r="C16" s="339" t="s">
        <v>15</v>
      </c>
      <c r="D16" s="308">
        <f>D17+D18</f>
        <v>0</v>
      </c>
      <c r="E16" s="308">
        <f>E17+E18</f>
        <v>4191.9180364426575</v>
      </c>
      <c r="F16" s="685">
        <f>F17+F18</f>
        <v>46609.925564943529</v>
      </c>
      <c r="G16" s="672" t="s">
        <v>9</v>
      </c>
      <c r="H16" s="308">
        <f>H17+H18</f>
        <v>0</v>
      </c>
      <c r="I16" s="308">
        <f>I17+I18</f>
        <v>105584.03845702334</v>
      </c>
      <c r="J16" s="685">
        <f>J17+J18</f>
        <v>293173.64992961055</v>
      </c>
      <c r="K16" s="672" t="s">
        <v>12</v>
      </c>
      <c r="L16" s="308">
        <f>L17+L18</f>
        <v>9114.6972782426128</v>
      </c>
      <c r="M16" s="308">
        <f>M17+M18</f>
        <v>2241.8794854293046</v>
      </c>
      <c r="N16" s="685">
        <f>N17+N18</f>
        <v>0</v>
      </c>
      <c r="O16" s="672" t="s">
        <v>12</v>
      </c>
      <c r="P16" s="308">
        <f>P17+P18</f>
        <v>0</v>
      </c>
      <c r="Q16" s="308">
        <f>Q17+Q18</f>
        <v>31392.043682583928</v>
      </c>
      <c r="R16" s="685">
        <f>R17+R18</f>
        <v>946.97499807455142</v>
      </c>
      <c r="T16" s="308">
        <f>T17+T18</f>
        <v>9114.6972782426128</v>
      </c>
      <c r="U16" s="308">
        <f>U17+U18</f>
        <v>143409.87966147927</v>
      </c>
      <c r="V16" s="340">
        <f>V17+V18</f>
        <v>340730.55049262865</v>
      </c>
      <c r="W16" s="308">
        <f t="shared" si="0"/>
        <v>493255.12743235053</v>
      </c>
    </row>
    <row r="17" spans="1:23" ht="21" x14ac:dyDescent="0.4">
      <c r="A17" s="313" t="s">
        <v>342</v>
      </c>
      <c r="B17" s="5"/>
      <c r="C17" s="341" t="s">
        <v>67</v>
      </c>
      <c r="D17" s="314">
        <f>'Projection Inputs'!B$42*'2015Summary METER to CASH (Base'!D17*AVERAGE('Projection Inputs'!$I$8,'Projection Inputs'!$I$6)</f>
        <v>0</v>
      </c>
      <c r="E17" s="314">
        <f>'Projection Inputs'!C$42*'2015Summary METER to CASH (Base'!E17*AVERAGE('Projection Inputs'!$I$8,'Projection Inputs'!$I$6)</f>
        <v>4023.51142129446</v>
      </c>
      <c r="F17" s="686">
        <f>'Projection Inputs'!D$42*'2015Summary METER to CASH (Base'!F17*AVERAGE('Projection Inputs'!$I$8,'Projection Inputs'!$I$6)</f>
        <v>44808.755475775724</v>
      </c>
      <c r="G17" s="673" t="s">
        <v>67</v>
      </c>
      <c r="H17" s="314">
        <f>'Projection Inputs'!F$42*'2015Summary METER to CASH (Base'!H17*AVERAGE('Projection Inputs'!$I$8,'Projection Inputs'!$I$6)</f>
        <v>0</v>
      </c>
      <c r="I17" s="314">
        <f>'Projection Inputs'!G$42*'2015Summary METER to CASH (Base'!I17*AVERAGE('Projection Inputs'!$I$8,'Projection Inputs'!$I$6)</f>
        <v>96459.522687662684</v>
      </c>
      <c r="J17" s="686">
        <f>'Projection Inputs'!H$42*'2015Summary METER to CASH (Base'!J17*AVERAGE('Projection Inputs'!$I$8,'Projection Inputs'!$I$6)</f>
        <v>274676.13498787588</v>
      </c>
      <c r="K17" s="673" t="s">
        <v>67</v>
      </c>
      <c r="L17" s="314">
        <f>'Projection Inputs'!J$42*'2015Summary METER to CASH (Base'!L17*AVERAGE('Projection Inputs'!$I$8,'Projection Inputs'!$I$6)</f>
        <v>8478.9901879480949</v>
      </c>
      <c r="M17" s="314">
        <f>'Projection Inputs'!K$42*'2015Summary METER to CASH (Base'!M17*AVERAGE('Projection Inputs'!$I$8,'Projection Inputs'!$I$6)</f>
        <v>2085.7409018481949</v>
      </c>
      <c r="N17" s="686">
        <f>'Projection Inputs'!L$42*'2015Summary METER to CASH (Base'!N17*AVERAGE('Projection Inputs'!$I$8,'Projection Inputs'!$I$6)</f>
        <v>0</v>
      </c>
      <c r="O17" s="673" t="s">
        <v>67</v>
      </c>
      <c r="P17" s="314">
        <f>'Projection Inputs'!N$42*'2015Summary METER to CASH (Base'!P17*AVERAGE('Projection Inputs'!$I$8,'Projection Inputs'!$I$6)</f>
        <v>0</v>
      </c>
      <c r="Q17" s="314">
        <f>'Projection Inputs'!O$42*'2015Summary METER to CASH (Base'!Q17*AVERAGE('Projection Inputs'!$I$8,'Projection Inputs'!$I$6)</f>
        <v>30145.165565129064</v>
      </c>
      <c r="R17" s="686">
        <f>'Projection Inputs'!P$42*'2015Summary METER to CASH (Base'!R17*AVERAGE('Projection Inputs'!$I$8,'Projection Inputs'!$I$6)</f>
        <v>910.17090337328978</v>
      </c>
      <c r="T17" s="314">
        <f t="shared" ref="T17:V18" si="2">D17+H17+L17+P17</f>
        <v>8478.9901879480949</v>
      </c>
      <c r="U17" s="314">
        <f t="shared" si="2"/>
        <v>132713.94057593442</v>
      </c>
      <c r="V17" s="342">
        <f t="shared" si="2"/>
        <v>320395.0613670249</v>
      </c>
      <c r="W17" s="314">
        <f t="shared" si="0"/>
        <v>461587.99213090743</v>
      </c>
    </row>
    <row r="18" spans="1:23" ht="21" x14ac:dyDescent="0.4">
      <c r="A18" s="310"/>
      <c r="B18" s="5"/>
      <c r="C18" s="341" t="s">
        <v>581</v>
      </c>
      <c r="D18" s="314">
        <f>'Projection Inputs'!B$42*'2015Summary METER to CASH (Base'!D18*AVERAGE('Projection Inputs'!$I$9,'Projection Inputs'!$I$7)</f>
        <v>0</v>
      </c>
      <c r="E18" s="314">
        <f>'Projection Inputs'!C$42*'2015Summary METER to CASH (Base'!E18*AVERAGE('Projection Inputs'!$I$9,'Projection Inputs'!$I$7)</f>
        <v>168.40661514819709</v>
      </c>
      <c r="F18" s="686">
        <f>'Projection Inputs'!D$42*'2015Summary METER to CASH (Base'!F18*AVERAGE('Projection Inputs'!$I$9,'Projection Inputs'!$I$7)</f>
        <v>1801.1700891678033</v>
      </c>
      <c r="G18" s="673" t="s">
        <v>581</v>
      </c>
      <c r="H18" s="314">
        <f>'Projection Inputs'!F$42*'2015Summary METER to CASH (Base'!H18*AVERAGE('Projection Inputs'!$I$9,'Projection Inputs'!$I$7)</f>
        <v>0</v>
      </c>
      <c r="I18" s="314">
        <f>'Projection Inputs'!G$42*'2015Summary METER to CASH (Base'!I18*AVERAGE('Projection Inputs'!$I$9,'Projection Inputs'!$I$7)</f>
        <v>9124.5157693606598</v>
      </c>
      <c r="J18" s="686">
        <f>'Projection Inputs'!H$42*'2015Summary METER to CASH (Base'!J18*AVERAGE('Projection Inputs'!$I$9,'Projection Inputs'!$I$7)</f>
        <v>18497.514941734684</v>
      </c>
      <c r="K18" s="674" t="s">
        <v>292</v>
      </c>
      <c r="L18" s="314">
        <f>'Projection Inputs'!J$42*'2015Summary METER to CASH (Base'!L18*AVERAGE('Projection Inputs'!$I$9,'Projection Inputs'!$I$7)</f>
        <v>635.70709029451882</v>
      </c>
      <c r="M18" s="314">
        <f>'Projection Inputs'!K$42*'2015Summary METER to CASH (Base'!M18*AVERAGE('Projection Inputs'!$I$9,'Projection Inputs'!$I$7)</f>
        <v>156.13858358110988</v>
      </c>
      <c r="N18" s="686">
        <f>'Projection Inputs'!L$42*'2015Summary METER to CASH (Base'!N18*AVERAGE('Projection Inputs'!$I$9,'Projection Inputs'!$I$7)</f>
        <v>0</v>
      </c>
      <c r="O18" s="674" t="s">
        <v>292</v>
      </c>
      <c r="P18" s="314">
        <f>'Projection Inputs'!N$42*'2015Summary METER to CASH (Base'!P18*AVERAGE('Projection Inputs'!$I$9,'Projection Inputs'!$I$7)</f>
        <v>0</v>
      </c>
      <c r="Q18" s="314">
        <f>'Projection Inputs'!O$42*'2015Summary METER to CASH (Base'!Q18*AVERAGE('Projection Inputs'!$I$9,'Projection Inputs'!$I$7)</f>
        <v>1246.8781174548633</v>
      </c>
      <c r="R18" s="686">
        <f>'Projection Inputs'!P$42*'2015Summary METER to CASH (Base'!R18*AVERAGE('Projection Inputs'!$I$9,'Projection Inputs'!$I$7)</f>
        <v>36.804094701261619</v>
      </c>
      <c r="T18" s="315">
        <f t="shared" si="2"/>
        <v>635.70709029451882</v>
      </c>
      <c r="U18" s="315">
        <f t="shared" si="2"/>
        <v>10695.939085544831</v>
      </c>
      <c r="V18" s="344">
        <f t="shared" si="2"/>
        <v>20335.489125603752</v>
      </c>
      <c r="W18" s="315">
        <f t="shared" si="0"/>
        <v>31667.135301443101</v>
      </c>
    </row>
    <row r="19" spans="1:23" ht="85.2" customHeight="1" x14ac:dyDescent="0.4">
      <c r="A19" s="307" t="s">
        <v>6</v>
      </c>
      <c r="B19" s="5"/>
      <c r="C19" s="339" t="s">
        <v>309</v>
      </c>
      <c r="D19" s="308">
        <f>D20+D21</f>
        <v>38080.809597516265</v>
      </c>
      <c r="E19" s="308">
        <f>E20+E21</f>
        <v>3743.0393699729207</v>
      </c>
      <c r="F19" s="685">
        <f>F20+F21</f>
        <v>75.427652551083597</v>
      </c>
      <c r="G19" s="672" t="s">
        <v>387</v>
      </c>
      <c r="H19" s="308">
        <f>H20+H21</f>
        <v>314216.43763808691</v>
      </c>
      <c r="I19" s="308">
        <f>I20+I21</f>
        <v>30754.61440556253</v>
      </c>
      <c r="J19" s="685">
        <f>J20+J21</f>
        <v>0</v>
      </c>
      <c r="K19" s="675"/>
      <c r="L19" s="309">
        <v>0</v>
      </c>
      <c r="M19" s="309">
        <v>0</v>
      </c>
      <c r="N19" s="698">
        <v>0</v>
      </c>
      <c r="O19" s="672" t="s">
        <v>310</v>
      </c>
      <c r="P19" s="308">
        <f>P20+P21</f>
        <v>80056.611012448629</v>
      </c>
      <c r="Q19" s="308">
        <f>Q20+Q21</f>
        <v>3893.8946750750874</v>
      </c>
      <c r="R19" s="685">
        <f>R20+R21</f>
        <v>0</v>
      </c>
      <c r="T19" s="308">
        <f>T20+T21</f>
        <v>432353.85824805178</v>
      </c>
      <c r="U19" s="308">
        <f>U20+U21</f>
        <v>38391.548450610535</v>
      </c>
      <c r="V19" s="308">
        <f>V20+V21</f>
        <v>75.427652551083597</v>
      </c>
      <c r="W19" s="308">
        <f t="shared" si="0"/>
        <v>470820.83435121342</v>
      </c>
    </row>
    <row r="20" spans="1:23" ht="21" x14ac:dyDescent="0.4">
      <c r="A20" s="317"/>
      <c r="B20" s="5"/>
      <c r="C20" s="341" t="s">
        <v>67</v>
      </c>
      <c r="D20" s="314">
        <f>'Projection Inputs'!B$42*'2015Summary METER to CASH (Base'!D20*'Projection Inputs'!$I$16</f>
        <v>36241.999033987348</v>
      </c>
      <c r="E20" s="314">
        <f>'Projection Inputs'!C$42*'2015Summary METER to CASH (Base'!E20*'Projection Inputs'!$I$16</f>
        <v>3562.0108837066491</v>
      </c>
      <c r="F20" s="686">
        <f>'Projection Inputs'!D$42*'2015Summary METER to CASH (Base'!F20*'Projection Inputs'!$I$16</f>
        <v>72.136225528060478</v>
      </c>
      <c r="G20" s="673" t="s">
        <v>67</v>
      </c>
      <c r="H20" s="314">
        <f>'Projection Inputs'!F$42*'2015Summary METER to CASH (Base'!H20*'Projection Inputs'!$I$16</f>
        <v>299041.86191960931</v>
      </c>
      <c r="I20" s="314">
        <f>'Projection Inputs'!G$42*'2015Summary METER to CASH (Base'!I20*'Projection Inputs'!$I$16</f>
        <v>29269.083675838094</v>
      </c>
      <c r="J20" s="686">
        <f>'Projection Inputs'!H$42*'2015Summary METER to CASH (Base'!J20*'Projection Inputs'!$I$16</f>
        <v>0</v>
      </c>
      <c r="K20" s="676" t="s">
        <v>67</v>
      </c>
      <c r="L20" s="318">
        <v>0</v>
      </c>
      <c r="M20" s="318">
        <v>0</v>
      </c>
      <c r="N20" s="699">
        <v>0</v>
      </c>
      <c r="O20" s="673" t="s">
        <v>67</v>
      </c>
      <c r="P20" s="314">
        <f>'Projection Inputs'!N$42*'2015Summary METER to CASH (Base'!P20*'Projection Inputs'!$I$16</f>
        <v>76190.28140273747</v>
      </c>
      <c r="Q20" s="314">
        <f>'Projection Inputs'!O$42*'2015Summary METER to CASH (Base'!Q20*'Projection Inputs'!$I$16</f>
        <v>3706.2833347627698</v>
      </c>
      <c r="R20" s="686">
        <f>'Projection Inputs'!P$42*'2015Summary METER to CASH (Base'!R20*'Projection Inputs'!$I$16</f>
        <v>0</v>
      </c>
      <c r="T20" s="314">
        <f t="shared" ref="T20:V21" si="3">D20+H20+L20+P20</f>
        <v>411474.14235633414</v>
      </c>
      <c r="U20" s="314">
        <f t="shared" si="3"/>
        <v>36537.377894307509</v>
      </c>
      <c r="V20" s="342">
        <f t="shared" si="3"/>
        <v>72.136225528060478</v>
      </c>
      <c r="W20" s="314">
        <f t="shared" si="0"/>
        <v>448083.65647616971</v>
      </c>
    </row>
    <row r="21" spans="1:23" ht="21" x14ac:dyDescent="0.4">
      <c r="A21" s="320"/>
      <c r="B21" s="5"/>
      <c r="C21" s="343" t="s">
        <v>292</v>
      </c>
      <c r="D21" s="314">
        <f>'Projection Inputs'!B$42*'2015Summary METER to CASH (Base'!D21*'Projection Inputs'!$I$17</f>
        <v>1838.8105635289162</v>
      </c>
      <c r="E21" s="314">
        <f>'Projection Inputs'!C$42*'2015Summary METER to CASH (Base'!E21*'Projection Inputs'!$I$17</f>
        <v>181.02848626627159</v>
      </c>
      <c r="F21" s="686">
        <f>'Projection Inputs'!D$42*'2015Summary METER to CASH (Base'!F21*'Projection Inputs'!$I$17</f>
        <v>3.29142702302312</v>
      </c>
      <c r="G21" s="674" t="s">
        <v>292</v>
      </c>
      <c r="H21" s="314">
        <f>'Projection Inputs'!F$42*'2015Summary METER to CASH (Base'!H21*'Projection Inputs'!$I$17</f>
        <v>15174.57571847759</v>
      </c>
      <c r="I21" s="314">
        <f>'Projection Inputs'!G$42*'2015Summary METER to CASH (Base'!I21*'Projection Inputs'!$I$17</f>
        <v>1485.5307297244347</v>
      </c>
      <c r="J21" s="686">
        <f>'Projection Inputs'!H$42*'2015Summary METER to CASH (Base'!J21*'Projection Inputs'!$I$17</f>
        <v>0</v>
      </c>
      <c r="K21" s="677" t="s">
        <v>292</v>
      </c>
      <c r="L21" s="321">
        <v>0</v>
      </c>
      <c r="M21" s="321">
        <v>0</v>
      </c>
      <c r="N21" s="700">
        <v>0</v>
      </c>
      <c r="O21" s="674" t="s">
        <v>292</v>
      </c>
      <c r="P21" s="314">
        <f>'Projection Inputs'!N$42*'2015Summary METER to CASH (Base'!P21*'Projection Inputs'!$I$17</f>
        <v>3866.3296097111579</v>
      </c>
      <c r="Q21" s="314">
        <f>'Projection Inputs'!O$42*'2015Summary METER to CASH (Base'!Q21*'Projection Inputs'!$I$17</f>
        <v>187.61134031231782</v>
      </c>
      <c r="R21" s="686">
        <f>'Projection Inputs'!P$42*'2015Summary METER to CASH (Base'!R21*'Projection Inputs'!$I$17</f>
        <v>0</v>
      </c>
      <c r="T21" s="311">
        <f t="shared" si="3"/>
        <v>20879.715891717664</v>
      </c>
      <c r="U21" s="311">
        <f t="shared" si="3"/>
        <v>1854.1705563030241</v>
      </c>
      <c r="V21" s="353">
        <f t="shared" si="3"/>
        <v>3.29142702302312</v>
      </c>
      <c r="W21" s="311">
        <f t="shared" si="0"/>
        <v>22737.177875043712</v>
      </c>
    </row>
    <row r="22" spans="1:23" ht="56.4" customHeight="1" x14ac:dyDescent="0.4">
      <c r="A22" s="312" t="s">
        <v>52</v>
      </c>
      <c r="B22" s="5"/>
      <c r="C22" s="339" t="s">
        <v>14</v>
      </c>
      <c r="D22" s="308">
        <f>D23+D24</f>
        <v>786878.69181041373</v>
      </c>
      <c r="E22" s="308">
        <f>E23+E24</f>
        <v>76291.896395302203</v>
      </c>
      <c r="F22" s="685">
        <f>F23+F24</f>
        <v>2509.0354182719943</v>
      </c>
      <c r="G22" s="672" t="s">
        <v>386</v>
      </c>
      <c r="H22" s="308">
        <f>H23+H24</f>
        <v>5392072.3566295961</v>
      </c>
      <c r="I22" s="308">
        <f>I23+I24</f>
        <v>527726.63509157428</v>
      </c>
      <c r="J22" s="685">
        <f>J23+J24</f>
        <v>0</v>
      </c>
      <c r="K22" s="675" t="s">
        <v>13</v>
      </c>
      <c r="L22" s="309">
        <v>0</v>
      </c>
      <c r="M22" s="309">
        <v>0</v>
      </c>
      <c r="N22" s="698">
        <v>0</v>
      </c>
      <c r="O22" s="672" t="s">
        <v>311</v>
      </c>
      <c r="P22" s="308">
        <f>P23+P24</f>
        <v>1241347.1689935171</v>
      </c>
      <c r="Q22" s="308">
        <f>Q23+Q24</f>
        <v>59490.694138270315</v>
      </c>
      <c r="R22" s="685">
        <f>R23+R24</f>
        <v>0</v>
      </c>
      <c r="T22" s="308">
        <f>T23+T24</f>
        <v>7420298.2174335271</v>
      </c>
      <c r="U22" s="308">
        <f>U23+U24</f>
        <v>663509.22562514688</v>
      </c>
      <c r="V22" s="308">
        <f>V23+V24</f>
        <v>2509.0354182719943</v>
      </c>
      <c r="W22" s="308">
        <f t="shared" si="0"/>
        <v>8086316.4784769462</v>
      </c>
    </row>
    <row r="23" spans="1:23" ht="21" x14ac:dyDescent="0.4">
      <c r="A23" s="313"/>
      <c r="B23" s="5"/>
      <c r="C23" s="341" t="s">
        <v>67</v>
      </c>
      <c r="D23" s="314">
        <f>'Projection Inputs'!B$42*'2015Summary METER to CASH (Base'!D23*'Projection Inputs'!$I$14</f>
        <v>694038.40204686008</v>
      </c>
      <c r="E23" s="314">
        <f>'Projection Inputs'!C$42*'2015Summary METER to CASH (Base'!E23*'Projection Inputs'!$I$14</f>
        <v>67290.9092141765</v>
      </c>
      <c r="F23" s="686">
        <f>'Projection Inputs'!D$42*'2015Summary METER to CASH (Base'!F23*'Projection Inputs'!$I$14</f>
        <v>2213.3040592744355</v>
      </c>
      <c r="G23" s="673" t="s">
        <v>67</v>
      </c>
      <c r="H23" s="314">
        <f>'Projection Inputs'!F$42*'2015Summary METER to CASH (Base'!H23*'Projection Inputs'!$I$14</f>
        <v>4755886.4540599678</v>
      </c>
      <c r="I23" s="314">
        <f>'Projection Inputs'!G$42*'2015Summary METER to CASH (Base'!I23*'Projection Inputs'!$I$14</f>
        <v>465462.81707484828</v>
      </c>
      <c r="J23" s="686">
        <f>'Projection Inputs'!H$42*'2015Summary METER to CASH (Base'!J23*'Projection Inputs'!$I$14</f>
        <v>0</v>
      </c>
      <c r="K23" s="676" t="s">
        <v>67</v>
      </c>
      <c r="L23" s="318">
        <v>0</v>
      </c>
      <c r="M23" s="318">
        <v>0</v>
      </c>
      <c r="N23" s="699">
        <v>0</v>
      </c>
      <c r="O23" s="673" t="s">
        <v>67</v>
      </c>
      <c r="P23" s="314">
        <f>'Projection Inputs'!N$42*'2015Summary METER to CASH (Base'!P23*'Projection Inputs'!$I$14</f>
        <v>1094885.944603286</v>
      </c>
      <c r="Q23" s="314">
        <f>'Projection Inputs'!O$42*'2015Summary METER to CASH (Base'!Q23*'Projection Inputs'!$I$14</f>
        <v>52471.644755808251</v>
      </c>
      <c r="R23" s="686">
        <f>'Projection Inputs'!P$42*'2015Summary METER to CASH (Base'!R23*'Projection Inputs'!$I$14</f>
        <v>0</v>
      </c>
      <c r="T23" s="314">
        <f t="shared" ref="T23:V24" si="4">D23+H23+L23+P23</f>
        <v>6544810.8007101137</v>
      </c>
      <c r="U23" s="314">
        <f t="shared" si="4"/>
        <v>585225.3710448331</v>
      </c>
      <c r="V23" s="342">
        <f t="shared" si="4"/>
        <v>2213.3040592744355</v>
      </c>
      <c r="W23" s="314">
        <f t="shared" si="0"/>
        <v>7132249.4758142214</v>
      </c>
    </row>
    <row r="24" spans="1:23" ht="21" x14ac:dyDescent="0.4">
      <c r="A24" s="310"/>
      <c r="B24" s="5"/>
      <c r="C24" s="330" t="s">
        <v>581</v>
      </c>
      <c r="D24" s="314">
        <f>'Projection Inputs'!B$42*'2015Summary METER to CASH (Base'!D24*'Projection Inputs'!$I$15</f>
        <v>92840.289763553665</v>
      </c>
      <c r="E24" s="314">
        <f>'Projection Inputs'!C$42*'2015Summary METER to CASH (Base'!E24*'Projection Inputs'!$I$15</f>
        <v>9000.9871811257017</v>
      </c>
      <c r="F24" s="686">
        <f>'Projection Inputs'!D$42*'2015Summary METER to CASH (Base'!F24*'Projection Inputs'!$I$15</f>
        <v>295.73135899755891</v>
      </c>
      <c r="G24" s="674" t="s">
        <v>292</v>
      </c>
      <c r="H24" s="314">
        <f>'Projection Inputs'!F$42*'2015Summary METER to CASH (Base'!H24*'Projection Inputs'!$I$15</f>
        <v>636185.90256962867</v>
      </c>
      <c r="I24" s="314">
        <f>'Projection Inputs'!G$42*'2015Summary METER to CASH (Base'!I24*'Projection Inputs'!$I$15</f>
        <v>62263.818016726051</v>
      </c>
      <c r="J24" s="686">
        <f>'Projection Inputs'!H$42*'2015Summary METER to CASH (Base'!J24*'Projection Inputs'!$I$15</f>
        <v>0</v>
      </c>
      <c r="K24" s="677" t="s">
        <v>292</v>
      </c>
      <c r="L24" s="321">
        <v>0</v>
      </c>
      <c r="M24" s="321">
        <v>0</v>
      </c>
      <c r="N24" s="700">
        <v>0</v>
      </c>
      <c r="O24" s="674" t="s">
        <v>292</v>
      </c>
      <c r="P24" s="314">
        <f>'Projection Inputs'!N$42*'2015Summary METER to CASH (Base'!P24*'Projection Inputs'!$I$15</f>
        <v>146461.22439023104</v>
      </c>
      <c r="Q24" s="314">
        <f>'Projection Inputs'!O$42*'2015Summary METER to CASH (Base'!Q24*'Projection Inputs'!$I$15</f>
        <v>7019.0493824620617</v>
      </c>
      <c r="R24" s="686">
        <f>'Projection Inputs'!P$42*'2015Summary METER to CASH (Base'!R24*'Projection Inputs'!$I$15</f>
        <v>0</v>
      </c>
      <c r="T24" s="315">
        <f t="shared" si="4"/>
        <v>875487.41672341339</v>
      </c>
      <c r="U24" s="315">
        <f t="shared" si="4"/>
        <v>78283.854580313811</v>
      </c>
      <c r="V24" s="344">
        <f t="shared" si="4"/>
        <v>295.73135899755891</v>
      </c>
      <c r="W24" s="315">
        <f t="shared" si="0"/>
        <v>954067.0026627247</v>
      </c>
    </row>
    <row r="25" spans="1:23" ht="82.8" customHeight="1" x14ac:dyDescent="0.4">
      <c r="A25" s="307" t="s">
        <v>7</v>
      </c>
      <c r="B25" s="5"/>
      <c r="C25" s="345"/>
      <c r="D25" s="316">
        <v>0</v>
      </c>
      <c r="E25" s="316">
        <v>0</v>
      </c>
      <c r="F25" s="696">
        <v>0</v>
      </c>
      <c r="G25" s="672" t="s">
        <v>11</v>
      </c>
      <c r="H25" s="308">
        <f>H26+H27</f>
        <v>316731.3795955971</v>
      </c>
      <c r="I25" s="308">
        <f>I26+I27</f>
        <v>39759.557867791445</v>
      </c>
      <c r="J25" s="685">
        <f>J26+J27</f>
        <v>1405.347950353771</v>
      </c>
      <c r="K25" s="675"/>
      <c r="L25" s="316">
        <v>0</v>
      </c>
      <c r="M25" s="316">
        <v>0</v>
      </c>
      <c r="N25" s="696">
        <v>0</v>
      </c>
      <c r="O25" s="672" t="s">
        <v>312</v>
      </c>
      <c r="P25" s="308">
        <f>P26+P27</f>
        <v>10856.371390533388</v>
      </c>
      <c r="Q25" s="308">
        <f>Q26+Q27</f>
        <v>1340.7525559492349</v>
      </c>
      <c r="R25" s="685">
        <f>R26+R27</f>
        <v>0</v>
      </c>
      <c r="T25" s="308">
        <f>T26+T27</f>
        <v>327587.7509861305</v>
      </c>
      <c r="U25" s="308">
        <f>U26+U27</f>
        <v>41100.310423740681</v>
      </c>
      <c r="V25" s="308">
        <f>V26+V27</f>
        <v>1405.347950353771</v>
      </c>
      <c r="W25" s="308">
        <f t="shared" si="0"/>
        <v>370093.40936022496</v>
      </c>
    </row>
    <row r="26" spans="1:23" ht="21" x14ac:dyDescent="0.4">
      <c r="A26" s="317"/>
      <c r="B26" s="5"/>
      <c r="C26" s="346" t="s">
        <v>67</v>
      </c>
      <c r="D26" s="319">
        <v>0</v>
      </c>
      <c r="E26" s="319">
        <v>0</v>
      </c>
      <c r="F26" s="688">
        <v>0</v>
      </c>
      <c r="G26" s="673" t="s">
        <v>67</v>
      </c>
      <c r="H26" s="314">
        <f>'Projection Inputs'!F$42*'2015Summary METER to CASH (Base'!H26*'Projection Inputs'!$I$18</f>
        <v>196897.16837271463</v>
      </c>
      <c r="I26" s="314">
        <f>'Projection Inputs'!G$42*'2015Summary METER to CASH (Base'!I26*'Projection Inputs'!$I$18</f>
        <v>22873.486892004308</v>
      </c>
      <c r="J26" s="686">
        <f>'Projection Inputs'!H$42*'2015Summary METER to CASH (Base'!J26*'Projection Inputs'!$I$18</f>
        <v>825.55597195022335</v>
      </c>
      <c r="K26" s="676" t="s">
        <v>67</v>
      </c>
      <c r="L26" s="319">
        <v>0</v>
      </c>
      <c r="M26" s="319">
        <v>0</v>
      </c>
      <c r="N26" s="688">
        <v>0</v>
      </c>
      <c r="O26" s="673" t="s">
        <v>67</v>
      </c>
      <c r="P26" s="314">
        <f>'Projection Inputs'!N$42*'2015Summary METER to CASH (Base'!P26*'Projection Inputs'!$I$18</f>
        <v>10856.371390533388</v>
      </c>
      <c r="Q26" s="314">
        <f>'Projection Inputs'!O$42*'2015Summary METER to CASH (Base'!Q26*'Projection Inputs'!$I$18</f>
        <v>1340.7525559492349</v>
      </c>
      <c r="R26" s="686">
        <f>'Projection Inputs'!P$42*'2015Summary METER to CASH (Base'!R26*'Projection Inputs'!$I$18</f>
        <v>0</v>
      </c>
      <c r="T26" s="314">
        <f t="shared" ref="T26:V27" si="5">D26+H26+L26+P26</f>
        <v>207753.53976324803</v>
      </c>
      <c r="U26" s="314">
        <f t="shared" si="5"/>
        <v>24214.239447953543</v>
      </c>
      <c r="V26" s="342">
        <f t="shared" si="5"/>
        <v>825.55597195022335</v>
      </c>
      <c r="W26" s="314">
        <f t="shared" si="0"/>
        <v>232793.33518315182</v>
      </c>
    </row>
    <row r="27" spans="1:23" ht="21" x14ac:dyDescent="0.4">
      <c r="A27" s="320"/>
      <c r="B27" s="5"/>
      <c r="C27" s="347" t="s">
        <v>292</v>
      </c>
      <c r="D27" s="322">
        <v>0</v>
      </c>
      <c r="E27" s="322">
        <v>0</v>
      </c>
      <c r="F27" s="697">
        <v>0</v>
      </c>
      <c r="G27" s="674" t="s">
        <v>292</v>
      </c>
      <c r="H27" s="314">
        <f>'Projection Inputs'!F$42*'2015Summary METER to CASH (Base'!H27*'Projection Inputs'!$I$19</f>
        <v>119834.21122288247</v>
      </c>
      <c r="I27" s="314">
        <f>'Projection Inputs'!G$42*'2015Summary METER to CASH (Base'!I27*'Projection Inputs'!$I$19</f>
        <v>16886.070975787137</v>
      </c>
      <c r="J27" s="686">
        <f>'Projection Inputs'!H$42*'2015Summary METER to CASH (Base'!J27*'Projection Inputs'!$I$19</f>
        <v>579.79197840354766</v>
      </c>
      <c r="K27" s="677" t="s">
        <v>292</v>
      </c>
      <c r="L27" s="322">
        <v>0</v>
      </c>
      <c r="M27" s="322">
        <v>0</v>
      </c>
      <c r="N27" s="697">
        <v>0</v>
      </c>
      <c r="O27" s="674" t="s">
        <v>292</v>
      </c>
      <c r="P27" s="314">
        <f>'Projection Inputs'!N$42*'2015Summary METER to CASH (Base'!P27*'Projection Inputs'!$I$19</f>
        <v>0</v>
      </c>
      <c r="Q27" s="314">
        <f>'Projection Inputs'!O$42*'2015Summary METER to CASH (Base'!Q27*'Projection Inputs'!$I$19</f>
        <v>0</v>
      </c>
      <c r="R27" s="686">
        <f>'Projection Inputs'!P$42*'2015Summary METER to CASH (Base'!R27*'Projection Inputs'!$I$19</f>
        <v>0</v>
      </c>
      <c r="T27" s="315">
        <f t="shared" si="5"/>
        <v>119834.21122288247</v>
      </c>
      <c r="U27" s="315">
        <f t="shared" si="5"/>
        <v>16886.070975787137</v>
      </c>
      <c r="V27" s="344">
        <f t="shared" si="5"/>
        <v>579.79197840354766</v>
      </c>
      <c r="W27" s="315">
        <f t="shared" si="0"/>
        <v>137300.07417707317</v>
      </c>
    </row>
    <row r="28" spans="1:23" ht="50.4" customHeight="1" x14ac:dyDescent="0.3">
      <c r="A28" s="323" t="s">
        <v>10</v>
      </c>
      <c r="C28" s="348">
        <v>0</v>
      </c>
      <c r="D28" s="316">
        <v>0</v>
      </c>
      <c r="E28" s="316">
        <v>0</v>
      </c>
      <c r="F28" s="696">
        <v>0</v>
      </c>
      <c r="G28" s="693">
        <v>0</v>
      </c>
      <c r="H28" s="324">
        <v>0</v>
      </c>
      <c r="I28" s="324">
        <v>0</v>
      </c>
      <c r="J28" s="687">
        <v>0</v>
      </c>
      <c r="K28" s="672" t="s">
        <v>338</v>
      </c>
      <c r="L28" s="308">
        <f>L29+L30</f>
        <v>1533639.2657072612</v>
      </c>
      <c r="M28" s="308">
        <f>M29+M30</f>
        <v>162906.04856199285</v>
      </c>
      <c r="N28" s="685">
        <f>N29+N30</f>
        <v>7429.5238858498951</v>
      </c>
      <c r="O28" s="693" t="s">
        <v>313</v>
      </c>
      <c r="P28" s="324">
        <v>0</v>
      </c>
      <c r="Q28" s="324">
        <v>0</v>
      </c>
      <c r="R28" s="687">
        <v>0</v>
      </c>
      <c r="T28" s="308">
        <f>T29+T30</f>
        <v>1533639.2657072612</v>
      </c>
      <c r="U28" s="308">
        <f>U29+U30</f>
        <v>162906.04856199285</v>
      </c>
      <c r="V28" s="308">
        <f>V29+V30</f>
        <v>7429.5238858498951</v>
      </c>
      <c r="W28" s="308">
        <f t="shared" si="0"/>
        <v>1703974.8381551038</v>
      </c>
    </row>
    <row r="29" spans="1:23" ht="21.6" customHeight="1" x14ac:dyDescent="0.3">
      <c r="A29" s="325"/>
      <c r="C29" s="346">
        <v>0</v>
      </c>
      <c r="D29" s="319">
        <v>0</v>
      </c>
      <c r="E29" s="319">
        <v>0</v>
      </c>
      <c r="F29" s="688">
        <v>0</v>
      </c>
      <c r="G29" s="676">
        <v>0</v>
      </c>
      <c r="H29" s="319">
        <v>0</v>
      </c>
      <c r="I29" s="319">
        <v>0</v>
      </c>
      <c r="J29" s="688">
        <v>0</v>
      </c>
      <c r="K29" s="673" t="s">
        <v>67</v>
      </c>
      <c r="L29" s="314">
        <f>'Projection Inputs'!J$42*'2015Summary METER to CASH (Base'!L29*'Projection Inputs'!$I$20</f>
        <v>1853.9352683634718</v>
      </c>
      <c r="M29" s="314">
        <f>'Projection Inputs'!K$42*'2015Summary METER to CASH (Base'!M29*'Projection Inputs'!$I$20</f>
        <v>1853.9352683634718</v>
      </c>
      <c r="N29" s="686">
        <f>'Projection Inputs'!L$42*'2015Summary METER to CASH (Base'!N29*'Projection Inputs'!$I$20</f>
        <v>1853.9352683634718</v>
      </c>
      <c r="O29" s="676" t="s">
        <v>67</v>
      </c>
      <c r="P29" s="319">
        <v>0</v>
      </c>
      <c r="Q29" s="319">
        <v>0</v>
      </c>
      <c r="R29" s="688">
        <v>0</v>
      </c>
      <c r="T29" s="314">
        <f t="shared" ref="T29:V30" si="6">D29+H29+L29+P29</f>
        <v>1853.9352683634718</v>
      </c>
      <c r="U29" s="314">
        <f t="shared" si="6"/>
        <v>1853.9352683634718</v>
      </c>
      <c r="V29" s="342">
        <f t="shared" si="6"/>
        <v>1853.9352683634718</v>
      </c>
      <c r="W29" s="314">
        <f t="shared" si="0"/>
        <v>5561.8058050904156</v>
      </c>
    </row>
    <row r="30" spans="1:23" ht="21.6" customHeight="1" thickBot="1" x14ac:dyDescent="0.35">
      <c r="A30" s="326"/>
      <c r="C30" s="349">
        <v>0</v>
      </c>
      <c r="D30" s="350">
        <v>0</v>
      </c>
      <c r="E30" s="350">
        <v>0</v>
      </c>
      <c r="F30" s="689">
        <v>0</v>
      </c>
      <c r="G30" s="694">
        <v>0</v>
      </c>
      <c r="H30" s="350">
        <v>0</v>
      </c>
      <c r="I30" s="350">
        <v>0</v>
      </c>
      <c r="J30" s="689">
        <v>0</v>
      </c>
      <c r="K30" s="674" t="s">
        <v>292</v>
      </c>
      <c r="L30" s="314">
        <f>'Projection Inputs'!J$42*'2015Summary METER to CASH (Base'!L30*'Projection Inputs'!$I$21</f>
        <v>1531785.3304388977</v>
      </c>
      <c r="M30" s="314">
        <f>'Projection Inputs'!K$42*'2015Summary METER to CASH (Base'!M30*'Projection Inputs'!$I$21</f>
        <v>161052.11329362937</v>
      </c>
      <c r="N30" s="686">
        <f>'Projection Inputs'!L$42*'2015Summary METER to CASH (Base'!N30*'Projection Inputs'!$I$21</f>
        <v>5575.5886174864236</v>
      </c>
      <c r="O30" s="694" t="s">
        <v>292</v>
      </c>
      <c r="P30" s="350">
        <v>0</v>
      </c>
      <c r="Q30" s="350">
        <v>0</v>
      </c>
      <c r="R30" s="689">
        <f>'Projection Inputs'!P$42*'2015Summary METER to CASH (Base'!R30*'Projection Inputs'!$I$21</f>
        <v>0</v>
      </c>
      <c r="T30" s="351">
        <f t="shared" si="6"/>
        <v>1531785.3304388977</v>
      </c>
      <c r="U30" s="351">
        <f t="shared" si="6"/>
        <v>161052.11329362937</v>
      </c>
      <c r="V30" s="352">
        <f t="shared" si="6"/>
        <v>5575.5886174864236</v>
      </c>
      <c r="W30" s="351">
        <f t="shared" si="0"/>
        <v>1698413.0323500135</v>
      </c>
    </row>
    <row r="31" spans="1:23" ht="15" thickBot="1" x14ac:dyDescent="0.35">
      <c r="F31" s="690"/>
      <c r="J31" s="690"/>
      <c r="N31" s="690"/>
      <c r="R31" s="690"/>
    </row>
    <row r="32" spans="1:23" ht="21.6" thickBot="1" x14ac:dyDescent="0.35">
      <c r="A32" s="323" t="s">
        <v>373</v>
      </c>
      <c r="C32" s="297" t="s">
        <v>67</v>
      </c>
      <c r="D32" s="412">
        <f t="shared" ref="D32:F33" si="7">D11+D14+D17+D20+D23+D26+D29</f>
        <v>756696.02726062492</v>
      </c>
      <c r="E32" s="412">
        <f t="shared" si="7"/>
        <v>77015.817268078186</v>
      </c>
      <c r="F32" s="691">
        <f t="shared" si="7"/>
        <v>47094.195760578223</v>
      </c>
      <c r="G32" s="679"/>
      <c r="H32" s="412">
        <f t="shared" ref="H32:J33" si="8">H11+H14+H17+H20+H23+H26+H29</f>
        <v>8169384.1605965253</v>
      </c>
      <c r="I32" s="412">
        <f t="shared" si="8"/>
        <v>902623.81250425242</v>
      </c>
      <c r="J32" s="691">
        <f t="shared" si="8"/>
        <v>282474.8089782779</v>
      </c>
      <c r="K32" s="679"/>
      <c r="L32" s="412">
        <f t="shared" ref="L32:N33" si="9">L11+L14+L17+L20+L23+L26+L29</f>
        <v>398580.18654254993</v>
      </c>
      <c r="M32" s="412">
        <f t="shared" si="9"/>
        <v>41142.817080158122</v>
      </c>
      <c r="N32" s="691">
        <f t="shared" si="9"/>
        <v>4098.0996568194096</v>
      </c>
      <c r="O32" s="695"/>
      <c r="P32" s="412">
        <f t="shared" ref="P32:R33" si="10">P11+P14+P17+P20+P23+P26+P29</f>
        <v>2289180.0260540755</v>
      </c>
      <c r="Q32" s="412">
        <f t="shared" si="10"/>
        <v>150504.95528291236</v>
      </c>
      <c r="R32" s="691">
        <f t="shared" si="10"/>
        <v>1059.2761525585199</v>
      </c>
      <c r="T32" s="408">
        <f t="shared" ref="T32:V34" si="11">D32+H32+L32+P32</f>
        <v>11613840.400453776</v>
      </c>
      <c r="U32" s="408">
        <f t="shared" si="11"/>
        <v>1171287.402135401</v>
      </c>
      <c r="V32" s="408">
        <f t="shared" si="11"/>
        <v>334726.38054823404</v>
      </c>
      <c r="W32" s="409">
        <f>SUM(T32:V32)</f>
        <v>13119854.183137411</v>
      </c>
    </row>
    <row r="33" spans="1:23" ht="21.6" thickBot="1" x14ac:dyDescent="0.35">
      <c r="A33" s="325"/>
      <c r="C33" s="297" t="s">
        <v>292</v>
      </c>
      <c r="D33" s="412">
        <f t="shared" si="7"/>
        <v>94679.100327082575</v>
      </c>
      <c r="E33" s="412">
        <f t="shared" si="7"/>
        <v>9350.4222825401703</v>
      </c>
      <c r="F33" s="691">
        <f t="shared" si="7"/>
        <v>2100.1928751883852</v>
      </c>
      <c r="G33" s="679"/>
      <c r="H33" s="412">
        <f t="shared" si="8"/>
        <v>4023878.0698538329</v>
      </c>
      <c r="I33" s="412">
        <f t="shared" si="8"/>
        <v>460765.57862867939</v>
      </c>
      <c r="J33" s="691">
        <f t="shared" si="8"/>
        <v>32848.732952984217</v>
      </c>
      <c r="K33" s="679"/>
      <c r="L33" s="412">
        <f t="shared" si="9"/>
        <v>1775894.1693537447</v>
      </c>
      <c r="M33" s="412">
        <f t="shared" si="9"/>
        <v>176956.02414394755</v>
      </c>
      <c r="N33" s="691">
        <f t="shared" si="9"/>
        <v>5611.6140517915092</v>
      </c>
      <c r="O33" s="695"/>
      <c r="P33" s="412">
        <f t="shared" si="10"/>
        <v>607104.31219434342</v>
      </c>
      <c r="Q33" s="412">
        <f t="shared" si="10"/>
        <v>30950.457577331134</v>
      </c>
      <c r="R33" s="691">
        <f t="shared" si="10"/>
        <v>88.195057482715072</v>
      </c>
      <c r="T33" s="408">
        <f t="shared" si="11"/>
        <v>6501555.6517290035</v>
      </c>
      <c r="U33" s="408">
        <f t="shared" si="11"/>
        <v>678022.48263249826</v>
      </c>
      <c r="V33" s="408">
        <f t="shared" si="11"/>
        <v>40648.734937446825</v>
      </c>
      <c r="W33" s="409">
        <f>SUM(T33:V33)</f>
        <v>7220226.8692989489</v>
      </c>
    </row>
    <row r="34" spans="1:23" ht="19.8" customHeight="1" thickBot="1" x14ac:dyDescent="0.35">
      <c r="A34" s="326"/>
      <c r="C34" s="379" t="s">
        <v>34</v>
      </c>
      <c r="D34" s="412">
        <f>D10+D13+D16+D19+D22+D25+D28</f>
        <v>851375.12758770748</v>
      </c>
      <c r="E34" s="412">
        <f>E10+E13+E16+E19+E22+E25+E28</f>
        <v>86366.239550618368</v>
      </c>
      <c r="F34" s="691">
        <f>F10+F13+F16+F19+F22+F25+F28</f>
        <v>49194.388635766612</v>
      </c>
      <c r="G34" s="679"/>
      <c r="H34" s="412">
        <f>H10+H13+H16+H19+H22+H25+H28</f>
        <v>12193262.230450358</v>
      </c>
      <c r="I34" s="412">
        <f>I10+I13+I16+I19+I22+I25+I28</f>
        <v>1363389.3911329317</v>
      </c>
      <c r="J34" s="691">
        <f>J10+J13+J16+J19+J22+J25+J28</f>
        <v>315323.54193126212</v>
      </c>
      <c r="K34" s="679"/>
      <c r="L34" s="412">
        <f>L10+L13+L16+L19+L22+L25+L28</f>
        <v>2174474.3558962946</v>
      </c>
      <c r="M34" s="412">
        <f>M10+M13+M16+M19+M22+M25+M28</f>
        <v>218098.84122410568</v>
      </c>
      <c r="N34" s="691">
        <f>N10+N13+N16+N19+N22+N25+N28</f>
        <v>9709.7137086109178</v>
      </c>
      <c r="O34" s="695"/>
      <c r="P34" s="412">
        <f>P10+P13+P16+P19+P22+P25+P28</f>
        <v>2896284.3382484191</v>
      </c>
      <c r="Q34" s="412">
        <f>Q10+Q13+Q16+Q19+Q22+Q25+Q28</f>
        <v>181455.41286024349</v>
      </c>
      <c r="R34" s="691">
        <f>R10+R13+R16+R19+R22+R25+R28</f>
        <v>1147.4712100412351</v>
      </c>
      <c r="T34" s="410">
        <f t="shared" si="11"/>
        <v>18115396.052182779</v>
      </c>
      <c r="U34" s="410">
        <f t="shared" si="11"/>
        <v>1849309.8847678993</v>
      </c>
      <c r="V34" s="410">
        <f t="shared" si="11"/>
        <v>375375.11548568093</v>
      </c>
      <c r="W34" s="411">
        <f>SUM(T34:V34)</f>
        <v>20340081.052436356</v>
      </c>
    </row>
    <row r="35" spans="1:23" ht="19.8" customHeight="1" x14ac:dyDescent="0.3">
      <c r="A35" s="641" t="s">
        <v>587</v>
      </c>
      <c r="C35" s="641" t="s">
        <v>0</v>
      </c>
      <c r="D35" s="668">
        <f>SUM(D34:F34)</f>
        <v>986935.75577409239</v>
      </c>
      <c r="E35" s="643"/>
      <c r="F35" s="692"/>
      <c r="G35" s="641" t="s">
        <v>1</v>
      </c>
      <c r="H35" s="668">
        <f>SUM(H34:J34)</f>
        <v>13871975.163514553</v>
      </c>
      <c r="I35" s="643"/>
      <c r="J35" s="692"/>
      <c r="K35" s="641" t="s">
        <v>252</v>
      </c>
      <c r="L35" s="668">
        <f>SUM(L34:N34)</f>
        <v>2402282.9108290109</v>
      </c>
      <c r="M35" s="643"/>
      <c r="N35" s="692"/>
      <c r="O35" s="641" t="s">
        <v>3</v>
      </c>
      <c r="P35" s="668">
        <f>SUM(P34:R34)</f>
        <v>3078887.2223187038</v>
      </c>
      <c r="Q35" s="643"/>
      <c r="R35" s="692"/>
      <c r="T35" s="668"/>
      <c r="U35" s="668"/>
      <c r="V35" s="668"/>
      <c r="W35" s="668"/>
    </row>
    <row r="36" spans="1:23" x14ac:dyDescent="0.3">
      <c r="B36"/>
      <c r="C36"/>
      <c r="D36"/>
      <c r="E36"/>
      <c r="F36" s="710"/>
      <c r="G36"/>
      <c r="H36"/>
      <c r="I36"/>
      <c r="J36" s="710"/>
      <c r="K36"/>
      <c r="L36"/>
      <c r="M36"/>
      <c r="N36" s="710"/>
      <c r="O36"/>
      <c r="P36"/>
      <c r="Q36"/>
      <c r="R36" s="710"/>
    </row>
    <row r="37" spans="1:23" ht="31.2" x14ac:dyDescent="0.3">
      <c r="A37" s="641"/>
      <c r="C37" s="642" t="s">
        <v>529</v>
      </c>
      <c r="D37" s="645">
        <f>D34/(T$7)</f>
        <v>1.2907191452983908</v>
      </c>
      <c r="E37" s="645">
        <f>E34/(U$7)</f>
        <v>1.3613202331323924</v>
      </c>
      <c r="F37" s="704">
        <f>F34/(V$7)</f>
        <v>24.00897444400518</v>
      </c>
      <c r="G37" s="645"/>
      <c r="H37" s="645">
        <f>H34/(T$7)</f>
        <v>18.485478955767029</v>
      </c>
      <c r="I37" s="645">
        <f>I34/(U$7)</f>
        <v>21.489989299574919</v>
      </c>
      <c r="J37" s="704">
        <f>J34/(V$7)</f>
        <v>153.89143090837587</v>
      </c>
      <c r="K37" s="643"/>
      <c r="L37" s="645">
        <f>L34/(T$7)</f>
        <v>3.2965911161488548</v>
      </c>
      <c r="M37" s="645">
        <f>M34/(U$7)</f>
        <v>3.4377132421875647</v>
      </c>
      <c r="N37" s="704">
        <f>N34/(V$7)</f>
        <v>4.7387573004445667</v>
      </c>
      <c r="O37" s="644"/>
      <c r="P37" s="645">
        <f>P34/(T$7)</f>
        <v>4.3908842582672252</v>
      </c>
      <c r="Q37" s="645">
        <f>Q34/(U$7)</f>
        <v>2.8601329202629682</v>
      </c>
      <c r="R37" s="704">
        <f>R34/(V$7)</f>
        <v>0.56001523184052471</v>
      </c>
      <c r="S37" s="413"/>
      <c r="T37" s="645">
        <f>(T34/T7)</f>
        <v>27.4636734754815</v>
      </c>
      <c r="U37" s="645">
        <f>(U34/U7)</f>
        <v>29.149155695157848</v>
      </c>
      <c r="V37" s="645">
        <f>(V34/V7)</f>
        <v>183.19917788466614</v>
      </c>
      <c r="W37" s="645">
        <f>(W34/W7)</f>
        <v>28.051221619539728</v>
      </c>
    </row>
    <row r="38" spans="1:23" x14ac:dyDescent="0.3">
      <c r="C38" s="730" t="s">
        <v>523</v>
      </c>
      <c r="D38" s="730"/>
      <c r="E38" s="730"/>
      <c r="F38" s="730"/>
      <c r="G38" s="730"/>
      <c r="H38" s="730"/>
      <c r="I38" s="730"/>
      <c r="J38" s="730"/>
      <c r="K38" s="730"/>
      <c r="L38" s="730"/>
      <c r="M38" s="730"/>
      <c r="N38" s="730"/>
      <c r="O38" s="730"/>
      <c r="P38" s="730"/>
      <c r="Q38" s="730"/>
      <c r="R38" s="730"/>
      <c r="S38" s="730"/>
      <c r="T38" s="730"/>
    </row>
    <row r="39" spans="1:23" x14ac:dyDescent="0.3">
      <c r="C39" s="730"/>
      <c r="D39" s="730"/>
      <c r="E39" s="730"/>
      <c r="F39" s="730"/>
      <c r="G39" s="730"/>
      <c r="H39" s="730"/>
      <c r="I39" s="730"/>
      <c r="J39" s="730"/>
      <c r="K39" s="730"/>
      <c r="L39" s="730"/>
      <c r="M39" s="730"/>
      <c r="N39" s="730"/>
      <c r="O39" s="730"/>
      <c r="P39" s="730"/>
      <c r="Q39" s="730"/>
      <c r="R39" s="730"/>
      <c r="S39" s="730"/>
      <c r="T39" s="730"/>
    </row>
    <row r="40" spans="1:23" ht="21.6" customHeight="1" x14ac:dyDescent="0.3">
      <c r="C40" s="730" t="s">
        <v>525</v>
      </c>
      <c r="D40" s="767"/>
      <c r="E40" s="767"/>
      <c r="F40" s="767"/>
      <c r="G40" s="767"/>
      <c r="H40" s="767"/>
      <c r="I40" s="767"/>
      <c r="J40" s="767"/>
      <c r="K40" s="767"/>
      <c r="L40" s="767"/>
      <c r="M40" s="767"/>
      <c r="N40" s="767"/>
      <c r="O40" s="767"/>
      <c r="P40" s="767"/>
      <c r="Q40" s="767"/>
      <c r="R40" s="767"/>
      <c r="S40" s="767"/>
      <c r="T40" s="767"/>
    </row>
    <row r="41" spans="1:23" ht="6" customHeight="1" x14ac:dyDescent="0.3">
      <c r="C41" s="730" t="s">
        <v>521</v>
      </c>
      <c r="D41" s="730"/>
      <c r="E41" s="730"/>
      <c r="F41" s="730"/>
      <c r="G41" s="730"/>
      <c r="H41" s="730"/>
      <c r="I41" s="730"/>
      <c r="J41" s="730"/>
      <c r="K41" s="730"/>
      <c r="L41" s="730"/>
      <c r="M41" s="730"/>
      <c r="N41" s="730"/>
      <c r="O41" s="730"/>
      <c r="P41" s="730"/>
      <c r="Q41" s="730"/>
      <c r="R41" s="730"/>
      <c r="S41" s="730"/>
      <c r="T41" s="730"/>
    </row>
    <row r="42" spans="1:23" ht="25.2" customHeight="1" x14ac:dyDescent="0.3">
      <c r="C42" s="730"/>
      <c r="D42" s="730"/>
      <c r="E42" s="730"/>
      <c r="F42" s="730"/>
      <c r="G42" s="730"/>
      <c r="H42" s="730"/>
      <c r="I42" s="730"/>
      <c r="J42" s="730"/>
      <c r="K42" s="730"/>
      <c r="L42" s="730"/>
      <c r="M42" s="730"/>
      <c r="N42" s="730"/>
      <c r="O42" s="730"/>
      <c r="P42" s="730"/>
      <c r="Q42" s="730"/>
      <c r="R42" s="730"/>
      <c r="S42" s="730"/>
      <c r="T42" s="730"/>
    </row>
    <row r="43" spans="1:23" ht="20.399999999999999" customHeight="1" x14ac:dyDescent="0.3">
      <c r="C43" s="724" t="s">
        <v>582</v>
      </c>
      <c r="D43" s="724"/>
      <c r="E43" s="724"/>
      <c r="F43" s="724"/>
      <c r="G43" s="724"/>
      <c r="H43" s="724"/>
      <c r="I43" s="724"/>
      <c r="J43" s="724"/>
      <c r="K43" s="724"/>
      <c r="L43" s="724"/>
      <c r="M43" s="724"/>
      <c r="N43" s="724"/>
      <c r="O43" s="724"/>
      <c r="P43" s="724"/>
      <c r="Q43" s="724"/>
      <c r="R43" s="724"/>
      <c r="S43" s="724"/>
      <c r="T43" s="724"/>
    </row>
    <row r="44" spans="1:23" x14ac:dyDescent="0.3">
      <c r="C44" s="635" t="s">
        <v>528</v>
      </c>
      <c r="D44" s="634"/>
      <c r="E44" s="634"/>
      <c r="F44" s="634"/>
      <c r="G44" s="634"/>
      <c r="H44" s="634"/>
      <c r="I44" s="634"/>
      <c r="J44" s="634"/>
      <c r="K44" s="634"/>
      <c r="L44" s="634"/>
      <c r="M44" s="634"/>
      <c r="N44" s="634"/>
      <c r="O44" s="634"/>
      <c r="P44" s="634"/>
      <c r="Q44" s="634"/>
      <c r="R44" s="634"/>
      <c r="S44" s="634"/>
      <c r="T44" s="634"/>
    </row>
    <row r="46" spans="1:23" x14ac:dyDescent="0.3">
      <c r="C46" s="730"/>
      <c r="D46" s="730"/>
      <c r="E46" s="730"/>
      <c r="F46" s="730"/>
      <c r="G46" s="730"/>
      <c r="H46" s="730"/>
      <c r="I46" s="730"/>
      <c r="J46" s="730"/>
      <c r="K46" s="730"/>
      <c r="L46" s="730"/>
      <c r="M46" s="730"/>
      <c r="N46" s="730"/>
      <c r="O46" s="730"/>
      <c r="P46" s="730"/>
      <c r="Q46" s="730"/>
      <c r="R46" s="730"/>
      <c r="S46" s="730"/>
      <c r="T46" s="730"/>
    </row>
    <row r="47" spans="1:23" x14ac:dyDescent="0.3">
      <c r="C47" s="730"/>
      <c r="D47" s="730"/>
      <c r="E47" s="730"/>
      <c r="F47" s="730"/>
      <c r="G47" s="730"/>
      <c r="H47" s="730"/>
      <c r="I47" s="730"/>
      <c r="J47" s="730"/>
      <c r="K47" s="730"/>
      <c r="L47" s="730"/>
      <c r="M47" s="730"/>
      <c r="N47" s="730"/>
      <c r="O47" s="730"/>
      <c r="P47" s="730"/>
      <c r="Q47" s="730"/>
      <c r="R47" s="730"/>
      <c r="S47" s="730"/>
      <c r="T47" s="730"/>
    </row>
  </sheetData>
  <mergeCells count="9">
    <mergeCell ref="W8:W9"/>
    <mergeCell ref="C46:T47"/>
    <mergeCell ref="C41:T42"/>
    <mergeCell ref="I1:N1"/>
    <mergeCell ref="C38:T39"/>
    <mergeCell ref="C40:T40"/>
    <mergeCell ref="G2:M2"/>
    <mergeCell ref="T5:W5"/>
    <mergeCell ref="C43:T43"/>
  </mergeCells>
  <printOptions horizontalCentered="1"/>
  <pageMargins left="0" right="0" top="0.35" bottom="0.4" header="0.44" footer="0.3"/>
  <pageSetup paperSize="17" scale="50" orientation="landscape" r:id="rId1"/>
  <headerFooter>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183"/>
  <sheetViews>
    <sheetView zoomScale="50" zoomScaleNormal="50" workbookViewId="0">
      <pane xSplit="7" ySplit="6" topLeftCell="H7" activePane="bottomRight" state="frozen"/>
      <selection pane="topRight" activeCell="H1" sqref="H1"/>
      <selection pane="bottomLeft" activeCell="A7" sqref="A7"/>
      <selection pane="bottomRight" activeCell="U21" sqref="U21"/>
    </sheetView>
  </sheetViews>
  <sheetFormatPr defaultRowHeight="15.6" x14ac:dyDescent="0.3"/>
  <cols>
    <col min="1" max="1" width="16.21875" style="261" customWidth="1"/>
    <col min="2" max="2" width="17.88671875" style="214" hidden="1" customWidth="1"/>
    <col min="3" max="3" width="10.6640625" style="215" hidden="1" customWidth="1"/>
    <col min="4" max="4" width="23.77734375" style="1" customWidth="1"/>
    <col min="5" max="6" width="12.5546875" style="1" hidden="1" customWidth="1"/>
    <col min="7" max="7" width="9.6640625" style="1" hidden="1" customWidth="1"/>
    <col min="8" max="8" width="25.6640625" customWidth="1"/>
    <col min="9" max="9" width="10.77734375" customWidth="1"/>
    <col min="10" max="11" width="8.44140625" customWidth="1"/>
    <col min="12" max="12" width="6.6640625" customWidth="1"/>
    <col min="13" max="13" width="12.5546875" customWidth="1"/>
    <col min="14" max="14" width="11.44140625" customWidth="1"/>
    <col min="15" max="15" width="9.6640625" customWidth="1"/>
    <col min="16" max="16" width="0" hidden="1" customWidth="1"/>
    <col min="17" max="17" width="25" hidden="1" customWidth="1"/>
    <col min="18" max="18" width="25.77734375" customWidth="1"/>
    <col min="19" max="19" width="9.21875" customWidth="1"/>
    <col min="20" max="21" width="8.44140625" customWidth="1"/>
    <col min="22" max="22" width="6.5546875" customWidth="1"/>
    <col min="23" max="23" width="12.5546875" customWidth="1"/>
    <col min="24" max="24" width="8.44140625" customWidth="1"/>
    <col min="25" max="25" width="7.21875" customWidth="1"/>
    <col min="26" max="26" width="0" hidden="1" customWidth="1"/>
    <col min="27" max="27" width="25" hidden="1" customWidth="1"/>
    <col min="28" max="28" width="25.88671875" customWidth="1"/>
    <col min="29" max="29" width="9.21875" customWidth="1"/>
    <col min="30" max="31" width="8.44140625" customWidth="1"/>
    <col min="32" max="32" width="6.5546875" customWidth="1"/>
    <col min="33" max="33" width="14.109375" customWidth="1"/>
    <col min="34" max="34" width="10.5546875" customWidth="1"/>
    <col min="35" max="35" width="10.77734375" customWidth="1"/>
    <col min="36" max="36" width="13.33203125" customWidth="1"/>
    <col min="37" max="37" width="14.109375" customWidth="1"/>
    <col min="38" max="38" width="8.88671875" customWidth="1"/>
    <col min="40" max="40" width="11.5546875" customWidth="1"/>
  </cols>
  <sheetData>
    <row r="1" spans="1:47" ht="23.4" customHeight="1" x14ac:dyDescent="0.3">
      <c r="E1" s="17" t="s">
        <v>18</v>
      </c>
      <c r="F1" s="18" t="s">
        <v>21</v>
      </c>
      <c r="G1" s="22" t="s">
        <v>25</v>
      </c>
      <c r="J1" s="2" t="s">
        <v>221</v>
      </c>
    </row>
    <row r="2" spans="1:47" s="2" customFormat="1" ht="17.399999999999999" customHeight="1" x14ac:dyDescent="0.4">
      <c r="A2" s="261"/>
      <c r="B2" s="216"/>
      <c r="C2" s="217"/>
      <c r="D2" s="204"/>
      <c r="E2" s="110" t="s">
        <v>22</v>
      </c>
      <c r="F2" s="111" t="s">
        <v>23</v>
      </c>
      <c r="G2" s="111" t="s">
        <v>24</v>
      </c>
      <c r="M2" s="2" t="s">
        <v>129</v>
      </c>
      <c r="O2" s="303">
        <f>'Projection Inputs'!B33</f>
        <v>0.9859</v>
      </c>
      <c r="T2" s="303">
        <v>0.33</v>
      </c>
      <c r="U2" s="2" t="s">
        <v>391</v>
      </c>
    </row>
    <row r="3" spans="1:47" s="2" customFormat="1" ht="23.4" customHeight="1" x14ac:dyDescent="0.45">
      <c r="A3" s="261"/>
      <c r="B3" s="216"/>
      <c r="C3" s="217"/>
      <c r="D3" s="484" t="s">
        <v>51</v>
      </c>
      <c r="E3" s="375">
        <v>6957485</v>
      </c>
      <c r="F3" s="376">
        <v>693226</v>
      </c>
      <c r="G3" s="376">
        <v>23142</v>
      </c>
      <c r="H3" s="225" t="str">
        <f>+D3</f>
        <v>METER READING</v>
      </c>
    </row>
    <row r="4" spans="1:47" ht="22.8" customHeight="1" thickBot="1" x14ac:dyDescent="0.45">
      <c r="D4" s="224"/>
      <c r="E4" s="375">
        <v>853325</v>
      </c>
      <c r="F4" s="376">
        <v>68580</v>
      </c>
      <c r="G4" s="376">
        <v>1915</v>
      </c>
      <c r="H4" s="738" t="s">
        <v>49</v>
      </c>
      <c r="I4" s="729"/>
      <c r="J4" s="729"/>
      <c r="K4" s="729"/>
      <c r="L4" s="729"/>
      <c r="M4" s="729"/>
      <c r="N4" s="729"/>
      <c r="O4" s="729"/>
      <c r="P4" s="729"/>
      <c r="Q4" s="729"/>
      <c r="R4" s="739" t="s">
        <v>223</v>
      </c>
      <c r="S4" s="729"/>
      <c r="T4" s="729"/>
      <c r="U4" s="729"/>
      <c r="V4" s="729"/>
      <c r="W4" s="729"/>
      <c r="X4" s="729"/>
      <c r="Y4" s="729"/>
      <c r="Z4" s="729"/>
      <c r="AA4" s="729"/>
      <c r="AB4" s="736" t="s">
        <v>227</v>
      </c>
      <c r="AC4" s="729"/>
      <c r="AD4" s="729"/>
      <c r="AE4" s="729"/>
      <c r="AF4" s="729"/>
      <c r="AG4" s="729"/>
      <c r="AH4" s="729"/>
      <c r="AI4" s="729"/>
      <c r="AJ4" s="729"/>
      <c r="AK4" s="729"/>
      <c r="AL4" s="729"/>
    </row>
    <row r="5" spans="1:47" ht="16.8" thickTop="1" thickBot="1" x14ac:dyDescent="0.35">
      <c r="D5" s="138" t="s">
        <v>26</v>
      </c>
      <c r="E5" s="368">
        <f>E3+E4</f>
        <v>7810810</v>
      </c>
      <c r="F5" s="368">
        <f>F3+F4</f>
        <v>761806</v>
      </c>
      <c r="G5" s="368">
        <f>G3+G4</f>
        <v>25057</v>
      </c>
      <c r="H5" s="25"/>
      <c r="I5" s="737" t="s">
        <v>281</v>
      </c>
      <c r="J5" s="737"/>
      <c r="K5" s="737"/>
      <c r="L5" s="737"/>
      <c r="M5" s="737"/>
      <c r="N5" s="26"/>
      <c r="O5" s="26"/>
      <c r="P5" s="25"/>
      <c r="Q5" s="3"/>
    </row>
    <row r="6" spans="1:47" s="2" customFormat="1" ht="21.6" thickTop="1" x14ac:dyDescent="0.4">
      <c r="A6" s="261"/>
      <c r="B6" s="216"/>
      <c r="C6" s="217"/>
      <c r="D6" s="112" t="s">
        <v>0</v>
      </c>
      <c r="E6" s="113"/>
      <c r="F6" s="114"/>
      <c r="G6" s="114"/>
      <c r="H6" s="202" t="s">
        <v>27</v>
      </c>
      <c r="I6" s="208">
        <f>'2015 - 2016 Customers'!D3+'2015 - 2016 Customers'!D4</f>
        <v>7810810</v>
      </c>
      <c r="J6" s="203" t="s">
        <v>127</v>
      </c>
      <c r="K6" s="203" t="s">
        <v>128</v>
      </c>
      <c r="L6" s="155" t="s">
        <v>29</v>
      </c>
      <c r="M6" s="28" t="s">
        <v>374</v>
      </c>
      <c r="N6" s="29" t="s">
        <v>28</v>
      </c>
      <c r="O6" s="30" t="s">
        <v>29</v>
      </c>
      <c r="P6" s="31"/>
      <c r="Q6" s="32" t="s">
        <v>30</v>
      </c>
      <c r="R6" s="202" t="s">
        <v>27</v>
      </c>
      <c r="S6" s="208">
        <f>'2015 - 2016 Customers'!E3+'2015 - 2016 Customers'!E4</f>
        <v>761806</v>
      </c>
      <c r="T6" s="203" t="s">
        <v>127</v>
      </c>
      <c r="U6" s="203" t="s">
        <v>128</v>
      </c>
      <c r="V6" s="155" t="s">
        <v>29</v>
      </c>
      <c r="W6" s="28" t="s">
        <v>374</v>
      </c>
      <c r="X6" s="29" t="s">
        <v>28</v>
      </c>
      <c r="Y6" s="30" t="s">
        <v>29</v>
      </c>
      <c r="Z6" s="31"/>
      <c r="AA6" s="32" t="s">
        <v>30</v>
      </c>
      <c r="AB6" s="202" t="s">
        <v>27</v>
      </c>
      <c r="AC6" s="208">
        <f>'2015 - 2016 Customers'!F3+'2015 - 2016 Customers'!F4</f>
        <v>25057</v>
      </c>
      <c r="AD6" s="203" t="s">
        <v>127</v>
      </c>
      <c r="AE6" s="203" t="s">
        <v>128</v>
      </c>
      <c r="AF6" s="155" t="s">
        <v>29</v>
      </c>
      <c r="AG6" s="28" t="s">
        <v>374</v>
      </c>
      <c r="AH6" s="29" t="s">
        <v>28</v>
      </c>
      <c r="AI6" s="29" t="s">
        <v>29</v>
      </c>
      <c r="AJ6" s="380" t="s">
        <v>589</v>
      </c>
      <c r="AK6" s="247" t="s">
        <v>30</v>
      </c>
      <c r="AU6" s="6"/>
    </row>
    <row r="7" spans="1:47" ht="72.599999999999994" customHeight="1" x14ac:dyDescent="0.3">
      <c r="A7" s="301" t="s">
        <v>8</v>
      </c>
      <c r="B7" s="218" t="str">
        <f>A7&amp;H7</f>
        <v>Account ServicesLABOR: NON-SUPERVISORY</v>
      </c>
      <c r="C7" s="218" t="s">
        <v>228</v>
      </c>
      <c r="D7" s="10" t="str">
        <f>'2015Summary METER to CASH (Base'!C10</f>
        <v>* Meter reading office (route mgmt)
* Develop meter reading schedule</v>
      </c>
      <c r="E7" s="116">
        <f>N45</f>
        <v>26760.439398000002</v>
      </c>
      <c r="F7" s="117">
        <f>X45</f>
        <v>2167.3119649999999</v>
      </c>
      <c r="G7" s="117">
        <f>AC45</f>
        <v>0</v>
      </c>
      <c r="H7" s="182" t="s">
        <v>31</v>
      </c>
      <c r="I7" s="157"/>
      <c r="J7" s="287"/>
      <c r="K7" s="118"/>
      <c r="L7" s="118"/>
      <c r="M7" s="288"/>
      <c r="N7" s="121"/>
      <c r="O7" s="206"/>
      <c r="P7" s="122"/>
      <c r="Q7" s="123"/>
      <c r="R7" s="183" t="s">
        <v>31</v>
      </c>
      <c r="S7" s="157"/>
      <c r="T7" s="287"/>
      <c r="U7" s="118"/>
      <c r="V7" s="118"/>
      <c r="W7" s="288"/>
      <c r="X7" s="120"/>
      <c r="Y7" s="206"/>
      <c r="Z7" s="122"/>
      <c r="AA7" s="123"/>
      <c r="AB7" s="183" t="s">
        <v>31</v>
      </c>
      <c r="AC7" s="157"/>
      <c r="AD7" s="118"/>
      <c r="AE7" s="118"/>
      <c r="AF7" s="118"/>
      <c r="AG7" s="119"/>
      <c r="AH7" s="121"/>
      <c r="AI7" s="135"/>
      <c r="AJ7" s="157"/>
      <c r="AK7" s="121"/>
    </row>
    <row r="8" spans="1:47" x14ac:dyDescent="0.3">
      <c r="A8" s="301" t="s">
        <v>8</v>
      </c>
      <c r="B8" s="218" t="str">
        <f t="shared" ref="B8:B46" si="0">A8&amp;H8</f>
        <v>Account ServicesAccountant (Grade 145)</v>
      </c>
      <c r="C8" s="217" t="s">
        <v>48</v>
      </c>
      <c r="D8" s="10"/>
      <c r="E8" s="10"/>
      <c r="F8" s="10"/>
      <c r="G8" s="10"/>
      <c r="H8" s="255" t="s">
        <v>242</v>
      </c>
      <c r="I8" s="158">
        <f>J8*K8</f>
        <v>0</v>
      </c>
      <c r="J8" s="289">
        <f>+ROUND('FTE Alloc OR &amp; WA'!D30*2080,0)</f>
        <v>0</v>
      </c>
      <c r="K8" s="259">
        <v>29.13</v>
      </c>
      <c r="L8" s="39"/>
      <c r="M8" s="290" t="str">
        <f>J8&amp;" hrs @ "&amp;K8</f>
        <v>0 hrs @ 29.13</v>
      </c>
      <c r="N8" s="35"/>
      <c r="O8" s="207"/>
      <c r="P8" s="36"/>
      <c r="Q8" s="41"/>
      <c r="R8" s="255" t="s">
        <v>242</v>
      </c>
      <c r="S8" s="158">
        <f>T8*U8</f>
        <v>0</v>
      </c>
      <c r="T8" s="289">
        <f>+ROUND('FTE Alloc OR &amp; WA'!E30*2080,0)</f>
        <v>0</v>
      </c>
      <c r="U8" s="259">
        <v>29.13</v>
      </c>
      <c r="V8" s="39"/>
      <c r="W8" s="290" t="str">
        <f>T8&amp;" hrs @ "&amp;U8</f>
        <v>0 hrs @ 29.13</v>
      </c>
      <c r="X8" s="34"/>
      <c r="Y8" s="207"/>
      <c r="Z8" s="36"/>
      <c r="AA8" s="41"/>
      <c r="AB8" s="255" t="s">
        <v>242</v>
      </c>
      <c r="AC8" s="158">
        <f>AD8*AE8</f>
        <v>0</v>
      </c>
      <c r="AD8" s="289">
        <f>+ROUND('FTE Alloc OR &amp; WA'!F30*2080,0)</f>
        <v>0</v>
      </c>
      <c r="AE8" s="259">
        <v>29.13</v>
      </c>
      <c r="AF8" s="39"/>
      <c r="AG8" s="40" t="str">
        <f>AD8&amp;" hrs @ "&amp;AE8</f>
        <v>0 hrs @ 29.13</v>
      </c>
      <c r="AH8" s="35"/>
      <c r="AI8" s="136"/>
      <c r="AJ8" s="158">
        <f t="shared" ref="AJ8:AJ14" si="1">I8+S8+AC8</f>
        <v>0</v>
      </c>
      <c r="AK8" s="35"/>
    </row>
    <row r="9" spans="1:47" x14ac:dyDescent="0.3">
      <c r="A9" s="301" t="s">
        <v>8</v>
      </c>
      <c r="B9" s="218" t="str">
        <f t="shared" si="0"/>
        <v>Account ServicesSr Coll Rep (Grade 140)</v>
      </c>
      <c r="C9" s="217" t="s">
        <v>48</v>
      </c>
      <c r="D9" s="10"/>
      <c r="E9" s="10"/>
      <c r="F9" s="10"/>
      <c r="G9" s="10"/>
      <c r="H9" s="184" t="s">
        <v>243</v>
      </c>
      <c r="I9" s="158">
        <f t="shared" ref="I9:I10" si="2">J9*K9</f>
        <v>0</v>
      </c>
      <c r="J9" s="289">
        <f>+ROUND('FTE Alloc OR &amp; WA'!D36*2080,0)</f>
        <v>0</v>
      </c>
      <c r="K9" s="259">
        <v>27.22</v>
      </c>
      <c r="L9" s="42"/>
      <c r="M9" s="290" t="str">
        <f t="shared" ref="M9:M11" si="3">J9&amp;" hrs @ "&amp;K9</f>
        <v>0 hrs @ 27.22</v>
      </c>
      <c r="N9" s="35"/>
      <c r="O9" s="207"/>
      <c r="P9" s="36"/>
      <c r="Q9" s="3"/>
      <c r="R9" s="184" t="s">
        <v>243</v>
      </c>
      <c r="S9" s="158">
        <f>T9*U9</f>
        <v>0</v>
      </c>
      <c r="T9" s="289">
        <f>+ROUND('FTE Alloc OR &amp; WA'!E36*2080,0)</f>
        <v>0</v>
      </c>
      <c r="U9" s="259">
        <v>27.22</v>
      </c>
      <c r="V9" s="42"/>
      <c r="W9" s="290" t="str">
        <f t="shared" ref="W9:W11" si="4">T9&amp;" hrs @ "&amp;U9</f>
        <v>0 hrs @ 27.22</v>
      </c>
      <c r="X9" s="34"/>
      <c r="Y9" s="207"/>
      <c r="Z9" s="36"/>
      <c r="AA9" s="3"/>
      <c r="AB9" s="184" t="s">
        <v>243</v>
      </c>
      <c r="AC9" s="158">
        <v>0</v>
      </c>
      <c r="AD9" s="289">
        <f>+ROUND('FTE Alloc OR &amp; WA'!F36*2080,0)</f>
        <v>0</v>
      </c>
      <c r="AE9" s="259">
        <v>27.22</v>
      </c>
      <c r="AF9" s="42"/>
      <c r="AG9" s="40" t="str">
        <f t="shared" ref="AG9:AG11" si="5">AD9&amp;" hrs @ "&amp;AE9</f>
        <v>0 hrs @ 27.22</v>
      </c>
      <c r="AH9" s="35"/>
      <c r="AI9" s="136"/>
      <c r="AJ9" s="158">
        <f t="shared" si="1"/>
        <v>0</v>
      </c>
      <c r="AK9" s="35"/>
    </row>
    <row r="10" spans="1:47" ht="18.600000000000001" customHeight="1" x14ac:dyDescent="0.3">
      <c r="A10" s="301" t="s">
        <v>8</v>
      </c>
      <c r="B10" s="218" t="str">
        <f t="shared" si="0"/>
        <v>Account ServicesSr Biller/ PP Clerk (Grade 135)</v>
      </c>
      <c r="C10" s="217" t="s">
        <v>48</v>
      </c>
      <c r="D10" s="10"/>
      <c r="E10" s="10"/>
      <c r="F10" s="10"/>
      <c r="G10" s="10"/>
      <c r="H10" s="184" t="s">
        <v>245</v>
      </c>
      <c r="I10" s="158">
        <f t="shared" si="2"/>
        <v>3510.7200000000003</v>
      </c>
      <c r="J10" s="289">
        <f>+ROUND(('FTE Alloc OR &amp; WA'!D32+'FTE Alloc OR &amp; WA'!D35)*2080,0)</f>
        <v>138</v>
      </c>
      <c r="K10" s="259">
        <v>25.44</v>
      </c>
      <c r="L10" s="42"/>
      <c r="M10" s="290" t="str">
        <f t="shared" si="3"/>
        <v>138 hrs @ 25.44</v>
      </c>
      <c r="N10" s="35"/>
      <c r="O10" s="207"/>
      <c r="P10" s="36"/>
      <c r="Q10" s="41"/>
      <c r="R10" s="184" t="s">
        <v>245</v>
      </c>
      <c r="S10" s="158">
        <f t="shared" ref="S10" si="6">T10*U10</f>
        <v>585.12</v>
      </c>
      <c r="T10" s="289">
        <f>+ROUND(('FTE Alloc OR &amp; WA'!E32+'FTE Alloc OR &amp; WA'!E35)*2080,0)</f>
        <v>23</v>
      </c>
      <c r="U10" s="259">
        <v>25.44</v>
      </c>
      <c r="V10" s="42"/>
      <c r="W10" s="290" t="str">
        <f t="shared" si="4"/>
        <v>23 hrs @ 25.44</v>
      </c>
      <c r="X10" s="34"/>
      <c r="Y10" s="207"/>
      <c r="Z10" s="36"/>
      <c r="AA10" s="41"/>
      <c r="AB10" s="184" t="s">
        <v>245</v>
      </c>
      <c r="AC10" s="158">
        <f t="shared" ref="AC10" si="7">AD10*AE10</f>
        <v>0</v>
      </c>
      <c r="AD10" s="289">
        <f>+ROUND(('FTE Alloc OR &amp; WA'!F31+'FTE Alloc OR &amp; WA'!F34)*2080,0)</f>
        <v>0</v>
      </c>
      <c r="AE10" s="259">
        <v>25.44</v>
      </c>
      <c r="AF10" s="42"/>
      <c r="AG10" s="40" t="str">
        <f t="shared" si="5"/>
        <v>0 hrs @ 25.44</v>
      </c>
      <c r="AH10" s="35"/>
      <c r="AI10" s="136"/>
      <c r="AJ10" s="158">
        <f t="shared" si="1"/>
        <v>4095.84</v>
      </c>
      <c r="AK10" s="35"/>
    </row>
    <row r="11" spans="1:47" x14ac:dyDescent="0.3">
      <c r="A11" s="301" t="s">
        <v>8</v>
      </c>
      <c r="B11" s="218" t="str">
        <f t="shared" si="0"/>
        <v>Account ServicesBiller (Grade 125)</v>
      </c>
      <c r="C11" s="217" t="s">
        <v>48</v>
      </c>
      <c r="D11" s="10"/>
      <c r="E11" s="10"/>
      <c r="F11" s="10"/>
      <c r="G11" s="10"/>
      <c r="H11" s="179" t="s">
        <v>244</v>
      </c>
      <c r="I11" s="173">
        <f>J11*K11</f>
        <v>6603.0000000000009</v>
      </c>
      <c r="J11" s="291">
        <f>+ROUND('FTE Alloc OR &amp; WA'!D33*2080,0)</f>
        <v>300</v>
      </c>
      <c r="K11" s="260">
        <v>22.01</v>
      </c>
      <c r="L11" s="181"/>
      <c r="M11" s="292" t="str">
        <f t="shared" si="3"/>
        <v>300 hrs @ 22.01</v>
      </c>
      <c r="N11" s="58"/>
      <c r="O11" s="231"/>
      <c r="P11" s="36"/>
      <c r="Q11" s="44"/>
      <c r="R11" s="179" t="s">
        <v>244</v>
      </c>
      <c r="S11" s="173">
        <f>T11*U11</f>
        <v>506.23</v>
      </c>
      <c r="T11" s="291">
        <f>+ROUND('FTE Alloc OR &amp; WA'!E33*2080,0)</f>
        <v>23</v>
      </c>
      <c r="U11" s="260">
        <v>22.01</v>
      </c>
      <c r="V11" s="181"/>
      <c r="W11" s="292" t="str">
        <f t="shared" si="4"/>
        <v>23 hrs @ 22.01</v>
      </c>
      <c r="X11" s="57"/>
      <c r="Y11" s="231"/>
      <c r="Z11" s="36"/>
      <c r="AA11" s="44"/>
      <c r="AB11" s="179" t="s">
        <v>244</v>
      </c>
      <c r="AC11" s="173">
        <f>AD11*AE11</f>
        <v>0</v>
      </c>
      <c r="AD11" s="291">
        <f>+ROUND('FTE Alloc OR &amp; WA'!F32*2080,0)</f>
        <v>0</v>
      </c>
      <c r="AE11" s="260">
        <v>22.01</v>
      </c>
      <c r="AF11" s="181"/>
      <c r="AG11" s="176" t="str">
        <f t="shared" si="5"/>
        <v>0 hrs @ 22.01</v>
      </c>
      <c r="AH11" s="35"/>
      <c r="AI11" s="136"/>
      <c r="AJ11" s="173">
        <f t="shared" si="1"/>
        <v>7109.2300000000014</v>
      </c>
      <c r="AK11" s="58"/>
    </row>
    <row r="12" spans="1:47" x14ac:dyDescent="0.3">
      <c r="A12" s="301" t="s">
        <v>8</v>
      </c>
      <c r="B12" s="218" t="str">
        <f t="shared" si="0"/>
        <v>Account ServicesTotal Wages</v>
      </c>
      <c r="C12" s="217" t="s">
        <v>48</v>
      </c>
      <c r="D12" s="10"/>
      <c r="E12" s="10"/>
      <c r="F12" s="10"/>
      <c r="G12" s="10"/>
      <c r="H12" s="179" t="s">
        <v>32</v>
      </c>
      <c r="I12" s="158">
        <f>SUM(I8:I11)</f>
        <v>10113.720000000001</v>
      </c>
      <c r="J12" s="42"/>
      <c r="K12" s="39"/>
      <c r="L12" s="39"/>
      <c r="M12" s="40"/>
      <c r="N12" s="35"/>
      <c r="O12" s="207"/>
      <c r="P12" s="36"/>
      <c r="Q12" s="41"/>
      <c r="R12" s="184" t="s">
        <v>32</v>
      </c>
      <c r="S12" s="158">
        <f>SUM(S8:S11)</f>
        <v>1091.3499999999999</v>
      </c>
      <c r="T12" s="42"/>
      <c r="U12" s="39"/>
      <c r="V12" s="39"/>
      <c r="W12" s="40"/>
      <c r="X12" s="34"/>
      <c r="Y12" s="207"/>
      <c r="Z12" s="36"/>
      <c r="AA12" s="41"/>
      <c r="AB12" s="184" t="s">
        <v>32</v>
      </c>
      <c r="AC12" s="158">
        <f>SUM(AC8:AC11)</f>
        <v>0</v>
      </c>
      <c r="AD12" s="42"/>
      <c r="AE12" s="39"/>
      <c r="AF12" s="39"/>
      <c r="AG12" s="40"/>
      <c r="AH12" s="35"/>
      <c r="AI12" s="136"/>
      <c r="AJ12" s="158">
        <f t="shared" si="1"/>
        <v>11205.070000000002</v>
      </c>
      <c r="AK12" s="35"/>
    </row>
    <row r="13" spans="1:47" x14ac:dyDescent="0.3">
      <c r="A13" s="301" t="s">
        <v>8</v>
      </c>
      <c r="B13" s="218" t="str">
        <f t="shared" si="0"/>
        <v>Account ServicesBenefits</v>
      </c>
      <c r="C13" s="217" t="s">
        <v>48</v>
      </c>
      <c r="D13" s="10"/>
      <c r="E13" s="10"/>
      <c r="F13" s="10"/>
      <c r="G13" s="10"/>
      <c r="H13" s="255" t="s">
        <v>33</v>
      </c>
      <c r="I13" s="159">
        <f>I12*$O$2</f>
        <v>9971.1165480000018</v>
      </c>
      <c r="J13" s="42"/>
      <c r="K13" s="39"/>
      <c r="M13" s="45" t="str">
        <f>"@ "&amp;$O$2*100&amp;" %"</f>
        <v>@ 98.59 %</v>
      </c>
      <c r="N13" s="47"/>
      <c r="O13" s="424"/>
      <c r="P13" s="48"/>
      <c r="Q13" s="41"/>
      <c r="R13" s="184" t="s">
        <v>33</v>
      </c>
      <c r="S13" s="159">
        <f>S12*$O$2</f>
        <v>1075.961965</v>
      </c>
      <c r="T13" s="42"/>
      <c r="U13" s="39"/>
      <c r="W13" s="45" t="str">
        <f>"@ "&amp;$O$2*100&amp;" %"</f>
        <v>@ 98.59 %</v>
      </c>
      <c r="X13" s="46"/>
      <c r="Y13" s="424"/>
      <c r="Z13" s="48"/>
      <c r="AA13" s="41"/>
      <c r="AB13" s="184" t="s">
        <v>33</v>
      </c>
      <c r="AC13" s="159">
        <f>AC12*$O$2</f>
        <v>0</v>
      </c>
      <c r="AD13" s="42"/>
      <c r="AE13" s="39"/>
      <c r="AG13" s="45" t="str">
        <f>"@ "&amp;$O$2*100&amp;" %"</f>
        <v>@ 98.59 %</v>
      </c>
      <c r="AH13" s="47"/>
      <c r="AI13" s="432"/>
      <c r="AJ13" s="159">
        <f t="shared" si="1"/>
        <v>11047.078513000002</v>
      </c>
      <c r="AK13" s="47"/>
    </row>
    <row r="14" spans="1:47" x14ac:dyDescent="0.3">
      <c r="A14" s="301" t="s">
        <v>8</v>
      </c>
      <c r="B14" s="218" t="str">
        <f t="shared" si="0"/>
        <v>Account ServicesTotal</v>
      </c>
      <c r="C14" s="219" t="s">
        <v>50</v>
      </c>
      <c r="D14" s="10"/>
      <c r="E14" s="10"/>
      <c r="F14" s="10"/>
      <c r="G14" s="10"/>
      <c r="H14" s="185" t="s">
        <v>34</v>
      </c>
      <c r="I14" s="160">
        <f>I12+I13</f>
        <v>20084.836548000003</v>
      </c>
      <c r="J14" s="42"/>
      <c r="K14" s="39"/>
      <c r="L14" s="50"/>
      <c r="M14" s="51"/>
      <c r="N14" s="420">
        <f>I14</f>
        <v>20084.836548000003</v>
      </c>
      <c r="O14" s="425">
        <f>N14/N45</f>
        <v>0.75054210617711625</v>
      </c>
      <c r="P14" s="53"/>
      <c r="Q14" s="37"/>
      <c r="R14" s="185" t="s">
        <v>34</v>
      </c>
      <c r="S14" s="160">
        <f>S12+S13</f>
        <v>2167.3119649999999</v>
      </c>
      <c r="T14" s="42"/>
      <c r="U14" s="39"/>
      <c r="V14" s="50"/>
      <c r="W14" s="51"/>
      <c r="X14" s="52">
        <f>S14</f>
        <v>2167.3119649999999</v>
      </c>
      <c r="Y14" s="425">
        <f>X14/X45</f>
        <v>1</v>
      </c>
      <c r="Z14" s="53"/>
      <c r="AA14" s="37"/>
      <c r="AB14" s="185" t="s">
        <v>34</v>
      </c>
      <c r="AC14" s="160">
        <f>AC12+AC13</f>
        <v>0</v>
      </c>
      <c r="AD14" s="42"/>
      <c r="AE14" s="39"/>
      <c r="AF14" s="50"/>
      <c r="AG14" s="51"/>
      <c r="AH14" s="420">
        <f>AC14</f>
        <v>0</v>
      </c>
      <c r="AI14" s="233" t="e">
        <f>AH14/AH45</f>
        <v>#DIV/0!</v>
      </c>
      <c r="AJ14" s="160">
        <f t="shared" si="1"/>
        <v>22252.148513000004</v>
      </c>
      <c r="AK14" s="420"/>
    </row>
    <row r="15" spans="1:47" x14ac:dyDescent="0.3">
      <c r="A15" s="301" t="s">
        <v>8</v>
      </c>
      <c r="B15" s="218" t="str">
        <f t="shared" si="0"/>
        <v>Account Services</v>
      </c>
      <c r="C15" s="217" t="s">
        <v>48</v>
      </c>
      <c r="D15" s="10"/>
      <c r="E15" s="10"/>
      <c r="F15" s="10"/>
      <c r="G15" s="10"/>
      <c r="H15" s="179"/>
      <c r="I15" s="161"/>
      <c r="J15" s="55"/>
      <c r="K15" s="55"/>
      <c r="L15" s="55"/>
      <c r="M15" s="56"/>
      <c r="N15" s="58"/>
      <c r="O15" s="426"/>
      <c r="P15" s="59"/>
      <c r="Q15" s="60"/>
      <c r="R15" s="179"/>
      <c r="S15" s="161"/>
      <c r="T15" s="55"/>
      <c r="U15" s="55"/>
      <c r="V15" s="55"/>
      <c r="W15" s="56"/>
      <c r="X15" s="57"/>
      <c r="Y15" s="426"/>
      <c r="Z15" s="59"/>
      <c r="AA15" s="60"/>
      <c r="AB15" s="179"/>
      <c r="AC15" s="161"/>
      <c r="AD15" s="55"/>
      <c r="AE15" s="55"/>
      <c r="AF15" s="55"/>
      <c r="AG15" s="56"/>
      <c r="AH15" s="58"/>
      <c r="AI15" s="231"/>
      <c r="AJ15" s="161"/>
      <c r="AK15" s="58"/>
    </row>
    <row r="16" spans="1:47" x14ac:dyDescent="0.3">
      <c r="A16" s="301" t="s">
        <v>8</v>
      </c>
      <c r="B16" s="218" t="str">
        <f t="shared" si="0"/>
        <v>Account ServicesLABOR: SUPERVISORY</v>
      </c>
      <c r="C16" s="220" t="s">
        <v>50</v>
      </c>
      <c r="D16" s="10"/>
      <c r="E16" s="10"/>
      <c r="F16" s="10"/>
      <c r="G16" s="10"/>
      <c r="H16" s="186" t="s">
        <v>35</v>
      </c>
      <c r="I16" s="162"/>
      <c r="J16" s="62"/>
      <c r="K16" s="62"/>
      <c r="L16" s="62"/>
      <c r="M16" s="63"/>
      <c r="N16" s="26"/>
      <c r="O16" s="421"/>
      <c r="P16" s="65"/>
      <c r="Q16" s="37"/>
      <c r="R16" s="186" t="s">
        <v>35</v>
      </c>
      <c r="S16" s="162"/>
      <c r="T16" s="62"/>
      <c r="U16" s="62"/>
      <c r="V16" s="62"/>
      <c r="W16" s="63"/>
      <c r="X16" s="64"/>
      <c r="Y16" s="421"/>
      <c r="Z16" s="65"/>
      <c r="AA16" s="37"/>
      <c r="AB16" s="186" t="s">
        <v>35</v>
      </c>
      <c r="AC16" s="162"/>
      <c r="AD16" s="62"/>
      <c r="AE16" s="62"/>
      <c r="AF16" s="62"/>
      <c r="AG16" s="63"/>
      <c r="AH16" s="26"/>
      <c r="AI16" s="234"/>
      <c r="AJ16" s="162"/>
      <c r="AK16" s="26"/>
    </row>
    <row r="17" spans="1:37" x14ac:dyDescent="0.3">
      <c r="A17" s="301" t="s">
        <v>8</v>
      </c>
      <c r="B17" s="218" t="str">
        <f t="shared" si="0"/>
        <v>Account ServicesAccounting Manager</v>
      </c>
      <c r="C17" s="220"/>
      <c r="D17" s="10"/>
      <c r="E17" s="10"/>
      <c r="F17" s="10"/>
      <c r="G17" s="10"/>
      <c r="H17" s="38" t="s">
        <v>375</v>
      </c>
      <c r="I17" s="162"/>
      <c r="J17" s="62"/>
      <c r="K17" s="62">
        <v>50.91</v>
      </c>
      <c r="L17" s="62"/>
      <c r="M17" s="40" t="str">
        <f t="shared" ref="M17:M18" si="8">J17&amp;" hrs @ "&amp;K17</f>
        <v xml:space="preserve"> hrs @ 50.91</v>
      </c>
      <c r="N17" s="26"/>
      <c r="O17" s="421"/>
      <c r="P17" s="65"/>
      <c r="Q17" s="37"/>
      <c r="R17" s="184" t="s">
        <v>375</v>
      </c>
      <c r="S17" s="162"/>
      <c r="T17" s="62"/>
      <c r="U17" s="62">
        <v>50.91</v>
      </c>
      <c r="V17" s="62"/>
      <c r="W17" s="40" t="str">
        <f t="shared" ref="W17:W18" si="9">T17&amp;" hrs @ "&amp;U17</f>
        <v xml:space="preserve"> hrs @ 50.91</v>
      </c>
      <c r="X17" s="64"/>
      <c r="Y17" s="421"/>
      <c r="Z17" s="65"/>
      <c r="AA17" s="37"/>
      <c r="AB17" s="184" t="s">
        <v>375</v>
      </c>
      <c r="AC17" s="162"/>
      <c r="AD17" s="62"/>
      <c r="AE17" s="62">
        <v>50.91</v>
      </c>
      <c r="AF17" s="62"/>
      <c r="AG17" s="40" t="str">
        <f t="shared" ref="AG17:AG18" si="10">AD17&amp;" hrs @ "&amp;AE17</f>
        <v xml:space="preserve"> hrs @ 50.91</v>
      </c>
      <c r="AH17" s="26"/>
      <c r="AI17" s="234"/>
      <c r="AJ17" s="162">
        <f>I17+S17+AC17</f>
        <v>0</v>
      </c>
      <c r="AK17" s="26"/>
    </row>
    <row r="18" spans="1:37" x14ac:dyDescent="0.3">
      <c r="A18" s="301" t="s">
        <v>8</v>
      </c>
      <c r="B18" s="218" t="str">
        <f t="shared" si="0"/>
        <v>Account ServicesSupervisor</v>
      </c>
      <c r="C18" s="217" t="s">
        <v>48</v>
      </c>
      <c r="D18" s="10"/>
      <c r="E18" s="10"/>
      <c r="F18" s="10"/>
      <c r="G18" s="10"/>
      <c r="H18" s="179" t="s">
        <v>376</v>
      </c>
      <c r="I18" s="173">
        <f t="shared" ref="I18" si="11">J18*K18</f>
        <v>3361.5</v>
      </c>
      <c r="J18" s="174">
        <v>83</v>
      </c>
      <c r="K18" s="175">
        <v>40.5</v>
      </c>
      <c r="L18" s="181"/>
      <c r="M18" s="176" t="str">
        <f t="shared" si="8"/>
        <v>83 hrs @ 40.5</v>
      </c>
      <c r="N18" s="26"/>
      <c r="O18" s="421"/>
      <c r="P18" s="65"/>
      <c r="Q18" s="41"/>
      <c r="R18" s="184" t="s">
        <v>376</v>
      </c>
      <c r="S18" s="173">
        <f t="shared" ref="S18" si="12">T18*U18</f>
        <v>0</v>
      </c>
      <c r="T18" s="174">
        <f>+ROUND('FTE Alloc OR &amp; WA'!N31*2080,0)</f>
        <v>0</v>
      </c>
      <c r="U18" s="259">
        <v>40.5</v>
      </c>
      <c r="V18" s="43"/>
      <c r="W18" s="40" t="str">
        <f t="shared" si="9"/>
        <v>0 hrs @ 40.5</v>
      </c>
      <c r="X18" s="64"/>
      <c r="Y18" s="421"/>
      <c r="Z18" s="65"/>
      <c r="AA18" s="41"/>
      <c r="AB18" s="184" t="s">
        <v>376</v>
      </c>
      <c r="AC18" s="173">
        <f t="shared" ref="AC18" si="13">AD18*AE18</f>
        <v>0</v>
      </c>
      <c r="AD18" s="289">
        <f>+ROUND('FTE Alloc OR &amp; WA'!X31*2080,0)</f>
        <v>0</v>
      </c>
      <c r="AE18" s="259">
        <v>40.5</v>
      </c>
      <c r="AF18" s="43"/>
      <c r="AG18" s="40" t="str">
        <f t="shared" si="10"/>
        <v>0 hrs @ 40.5</v>
      </c>
      <c r="AH18" s="26"/>
      <c r="AI18" s="234"/>
      <c r="AJ18" s="173">
        <f>I18+S18+AC18</f>
        <v>3361.5</v>
      </c>
      <c r="AK18" s="26"/>
    </row>
    <row r="19" spans="1:37" x14ac:dyDescent="0.3">
      <c r="A19" s="301" t="s">
        <v>8</v>
      </c>
      <c r="B19" s="218" t="str">
        <f t="shared" si="0"/>
        <v>Account ServicesTotal Wages</v>
      </c>
      <c r="C19" s="217"/>
      <c r="D19" s="10"/>
      <c r="E19" s="10"/>
      <c r="F19" s="10"/>
      <c r="G19" s="10"/>
      <c r="H19" s="255" t="s">
        <v>32</v>
      </c>
      <c r="I19" s="393">
        <f>SUM(I16:I18)</f>
        <v>3361.5</v>
      </c>
      <c r="J19" s="394"/>
      <c r="K19" s="395"/>
      <c r="L19" s="395"/>
      <c r="M19" s="396"/>
      <c r="N19" s="26"/>
      <c r="O19" s="421"/>
      <c r="P19" s="65"/>
      <c r="Q19" s="41"/>
      <c r="R19" s="255" t="s">
        <v>32</v>
      </c>
      <c r="S19" s="393">
        <f>SUM(S16:S18)</f>
        <v>0</v>
      </c>
      <c r="T19" s="394"/>
      <c r="U19" s="395"/>
      <c r="V19" s="395"/>
      <c r="W19" s="396"/>
      <c r="X19" s="64"/>
      <c r="Y19" s="421"/>
      <c r="Z19" s="65"/>
      <c r="AA19" s="41"/>
      <c r="AB19" s="255" t="s">
        <v>32</v>
      </c>
      <c r="AC19" s="393">
        <f>SUM(AC16:AC18)</f>
        <v>0</v>
      </c>
      <c r="AD19" s="394"/>
      <c r="AE19" s="395"/>
      <c r="AF19" s="395"/>
      <c r="AG19" s="396"/>
      <c r="AH19" s="26"/>
      <c r="AI19" s="234"/>
      <c r="AJ19" s="393">
        <f>I19+S19+AC19</f>
        <v>3361.5</v>
      </c>
      <c r="AK19" s="26"/>
    </row>
    <row r="20" spans="1:37" x14ac:dyDescent="0.3">
      <c r="A20" s="301" t="s">
        <v>8</v>
      </c>
      <c r="B20" s="218" t="str">
        <f t="shared" si="0"/>
        <v>Account ServicesBenefits</v>
      </c>
      <c r="C20" s="217" t="s">
        <v>48</v>
      </c>
      <c r="D20" s="10"/>
      <c r="E20" s="10"/>
      <c r="F20" s="10"/>
      <c r="G20" s="10"/>
      <c r="H20" s="184" t="s">
        <v>33</v>
      </c>
      <c r="I20" s="159">
        <f>I19*$O$2</f>
        <v>3314.1028500000002</v>
      </c>
      <c r="J20" s="42"/>
      <c r="K20" s="39"/>
      <c r="L20" s="156"/>
      <c r="M20" s="45" t="str">
        <f>"@ "&amp;$O$2*100&amp;" %"</f>
        <v>@ 98.59 %</v>
      </c>
      <c r="N20" s="26"/>
      <c r="O20" s="421"/>
      <c r="P20" s="65"/>
      <c r="Q20" s="41"/>
      <c r="R20" s="184" t="s">
        <v>33</v>
      </c>
      <c r="S20" s="159">
        <f>S19*$O$2</f>
        <v>0</v>
      </c>
      <c r="T20" s="42"/>
      <c r="U20" s="39"/>
      <c r="V20" s="156"/>
      <c r="W20" s="45" t="str">
        <f>"@ "&amp;$O$2*100&amp;" %"</f>
        <v>@ 98.59 %</v>
      </c>
      <c r="X20" s="64"/>
      <c r="Y20" s="421"/>
      <c r="Z20" s="65"/>
      <c r="AA20" s="41"/>
      <c r="AB20" s="184" t="s">
        <v>33</v>
      </c>
      <c r="AC20" s="159">
        <f>AC19*$O$2</f>
        <v>0</v>
      </c>
      <c r="AD20" s="42"/>
      <c r="AE20" s="39"/>
      <c r="AF20" s="156"/>
      <c r="AG20" s="45" t="str">
        <f>"@ "&amp;$O$2*100&amp;" %"</f>
        <v>@ 98.59 %</v>
      </c>
      <c r="AH20" s="26"/>
      <c r="AI20" s="234"/>
      <c r="AJ20" s="159">
        <f>I20+S20+AC20</f>
        <v>3314.1028500000002</v>
      </c>
      <c r="AK20" s="26"/>
    </row>
    <row r="21" spans="1:37" x14ac:dyDescent="0.3">
      <c r="A21" s="301" t="s">
        <v>8</v>
      </c>
      <c r="B21" s="218" t="str">
        <f t="shared" si="0"/>
        <v>Account ServicesTotal</v>
      </c>
      <c r="C21" s="220" t="s">
        <v>50</v>
      </c>
      <c r="D21" s="10"/>
      <c r="E21" s="10"/>
      <c r="F21" s="10"/>
      <c r="G21" s="10"/>
      <c r="H21" s="185" t="s">
        <v>34</v>
      </c>
      <c r="I21" s="165">
        <f>I20+I18</f>
        <v>6675.6028500000002</v>
      </c>
      <c r="J21" s="68"/>
      <c r="K21" s="68"/>
      <c r="L21" s="68"/>
      <c r="M21" s="63"/>
      <c r="N21" s="420">
        <f>I21</f>
        <v>6675.6028500000002</v>
      </c>
      <c r="O21" s="425">
        <f>N21/N45</f>
        <v>0.24945789382288378</v>
      </c>
      <c r="P21" s="65"/>
      <c r="Q21" s="41"/>
      <c r="R21" s="185" t="s">
        <v>34</v>
      </c>
      <c r="S21" s="165">
        <f>S20+S18</f>
        <v>0</v>
      </c>
      <c r="T21" s="68"/>
      <c r="U21" s="68"/>
      <c r="V21" s="68"/>
      <c r="W21" s="63"/>
      <c r="X21" s="52">
        <f>S21</f>
        <v>0</v>
      </c>
      <c r="Y21" s="425">
        <f>X21/X45</f>
        <v>0</v>
      </c>
      <c r="Z21" s="65"/>
      <c r="AA21" s="41"/>
      <c r="AB21" s="185" t="s">
        <v>34</v>
      </c>
      <c r="AC21" s="165">
        <f>AC20+AC18</f>
        <v>0</v>
      </c>
      <c r="AD21" s="68"/>
      <c r="AE21" s="68"/>
      <c r="AF21" s="68"/>
      <c r="AG21" s="63"/>
      <c r="AH21" s="420">
        <f>AC21</f>
        <v>0</v>
      </c>
      <c r="AI21" s="233" t="e">
        <f>AH21/AH45</f>
        <v>#DIV/0!</v>
      </c>
      <c r="AJ21" s="165">
        <f>I21+S21+AC21</f>
        <v>6675.6028500000002</v>
      </c>
      <c r="AK21" s="420"/>
    </row>
    <row r="22" spans="1:37" x14ac:dyDescent="0.3">
      <c r="A22" s="301" t="s">
        <v>8</v>
      </c>
      <c r="B22" s="218" t="str">
        <f t="shared" si="0"/>
        <v>Account Services</v>
      </c>
      <c r="C22" s="217" t="s">
        <v>48</v>
      </c>
      <c r="D22" s="10"/>
      <c r="E22" s="10"/>
      <c r="F22" s="10"/>
      <c r="G22" s="10"/>
      <c r="H22" s="179"/>
      <c r="I22" s="166"/>
      <c r="J22" s="69"/>
      <c r="K22" s="69"/>
      <c r="L22" s="69"/>
      <c r="M22" s="70"/>
      <c r="N22" s="72"/>
      <c r="O22" s="427"/>
      <c r="P22" s="73"/>
      <c r="Q22" s="60"/>
      <c r="R22" s="179"/>
      <c r="S22" s="166"/>
      <c r="T22" s="69"/>
      <c r="U22" s="69"/>
      <c r="V22" s="69"/>
      <c r="W22" s="70"/>
      <c r="X22" s="71"/>
      <c r="Y22" s="427"/>
      <c r="Z22" s="73"/>
      <c r="AA22" s="60"/>
      <c r="AB22" s="179"/>
      <c r="AC22" s="166"/>
      <c r="AD22" s="69"/>
      <c r="AE22" s="69"/>
      <c r="AF22" s="69"/>
      <c r="AG22" s="70"/>
      <c r="AH22" s="72"/>
      <c r="AI22" s="235"/>
      <c r="AJ22" s="166"/>
      <c r="AK22" s="72"/>
    </row>
    <row r="23" spans="1:37" x14ac:dyDescent="0.3">
      <c r="A23" s="301" t="s">
        <v>8</v>
      </c>
      <c r="B23" s="218" t="str">
        <f t="shared" si="0"/>
        <v>Account ServicesEQUIPMENT</v>
      </c>
      <c r="C23" s="220" t="s">
        <v>50</v>
      </c>
      <c r="D23" s="10"/>
      <c r="E23" s="10"/>
      <c r="F23" s="10"/>
      <c r="G23" s="10"/>
      <c r="H23" s="186" t="s">
        <v>36</v>
      </c>
      <c r="I23" s="167"/>
      <c r="J23" s="74"/>
      <c r="K23" s="74"/>
      <c r="L23" s="74"/>
      <c r="M23" s="66"/>
      <c r="N23" s="76"/>
      <c r="O23" s="428"/>
      <c r="P23" s="65"/>
      <c r="Q23" s="37"/>
      <c r="R23" s="186" t="s">
        <v>36</v>
      </c>
      <c r="S23" s="167"/>
      <c r="T23" s="74"/>
      <c r="U23" s="74"/>
      <c r="V23" s="74"/>
      <c r="W23" s="66"/>
      <c r="X23" s="75"/>
      <c r="Y23" s="428"/>
      <c r="Z23" s="65"/>
      <c r="AA23" s="37"/>
      <c r="AB23" s="186" t="s">
        <v>36</v>
      </c>
      <c r="AC23" s="167"/>
      <c r="AD23" s="74"/>
      <c r="AE23" s="74"/>
      <c r="AF23" s="74"/>
      <c r="AG23" s="66"/>
      <c r="AH23" s="76"/>
      <c r="AI23" s="237"/>
      <c r="AJ23" s="167"/>
      <c r="AK23" s="76"/>
    </row>
    <row r="24" spans="1:37" x14ac:dyDescent="0.3">
      <c r="A24" s="301" t="s">
        <v>8</v>
      </c>
      <c r="B24" s="218" t="str">
        <f t="shared" si="0"/>
        <v>Account Services</v>
      </c>
      <c r="C24" s="217" t="s">
        <v>48</v>
      </c>
      <c r="D24" s="10"/>
      <c r="E24" s="10"/>
      <c r="F24" s="10"/>
      <c r="G24" s="10"/>
      <c r="H24" s="187"/>
      <c r="I24" s="158">
        <f t="shared" ref="I24:I27" si="14">J24*K24</f>
        <v>0</v>
      </c>
      <c r="J24" s="42"/>
      <c r="K24" s="39"/>
      <c r="L24" s="39"/>
      <c r="M24" s="40" t="str">
        <f>J24&amp;" hrs @ "&amp;K24</f>
        <v xml:space="preserve"> hrs @ </v>
      </c>
      <c r="N24" s="76"/>
      <c r="O24" s="428"/>
      <c r="P24" s="65"/>
      <c r="Q24" s="37"/>
      <c r="R24" s="187"/>
      <c r="S24" s="158">
        <f t="shared" ref="S24:S27" si="15">T24*U24</f>
        <v>0</v>
      </c>
      <c r="T24" s="42"/>
      <c r="U24" s="39"/>
      <c r="V24" s="39"/>
      <c r="W24" s="40" t="str">
        <f>T24&amp;" hrs @ "&amp;U24</f>
        <v xml:space="preserve"> hrs @ </v>
      </c>
      <c r="X24" s="75"/>
      <c r="Y24" s="428"/>
      <c r="Z24" s="65"/>
      <c r="AA24" s="37"/>
      <c r="AB24" s="187"/>
      <c r="AC24" s="158">
        <f t="shared" ref="AC24:AC27" si="16">AD24*AE24</f>
        <v>0</v>
      </c>
      <c r="AD24" s="42"/>
      <c r="AE24" s="39"/>
      <c r="AF24" s="39"/>
      <c r="AG24" s="40" t="str">
        <f>AD24&amp;" hrs @ "&amp;AE24</f>
        <v xml:space="preserve"> hrs @ </v>
      </c>
      <c r="AH24" s="76"/>
      <c r="AI24" s="237"/>
      <c r="AJ24" s="158">
        <f>I24+S24+AC24</f>
        <v>0</v>
      </c>
      <c r="AK24" s="76"/>
    </row>
    <row r="25" spans="1:37" x14ac:dyDescent="0.3">
      <c r="A25" s="301" t="s">
        <v>8</v>
      </c>
      <c r="B25" s="218" t="str">
        <f t="shared" si="0"/>
        <v>Account Services</v>
      </c>
      <c r="C25" s="217" t="s">
        <v>48</v>
      </c>
      <c r="D25" s="10"/>
      <c r="E25" s="10"/>
      <c r="F25" s="10"/>
      <c r="G25" s="10"/>
      <c r="H25" s="187"/>
      <c r="I25" s="158"/>
      <c r="J25" s="42"/>
      <c r="K25" s="39"/>
      <c r="L25" s="42"/>
      <c r="M25" s="40" t="str">
        <f t="shared" ref="M25:M27" si="17">J25&amp;" hrs @ "&amp;K25</f>
        <v xml:space="preserve"> hrs @ </v>
      </c>
      <c r="N25" s="79"/>
      <c r="O25" s="422"/>
      <c r="P25" s="80"/>
      <c r="Q25" s="81"/>
      <c r="R25" s="187"/>
      <c r="S25" s="158">
        <f t="shared" si="15"/>
        <v>0</v>
      </c>
      <c r="T25" s="42"/>
      <c r="U25" s="39"/>
      <c r="V25" s="42"/>
      <c r="W25" s="40" t="str">
        <f t="shared" ref="W25:W27" si="18">T25&amp;" hrs @ "&amp;U25</f>
        <v xml:space="preserve"> hrs @ </v>
      </c>
      <c r="X25" s="78"/>
      <c r="Y25" s="422"/>
      <c r="Z25" s="80"/>
      <c r="AA25" s="81"/>
      <c r="AB25" s="187"/>
      <c r="AC25" s="158">
        <f t="shared" si="16"/>
        <v>0</v>
      </c>
      <c r="AD25" s="42"/>
      <c r="AE25" s="39"/>
      <c r="AF25" s="42"/>
      <c r="AG25" s="40" t="str">
        <f t="shared" ref="AG25:AG27" si="19">AD25&amp;" hrs @ "&amp;AE25</f>
        <v xml:space="preserve"> hrs @ </v>
      </c>
      <c r="AH25" s="79"/>
      <c r="AI25" s="238"/>
      <c r="AJ25" s="158">
        <f>I25+S25+AC25</f>
        <v>0</v>
      </c>
      <c r="AK25" s="79"/>
    </row>
    <row r="26" spans="1:37" x14ac:dyDescent="0.3">
      <c r="A26" s="301" t="s">
        <v>8</v>
      </c>
      <c r="B26" s="218" t="str">
        <f t="shared" si="0"/>
        <v>Account Services</v>
      </c>
      <c r="C26" s="217" t="s">
        <v>48</v>
      </c>
      <c r="D26" s="10"/>
      <c r="E26" s="10"/>
      <c r="F26" s="10"/>
      <c r="G26" s="10"/>
      <c r="H26" s="187"/>
      <c r="I26" s="158">
        <f t="shared" si="14"/>
        <v>0</v>
      </c>
      <c r="J26" s="42"/>
      <c r="K26" s="39"/>
      <c r="L26" s="42"/>
      <c r="M26" s="40" t="str">
        <f t="shared" si="17"/>
        <v xml:space="preserve"> hrs @ </v>
      </c>
      <c r="N26" s="79"/>
      <c r="O26" s="422"/>
      <c r="P26" s="80"/>
      <c r="Q26" s="81"/>
      <c r="R26" s="187"/>
      <c r="S26" s="158">
        <f t="shared" si="15"/>
        <v>0</v>
      </c>
      <c r="T26" s="42"/>
      <c r="U26" s="39"/>
      <c r="V26" s="42"/>
      <c r="W26" s="40" t="str">
        <f t="shared" si="18"/>
        <v xml:space="preserve"> hrs @ </v>
      </c>
      <c r="X26" s="78"/>
      <c r="Y26" s="422"/>
      <c r="Z26" s="80"/>
      <c r="AA26" s="81"/>
      <c r="AB26" s="187"/>
      <c r="AC26" s="158">
        <f t="shared" si="16"/>
        <v>0</v>
      </c>
      <c r="AD26" s="42"/>
      <c r="AE26" s="39"/>
      <c r="AF26" s="42"/>
      <c r="AG26" s="40" t="str">
        <f t="shared" si="19"/>
        <v xml:space="preserve"> hrs @ </v>
      </c>
      <c r="AH26" s="79"/>
      <c r="AI26" s="238"/>
      <c r="AJ26" s="158">
        <f>I26+S26+AC26</f>
        <v>0</v>
      </c>
      <c r="AK26" s="79"/>
    </row>
    <row r="27" spans="1:37" x14ac:dyDescent="0.3">
      <c r="A27" s="301" t="s">
        <v>8</v>
      </c>
      <c r="B27" s="218" t="str">
        <f t="shared" si="0"/>
        <v>Account Services</v>
      </c>
      <c r="C27" s="217" t="s">
        <v>48</v>
      </c>
      <c r="D27" s="10"/>
      <c r="E27" s="10"/>
      <c r="F27" s="10"/>
      <c r="G27" s="10"/>
      <c r="H27" s="256"/>
      <c r="I27" s="158">
        <f t="shared" si="14"/>
        <v>0</v>
      </c>
      <c r="J27" s="42"/>
      <c r="K27" s="39"/>
      <c r="L27" s="43"/>
      <c r="M27" s="40" t="str">
        <f t="shared" si="17"/>
        <v xml:space="preserve"> hrs @ </v>
      </c>
      <c r="N27" s="79"/>
      <c r="O27" s="422"/>
      <c r="P27" s="80"/>
      <c r="Q27" s="81"/>
      <c r="R27" s="187"/>
      <c r="S27" s="158">
        <f t="shared" si="15"/>
        <v>0</v>
      </c>
      <c r="T27" s="42"/>
      <c r="U27" s="39"/>
      <c r="V27" s="43"/>
      <c r="W27" s="40" t="str">
        <f t="shared" si="18"/>
        <v xml:space="preserve"> hrs @ </v>
      </c>
      <c r="X27" s="78"/>
      <c r="Y27" s="422"/>
      <c r="Z27" s="80"/>
      <c r="AA27" s="81"/>
      <c r="AB27" s="187"/>
      <c r="AC27" s="158">
        <f t="shared" si="16"/>
        <v>0</v>
      </c>
      <c r="AD27" s="42"/>
      <c r="AE27" s="39"/>
      <c r="AF27" s="43"/>
      <c r="AG27" s="40" t="str">
        <f t="shared" si="19"/>
        <v xml:space="preserve"> hrs @ </v>
      </c>
      <c r="AH27" s="79"/>
      <c r="AI27" s="238"/>
      <c r="AJ27" s="158">
        <f>I27+S27+AC27</f>
        <v>0</v>
      </c>
      <c r="AK27" s="79"/>
    </row>
    <row r="28" spans="1:37" x14ac:dyDescent="0.3">
      <c r="A28" s="301" t="s">
        <v>8</v>
      </c>
      <c r="B28" s="218" t="str">
        <f t="shared" si="0"/>
        <v>Account ServicesTotal Equipment</v>
      </c>
      <c r="C28" s="220" t="s">
        <v>50</v>
      </c>
      <c r="D28" s="10"/>
      <c r="E28" s="116">
        <f>I28</f>
        <v>0</v>
      </c>
      <c r="F28" s="116">
        <f>S28</f>
        <v>0</v>
      </c>
      <c r="G28" s="116">
        <f>AC28</f>
        <v>0</v>
      </c>
      <c r="H28" s="257" t="s">
        <v>37</v>
      </c>
      <c r="I28" s="165">
        <f>SUM(I24:I27)</f>
        <v>0</v>
      </c>
      <c r="J28" s="68"/>
      <c r="K28" s="68"/>
      <c r="L28" s="68"/>
      <c r="M28" s="66"/>
      <c r="N28" s="420">
        <f>I28</f>
        <v>0</v>
      </c>
      <c r="O28" s="425">
        <f>N28/N45</f>
        <v>0</v>
      </c>
      <c r="P28" s="80"/>
      <c r="Q28" s="81"/>
      <c r="R28" s="188" t="s">
        <v>37</v>
      </c>
      <c r="S28" s="165">
        <f>SUM(S24:S27)</f>
        <v>0</v>
      </c>
      <c r="T28" s="68"/>
      <c r="U28" s="68"/>
      <c r="V28" s="68"/>
      <c r="W28" s="66"/>
      <c r="X28" s="52">
        <f>S28</f>
        <v>0</v>
      </c>
      <c r="Y28" s="425">
        <f>X28/X45</f>
        <v>0</v>
      </c>
      <c r="Z28" s="80"/>
      <c r="AA28" s="81"/>
      <c r="AB28" s="188" t="s">
        <v>37</v>
      </c>
      <c r="AC28" s="165">
        <f>SUM(AC24:AC27)</f>
        <v>0</v>
      </c>
      <c r="AD28" s="68"/>
      <c r="AE28" s="68"/>
      <c r="AF28" s="68"/>
      <c r="AG28" s="66"/>
      <c r="AH28" s="420">
        <f>AC28</f>
        <v>0</v>
      </c>
      <c r="AI28" s="233" t="e">
        <f>AH28/AH45</f>
        <v>#DIV/0!</v>
      </c>
      <c r="AJ28" s="165">
        <f>I28+S28+AC28</f>
        <v>0</v>
      </c>
      <c r="AK28" s="420"/>
    </row>
    <row r="29" spans="1:37" x14ac:dyDescent="0.3">
      <c r="A29" s="301" t="s">
        <v>8</v>
      </c>
      <c r="B29" s="218" t="str">
        <f t="shared" si="0"/>
        <v>Account Services</v>
      </c>
      <c r="C29" s="217" t="s">
        <v>48</v>
      </c>
      <c r="D29" s="10"/>
      <c r="E29" s="10"/>
      <c r="F29" s="10"/>
      <c r="G29" s="10"/>
      <c r="H29" s="189"/>
      <c r="I29" s="169"/>
      <c r="J29" s="85"/>
      <c r="K29" s="85"/>
      <c r="L29" s="85"/>
      <c r="M29" s="86"/>
      <c r="N29" s="88"/>
      <c r="O29" s="429"/>
      <c r="P29" s="89"/>
      <c r="Q29" s="60"/>
      <c r="R29" s="189"/>
      <c r="S29" s="169"/>
      <c r="T29" s="85"/>
      <c r="U29" s="85"/>
      <c r="V29" s="85"/>
      <c r="W29" s="86"/>
      <c r="X29" s="87"/>
      <c r="Y29" s="429"/>
      <c r="Z29" s="89"/>
      <c r="AA29" s="60"/>
      <c r="AB29" s="189"/>
      <c r="AC29" s="169"/>
      <c r="AD29" s="85"/>
      <c r="AE29" s="85"/>
      <c r="AF29" s="85"/>
      <c r="AG29" s="86"/>
      <c r="AH29" s="88"/>
      <c r="AI29" s="241"/>
      <c r="AJ29" s="169"/>
      <c r="AK29" s="88"/>
    </row>
    <row r="30" spans="1:37" x14ac:dyDescent="0.3">
      <c r="A30" s="301" t="s">
        <v>8</v>
      </c>
      <c r="B30" s="218" t="str">
        <f t="shared" si="0"/>
        <v>Account ServicesIS SUPPORT</v>
      </c>
      <c r="C30" s="220" t="s">
        <v>50</v>
      </c>
      <c r="D30" s="10"/>
      <c r="E30" s="10"/>
      <c r="F30" s="10"/>
      <c r="G30" s="10"/>
      <c r="H30" s="186" t="s">
        <v>38</v>
      </c>
      <c r="I30" s="167"/>
      <c r="J30" s="74"/>
      <c r="K30" s="74"/>
      <c r="L30" s="74"/>
      <c r="M30" s="66"/>
      <c r="N30" s="91"/>
      <c r="O30" s="430"/>
      <c r="P30" s="92"/>
      <c r="Q30" s="37"/>
      <c r="R30" s="186" t="s">
        <v>38</v>
      </c>
      <c r="S30" s="167"/>
      <c r="T30" s="74"/>
      <c r="U30" s="74"/>
      <c r="V30" s="74"/>
      <c r="W30" s="66"/>
      <c r="X30" s="90"/>
      <c r="Y30" s="430"/>
      <c r="Z30" s="92"/>
      <c r="AA30" s="37"/>
      <c r="AB30" s="186" t="s">
        <v>38</v>
      </c>
      <c r="AC30" s="167"/>
      <c r="AD30" s="74"/>
      <c r="AE30" s="74"/>
      <c r="AF30" s="74"/>
      <c r="AG30" s="66"/>
      <c r="AH30" s="91"/>
      <c r="AI30" s="227"/>
      <c r="AJ30" s="167"/>
      <c r="AK30" s="91"/>
    </row>
    <row r="31" spans="1:37" x14ac:dyDescent="0.3">
      <c r="A31" s="301" t="s">
        <v>8</v>
      </c>
      <c r="B31" s="218" t="str">
        <f t="shared" si="0"/>
        <v>Account ServicesAnalyst Labor</v>
      </c>
      <c r="C31" s="217" t="s">
        <v>48</v>
      </c>
      <c r="D31" s="10"/>
      <c r="E31" s="10"/>
      <c r="F31" s="10"/>
      <c r="G31" s="10"/>
      <c r="H31" s="184" t="s">
        <v>39</v>
      </c>
      <c r="I31" s="163">
        <f>J31*K31</f>
        <v>0</v>
      </c>
      <c r="J31" s="42"/>
      <c r="K31" s="39"/>
      <c r="L31" s="39"/>
      <c r="M31" s="40" t="str">
        <f>J31&amp;" hrs @ "&amp;K31</f>
        <v xml:space="preserve"> hrs @ </v>
      </c>
      <c r="N31" s="94"/>
      <c r="O31" s="423"/>
      <c r="P31" s="92"/>
      <c r="Q31" s="37"/>
      <c r="R31" s="184" t="s">
        <v>39</v>
      </c>
      <c r="S31" s="163">
        <f>T31*U31</f>
        <v>0</v>
      </c>
      <c r="T31" s="42"/>
      <c r="U31" s="39"/>
      <c r="V31" s="39"/>
      <c r="W31" s="40" t="str">
        <f>T31&amp;" hrs @ "&amp;U31</f>
        <v xml:space="preserve"> hrs @ </v>
      </c>
      <c r="X31" s="93"/>
      <c r="Y31" s="423"/>
      <c r="Z31" s="92"/>
      <c r="AA31" s="37"/>
      <c r="AB31" s="184" t="s">
        <v>39</v>
      </c>
      <c r="AC31" s="163">
        <f>AD31*AE31</f>
        <v>0</v>
      </c>
      <c r="AD31" s="42"/>
      <c r="AE31" s="39">
        <v>22.94</v>
      </c>
      <c r="AF31" s="39"/>
      <c r="AG31" s="40" t="str">
        <f>AD31&amp;" hrs @ "&amp;AE31</f>
        <v xml:space="preserve"> hrs @ 22.94</v>
      </c>
      <c r="AH31" s="94"/>
      <c r="AI31" s="242"/>
      <c r="AJ31" s="163">
        <f>I31+S31+AC31</f>
        <v>0</v>
      </c>
      <c r="AK31" s="94"/>
    </row>
    <row r="32" spans="1:37" x14ac:dyDescent="0.3">
      <c r="A32" s="301" t="s">
        <v>8</v>
      </c>
      <c r="B32" s="218" t="str">
        <f t="shared" si="0"/>
        <v>Account ServicesAnalyst Benefits</v>
      </c>
      <c r="C32" s="217" t="s">
        <v>48</v>
      </c>
      <c r="D32" s="10"/>
      <c r="E32" s="10"/>
      <c r="F32" s="10"/>
      <c r="G32" s="10"/>
      <c r="H32" s="179" t="s">
        <v>40</v>
      </c>
      <c r="I32" s="159">
        <f>I31*$O$2</f>
        <v>0</v>
      </c>
      <c r="J32" s="42"/>
      <c r="K32" s="39"/>
      <c r="L32" s="156"/>
      <c r="M32" s="45" t="str">
        <f>"@ "&amp;$O$2*100&amp;" %"</f>
        <v>@ 98.59 %</v>
      </c>
      <c r="N32" s="94"/>
      <c r="O32" s="423"/>
      <c r="P32" s="92"/>
      <c r="Q32" s="37"/>
      <c r="R32" s="184" t="s">
        <v>40</v>
      </c>
      <c r="S32" s="159">
        <f>S31*$O$2</f>
        <v>0</v>
      </c>
      <c r="T32" s="42"/>
      <c r="U32" s="39"/>
      <c r="V32" s="156"/>
      <c r="W32" s="45" t="str">
        <f>"@ "&amp;$O$2*100&amp;" %"</f>
        <v>@ 98.59 %</v>
      </c>
      <c r="X32" s="93"/>
      <c r="Y32" s="423"/>
      <c r="Z32" s="92"/>
      <c r="AA32" s="37"/>
      <c r="AB32" s="184" t="s">
        <v>40</v>
      </c>
      <c r="AC32" s="159">
        <f>AC31*$O$2</f>
        <v>0</v>
      </c>
      <c r="AD32" s="42"/>
      <c r="AE32" s="39"/>
      <c r="AF32" s="156"/>
      <c r="AG32" s="45" t="str">
        <f>"@ "&amp;$O$2*100&amp;" %"</f>
        <v>@ 98.59 %</v>
      </c>
      <c r="AH32" s="94"/>
      <c r="AI32" s="242"/>
      <c r="AJ32" s="159">
        <f>I32+S32+AC32</f>
        <v>0</v>
      </c>
      <c r="AK32" s="94"/>
    </row>
    <row r="33" spans="1:37" x14ac:dyDescent="0.3">
      <c r="A33" s="301" t="s">
        <v>8</v>
      </c>
      <c r="B33" s="218" t="str">
        <f t="shared" si="0"/>
        <v>Account ServicesTotal IS</v>
      </c>
      <c r="C33" s="220" t="s">
        <v>50</v>
      </c>
      <c r="D33" s="10"/>
      <c r="E33" s="10"/>
      <c r="F33" s="10"/>
      <c r="G33" s="10"/>
      <c r="H33" s="258" t="s">
        <v>41</v>
      </c>
      <c r="I33" s="165">
        <f>I31+I32</f>
        <v>0</v>
      </c>
      <c r="J33" s="68"/>
      <c r="K33" s="68"/>
      <c r="L33" s="68"/>
      <c r="M33" s="66"/>
      <c r="N33" s="420">
        <f>I33</f>
        <v>0</v>
      </c>
      <c r="O33" s="425">
        <f>N33/N45</f>
        <v>0</v>
      </c>
      <c r="P33" s="92"/>
      <c r="Q33" s="37"/>
      <c r="R33" s="185" t="s">
        <v>41</v>
      </c>
      <c r="S33" s="165">
        <f>S31+S32</f>
        <v>0</v>
      </c>
      <c r="T33" s="68"/>
      <c r="U33" s="68"/>
      <c r="V33" s="68"/>
      <c r="W33" s="66"/>
      <c r="X33" s="52">
        <f>S33</f>
        <v>0</v>
      </c>
      <c r="Y33" s="425">
        <f>X33/X45</f>
        <v>0</v>
      </c>
      <c r="Z33" s="92"/>
      <c r="AA33" s="37"/>
      <c r="AB33" s="185" t="s">
        <v>41</v>
      </c>
      <c r="AC33" s="165">
        <f>AC31+AC32</f>
        <v>0</v>
      </c>
      <c r="AD33" s="68"/>
      <c r="AE33" s="68"/>
      <c r="AF33" s="68"/>
      <c r="AG33" s="66"/>
      <c r="AH33" s="420">
        <f>AC33</f>
        <v>0</v>
      </c>
      <c r="AI33" s="233" t="e">
        <f>AH33/AH45</f>
        <v>#DIV/0!</v>
      </c>
      <c r="AJ33" s="165">
        <f>I33+S33+AC33</f>
        <v>0</v>
      </c>
      <c r="AK33" s="420"/>
    </row>
    <row r="34" spans="1:37" x14ac:dyDescent="0.3">
      <c r="A34" s="301" t="s">
        <v>8</v>
      </c>
      <c r="B34" s="218" t="str">
        <f t="shared" si="0"/>
        <v>Account Services</v>
      </c>
      <c r="C34" s="217" t="s">
        <v>48</v>
      </c>
      <c r="D34" s="10"/>
      <c r="E34" s="10"/>
      <c r="F34" s="10"/>
      <c r="G34" s="10"/>
      <c r="H34" s="179"/>
      <c r="I34" s="170"/>
      <c r="J34" s="95"/>
      <c r="K34" s="95"/>
      <c r="L34" s="95"/>
      <c r="M34" s="96"/>
      <c r="N34" s="98"/>
      <c r="O34" s="431"/>
      <c r="P34" s="99"/>
      <c r="Q34" s="60"/>
      <c r="R34" s="179"/>
      <c r="S34" s="170"/>
      <c r="T34" s="95"/>
      <c r="U34" s="95"/>
      <c r="V34" s="95"/>
      <c r="W34" s="96"/>
      <c r="X34" s="97"/>
      <c r="Y34" s="431"/>
      <c r="Z34" s="99"/>
      <c r="AA34" s="60"/>
      <c r="AB34" s="179"/>
      <c r="AC34" s="170"/>
      <c r="AD34" s="95"/>
      <c r="AE34" s="95"/>
      <c r="AF34" s="95"/>
      <c r="AG34" s="96"/>
      <c r="AH34" s="98"/>
      <c r="AI34" s="243"/>
      <c r="AJ34" s="170"/>
      <c r="AK34" s="98"/>
    </row>
    <row r="35" spans="1:37" x14ac:dyDescent="0.3">
      <c r="A35" s="301" t="s">
        <v>8</v>
      </c>
      <c r="B35" s="218" t="str">
        <f t="shared" si="0"/>
        <v>Account ServicesOTHER</v>
      </c>
      <c r="C35" s="220" t="s">
        <v>50</v>
      </c>
      <c r="D35" s="10"/>
      <c r="E35" s="10"/>
      <c r="F35" s="10"/>
      <c r="G35" s="10"/>
      <c r="H35" s="186" t="s">
        <v>42</v>
      </c>
      <c r="I35" s="167"/>
      <c r="J35" s="74"/>
      <c r="K35" s="74"/>
      <c r="L35" s="74"/>
      <c r="M35" s="66"/>
      <c r="N35" s="91"/>
      <c r="O35" s="430"/>
      <c r="P35" s="92"/>
      <c r="Q35" s="37"/>
      <c r="R35" s="186" t="s">
        <v>42</v>
      </c>
      <c r="S35" s="167"/>
      <c r="T35" s="74"/>
      <c r="U35" s="74"/>
      <c r="V35" s="74"/>
      <c r="W35" s="66"/>
      <c r="X35" s="90"/>
      <c r="Y35" s="430"/>
      <c r="Z35" s="92"/>
      <c r="AA35" s="37"/>
      <c r="AB35" s="186" t="s">
        <v>42</v>
      </c>
      <c r="AC35" s="167"/>
      <c r="AD35" s="74"/>
      <c r="AE35" s="74"/>
      <c r="AF35" s="74"/>
      <c r="AG35" s="66"/>
      <c r="AH35" s="91"/>
      <c r="AI35" s="227"/>
      <c r="AJ35" s="167"/>
      <c r="AK35" s="91"/>
    </row>
    <row r="36" spans="1:37" x14ac:dyDescent="0.3">
      <c r="A36" s="301" t="s">
        <v>8</v>
      </c>
      <c r="B36" s="218" t="str">
        <f t="shared" si="0"/>
        <v>Account Services</v>
      </c>
      <c r="C36" s="217" t="s">
        <v>48</v>
      </c>
      <c r="D36" s="10"/>
      <c r="E36" s="10"/>
      <c r="F36" s="10"/>
      <c r="G36" s="10"/>
      <c r="H36" s="184"/>
      <c r="I36" s="163">
        <f>J36*K36</f>
        <v>0</v>
      </c>
      <c r="J36" s="42"/>
      <c r="K36" s="39"/>
      <c r="L36" s="42"/>
      <c r="M36" s="66"/>
      <c r="N36" s="91"/>
      <c r="O36" s="430"/>
      <c r="P36" s="92"/>
      <c r="Q36" s="37"/>
      <c r="R36" s="184"/>
      <c r="S36" s="163">
        <f>T36*U36</f>
        <v>0</v>
      </c>
      <c r="T36" s="42"/>
      <c r="U36" s="39"/>
      <c r="V36" s="42"/>
      <c r="W36" s="66"/>
      <c r="X36" s="90"/>
      <c r="Y36" s="430"/>
      <c r="Z36" s="92"/>
      <c r="AA36" s="37"/>
      <c r="AB36" s="184"/>
      <c r="AC36" s="163">
        <f>AD36*AE36</f>
        <v>0</v>
      </c>
      <c r="AD36" s="42"/>
      <c r="AE36" s="39"/>
      <c r="AF36" s="42"/>
      <c r="AG36" s="66"/>
      <c r="AH36" s="91"/>
      <c r="AI36" s="227"/>
      <c r="AJ36" s="163"/>
      <c r="AK36" s="91"/>
    </row>
    <row r="37" spans="1:37" x14ac:dyDescent="0.3">
      <c r="A37" s="301" t="s">
        <v>8</v>
      </c>
      <c r="B37" s="218" t="str">
        <f t="shared" si="0"/>
        <v>Account Services</v>
      </c>
      <c r="C37" s="217" t="s">
        <v>48</v>
      </c>
      <c r="D37" s="10"/>
      <c r="E37" s="10"/>
      <c r="F37" s="10"/>
      <c r="G37" s="10"/>
      <c r="H37" s="184"/>
      <c r="I37" s="163">
        <f t="shared" ref="I37:I41" si="20">J37*K37</f>
        <v>0</v>
      </c>
      <c r="J37" s="42"/>
      <c r="K37" s="39"/>
      <c r="L37" s="42"/>
      <c r="M37" s="66"/>
      <c r="N37" s="91"/>
      <c r="O37" s="430"/>
      <c r="P37" s="92"/>
      <c r="Q37" s="37"/>
      <c r="R37" s="184"/>
      <c r="S37" s="163">
        <f t="shared" ref="S37:S41" si="21">T37*U37</f>
        <v>0</v>
      </c>
      <c r="T37" s="42"/>
      <c r="U37" s="39"/>
      <c r="V37" s="42"/>
      <c r="W37" s="66"/>
      <c r="X37" s="90"/>
      <c r="Y37" s="430"/>
      <c r="Z37" s="92"/>
      <c r="AA37" s="37"/>
      <c r="AB37" s="184"/>
      <c r="AC37" s="163">
        <f t="shared" ref="AC37:AC41" si="22">AD37*AE37</f>
        <v>0</v>
      </c>
      <c r="AD37" s="42"/>
      <c r="AE37" s="39"/>
      <c r="AF37" s="42"/>
      <c r="AG37" s="66"/>
      <c r="AH37" s="91"/>
      <c r="AI37" s="227"/>
      <c r="AJ37" s="163"/>
      <c r="AK37" s="91"/>
    </row>
    <row r="38" spans="1:37" x14ac:dyDescent="0.3">
      <c r="A38" s="301" t="s">
        <v>8</v>
      </c>
      <c r="B38" s="218" t="str">
        <f t="shared" si="0"/>
        <v>Account Services</v>
      </c>
      <c r="C38" s="217" t="s">
        <v>48</v>
      </c>
      <c r="D38" s="10"/>
      <c r="E38" s="10"/>
      <c r="F38" s="10"/>
      <c r="G38" s="10"/>
      <c r="H38" s="184"/>
      <c r="I38" s="163">
        <f t="shared" si="20"/>
        <v>0</v>
      </c>
      <c r="J38" s="42"/>
      <c r="K38" s="39"/>
      <c r="L38" s="42"/>
      <c r="M38" s="66"/>
      <c r="N38" s="91"/>
      <c r="O38" s="430"/>
      <c r="P38" s="92"/>
      <c r="Q38" s="37"/>
      <c r="R38" s="184"/>
      <c r="S38" s="163">
        <f t="shared" si="21"/>
        <v>0</v>
      </c>
      <c r="T38" s="42"/>
      <c r="U38" s="39"/>
      <c r="V38" s="42"/>
      <c r="W38" s="66"/>
      <c r="X38" s="90"/>
      <c r="Y38" s="430"/>
      <c r="Z38" s="92"/>
      <c r="AA38" s="37"/>
      <c r="AB38" s="184"/>
      <c r="AC38" s="163">
        <f t="shared" si="22"/>
        <v>0</v>
      </c>
      <c r="AD38" s="42"/>
      <c r="AE38" s="39"/>
      <c r="AF38" s="42"/>
      <c r="AG38" s="66"/>
      <c r="AH38" s="91"/>
      <c r="AI38" s="227"/>
      <c r="AJ38" s="163"/>
      <c r="AK38" s="91"/>
    </row>
    <row r="39" spans="1:37" x14ac:dyDescent="0.3">
      <c r="A39" s="301" t="s">
        <v>8</v>
      </c>
      <c r="B39" s="218" t="str">
        <f t="shared" si="0"/>
        <v>Account Services</v>
      </c>
      <c r="C39" s="217" t="s">
        <v>48</v>
      </c>
      <c r="D39" s="10"/>
      <c r="E39" s="10"/>
      <c r="F39" s="10"/>
      <c r="G39" s="10"/>
      <c r="H39" s="184"/>
      <c r="I39" s="163">
        <f t="shared" si="20"/>
        <v>0</v>
      </c>
      <c r="J39" s="42"/>
      <c r="K39" s="39"/>
      <c r="L39" s="42"/>
      <c r="M39" s="66"/>
      <c r="N39" s="91"/>
      <c r="O39" s="430"/>
      <c r="P39" s="92"/>
      <c r="Q39" s="37"/>
      <c r="R39" s="184"/>
      <c r="S39" s="163">
        <f t="shared" si="21"/>
        <v>0</v>
      </c>
      <c r="T39" s="42"/>
      <c r="U39" s="39"/>
      <c r="V39" s="42"/>
      <c r="W39" s="66"/>
      <c r="X39" s="90"/>
      <c r="Y39" s="430"/>
      <c r="Z39" s="92"/>
      <c r="AA39" s="37"/>
      <c r="AB39" s="184"/>
      <c r="AC39" s="163">
        <f t="shared" si="22"/>
        <v>0</v>
      </c>
      <c r="AD39" s="42"/>
      <c r="AE39" s="39"/>
      <c r="AF39" s="42"/>
      <c r="AG39" s="66"/>
      <c r="AH39" s="91"/>
      <c r="AI39" s="227"/>
      <c r="AJ39" s="163"/>
      <c r="AK39" s="91"/>
    </row>
    <row r="40" spans="1:37" x14ac:dyDescent="0.3">
      <c r="A40" s="301" t="s">
        <v>8</v>
      </c>
      <c r="B40" s="218" t="str">
        <f t="shared" si="0"/>
        <v>Account Services</v>
      </c>
      <c r="C40" s="217" t="s">
        <v>48</v>
      </c>
      <c r="D40" s="10"/>
      <c r="E40" s="10"/>
      <c r="F40" s="10"/>
      <c r="G40" s="10"/>
      <c r="H40" s="184"/>
      <c r="I40" s="163">
        <f t="shared" si="20"/>
        <v>0</v>
      </c>
      <c r="J40" s="42"/>
      <c r="K40" s="39"/>
      <c r="L40" s="42"/>
      <c r="M40" s="66"/>
      <c r="N40" s="91"/>
      <c r="O40" s="430"/>
      <c r="P40" s="92"/>
      <c r="Q40" s="37"/>
      <c r="R40" s="184"/>
      <c r="S40" s="163">
        <f t="shared" si="21"/>
        <v>0</v>
      </c>
      <c r="T40" s="42"/>
      <c r="U40" s="39"/>
      <c r="V40" s="42"/>
      <c r="W40" s="66"/>
      <c r="X40" s="90"/>
      <c r="Y40" s="430"/>
      <c r="Z40" s="92"/>
      <c r="AA40" s="37"/>
      <c r="AB40" s="184"/>
      <c r="AC40" s="163">
        <f t="shared" si="22"/>
        <v>0</v>
      </c>
      <c r="AD40" s="42"/>
      <c r="AE40" s="39"/>
      <c r="AF40" s="42"/>
      <c r="AG40" s="66"/>
      <c r="AH40" s="91"/>
      <c r="AI40" s="227"/>
      <c r="AJ40" s="163"/>
      <c r="AK40" s="91"/>
    </row>
    <row r="41" spans="1:37" x14ac:dyDescent="0.3">
      <c r="A41" s="301" t="s">
        <v>8</v>
      </c>
      <c r="B41" s="218" t="str">
        <f t="shared" si="0"/>
        <v>Account Services</v>
      </c>
      <c r="C41" s="217" t="s">
        <v>48</v>
      </c>
      <c r="D41" s="10"/>
      <c r="E41" s="10"/>
      <c r="F41" s="10"/>
      <c r="G41" s="10"/>
      <c r="H41" s="179"/>
      <c r="I41" s="163">
        <f t="shared" si="20"/>
        <v>0</v>
      </c>
      <c r="J41" s="82"/>
      <c r="K41" s="82"/>
      <c r="L41" s="67"/>
      <c r="M41" s="177"/>
      <c r="N41" s="94"/>
      <c r="O41" s="423"/>
      <c r="P41" s="92"/>
      <c r="Q41" s="37"/>
      <c r="R41" s="184"/>
      <c r="S41" s="163">
        <f t="shared" si="21"/>
        <v>0</v>
      </c>
      <c r="T41" s="82"/>
      <c r="U41" s="82"/>
      <c r="V41" s="67"/>
      <c r="W41" s="177"/>
      <c r="X41" s="93"/>
      <c r="Y41" s="423"/>
      <c r="Z41" s="92"/>
      <c r="AA41" s="37"/>
      <c r="AB41" s="184"/>
      <c r="AC41" s="163">
        <f t="shared" si="22"/>
        <v>0</v>
      </c>
      <c r="AD41" s="82"/>
      <c r="AE41" s="82"/>
      <c r="AF41" s="67"/>
      <c r="AG41" s="177"/>
      <c r="AH41" s="94"/>
      <c r="AI41" s="242"/>
      <c r="AJ41" s="163"/>
      <c r="AK41" s="94"/>
    </row>
    <row r="42" spans="1:37" x14ac:dyDescent="0.3">
      <c r="A42" s="301" t="s">
        <v>8</v>
      </c>
      <c r="B42" s="218" t="str">
        <f t="shared" si="0"/>
        <v>Account ServicesTotal Other</v>
      </c>
      <c r="C42" s="220" t="s">
        <v>50</v>
      </c>
      <c r="D42" s="10"/>
      <c r="E42" s="116">
        <f>I42</f>
        <v>0</v>
      </c>
      <c r="F42" s="116">
        <f>S42</f>
        <v>0</v>
      </c>
      <c r="G42" s="116">
        <f>AC42</f>
        <v>0</v>
      </c>
      <c r="H42" s="229" t="s">
        <v>45</v>
      </c>
      <c r="I42" s="209">
        <f>SUM(I36:I41)</f>
        <v>0</v>
      </c>
      <c r="J42" s="152"/>
      <c r="K42" s="152"/>
      <c r="L42" s="152"/>
      <c r="M42" s="86"/>
      <c r="N42" s="210">
        <f>I42</f>
        <v>0</v>
      </c>
      <c r="O42" s="211">
        <f>N42/N45</f>
        <v>0</v>
      </c>
      <c r="P42" s="99"/>
      <c r="Q42" s="60"/>
      <c r="R42" s="134" t="s">
        <v>45</v>
      </c>
      <c r="S42" s="209">
        <f>SUM(S36:S41)</f>
        <v>0</v>
      </c>
      <c r="T42" s="152"/>
      <c r="U42" s="152"/>
      <c r="V42" s="152"/>
      <c r="W42" s="86"/>
      <c r="X42" s="210">
        <f>S42</f>
        <v>0</v>
      </c>
      <c r="Y42" s="211">
        <f>X42/X45</f>
        <v>0</v>
      </c>
      <c r="Z42" s="99"/>
      <c r="AA42" s="60"/>
      <c r="AB42" s="134" t="s">
        <v>45</v>
      </c>
      <c r="AC42" s="209">
        <f>SUM(AC36:AC41)</f>
        <v>0</v>
      </c>
      <c r="AD42" s="152"/>
      <c r="AE42" s="152"/>
      <c r="AF42" s="152"/>
      <c r="AG42" s="86"/>
      <c r="AH42" s="210">
        <f>AC42</f>
        <v>0</v>
      </c>
      <c r="AI42" s="211" t="e">
        <f>AH42/AH45</f>
        <v>#DIV/0!</v>
      </c>
      <c r="AJ42" s="209">
        <f>I42+S42+AC42</f>
        <v>0</v>
      </c>
      <c r="AK42" s="210"/>
    </row>
    <row r="43" spans="1:37" x14ac:dyDescent="0.3">
      <c r="A43" s="301" t="s">
        <v>8</v>
      </c>
      <c r="B43" s="218" t="str">
        <f t="shared" si="0"/>
        <v>Account Services</v>
      </c>
      <c r="C43" s="217" t="s">
        <v>48</v>
      </c>
      <c r="D43" s="10"/>
      <c r="E43" s="10"/>
      <c r="F43" s="10"/>
      <c r="G43" s="10"/>
      <c r="H43" s="135"/>
      <c r="I43" s="171"/>
      <c r="J43" s="153"/>
      <c r="K43" s="153"/>
      <c r="L43" s="153"/>
      <c r="M43" s="66"/>
      <c r="N43" s="91"/>
      <c r="O43" s="135"/>
      <c r="P43" s="92"/>
      <c r="Q43" s="37"/>
      <c r="R43" s="135"/>
      <c r="S43" s="171"/>
      <c r="T43" s="153"/>
      <c r="U43" s="153"/>
      <c r="V43" s="153"/>
      <c r="W43" s="66"/>
      <c r="X43" s="90"/>
      <c r="Y43" s="135"/>
      <c r="Z43" s="92"/>
      <c r="AA43" s="37"/>
      <c r="AB43" s="135"/>
      <c r="AC43" s="171"/>
      <c r="AD43" s="153"/>
      <c r="AE43" s="153"/>
      <c r="AF43" s="153"/>
      <c r="AG43" s="66"/>
      <c r="AH43" s="91"/>
      <c r="AI43" s="135"/>
      <c r="AJ43" s="171"/>
      <c r="AK43" s="91"/>
    </row>
    <row r="44" spans="1:37" x14ac:dyDescent="0.3">
      <c r="A44" s="301" t="s">
        <v>8</v>
      </c>
      <c r="B44" s="218" t="str">
        <f t="shared" si="0"/>
        <v>Account ServicesTOTALS</v>
      </c>
      <c r="C44" s="217" t="s">
        <v>48</v>
      </c>
      <c r="D44" s="10"/>
      <c r="E44" s="10"/>
      <c r="F44" s="10"/>
      <c r="G44" s="10"/>
      <c r="H44" s="136" t="s">
        <v>28</v>
      </c>
      <c r="I44" s="172"/>
      <c r="J44" s="42"/>
      <c r="K44" s="39"/>
      <c r="L44" s="154"/>
      <c r="M44" s="33"/>
      <c r="N44" s="91"/>
      <c r="O44" s="136"/>
      <c r="P44" s="92"/>
      <c r="Q44" s="37"/>
      <c r="R44" s="136" t="s">
        <v>28</v>
      </c>
      <c r="S44" s="172"/>
      <c r="T44" s="42"/>
      <c r="U44" s="39"/>
      <c r="V44" s="154"/>
      <c r="W44" s="33"/>
      <c r="X44" s="90"/>
      <c r="Y44" s="136"/>
      <c r="Z44" s="92"/>
      <c r="AA44" s="37"/>
      <c r="AB44" s="136" t="s">
        <v>28</v>
      </c>
      <c r="AC44" s="172"/>
      <c r="AD44" s="42"/>
      <c r="AE44" s="39"/>
      <c r="AF44" s="154"/>
      <c r="AG44" s="33"/>
      <c r="AH44" s="91"/>
      <c r="AI44" s="136"/>
      <c r="AJ44" s="172"/>
      <c r="AK44" s="91"/>
    </row>
    <row r="45" spans="1:37" x14ac:dyDescent="0.3">
      <c r="A45" s="301" t="s">
        <v>8</v>
      </c>
      <c r="B45" s="218" t="str">
        <f t="shared" si="0"/>
        <v>Account ServicesPER YEAR</v>
      </c>
      <c r="C45" s="220" t="s">
        <v>50</v>
      </c>
      <c r="D45" s="10"/>
      <c r="E45" s="116">
        <f>I45</f>
        <v>26760.439398000002</v>
      </c>
      <c r="F45" s="116">
        <f>S45</f>
        <v>2167.3119649999999</v>
      </c>
      <c r="G45" s="116">
        <f>S45</f>
        <v>2167.3119649999999</v>
      </c>
      <c r="H45" s="105" t="s">
        <v>46</v>
      </c>
      <c r="I45" s="106">
        <f>I14+I21+I28+I33+I42</f>
        <v>26760.439398000002</v>
      </c>
      <c r="J45" s="106"/>
      <c r="K45" s="106"/>
      <c r="L45" s="106"/>
      <c r="M45" s="107"/>
      <c r="N45" s="420">
        <f>SUM(N14:N43)</f>
        <v>26760.439398000002</v>
      </c>
      <c r="O45" s="425">
        <f>SUM(O14:O43)</f>
        <v>1</v>
      </c>
      <c r="P45" s="92"/>
      <c r="Q45" s="37"/>
      <c r="R45" s="190" t="s">
        <v>46</v>
      </c>
      <c r="S45" s="106">
        <f>S14+S21+S28+S33+S42</f>
        <v>2167.3119649999999</v>
      </c>
      <c r="T45" s="106"/>
      <c r="U45" s="106"/>
      <c r="V45" s="106"/>
      <c r="W45" s="107"/>
      <c r="X45" s="52">
        <f>SUM(X14:X43)</f>
        <v>2167.3119649999999</v>
      </c>
      <c r="Y45" s="425">
        <f>SUM(Y14:Y43)</f>
        <v>1</v>
      </c>
      <c r="Z45" s="92"/>
      <c r="AA45" s="37"/>
      <c r="AB45" s="190" t="s">
        <v>46</v>
      </c>
      <c r="AC45" s="106">
        <f>AC14+AC21+AC28+AC33+AC42</f>
        <v>0</v>
      </c>
      <c r="AD45" s="106"/>
      <c r="AE45" s="106"/>
      <c r="AF45" s="106"/>
      <c r="AG45" s="107"/>
      <c r="AH45" s="420">
        <f>SUM(AH14:AH43)</f>
        <v>0</v>
      </c>
      <c r="AI45" s="233" t="e">
        <f>SUM(AI14:AI43)</f>
        <v>#DIV/0!</v>
      </c>
      <c r="AJ45" s="106">
        <f>I45+S45+AC45</f>
        <v>28927.751363000003</v>
      </c>
      <c r="AK45" s="420"/>
    </row>
    <row r="46" spans="1:37" x14ac:dyDescent="0.3">
      <c r="A46" s="301" t="s">
        <v>8</v>
      </c>
      <c r="B46" s="218" t="str">
        <f t="shared" si="0"/>
        <v>Account ServicesPER BILL</v>
      </c>
      <c r="C46" s="220" t="s">
        <v>50</v>
      </c>
      <c r="D46" s="10"/>
      <c r="E46" s="10"/>
      <c r="F46" s="10"/>
      <c r="G46" s="10"/>
      <c r="H46" s="245" t="s">
        <v>286</v>
      </c>
      <c r="I46" s="660">
        <f>I45/I$6</f>
        <v>3.4260773720011114E-3</v>
      </c>
      <c r="J46" s="661"/>
      <c r="K46" s="661"/>
      <c r="L46" s="661"/>
      <c r="M46" s="662"/>
      <c r="N46" s="98"/>
      <c r="O46" s="137"/>
      <c r="P46" s="99"/>
      <c r="Q46" s="60"/>
      <c r="R46" s="245" t="s">
        <v>286</v>
      </c>
      <c r="S46" s="108">
        <f>S45/S$6</f>
        <v>2.8449657327456069E-3</v>
      </c>
      <c r="T46" s="108"/>
      <c r="U46" s="108"/>
      <c r="V46" s="108"/>
      <c r="W46" s="109"/>
      <c r="X46" s="97"/>
      <c r="Y46" s="137"/>
      <c r="Z46" s="99"/>
      <c r="AA46" s="60"/>
      <c r="AB46" s="245" t="s">
        <v>286</v>
      </c>
      <c r="AC46" s="108">
        <f>AC45/AC$6</f>
        <v>0</v>
      </c>
      <c r="AD46" s="108"/>
      <c r="AE46" s="108"/>
      <c r="AF46" s="108"/>
      <c r="AG46" s="109"/>
      <c r="AH46" s="98"/>
      <c r="AI46" s="137"/>
      <c r="AJ46" s="108">
        <f>I46+S46+AC46</f>
        <v>6.2710431047467187E-3</v>
      </c>
      <c r="AK46" s="98"/>
    </row>
    <row r="47" spans="1:37" x14ac:dyDescent="0.3">
      <c r="A47" s="301" t="s">
        <v>8</v>
      </c>
      <c r="B47" s="218"/>
      <c r="C47" s="220"/>
      <c r="D47" s="10"/>
      <c r="E47" s="10"/>
      <c r="F47" s="10"/>
      <c r="G47" s="10"/>
      <c r="H47" s="137" t="s">
        <v>585</v>
      </c>
      <c r="I47" s="659">
        <f>I14+I21</f>
        <v>26760.439398000002</v>
      </c>
      <c r="J47" s="108"/>
      <c r="K47" s="108"/>
      <c r="L47" s="108"/>
      <c r="M47" s="109"/>
      <c r="N47" s="656"/>
      <c r="O47" s="657"/>
      <c r="P47" s="92"/>
      <c r="Q47" s="37"/>
      <c r="R47" s="137" t="s">
        <v>585</v>
      </c>
      <c r="S47" s="659">
        <f>S14+S21</f>
        <v>2167.3119649999999</v>
      </c>
      <c r="T47" s="108"/>
      <c r="U47" s="108"/>
      <c r="V47" s="108"/>
      <c r="W47" s="109"/>
      <c r="X47" s="658"/>
      <c r="Y47" s="657"/>
      <c r="Z47" s="92"/>
      <c r="AA47" s="37"/>
      <c r="AB47" s="137" t="s">
        <v>585</v>
      </c>
      <c r="AC47" s="659">
        <f>AC14+AC21</f>
        <v>0</v>
      </c>
      <c r="AD47" s="108"/>
      <c r="AE47" s="108"/>
      <c r="AF47" s="108"/>
      <c r="AG47" s="109"/>
      <c r="AH47" s="656"/>
      <c r="AI47" s="137"/>
      <c r="AJ47" s="659">
        <f>I47+S47+AC47</f>
        <v>28927.751363000003</v>
      </c>
      <c r="AK47" s="656"/>
    </row>
    <row r="48" spans="1:37" x14ac:dyDescent="0.3">
      <c r="A48" s="301" t="s">
        <v>8</v>
      </c>
      <c r="B48" s="218"/>
      <c r="C48" s="220"/>
      <c r="D48" s="10"/>
      <c r="E48" s="10"/>
      <c r="F48" s="10"/>
      <c r="G48" s="10"/>
      <c r="H48" s="137" t="s">
        <v>586</v>
      </c>
      <c r="I48" s="659">
        <f>I42+I33+I28</f>
        <v>0</v>
      </c>
      <c r="J48" s="108"/>
      <c r="K48" s="659"/>
      <c r="L48" s="108"/>
      <c r="M48" s="109"/>
      <c r="N48" s="656"/>
      <c r="O48" s="657"/>
      <c r="P48" s="92"/>
      <c r="Q48" s="37"/>
      <c r="R48" s="137" t="s">
        <v>586</v>
      </c>
      <c r="S48" s="659">
        <f>S42+S33+S28</f>
        <v>0</v>
      </c>
      <c r="T48" s="108"/>
      <c r="U48" s="659"/>
      <c r="V48" s="108"/>
      <c r="W48" s="109"/>
      <c r="X48" s="658"/>
      <c r="Y48" s="657"/>
      <c r="Z48" s="92"/>
      <c r="AA48" s="37"/>
      <c r="AB48" s="137" t="s">
        <v>586</v>
      </c>
      <c r="AC48" s="659">
        <f>AC42+AC33+AC28</f>
        <v>0</v>
      </c>
      <c r="AD48" s="108"/>
      <c r="AE48" s="659"/>
      <c r="AF48" s="108"/>
      <c r="AG48" s="109"/>
      <c r="AH48" s="656"/>
      <c r="AI48" s="137"/>
      <c r="AJ48" s="659">
        <f>I48+S48+AC48</f>
        <v>0</v>
      </c>
      <c r="AK48" s="656"/>
    </row>
    <row r="49" spans="1:37" x14ac:dyDescent="0.3">
      <c r="A49" s="301" t="s">
        <v>8</v>
      </c>
      <c r="B49" s="218"/>
      <c r="C49" s="220"/>
      <c r="D49" s="10"/>
      <c r="E49" s="10"/>
      <c r="F49" s="10"/>
      <c r="G49" s="10"/>
      <c r="H49" s="137" t="s">
        <v>584</v>
      </c>
      <c r="I49" s="659">
        <f>I45</f>
        <v>26760.439398000002</v>
      </c>
      <c r="J49" s="108"/>
      <c r="K49" s="108"/>
      <c r="L49" s="108"/>
      <c r="M49" s="109"/>
      <c r="N49" s="656"/>
      <c r="O49" s="657"/>
      <c r="P49" s="92"/>
      <c r="Q49" s="37"/>
      <c r="R49" s="137" t="s">
        <v>584</v>
      </c>
      <c r="S49" s="659">
        <f>S45</f>
        <v>2167.3119649999999</v>
      </c>
      <c r="T49" s="108"/>
      <c r="U49" s="108"/>
      <c r="V49" s="108"/>
      <c r="W49" s="109"/>
      <c r="X49" s="658"/>
      <c r="Y49" s="657"/>
      <c r="Z49" s="92"/>
      <c r="AA49" s="37"/>
      <c r="AB49" s="137" t="s">
        <v>584</v>
      </c>
      <c r="AC49" s="659">
        <f>AC45</f>
        <v>0</v>
      </c>
      <c r="AD49" s="108"/>
      <c r="AE49" s="108"/>
      <c r="AF49" s="108"/>
      <c r="AG49" s="109"/>
      <c r="AH49" s="656"/>
      <c r="AI49" s="137"/>
      <c r="AJ49" s="659">
        <f>I49+S49+AC49</f>
        <v>28927.751363000003</v>
      </c>
      <c r="AK49" s="656"/>
    </row>
    <row r="50" spans="1:37" ht="64.2" customHeight="1" x14ac:dyDescent="0.3">
      <c r="A50" s="301" t="s">
        <v>5</v>
      </c>
      <c r="B50" s="218" t="str">
        <f t="shared" ref="B50:B60" si="23">A50&amp;H50</f>
        <v>MASTLABOR: NON-SUPERVISORY</v>
      </c>
      <c r="C50" s="218" t="s">
        <v>5</v>
      </c>
      <c r="D50" s="10" t="str">
        <f>'2015Summary METER to CASH (Base'!C16</f>
        <v>* Initiate corrective action for non-reporting readers (Talon)</v>
      </c>
      <c r="E50" s="117">
        <f>N90</f>
        <v>0</v>
      </c>
      <c r="F50" s="117">
        <f>X90</f>
        <v>4029.6458827993793</v>
      </c>
      <c r="G50" s="117">
        <f>AC90</f>
        <v>44810.427262778067</v>
      </c>
      <c r="H50" s="183" t="s">
        <v>31</v>
      </c>
      <c r="I50" s="157"/>
      <c r="J50" s="118"/>
      <c r="K50" s="118"/>
      <c r="L50" s="118"/>
      <c r="M50" s="119"/>
      <c r="N50" s="121"/>
      <c r="O50" s="206"/>
      <c r="P50" s="122"/>
      <c r="Q50" s="123"/>
      <c r="R50" s="183" t="s">
        <v>31</v>
      </c>
      <c r="S50" s="157"/>
      <c r="T50" s="118"/>
      <c r="U50" s="118"/>
      <c r="V50" s="118"/>
      <c r="W50" s="119"/>
      <c r="X50" s="120"/>
      <c r="Y50" s="206"/>
      <c r="Z50" s="122"/>
      <c r="AA50" s="123"/>
      <c r="AB50" s="183" t="s">
        <v>31</v>
      </c>
      <c r="AC50" s="157"/>
      <c r="AD50" s="118"/>
      <c r="AE50" s="118"/>
      <c r="AF50" s="118"/>
      <c r="AG50" s="119"/>
      <c r="AH50" s="121"/>
      <c r="AI50" s="135"/>
      <c r="AJ50" s="157"/>
      <c r="AK50" s="121"/>
    </row>
    <row r="51" spans="1:37" x14ac:dyDescent="0.3">
      <c r="A51" s="301" t="s">
        <v>5</v>
      </c>
      <c r="B51" s="218" t="str">
        <f t="shared" si="23"/>
        <v>MASTMAST Rep (Grade 145)</v>
      </c>
      <c r="C51" s="217" t="s">
        <v>48</v>
      </c>
      <c r="D51" s="10"/>
      <c r="E51" s="126"/>
      <c r="F51" s="126"/>
      <c r="G51" s="126"/>
      <c r="H51" s="184" t="s">
        <v>246</v>
      </c>
      <c r="I51" s="158">
        <f>J51*K51</f>
        <v>0</v>
      </c>
      <c r="J51" s="289"/>
      <c r="K51" s="259">
        <v>29.13</v>
      </c>
      <c r="L51" s="39"/>
      <c r="M51" s="40" t="str">
        <f>J51&amp;" hrs @ "&amp;K51</f>
        <v xml:space="preserve"> hrs @ 29.13</v>
      </c>
      <c r="N51" s="35"/>
      <c r="O51" s="207"/>
      <c r="P51" s="36"/>
      <c r="Q51" s="41"/>
      <c r="R51" s="184" t="s">
        <v>246</v>
      </c>
      <c r="S51" s="158">
        <f>T51*U51</f>
        <v>0</v>
      </c>
      <c r="T51" s="289"/>
      <c r="U51" s="259">
        <v>29.13</v>
      </c>
      <c r="V51" s="39"/>
      <c r="W51" s="40" t="str">
        <f>T51&amp;" hrs @ "&amp;U51</f>
        <v xml:space="preserve"> hrs @ 29.13</v>
      </c>
      <c r="X51" s="34"/>
      <c r="Y51" s="207"/>
      <c r="Z51" s="36"/>
      <c r="AA51" s="41"/>
      <c r="AB51" s="184" t="s">
        <v>246</v>
      </c>
      <c r="AC51" s="158">
        <f>AD51*AE51</f>
        <v>17623.649999999998</v>
      </c>
      <c r="AD51" s="289">
        <f>+ROUND('FTE Alloc OR &amp; WA'!F40*2080,0)</f>
        <v>605</v>
      </c>
      <c r="AE51" s="259">
        <v>29.13</v>
      </c>
      <c r="AF51" s="39"/>
      <c r="AG51" s="40" t="str">
        <f>AD51&amp;" hrs @ "&amp;AE51</f>
        <v>605 hrs @ 29.13</v>
      </c>
      <c r="AH51" s="35"/>
      <c r="AI51" s="136"/>
      <c r="AJ51" s="158">
        <f t="shared" ref="AJ51:AJ57" si="24">I51+S51+AC51</f>
        <v>17623.649999999998</v>
      </c>
      <c r="AK51" s="35"/>
    </row>
    <row r="52" spans="1:37" x14ac:dyDescent="0.3">
      <c r="A52" s="301" t="s">
        <v>5</v>
      </c>
      <c r="B52" s="218" t="str">
        <f t="shared" si="23"/>
        <v>MASTOp Supp 2 (Grade 125)</v>
      </c>
      <c r="C52" s="217" t="s">
        <v>48</v>
      </c>
      <c r="D52" s="10"/>
      <c r="E52" s="126"/>
      <c r="F52" s="126"/>
      <c r="G52" s="126"/>
      <c r="H52" s="184" t="s">
        <v>247</v>
      </c>
      <c r="I52" s="158">
        <f t="shared" ref="I52:I53" si="25">J52*K52</f>
        <v>0</v>
      </c>
      <c r="J52" s="289"/>
      <c r="K52" s="259">
        <v>22.01</v>
      </c>
      <c r="L52" s="42"/>
      <c r="M52" s="40" t="str">
        <f t="shared" ref="M52:M54" si="26">J52&amp;" hrs @ "&amp;K52</f>
        <v xml:space="preserve"> hrs @ 22.01</v>
      </c>
      <c r="N52" s="35"/>
      <c r="O52" s="207"/>
      <c r="P52" s="36"/>
      <c r="Q52" s="3"/>
      <c r="R52" s="184" t="s">
        <v>247</v>
      </c>
      <c r="S52" s="158">
        <f t="shared" ref="S52:S53" si="27">T52*U52</f>
        <v>88.04</v>
      </c>
      <c r="T52" s="289">
        <v>4</v>
      </c>
      <c r="U52" s="259">
        <v>22.01</v>
      </c>
      <c r="V52" s="42"/>
      <c r="W52" s="40" t="str">
        <f t="shared" ref="W52:W54" si="28">T52&amp;" hrs @ "&amp;U52</f>
        <v>4 hrs @ 22.01</v>
      </c>
      <c r="X52" s="34"/>
      <c r="Y52" s="207"/>
      <c r="Z52" s="36"/>
      <c r="AA52" s="3"/>
      <c r="AB52" s="184" t="s">
        <v>247</v>
      </c>
      <c r="AC52" s="158">
        <f t="shared" ref="AC52:AC54" si="29">AD52*AE52</f>
        <v>0</v>
      </c>
      <c r="AD52" s="289">
        <f>+ROUND('FTE Alloc OR &amp; WA'!F41*2080,0)</f>
        <v>0</v>
      </c>
      <c r="AE52" s="259">
        <v>22.01</v>
      </c>
      <c r="AF52" s="42"/>
      <c r="AG52" s="40" t="str">
        <f t="shared" ref="AG52:AG54" si="30">AD52&amp;" hrs @ "&amp;AE52</f>
        <v>0 hrs @ 22.01</v>
      </c>
      <c r="AH52" s="35"/>
      <c r="AI52" s="136"/>
      <c r="AJ52" s="158">
        <f t="shared" si="24"/>
        <v>88.04</v>
      </c>
      <c r="AK52" s="35"/>
    </row>
    <row r="53" spans="1:37" x14ac:dyDescent="0.3">
      <c r="A53" s="301" t="s">
        <v>5</v>
      </c>
      <c r="B53" s="218" t="str">
        <f t="shared" si="23"/>
        <v>MASTCustomer Field Service 4</v>
      </c>
      <c r="C53" s="217" t="s">
        <v>48</v>
      </c>
      <c r="D53" s="10"/>
      <c r="E53" s="126"/>
      <c r="F53" s="126"/>
      <c r="G53" s="126"/>
      <c r="H53" s="184" t="s">
        <v>346</v>
      </c>
      <c r="I53" s="158">
        <f t="shared" si="25"/>
        <v>0</v>
      </c>
      <c r="J53" s="42"/>
      <c r="K53" s="39">
        <v>36.78</v>
      </c>
      <c r="L53" s="42"/>
      <c r="M53" s="40" t="str">
        <f t="shared" si="26"/>
        <v xml:space="preserve"> hrs @ 36.78</v>
      </c>
      <c r="N53" s="35"/>
      <c r="O53" s="207"/>
      <c r="P53" s="36"/>
      <c r="Q53" s="41"/>
      <c r="R53" s="184" t="s">
        <v>346</v>
      </c>
      <c r="S53" s="158">
        <f t="shared" si="27"/>
        <v>1856.9974278394079</v>
      </c>
      <c r="T53" s="42">
        <f>35*1.49*(S6/($S$6+$AC$6))</f>
        <v>50.489326477417286</v>
      </c>
      <c r="U53" s="39">
        <v>36.78</v>
      </c>
      <c r="V53" s="42"/>
      <c r="W53" s="40" t="str">
        <f>ROUND(T53,0)&amp;" hrs @ "&amp;U53</f>
        <v>50 hrs @ 36.78</v>
      </c>
      <c r="X53" s="34"/>
      <c r="Y53" s="207"/>
      <c r="Z53" s="36"/>
      <c r="AA53" s="41"/>
      <c r="AB53" s="184" t="s">
        <v>346</v>
      </c>
      <c r="AC53" s="158">
        <f t="shared" si="29"/>
        <v>61.079572160592129</v>
      </c>
      <c r="AD53" s="42">
        <f>35*1.49*(AC6/($S$6+$AC$6))</f>
        <v>1.6606735225827114</v>
      </c>
      <c r="AE53" s="39">
        <v>36.78</v>
      </c>
      <c r="AF53" s="42"/>
      <c r="AG53" s="40" t="str">
        <f>ROUND(AD53,0)&amp;" hrs @ "&amp;AE53</f>
        <v>2 hrs @ 36.78</v>
      </c>
      <c r="AH53" s="35"/>
      <c r="AI53" s="136"/>
      <c r="AJ53" s="158">
        <f t="shared" si="24"/>
        <v>1918.077</v>
      </c>
      <c r="AK53" s="35"/>
    </row>
    <row r="54" spans="1:37" x14ac:dyDescent="0.3">
      <c r="A54" s="301" t="s">
        <v>5</v>
      </c>
      <c r="B54" s="218" t="str">
        <f t="shared" si="23"/>
        <v>MAST</v>
      </c>
      <c r="C54" s="217" t="s">
        <v>48</v>
      </c>
      <c r="D54" s="10"/>
      <c r="E54" s="126"/>
      <c r="F54" s="126"/>
      <c r="G54" s="126"/>
      <c r="H54" s="179"/>
      <c r="I54" s="173">
        <f>J54*K54*L54</f>
        <v>0</v>
      </c>
      <c r="J54" s="174"/>
      <c r="K54" s="175"/>
      <c r="L54" s="181">
        <v>7.0000000000000007E-2</v>
      </c>
      <c r="M54" s="176" t="str">
        <f t="shared" si="26"/>
        <v xml:space="preserve"> hrs @ </v>
      </c>
      <c r="N54" s="35"/>
      <c r="O54" s="207"/>
      <c r="P54" s="36"/>
      <c r="Q54" s="44"/>
      <c r="R54" s="179"/>
      <c r="S54" s="173">
        <f>T54*U54*V54</f>
        <v>0</v>
      </c>
      <c r="T54" s="174"/>
      <c r="U54" s="175"/>
      <c r="V54" s="181">
        <v>7.0000000000000007E-2</v>
      </c>
      <c r="W54" s="176" t="str">
        <f t="shared" si="28"/>
        <v xml:space="preserve"> hrs @ </v>
      </c>
      <c r="X54" s="34"/>
      <c r="Y54" s="207"/>
      <c r="Z54" s="36"/>
      <c r="AA54" s="44"/>
      <c r="AB54" s="179"/>
      <c r="AC54" s="173">
        <f t="shared" si="29"/>
        <v>0</v>
      </c>
      <c r="AD54" s="174"/>
      <c r="AE54" s="175"/>
      <c r="AF54" s="181"/>
      <c r="AG54" s="176" t="str">
        <f t="shared" si="30"/>
        <v xml:space="preserve"> hrs @ </v>
      </c>
      <c r="AH54" s="35"/>
      <c r="AI54" s="136"/>
      <c r="AJ54" s="173">
        <f t="shared" si="24"/>
        <v>0</v>
      </c>
      <c r="AK54" s="35"/>
    </row>
    <row r="55" spans="1:37" x14ac:dyDescent="0.3">
      <c r="A55" s="301" t="s">
        <v>5</v>
      </c>
      <c r="B55" s="218" t="str">
        <f t="shared" si="23"/>
        <v>MASTTotal Wages</v>
      </c>
      <c r="C55" s="217" t="s">
        <v>48</v>
      </c>
      <c r="D55" s="10"/>
      <c r="E55" s="126"/>
      <c r="F55" s="126"/>
      <c r="G55" s="126"/>
      <c r="H55" s="184" t="s">
        <v>32</v>
      </c>
      <c r="I55" s="158">
        <f>SUM(I51:I54)</f>
        <v>0</v>
      </c>
      <c r="J55" s="42"/>
      <c r="K55" s="39"/>
      <c r="L55" s="39"/>
      <c r="M55" s="40"/>
      <c r="N55" s="35"/>
      <c r="O55" s="207"/>
      <c r="P55" s="36"/>
      <c r="Q55" s="41"/>
      <c r="R55" s="184" t="s">
        <v>32</v>
      </c>
      <c r="S55" s="158">
        <f>SUM(S51:S54)</f>
        <v>1945.0374278394079</v>
      </c>
      <c r="T55" s="42"/>
      <c r="U55" s="39"/>
      <c r="V55" s="39"/>
      <c r="W55" s="40"/>
      <c r="X55" s="34"/>
      <c r="Y55" s="207"/>
      <c r="Z55" s="36"/>
      <c r="AA55" s="41"/>
      <c r="AB55" s="184" t="s">
        <v>32</v>
      </c>
      <c r="AC55" s="158">
        <f>SUM(AC51:AC54)</f>
        <v>17684.729572160591</v>
      </c>
      <c r="AD55" s="42"/>
      <c r="AE55" s="39"/>
      <c r="AF55" s="39"/>
      <c r="AG55" s="40"/>
      <c r="AH55" s="35"/>
      <c r="AI55" s="136"/>
      <c r="AJ55" s="158">
        <f t="shared" si="24"/>
        <v>19629.767</v>
      </c>
      <c r="AK55" s="35"/>
    </row>
    <row r="56" spans="1:37" x14ac:dyDescent="0.3">
      <c r="A56" s="301" t="s">
        <v>5</v>
      </c>
      <c r="B56" s="218" t="str">
        <f t="shared" si="23"/>
        <v>MASTBenefits</v>
      </c>
      <c r="C56" s="217" t="s">
        <v>48</v>
      </c>
      <c r="D56" s="10"/>
      <c r="E56" s="126"/>
      <c r="F56" s="126"/>
      <c r="G56" s="126"/>
      <c r="H56" s="184" t="s">
        <v>33</v>
      </c>
      <c r="I56" s="159">
        <f>I55*$O$2</f>
        <v>0</v>
      </c>
      <c r="J56" s="42"/>
      <c r="K56" s="39"/>
      <c r="M56" s="45" t="str">
        <f>"@ "&amp;$O$2*100&amp;" %"</f>
        <v>@ 98.59 %</v>
      </c>
      <c r="N56" s="47"/>
      <c r="O56" s="424"/>
      <c r="P56" s="48"/>
      <c r="Q56" s="41"/>
      <c r="R56" s="184" t="s">
        <v>33</v>
      </c>
      <c r="S56" s="159">
        <f>S55*$O$2</f>
        <v>1917.6124001068722</v>
      </c>
      <c r="T56" s="42"/>
      <c r="U56" s="39"/>
      <c r="W56" s="45" t="str">
        <f>"@ "&amp;$O$2*100&amp;" %"</f>
        <v>@ 98.59 %</v>
      </c>
      <c r="X56" s="46"/>
      <c r="Y56" s="424"/>
      <c r="Z56" s="48"/>
      <c r="AA56" s="41"/>
      <c r="AB56" s="184" t="s">
        <v>33</v>
      </c>
      <c r="AC56" s="159">
        <f>AC55*$O$2</f>
        <v>17435.374885193127</v>
      </c>
      <c r="AD56" s="42"/>
      <c r="AE56" s="39"/>
      <c r="AG56" s="45" t="str">
        <f>"@ "&amp;$O$2*100&amp;" %"</f>
        <v>@ 98.59 %</v>
      </c>
      <c r="AH56" s="47"/>
      <c r="AI56" s="432"/>
      <c r="AJ56" s="159">
        <f t="shared" si="24"/>
        <v>19352.987285299998</v>
      </c>
      <c r="AK56" s="47"/>
    </row>
    <row r="57" spans="1:37" x14ac:dyDescent="0.3">
      <c r="A57" s="301" t="s">
        <v>5</v>
      </c>
      <c r="B57" s="218" t="str">
        <f t="shared" si="23"/>
        <v>MASTTotal</v>
      </c>
      <c r="C57" s="219" t="s">
        <v>50</v>
      </c>
      <c r="D57" s="10"/>
      <c r="E57" s="126"/>
      <c r="F57" s="126"/>
      <c r="G57" s="126"/>
      <c r="H57" s="185" t="s">
        <v>34</v>
      </c>
      <c r="I57" s="160">
        <f>I55+I56</f>
        <v>0</v>
      </c>
      <c r="J57" s="42"/>
      <c r="K57" s="39"/>
      <c r="L57" s="50"/>
      <c r="M57" s="51"/>
      <c r="N57" s="420">
        <f>I57</f>
        <v>0</v>
      </c>
      <c r="O57" s="425" t="e">
        <f>N57/N90</f>
        <v>#DIV/0!</v>
      </c>
      <c r="P57" s="53"/>
      <c r="Q57" s="37"/>
      <c r="R57" s="185" t="s">
        <v>34</v>
      </c>
      <c r="S57" s="160">
        <f>S55+S56</f>
        <v>3862.6498279462803</v>
      </c>
      <c r="T57" s="42"/>
      <c r="U57" s="39"/>
      <c r="V57" s="50"/>
      <c r="W57" s="51"/>
      <c r="X57" s="52">
        <f>S57</f>
        <v>3862.6498279462803</v>
      </c>
      <c r="Y57" s="425">
        <f>X57/X90</f>
        <v>0.95855813148100066</v>
      </c>
      <c r="Z57" s="53"/>
      <c r="AA57" s="37"/>
      <c r="AB57" s="185" t="s">
        <v>34</v>
      </c>
      <c r="AC57" s="160">
        <f>AC55+AC56</f>
        <v>35120.104457353722</v>
      </c>
      <c r="AD57" s="42"/>
      <c r="AE57" s="39"/>
      <c r="AF57" s="50"/>
      <c r="AG57" s="51"/>
      <c r="AH57" s="420">
        <f>AC57</f>
        <v>35120.104457353722</v>
      </c>
      <c r="AI57" s="233">
        <f>AH57/AH90</f>
        <v>0.78374848450789836</v>
      </c>
      <c r="AJ57" s="160">
        <f t="shared" si="24"/>
        <v>38982.754285300005</v>
      </c>
      <c r="AK57" s="420"/>
    </row>
    <row r="58" spans="1:37" x14ac:dyDescent="0.3">
      <c r="A58" s="301" t="s">
        <v>5</v>
      </c>
      <c r="B58" s="218" t="str">
        <f t="shared" si="23"/>
        <v>MAST</v>
      </c>
      <c r="C58" s="217" t="s">
        <v>48</v>
      </c>
      <c r="D58" s="10"/>
      <c r="E58" s="126"/>
      <c r="F58" s="126"/>
      <c r="G58" s="126"/>
      <c r="H58" s="179"/>
      <c r="I58" s="166"/>
      <c r="J58" s="69"/>
      <c r="K58" s="69"/>
      <c r="L58" s="69"/>
      <c r="M58" s="70"/>
      <c r="N58" s="58"/>
      <c r="O58" s="426"/>
      <c r="P58" s="59"/>
      <c r="Q58" s="60"/>
      <c r="R58" s="179"/>
      <c r="S58" s="166"/>
      <c r="T58" s="69"/>
      <c r="U58" s="69"/>
      <c r="V58" s="69"/>
      <c r="W58" s="70"/>
      <c r="X58" s="57"/>
      <c r="Y58" s="426"/>
      <c r="Z58" s="59"/>
      <c r="AA58" s="60"/>
      <c r="AB58" s="179"/>
      <c r="AC58" s="166"/>
      <c r="AD58" s="69"/>
      <c r="AE58" s="69"/>
      <c r="AF58" s="69"/>
      <c r="AG58" s="70"/>
      <c r="AH58" s="58"/>
      <c r="AI58" s="231"/>
      <c r="AJ58" s="166"/>
      <c r="AK58" s="58"/>
    </row>
    <row r="59" spans="1:37" x14ac:dyDescent="0.3">
      <c r="A59" s="301" t="s">
        <v>5</v>
      </c>
      <c r="B59" s="218" t="str">
        <f t="shared" si="23"/>
        <v>MASTLABOR: SUPERVISORY</v>
      </c>
      <c r="C59" s="220" t="s">
        <v>50</v>
      </c>
      <c r="D59" s="10"/>
      <c r="E59" s="126"/>
      <c r="F59" s="126"/>
      <c r="G59" s="126"/>
      <c r="H59" s="186" t="s">
        <v>35</v>
      </c>
      <c r="I59" s="167"/>
      <c r="J59" s="74"/>
      <c r="K59" s="74"/>
      <c r="L59" s="74"/>
      <c r="M59" s="66"/>
      <c r="N59" s="26"/>
      <c r="O59" s="421"/>
      <c r="P59" s="65"/>
      <c r="Q59" s="37"/>
      <c r="R59" s="186" t="s">
        <v>35</v>
      </c>
      <c r="S59" s="167"/>
      <c r="T59" s="74"/>
      <c r="U59" s="74"/>
      <c r="V59" s="74"/>
      <c r="W59" s="66"/>
      <c r="X59" s="64"/>
      <c r="Y59" s="421"/>
      <c r="Z59" s="65"/>
      <c r="AA59" s="37"/>
      <c r="AB59" s="186" t="s">
        <v>35</v>
      </c>
      <c r="AC59" s="167"/>
      <c r="AD59" s="74"/>
      <c r="AE59" s="74"/>
      <c r="AF59" s="74"/>
      <c r="AG59" s="66"/>
      <c r="AH59" s="26"/>
      <c r="AI59" s="234"/>
      <c r="AJ59" s="167"/>
      <c r="AK59" s="26"/>
    </row>
    <row r="60" spans="1:37" x14ac:dyDescent="0.3">
      <c r="A60" s="301" t="s">
        <v>5</v>
      </c>
      <c r="B60" s="218" t="str">
        <f t="shared" si="23"/>
        <v>MASTManager (Grade 23)</v>
      </c>
      <c r="C60" s="220"/>
      <c r="D60" s="10"/>
      <c r="E60" s="126"/>
      <c r="F60" s="126"/>
      <c r="G60" s="126"/>
      <c r="H60" s="38" t="s">
        <v>349</v>
      </c>
      <c r="I60" s="158">
        <f t="shared" ref="I60" si="31">J60*K60</f>
        <v>0</v>
      </c>
      <c r="J60" s="289">
        <f>(1/6)*J62</f>
        <v>0</v>
      </c>
      <c r="K60" s="259">
        <v>55.78</v>
      </c>
      <c r="L60" s="43"/>
      <c r="M60" s="40" t="str">
        <f t="shared" ref="M60:M61" si="32">J60&amp;" hrs @ "&amp;K60</f>
        <v>0 hrs @ 55.78</v>
      </c>
      <c r="N60" s="26"/>
      <c r="O60" s="421"/>
      <c r="P60" s="65"/>
      <c r="Q60" s="37"/>
      <c r="R60" s="184" t="s">
        <v>349</v>
      </c>
      <c r="S60" s="158">
        <f t="shared" ref="S60" si="33">T60*U60</f>
        <v>0</v>
      </c>
      <c r="T60" s="289">
        <f>(1/6)*T62</f>
        <v>0</v>
      </c>
      <c r="U60" s="259">
        <v>55.78</v>
      </c>
      <c r="V60" s="43"/>
      <c r="W60" s="40" t="str">
        <f t="shared" ref="W60" si="34">T60&amp;" hrs @ "&amp;U60</f>
        <v>0 hrs @ 55.78</v>
      </c>
      <c r="X60" s="64"/>
      <c r="Y60" s="421"/>
      <c r="Z60" s="65"/>
      <c r="AA60" s="37"/>
      <c r="AB60" s="184" t="s">
        <v>349</v>
      </c>
      <c r="AC60" s="158">
        <f t="shared" ref="AC60:AC62" si="35">AD60*AE60</f>
        <v>836.7</v>
      </c>
      <c r="AD60" s="289">
        <f>(1/6)*AD62</f>
        <v>15</v>
      </c>
      <c r="AE60" s="259">
        <v>55.78</v>
      </c>
      <c r="AF60" s="43"/>
      <c r="AG60" s="40" t="str">
        <f>ROUND(AD60,0)&amp;" hrs @ "&amp;AE60</f>
        <v>15 hrs @ 55.78</v>
      </c>
      <c r="AH60" s="26"/>
      <c r="AI60" s="234"/>
      <c r="AJ60" s="158">
        <f t="shared" ref="AJ60:AJ66" si="36">I60+S60+AC60</f>
        <v>836.7</v>
      </c>
      <c r="AK60" s="26"/>
    </row>
    <row r="61" spans="1:37" x14ac:dyDescent="0.3">
      <c r="A61" s="301" t="s">
        <v>5</v>
      </c>
      <c r="B61" s="218" t="str">
        <f t="shared" ref="B61:B89" si="37">A61&amp;H61</f>
        <v>MASTMAS Supervisor(Grade 21)</v>
      </c>
      <c r="C61" s="220"/>
      <c r="D61" s="10"/>
      <c r="E61" s="126"/>
      <c r="F61" s="126"/>
      <c r="G61" s="126"/>
      <c r="H61" s="38" t="s">
        <v>347</v>
      </c>
      <c r="I61" s="158">
        <f t="shared" ref="I61" si="38">J61*K61</f>
        <v>0</v>
      </c>
      <c r="J61" s="289">
        <f>(1/6)*J64</f>
        <v>0</v>
      </c>
      <c r="K61" s="259">
        <v>45.18</v>
      </c>
      <c r="L61" s="43"/>
      <c r="M61" s="40" t="str">
        <f t="shared" si="32"/>
        <v>0 hrs @ 45.18</v>
      </c>
      <c r="N61" s="26"/>
      <c r="O61" s="421"/>
      <c r="P61" s="65"/>
      <c r="Q61" s="37"/>
      <c r="R61" s="184" t="s">
        <v>347</v>
      </c>
      <c r="S61" s="158">
        <f>T61*U61</f>
        <v>15.996054853098769</v>
      </c>
      <c r="T61" s="289">
        <f>T53*(T53/(4*1800))</f>
        <v>0.35405167890878197</v>
      </c>
      <c r="U61" s="259">
        <v>45.18</v>
      </c>
      <c r="V61" s="43"/>
      <c r="W61" s="40" t="str">
        <f>ROUND(T61,0)&amp;" hrs @ "&amp;U61</f>
        <v>0 hrs @ 45.18</v>
      </c>
      <c r="X61" s="64"/>
      <c r="Y61" s="421"/>
      <c r="Z61" s="65"/>
      <c r="AA61" s="37"/>
      <c r="AB61" s="184" t="s">
        <v>347</v>
      </c>
      <c r="AC61" s="158">
        <f t="shared" si="35"/>
        <v>1.7305424342510627E-2</v>
      </c>
      <c r="AD61" s="289">
        <f>AD53*(AD53/(4*1800))</f>
        <v>3.8303285397323214E-4</v>
      </c>
      <c r="AE61" s="259">
        <v>45.18</v>
      </c>
      <c r="AF61" s="43"/>
      <c r="AG61" s="40" t="str">
        <f>ROUND(AD61,0)&amp;" hrs @ "&amp;AE61</f>
        <v>0 hrs @ 45.18</v>
      </c>
      <c r="AH61" s="26"/>
      <c r="AI61" s="234"/>
      <c r="AJ61" s="158">
        <f t="shared" si="36"/>
        <v>16.013360277441279</v>
      </c>
      <c r="AK61" s="26"/>
    </row>
    <row r="62" spans="1:37" x14ac:dyDescent="0.3">
      <c r="A62" s="301" t="s">
        <v>5</v>
      </c>
      <c r="B62" s="218" t="str">
        <f t="shared" si="37"/>
        <v>MASTSupervisor MAST (Grade 20)</v>
      </c>
      <c r="C62" s="217" t="s">
        <v>48</v>
      </c>
      <c r="D62" s="10"/>
      <c r="E62" s="126"/>
      <c r="F62" s="126"/>
      <c r="G62" s="126"/>
      <c r="H62" s="179" t="s">
        <v>348</v>
      </c>
      <c r="I62" s="173">
        <f t="shared" ref="I62" si="39">J62*K62</f>
        <v>0</v>
      </c>
      <c r="J62" s="174">
        <v>0</v>
      </c>
      <c r="K62" s="175">
        <v>40.5</v>
      </c>
      <c r="L62" s="181"/>
      <c r="M62" s="176" t="str">
        <f t="shared" ref="M62" si="40">J62&amp;" hrs @ "&amp;K62</f>
        <v>0 hrs @ 40.5</v>
      </c>
      <c r="N62" s="26"/>
      <c r="O62" s="421"/>
      <c r="P62" s="65"/>
      <c r="Q62" s="41"/>
      <c r="R62" s="179" t="s">
        <v>348</v>
      </c>
      <c r="S62" s="173">
        <f t="shared" ref="S62" si="41">T62*U62</f>
        <v>0</v>
      </c>
      <c r="T62" s="174">
        <v>0</v>
      </c>
      <c r="U62" s="175">
        <v>40.5</v>
      </c>
      <c r="V62" s="181"/>
      <c r="W62" s="176" t="str">
        <f t="shared" ref="W62" si="42">T62&amp;" hrs @ "&amp;U62</f>
        <v>0 hrs @ 40.5</v>
      </c>
      <c r="X62" s="64"/>
      <c r="Y62" s="421"/>
      <c r="Z62" s="65"/>
      <c r="AA62" s="41"/>
      <c r="AB62" s="179" t="s">
        <v>348</v>
      </c>
      <c r="AC62" s="173">
        <f t="shared" si="35"/>
        <v>3645</v>
      </c>
      <c r="AD62" s="174">
        <f>+ROUND(('FTE Alloc OR &amp; WA'!F45+'FTE Alloc OR &amp; WA'!F47)*2080,0)</f>
        <v>90</v>
      </c>
      <c r="AE62" s="175">
        <v>40.5</v>
      </c>
      <c r="AF62" s="181"/>
      <c r="AG62" s="176" t="str">
        <f t="shared" ref="AG62" si="43">AD62&amp;" hrs @ "&amp;AE62</f>
        <v>90 hrs @ 40.5</v>
      </c>
      <c r="AH62" s="26"/>
      <c r="AI62" s="234"/>
      <c r="AJ62" s="173">
        <f t="shared" si="36"/>
        <v>3645</v>
      </c>
      <c r="AK62" s="26"/>
    </row>
    <row r="63" spans="1:37" x14ac:dyDescent="0.3">
      <c r="A63" s="301" t="s">
        <v>5</v>
      </c>
      <c r="B63" s="218" t="str">
        <f t="shared" si="37"/>
        <v>MASTTotal Wages</v>
      </c>
      <c r="C63" s="179"/>
      <c r="D63" s="158">
        <v>0</v>
      </c>
      <c r="E63" s="42"/>
      <c r="F63" s="39"/>
      <c r="G63" s="39"/>
      <c r="H63" s="184" t="s">
        <v>32</v>
      </c>
      <c r="I63" s="158">
        <f>SUM(I59:I62)</f>
        <v>0</v>
      </c>
      <c r="J63" s="42"/>
      <c r="K63" s="39"/>
      <c r="L63" s="39"/>
      <c r="M63" s="40"/>
      <c r="N63" s="26"/>
      <c r="O63" s="421"/>
      <c r="P63" s="40"/>
      <c r="Q63" s="34"/>
      <c r="R63" s="184" t="s">
        <v>32</v>
      </c>
      <c r="S63" s="158">
        <f>SUM(S59:S62)</f>
        <v>15.996054853098769</v>
      </c>
      <c r="T63" s="42"/>
      <c r="U63" s="39"/>
      <c r="V63" s="39"/>
      <c r="W63" s="40"/>
      <c r="X63" s="40"/>
      <c r="Y63" s="421"/>
      <c r="Z63" s="40"/>
      <c r="AA63" s="34"/>
      <c r="AB63" s="184" t="s">
        <v>32</v>
      </c>
      <c r="AC63" s="158">
        <f>SUM(AC59:AC62)</f>
        <v>4481.7173054243431</v>
      </c>
      <c r="AD63" s="42"/>
      <c r="AE63" s="39"/>
      <c r="AF63" s="39"/>
      <c r="AG63" s="40"/>
      <c r="AH63" s="26"/>
      <c r="AI63" s="234"/>
      <c r="AJ63" s="158">
        <f t="shared" si="36"/>
        <v>4497.713360277442</v>
      </c>
      <c r="AK63" s="26"/>
    </row>
    <row r="64" spans="1:37" ht="21" x14ac:dyDescent="0.4">
      <c r="A64" s="301"/>
      <c r="B64" s="218" t="str">
        <f t="shared" si="37"/>
        <v>Payroll Increase from Base Year</v>
      </c>
      <c r="C64" s="5"/>
      <c r="D64" s="10"/>
      <c r="E64" s="126"/>
      <c r="F64" s="126"/>
      <c r="G64" s="126"/>
      <c r="H64" s="184" t="s">
        <v>222</v>
      </c>
      <c r="I64" s="159"/>
      <c r="J64" s="42"/>
      <c r="K64" s="39"/>
      <c r="L64" s="43"/>
      <c r="M64" s="40"/>
      <c r="N64" s="26"/>
      <c r="O64" s="421"/>
      <c r="P64" s="65"/>
      <c r="Q64" s="41"/>
      <c r="R64" s="255" t="s">
        <v>222</v>
      </c>
      <c r="S64" s="159"/>
      <c r="T64" s="42"/>
      <c r="U64" s="39"/>
      <c r="V64" s="43"/>
      <c r="W64" s="40"/>
      <c r="X64" s="64"/>
      <c r="Y64" s="421"/>
      <c r="Z64" s="65"/>
      <c r="AA64" s="41"/>
      <c r="AB64" s="255" t="s">
        <v>222</v>
      </c>
      <c r="AC64" s="159"/>
      <c r="AD64" s="42"/>
      <c r="AE64" s="39"/>
      <c r="AF64" s="43"/>
      <c r="AG64" s="40"/>
      <c r="AH64" s="26"/>
      <c r="AI64" s="234"/>
      <c r="AJ64" s="159">
        <f t="shared" si="36"/>
        <v>0</v>
      </c>
      <c r="AK64" s="26"/>
    </row>
    <row r="65" spans="1:37" x14ac:dyDescent="0.3">
      <c r="A65" s="301" t="s">
        <v>5</v>
      </c>
      <c r="B65" s="218" t="str">
        <f t="shared" si="37"/>
        <v>MASTBenefits</v>
      </c>
      <c r="C65" s="217" t="s">
        <v>48</v>
      </c>
      <c r="D65" s="10"/>
      <c r="E65" s="126"/>
      <c r="F65" s="126"/>
      <c r="G65" s="126"/>
      <c r="H65" s="184" t="s">
        <v>33</v>
      </c>
      <c r="I65" s="159">
        <f>I63*$O$2</f>
        <v>0</v>
      </c>
      <c r="J65" s="42"/>
      <c r="K65" s="39"/>
      <c r="L65" s="156"/>
      <c r="M65" s="45" t="str">
        <f>"@ "&amp;$O$2*100&amp;" %"</f>
        <v>@ 98.59 %</v>
      </c>
      <c r="N65" s="26"/>
      <c r="O65" s="421"/>
      <c r="P65" s="65"/>
      <c r="Q65" s="41"/>
      <c r="R65" s="184" t="s">
        <v>33</v>
      </c>
      <c r="S65" s="159">
        <f>S62*$O$2</f>
        <v>0</v>
      </c>
      <c r="T65" s="42"/>
      <c r="U65" s="39"/>
      <c r="V65" s="156"/>
      <c r="W65" s="45" t="str">
        <f>"@ "&amp;$O$2*100&amp;" %"</f>
        <v>@ 98.59 %</v>
      </c>
      <c r="X65" s="64"/>
      <c r="Y65" s="421"/>
      <c r="Z65" s="65"/>
      <c r="AA65" s="41"/>
      <c r="AB65" s="184" t="s">
        <v>33</v>
      </c>
      <c r="AC65" s="159">
        <f>AC62*$O$2</f>
        <v>3593.6055000000001</v>
      </c>
      <c r="AD65" s="42"/>
      <c r="AE65" s="39"/>
      <c r="AF65" s="156"/>
      <c r="AG65" s="45" t="str">
        <f>"@ "&amp;$O$2*100&amp;" %"</f>
        <v>@ 98.59 %</v>
      </c>
      <c r="AH65" s="26"/>
      <c r="AI65" s="234"/>
      <c r="AJ65" s="159">
        <f t="shared" si="36"/>
        <v>3593.6055000000001</v>
      </c>
      <c r="AK65" s="26"/>
    </row>
    <row r="66" spans="1:37" x14ac:dyDescent="0.3">
      <c r="A66" s="301" t="s">
        <v>5</v>
      </c>
      <c r="B66" s="218" t="str">
        <f t="shared" si="37"/>
        <v>MASTTotal</v>
      </c>
      <c r="C66" s="220" t="s">
        <v>50</v>
      </c>
      <c r="D66" s="10"/>
      <c r="E66" s="126"/>
      <c r="F66" s="126"/>
      <c r="G66" s="126"/>
      <c r="H66" s="185" t="s">
        <v>34</v>
      </c>
      <c r="I66" s="165">
        <f>I65+I63</f>
        <v>0</v>
      </c>
      <c r="J66" s="68"/>
      <c r="K66" s="68"/>
      <c r="L66" s="68"/>
      <c r="M66" s="63"/>
      <c r="N66" s="420">
        <f>I66</f>
        <v>0</v>
      </c>
      <c r="O66" s="425" t="e">
        <f>N66/N90</f>
        <v>#DIV/0!</v>
      </c>
      <c r="P66" s="65"/>
      <c r="Q66" s="41"/>
      <c r="R66" s="185" t="s">
        <v>34</v>
      </c>
      <c r="S66" s="397">
        <f>S65+S63</f>
        <v>15.996054853098769</v>
      </c>
      <c r="T66" s="68"/>
      <c r="U66" s="68"/>
      <c r="V66" s="68"/>
      <c r="W66" s="63"/>
      <c r="X66" s="52">
        <f>S66</f>
        <v>15.996054853098769</v>
      </c>
      <c r="Y66" s="425">
        <f>X66/X90</f>
        <v>3.9695931896592297E-3</v>
      </c>
      <c r="Z66" s="65"/>
      <c r="AA66" s="41"/>
      <c r="AB66" s="185" t="s">
        <v>34</v>
      </c>
      <c r="AC66" s="397">
        <f>AC65+AC63</f>
        <v>8075.3228054243427</v>
      </c>
      <c r="AD66" s="68"/>
      <c r="AE66" s="68"/>
      <c r="AF66" s="68"/>
      <c r="AG66" s="63"/>
      <c r="AH66" s="420">
        <f>AC66</f>
        <v>8075.3228054243427</v>
      </c>
      <c r="AI66" s="233">
        <f>AH66/AH90</f>
        <v>0.18021079687700584</v>
      </c>
      <c r="AJ66" s="397">
        <f t="shared" si="36"/>
        <v>8091.3188602774417</v>
      </c>
      <c r="AK66" s="420"/>
    </row>
    <row r="67" spans="1:37" x14ac:dyDescent="0.3">
      <c r="A67" s="301" t="s">
        <v>5</v>
      </c>
      <c r="B67" s="218" t="str">
        <f t="shared" si="37"/>
        <v>MAST</v>
      </c>
      <c r="C67" s="217" t="s">
        <v>48</v>
      </c>
      <c r="D67" s="10"/>
      <c r="E67" s="126"/>
      <c r="F67" s="126"/>
      <c r="G67" s="126"/>
      <c r="H67" s="179"/>
      <c r="I67" s="166"/>
      <c r="J67" s="69"/>
      <c r="K67" s="69"/>
      <c r="L67" s="69"/>
      <c r="M67" s="70"/>
      <c r="N67" s="72"/>
      <c r="O67" s="427"/>
      <c r="P67" s="73"/>
      <c r="Q67" s="60"/>
      <c r="R67" s="179"/>
      <c r="S67" s="166"/>
      <c r="T67" s="69"/>
      <c r="U67" s="69"/>
      <c r="V67" s="69"/>
      <c r="W67" s="70"/>
      <c r="X67" s="71"/>
      <c r="Y67" s="427"/>
      <c r="Z67" s="73"/>
      <c r="AA67" s="60"/>
      <c r="AB67" s="179"/>
      <c r="AC67" s="166"/>
      <c r="AD67" s="69"/>
      <c r="AE67" s="69"/>
      <c r="AF67" s="69"/>
      <c r="AG67" s="70"/>
      <c r="AH67" s="72"/>
      <c r="AI67" s="235"/>
      <c r="AJ67" s="166"/>
      <c r="AK67" s="72"/>
    </row>
    <row r="68" spans="1:37" x14ac:dyDescent="0.3">
      <c r="A68" s="301" t="s">
        <v>5</v>
      </c>
      <c r="B68" s="218" t="str">
        <f t="shared" si="37"/>
        <v>MASTEQUIPMENT</v>
      </c>
      <c r="C68" s="220" t="s">
        <v>50</v>
      </c>
      <c r="D68" s="10"/>
      <c r="E68" s="126"/>
      <c r="F68" s="126"/>
      <c r="G68" s="126"/>
      <c r="H68" s="186" t="s">
        <v>36</v>
      </c>
      <c r="I68" s="167"/>
      <c r="J68" s="74"/>
      <c r="K68" s="74"/>
      <c r="L68" s="74"/>
      <c r="M68" s="66"/>
      <c r="N68" s="76"/>
      <c r="O68" s="428"/>
      <c r="P68" s="65"/>
      <c r="Q68" s="37"/>
      <c r="R68" s="186" t="s">
        <v>36</v>
      </c>
      <c r="S68" s="167"/>
      <c r="T68" s="74"/>
      <c r="U68" s="74"/>
      <c r="V68" s="74"/>
      <c r="W68" s="66"/>
      <c r="X68" s="75"/>
      <c r="Y68" s="428"/>
      <c r="Z68" s="65"/>
      <c r="AA68" s="37"/>
      <c r="AB68" s="186" t="s">
        <v>36</v>
      </c>
      <c r="AC68" s="167"/>
      <c r="AD68" s="74"/>
      <c r="AE68" s="74"/>
      <c r="AF68" s="74"/>
      <c r="AG68" s="66"/>
      <c r="AH68" s="76"/>
      <c r="AI68" s="237"/>
      <c r="AJ68" s="167"/>
      <c r="AK68" s="76"/>
    </row>
    <row r="69" spans="1:37" x14ac:dyDescent="0.3">
      <c r="A69" s="301" t="s">
        <v>5</v>
      </c>
      <c r="B69" s="218" t="str">
        <f t="shared" si="37"/>
        <v>MAST</v>
      </c>
      <c r="C69" s="217" t="s">
        <v>48</v>
      </c>
      <c r="D69" s="10"/>
      <c r="E69" s="126"/>
      <c r="F69" s="126"/>
      <c r="G69" s="126"/>
      <c r="H69" s="187"/>
      <c r="I69" s="158">
        <f t="shared" ref="I69:I72" si="44">J69*K69</f>
        <v>0</v>
      </c>
      <c r="J69" s="42"/>
      <c r="K69" s="39"/>
      <c r="L69" s="39"/>
      <c r="M69" s="40" t="str">
        <f>J69&amp;" hrs @ "&amp;K69</f>
        <v xml:space="preserve"> hrs @ </v>
      </c>
      <c r="N69" s="76"/>
      <c r="O69" s="428"/>
      <c r="P69" s="65"/>
      <c r="Q69" s="37"/>
      <c r="R69" s="187"/>
      <c r="S69" s="158">
        <f t="shared" ref="S69:S72" si="45">T69*U69</f>
        <v>0</v>
      </c>
      <c r="T69" s="42"/>
      <c r="U69" s="39"/>
      <c r="V69" s="39"/>
      <c r="W69" s="40" t="str">
        <f>T69&amp;" hrs @ "&amp;U69</f>
        <v xml:space="preserve"> hrs @ </v>
      </c>
      <c r="X69" s="75"/>
      <c r="Y69" s="428"/>
      <c r="Z69" s="65"/>
      <c r="AA69" s="37"/>
      <c r="AB69" s="187"/>
      <c r="AC69" s="158">
        <f t="shared" ref="AC69:AC72" si="46">AD69*AE69</f>
        <v>0</v>
      </c>
      <c r="AD69" s="42"/>
      <c r="AE69" s="39"/>
      <c r="AF69" s="39"/>
      <c r="AG69" s="40" t="str">
        <f>AD69&amp;" hrs @ "&amp;AE69</f>
        <v xml:space="preserve"> hrs @ </v>
      </c>
      <c r="AH69" s="76"/>
      <c r="AI69" s="237"/>
      <c r="AJ69" s="158">
        <f>I69+S69+AC69</f>
        <v>0</v>
      </c>
      <c r="AK69" s="76"/>
    </row>
    <row r="70" spans="1:37" x14ac:dyDescent="0.3">
      <c r="A70" s="301" t="s">
        <v>5</v>
      </c>
      <c r="B70" s="218" t="str">
        <f t="shared" si="37"/>
        <v>MAST</v>
      </c>
      <c r="C70" s="217" t="s">
        <v>48</v>
      </c>
      <c r="D70" s="10"/>
      <c r="E70" s="126"/>
      <c r="F70" s="126"/>
      <c r="G70" s="126"/>
      <c r="H70" s="187"/>
      <c r="I70" s="158">
        <f t="shared" si="44"/>
        <v>0</v>
      </c>
      <c r="J70" s="42"/>
      <c r="K70" s="39"/>
      <c r="L70" s="39"/>
      <c r="M70" s="40" t="str">
        <f t="shared" ref="M70:M72" si="47">J70&amp;" hrs @ "&amp;K70</f>
        <v xml:space="preserve"> hrs @ </v>
      </c>
      <c r="N70" s="79"/>
      <c r="O70" s="422"/>
      <c r="P70" s="80"/>
      <c r="Q70" s="81"/>
      <c r="R70" s="187"/>
      <c r="S70" s="158">
        <f t="shared" si="45"/>
        <v>0</v>
      </c>
      <c r="T70" s="42"/>
      <c r="U70" s="39"/>
      <c r="V70" s="39"/>
      <c r="W70" s="40" t="str">
        <f t="shared" ref="W70:W72" si="48">T70&amp;" hrs @ "&amp;U70</f>
        <v xml:space="preserve"> hrs @ </v>
      </c>
      <c r="X70" s="78"/>
      <c r="Y70" s="422"/>
      <c r="Z70" s="80"/>
      <c r="AA70" s="81"/>
      <c r="AB70" s="187"/>
      <c r="AC70" s="158">
        <f t="shared" si="46"/>
        <v>0</v>
      </c>
      <c r="AD70" s="42"/>
      <c r="AE70" s="39"/>
      <c r="AF70" s="39"/>
      <c r="AG70" s="40" t="str">
        <f t="shared" ref="AG70:AG72" si="49">AD70&amp;" hrs @ "&amp;AE70</f>
        <v xml:space="preserve"> hrs @ </v>
      </c>
      <c r="AH70" s="79"/>
      <c r="AI70" s="238"/>
      <c r="AJ70" s="158">
        <f>I70+S70+AC70</f>
        <v>0</v>
      </c>
      <c r="AK70" s="79"/>
    </row>
    <row r="71" spans="1:37" x14ac:dyDescent="0.3">
      <c r="A71" s="301" t="s">
        <v>5</v>
      </c>
      <c r="B71" s="218" t="str">
        <f t="shared" si="37"/>
        <v>MAST</v>
      </c>
      <c r="C71" s="217" t="s">
        <v>48</v>
      </c>
      <c r="D71" s="10"/>
      <c r="E71" s="126"/>
      <c r="F71" s="126"/>
      <c r="G71" s="126"/>
      <c r="H71" s="187"/>
      <c r="I71" s="158">
        <f t="shared" si="44"/>
        <v>0</v>
      </c>
      <c r="J71" s="42"/>
      <c r="K71" s="39"/>
      <c r="L71" s="42"/>
      <c r="M71" s="40" t="str">
        <f t="shared" si="47"/>
        <v xml:space="preserve"> hrs @ </v>
      </c>
      <c r="N71" s="79"/>
      <c r="O71" s="422"/>
      <c r="P71" s="80"/>
      <c r="Q71" s="81"/>
      <c r="R71" s="187"/>
      <c r="S71" s="158">
        <f t="shared" si="45"/>
        <v>0</v>
      </c>
      <c r="T71" s="42"/>
      <c r="U71" s="39"/>
      <c r="V71" s="42"/>
      <c r="W71" s="40" t="str">
        <f t="shared" si="48"/>
        <v xml:space="preserve"> hrs @ </v>
      </c>
      <c r="X71" s="78"/>
      <c r="Y71" s="422"/>
      <c r="Z71" s="80"/>
      <c r="AA71" s="81"/>
      <c r="AB71" s="187"/>
      <c r="AC71" s="158">
        <f t="shared" si="46"/>
        <v>0</v>
      </c>
      <c r="AD71" s="42"/>
      <c r="AE71" s="39"/>
      <c r="AF71" s="42"/>
      <c r="AG71" s="40" t="str">
        <f t="shared" si="49"/>
        <v xml:space="preserve"> hrs @ </v>
      </c>
      <c r="AH71" s="79"/>
      <c r="AI71" s="238"/>
      <c r="AJ71" s="158">
        <f>I71+S71+AC71</f>
        <v>0</v>
      </c>
      <c r="AK71" s="79"/>
    </row>
    <row r="72" spans="1:37" x14ac:dyDescent="0.3">
      <c r="A72" s="301" t="s">
        <v>5</v>
      </c>
      <c r="B72" s="218" t="str">
        <f t="shared" si="37"/>
        <v>MAST</v>
      </c>
      <c r="C72" s="217" t="s">
        <v>48</v>
      </c>
      <c r="D72" s="10"/>
      <c r="E72" s="126"/>
      <c r="F72" s="126"/>
      <c r="G72" s="126"/>
      <c r="H72" s="256"/>
      <c r="I72" s="158">
        <f t="shared" si="44"/>
        <v>0</v>
      </c>
      <c r="J72" s="42"/>
      <c r="K72" s="39"/>
      <c r="L72" s="43"/>
      <c r="M72" s="40" t="str">
        <f t="shared" si="47"/>
        <v xml:space="preserve"> hrs @ </v>
      </c>
      <c r="N72" s="79"/>
      <c r="O72" s="422"/>
      <c r="P72" s="80"/>
      <c r="Q72" s="81"/>
      <c r="R72" s="187"/>
      <c r="S72" s="158">
        <f t="shared" si="45"/>
        <v>0</v>
      </c>
      <c r="T72" s="42"/>
      <c r="U72" s="39"/>
      <c r="V72" s="43"/>
      <c r="W72" s="40" t="str">
        <f t="shared" si="48"/>
        <v xml:space="preserve"> hrs @ </v>
      </c>
      <c r="X72" s="78"/>
      <c r="Y72" s="422"/>
      <c r="Z72" s="80"/>
      <c r="AA72" s="81"/>
      <c r="AB72" s="187"/>
      <c r="AC72" s="158">
        <f t="shared" si="46"/>
        <v>0</v>
      </c>
      <c r="AD72" s="42"/>
      <c r="AE72" s="39"/>
      <c r="AF72" s="43"/>
      <c r="AG72" s="40" t="str">
        <f t="shared" si="49"/>
        <v xml:space="preserve"> hrs @ </v>
      </c>
      <c r="AH72" s="79"/>
      <c r="AI72" s="238"/>
      <c r="AJ72" s="158">
        <f>I72+S72+AC72</f>
        <v>0</v>
      </c>
      <c r="AK72" s="79"/>
    </row>
    <row r="73" spans="1:37" x14ac:dyDescent="0.3">
      <c r="A73" s="301" t="s">
        <v>5</v>
      </c>
      <c r="B73" s="218" t="str">
        <f t="shared" si="37"/>
        <v>MASTTotal Equipment</v>
      </c>
      <c r="C73" s="220" t="s">
        <v>50</v>
      </c>
      <c r="D73" s="10"/>
      <c r="E73" s="116">
        <f>I73</f>
        <v>0</v>
      </c>
      <c r="F73" s="116">
        <f>S73</f>
        <v>0</v>
      </c>
      <c r="G73" s="116">
        <f>AC73</f>
        <v>0</v>
      </c>
      <c r="H73" s="257" t="s">
        <v>37</v>
      </c>
      <c r="I73" s="165">
        <f>SUM(I69:I72)</f>
        <v>0</v>
      </c>
      <c r="J73" s="68"/>
      <c r="K73" s="68"/>
      <c r="L73" s="68"/>
      <c r="M73" s="66"/>
      <c r="N73" s="420">
        <f>I73</f>
        <v>0</v>
      </c>
      <c r="O73" s="425" t="e">
        <f>N73/N90</f>
        <v>#DIV/0!</v>
      </c>
      <c r="P73" s="80"/>
      <c r="Q73" s="81"/>
      <c r="R73" s="188" t="s">
        <v>37</v>
      </c>
      <c r="S73" s="165">
        <f>SUM(S69:S72)</f>
        <v>0</v>
      </c>
      <c r="T73" s="68"/>
      <c r="U73" s="68"/>
      <c r="V73" s="68"/>
      <c r="W73" s="66"/>
      <c r="X73" s="52">
        <f>S73</f>
        <v>0</v>
      </c>
      <c r="Y73" s="425">
        <f>X73/X90</f>
        <v>0</v>
      </c>
      <c r="Z73" s="80"/>
      <c r="AA73" s="81"/>
      <c r="AB73" s="188" t="s">
        <v>37</v>
      </c>
      <c r="AC73" s="165">
        <f>SUM(AC69:AC72)</f>
        <v>0</v>
      </c>
      <c r="AD73" s="68"/>
      <c r="AE73" s="68"/>
      <c r="AF73" s="68"/>
      <c r="AG73" s="66"/>
      <c r="AH73" s="420">
        <f>AC73</f>
        <v>0</v>
      </c>
      <c r="AI73" s="233">
        <f>AH73/AH90</f>
        <v>0</v>
      </c>
      <c r="AJ73" s="165">
        <f>I73+S73+AC73</f>
        <v>0</v>
      </c>
      <c r="AK73" s="420"/>
    </row>
    <row r="74" spans="1:37" x14ac:dyDescent="0.3">
      <c r="A74" s="301" t="s">
        <v>5</v>
      </c>
      <c r="B74" s="218" t="str">
        <f t="shared" si="37"/>
        <v>MAST</v>
      </c>
      <c r="C74" s="217" t="s">
        <v>48</v>
      </c>
      <c r="D74" s="10"/>
      <c r="E74" s="126"/>
      <c r="F74" s="126"/>
      <c r="G74" s="126"/>
      <c r="H74" s="189"/>
      <c r="I74" s="166"/>
      <c r="J74" s="69"/>
      <c r="K74" s="69"/>
      <c r="L74" s="69"/>
      <c r="M74" s="70"/>
      <c r="N74" s="88"/>
      <c r="O74" s="429"/>
      <c r="P74" s="89"/>
      <c r="Q74" s="60"/>
      <c r="R74" s="189"/>
      <c r="S74" s="166"/>
      <c r="T74" s="69"/>
      <c r="U74" s="69"/>
      <c r="V74" s="69"/>
      <c r="W74" s="70"/>
      <c r="X74" s="87"/>
      <c r="Y74" s="429"/>
      <c r="Z74" s="89"/>
      <c r="AA74" s="60"/>
      <c r="AB74" s="189"/>
      <c r="AC74" s="166"/>
      <c r="AD74" s="69"/>
      <c r="AE74" s="69"/>
      <c r="AF74" s="69"/>
      <c r="AG74" s="70"/>
      <c r="AH74" s="88"/>
      <c r="AI74" s="241"/>
      <c r="AJ74" s="166"/>
      <c r="AK74" s="88"/>
    </row>
    <row r="75" spans="1:37" x14ac:dyDescent="0.3">
      <c r="A75" s="301" t="s">
        <v>5</v>
      </c>
      <c r="B75" s="218" t="str">
        <f t="shared" si="37"/>
        <v>MASTIS SUPPORT</v>
      </c>
      <c r="C75" s="220" t="s">
        <v>50</v>
      </c>
      <c r="D75" s="10"/>
      <c r="E75" s="126"/>
      <c r="F75" s="126"/>
      <c r="G75" s="126"/>
      <c r="H75" s="186" t="s">
        <v>38</v>
      </c>
      <c r="I75" s="167"/>
      <c r="J75" s="74"/>
      <c r="K75" s="74"/>
      <c r="L75" s="74"/>
      <c r="M75" s="66"/>
      <c r="N75" s="91"/>
      <c r="O75" s="430"/>
      <c r="P75" s="92"/>
      <c r="Q75" s="37"/>
      <c r="R75" s="186" t="s">
        <v>38</v>
      </c>
      <c r="S75" s="167"/>
      <c r="T75" s="74"/>
      <c r="U75" s="74"/>
      <c r="V75" s="74"/>
      <c r="W75" s="66"/>
      <c r="X75" s="90"/>
      <c r="Y75" s="430"/>
      <c r="Z75" s="92"/>
      <c r="AA75" s="37"/>
      <c r="AB75" s="186" t="s">
        <v>38</v>
      </c>
      <c r="AC75" s="167"/>
      <c r="AD75" s="74"/>
      <c r="AE75" s="74"/>
      <c r="AF75" s="74"/>
      <c r="AG75" s="66"/>
      <c r="AH75" s="91"/>
      <c r="AI75" s="227"/>
      <c r="AJ75" s="167"/>
      <c r="AK75" s="91"/>
    </row>
    <row r="76" spans="1:37" x14ac:dyDescent="0.3">
      <c r="A76" s="301" t="s">
        <v>5</v>
      </c>
      <c r="B76" s="218" t="str">
        <f t="shared" si="37"/>
        <v>MASTAnalyst Labor</v>
      </c>
      <c r="C76" s="217" t="s">
        <v>48</v>
      </c>
      <c r="D76" s="10"/>
      <c r="E76" s="126"/>
      <c r="F76" s="126"/>
      <c r="G76" s="126"/>
      <c r="H76" s="184" t="s">
        <v>39</v>
      </c>
      <c r="I76" s="162">
        <f>J76*K76</f>
        <v>0</v>
      </c>
      <c r="J76" s="42"/>
      <c r="K76" s="39"/>
      <c r="L76" s="39"/>
      <c r="M76" s="40" t="str">
        <f>J76&amp;" hrs @ "&amp;K76</f>
        <v xml:space="preserve"> hrs @ </v>
      </c>
      <c r="N76" s="94"/>
      <c r="O76" s="423"/>
      <c r="P76" s="92"/>
      <c r="Q76" s="37"/>
      <c r="R76" s="184" t="s">
        <v>39</v>
      </c>
      <c r="S76" s="162">
        <f>T76*U76</f>
        <v>0</v>
      </c>
      <c r="T76" s="42"/>
      <c r="U76" s="39"/>
      <c r="V76" s="39"/>
      <c r="W76" s="40" t="str">
        <f>T76&amp;" hrs @ "&amp;U76</f>
        <v xml:space="preserve"> hrs @ </v>
      </c>
      <c r="X76" s="93"/>
      <c r="Y76" s="423"/>
      <c r="Z76" s="92"/>
      <c r="AA76" s="37"/>
      <c r="AB76" s="184" t="s">
        <v>39</v>
      </c>
      <c r="AC76" s="162">
        <f>AD76*AE76</f>
        <v>0</v>
      </c>
      <c r="AD76" s="42"/>
      <c r="AE76" s="39"/>
      <c r="AF76" s="39"/>
      <c r="AG76" s="40" t="str">
        <f>AD76&amp;" hrs @ "&amp;AE76</f>
        <v xml:space="preserve"> hrs @ </v>
      </c>
      <c r="AH76" s="94"/>
      <c r="AI76" s="242"/>
      <c r="AJ76" s="162">
        <f>I76+S76+AC76</f>
        <v>0</v>
      </c>
      <c r="AK76" s="94"/>
    </row>
    <row r="77" spans="1:37" x14ac:dyDescent="0.3">
      <c r="A77" s="301" t="s">
        <v>5</v>
      </c>
      <c r="B77" s="218" t="str">
        <f t="shared" si="37"/>
        <v>MASTAnalyst Benefits</v>
      </c>
      <c r="C77" s="217" t="s">
        <v>48</v>
      </c>
      <c r="D77" s="10"/>
      <c r="E77" s="126"/>
      <c r="F77" s="126"/>
      <c r="G77" s="126"/>
      <c r="H77" s="179" t="s">
        <v>40</v>
      </c>
      <c r="I77" s="159">
        <f>I76*$O$2</f>
        <v>0</v>
      </c>
      <c r="J77" s="42"/>
      <c r="K77" s="39"/>
      <c r="L77" s="156"/>
      <c r="M77" s="45" t="str">
        <f>"@ "&amp;$O$2*100&amp;" %"</f>
        <v>@ 98.59 %</v>
      </c>
      <c r="N77" s="94"/>
      <c r="O77" s="423"/>
      <c r="P77" s="92"/>
      <c r="Q77" s="37"/>
      <c r="R77" s="184" t="s">
        <v>40</v>
      </c>
      <c r="S77" s="159">
        <f>S76*$O$2</f>
        <v>0</v>
      </c>
      <c r="T77" s="42"/>
      <c r="U77" s="39"/>
      <c r="V77" s="156"/>
      <c r="W77" s="45" t="str">
        <f>"@ "&amp;$O$2*100&amp;" %"</f>
        <v>@ 98.59 %</v>
      </c>
      <c r="X77" s="93"/>
      <c r="Y77" s="423"/>
      <c r="Z77" s="92"/>
      <c r="AA77" s="37"/>
      <c r="AB77" s="184" t="s">
        <v>40</v>
      </c>
      <c r="AC77" s="159">
        <f>AC76*$O$2</f>
        <v>0</v>
      </c>
      <c r="AD77" s="42"/>
      <c r="AE77" s="39"/>
      <c r="AF77" s="156"/>
      <c r="AG77" s="45" t="str">
        <f>"@ "&amp;$O$2*100&amp;" %"</f>
        <v>@ 98.59 %</v>
      </c>
      <c r="AH77" s="94"/>
      <c r="AI77" s="242"/>
      <c r="AJ77" s="159">
        <f>I77+S77+AC77</f>
        <v>0</v>
      </c>
      <c r="AK77" s="94"/>
    </row>
    <row r="78" spans="1:37" x14ac:dyDescent="0.3">
      <c r="A78" s="301" t="s">
        <v>5</v>
      </c>
      <c r="B78" s="218" t="str">
        <f t="shared" si="37"/>
        <v>MASTTotal IS</v>
      </c>
      <c r="C78" s="220" t="s">
        <v>50</v>
      </c>
      <c r="D78" s="10"/>
      <c r="E78" s="126"/>
      <c r="F78" s="126"/>
      <c r="G78" s="126"/>
      <c r="H78" s="258" t="s">
        <v>41</v>
      </c>
      <c r="I78" s="165">
        <f>I76+I77</f>
        <v>0</v>
      </c>
      <c r="J78" s="68"/>
      <c r="K78" s="68"/>
      <c r="L78" s="68"/>
      <c r="M78" s="66"/>
      <c r="N78" s="420">
        <f>I78</f>
        <v>0</v>
      </c>
      <c r="O78" s="425" t="e">
        <f>N78/N90</f>
        <v>#DIV/0!</v>
      </c>
      <c r="P78" s="92"/>
      <c r="Q78" s="37"/>
      <c r="R78" s="185" t="s">
        <v>41</v>
      </c>
      <c r="S78" s="165">
        <f>S76+S77</f>
        <v>0</v>
      </c>
      <c r="T78" s="68"/>
      <c r="U78" s="68"/>
      <c r="V78" s="68"/>
      <c r="W78" s="66"/>
      <c r="X78" s="52">
        <f>S78</f>
        <v>0</v>
      </c>
      <c r="Y78" s="425">
        <f>X78/X90</f>
        <v>0</v>
      </c>
      <c r="Z78" s="92"/>
      <c r="AA78" s="37"/>
      <c r="AB78" s="185" t="s">
        <v>41</v>
      </c>
      <c r="AC78" s="165">
        <f>AC76+AC77</f>
        <v>0</v>
      </c>
      <c r="AD78" s="68"/>
      <c r="AE78" s="68"/>
      <c r="AF78" s="68"/>
      <c r="AG78" s="66"/>
      <c r="AH78" s="420">
        <f>AC78</f>
        <v>0</v>
      </c>
      <c r="AI78" s="233">
        <f>AH78/AH90</f>
        <v>0</v>
      </c>
      <c r="AJ78" s="165">
        <f>I78+S78+AC78</f>
        <v>0</v>
      </c>
      <c r="AK78" s="420"/>
    </row>
    <row r="79" spans="1:37" x14ac:dyDescent="0.3">
      <c r="A79" s="301" t="s">
        <v>5</v>
      </c>
      <c r="B79" s="218" t="str">
        <f t="shared" si="37"/>
        <v>MAST</v>
      </c>
      <c r="C79" s="217" t="s">
        <v>48</v>
      </c>
      <c r="D79" s="10"/>
      <c r="E79" s="126"/>
      <c r="F79" s="126"/>
      <c r="G79" s="126"/>
      <c r="H79" s="179"/>
      <c r="I79" s="166"/>
      <c r="J79" s="69"/>
      <c r="K79" s="69"/>
      <c r="L79" s="69"/>
      <c r="M79" s="70"/>
      <c r="N79" s="98"/>
      <c r="O79" s="431"/>
      <c r="P79" s="99"/>
      <c r="Q79" s="60"/>
      <c r="R79" s="179"/>
      <c r="S79" s="166"/>
      <c r="T79" s="69"/>
      <c r="U79" s="69"/>
      <c r="V79" s="69"/>
      <c r="W79" s="70"/>
      <c r="X79" s="97"/>
      <c r="Y79" s="431"/>
      <c r="Z79" s="99"/>
      <c r="AA79" s="60"/>
      <c r="AB79" s="179"/>
      <c r="AC79" s="166"/>
      <c r="AD79" s="69"/>
      <c r="AE79" s="69"/>
      <c r="AF79" s="69"/>
      <c r="AG79" s="70"/>
      <c r="AH79" s="98"/>
      <c r="AI79" s="243"/>
      <c r="AJ79" s="166"/>
      <c r="AK79" s="98"/>
    </row>
    <row r="80" spans="1:37" ht="15.6" customHeight="1" x14ac:dyDescent="0.3">
      <c r="A80" s="301" t="s">
        <v>5</v>
      </c>
      <c r="B80" s="218" t="str">
        <f t="shared" si="37"/>
        <v>MASTOTHER</v>
      </c>
      <c r="C80" s="220" t="s">
        <v>50</v>
      </c>
      <c r="D80" s="10"/>
      <c r="E80" s="126"/>
      <c r="F80" s="126"/>
      <c r="G80" s="126"/>
      <c r="H80" s="186" t="s">
        <v>42</v>
      </c>
      <c r="I80" s="167"/>
      <c r="J80" s="74"/>
      <c r="K80" s="74"/>
      <c r="L80" s="74"/>
      <c r="M80" s="66"/>
      <c r="N80" s="91"/>
      <c r="O80" s="430"/>
      <c r="P80" s="92"/>
      <c r="Q80" s="37"/>
      <c r="R80" s="186" t="s">
        <v>42</v>
      </c>
      <c r="S80" s="167"/>
      <c r="T80" s="74"/>
      <c r="U80" s="74"/>
      <c r="V80" s="74"/>
      <c r="W80" s="66"/>
      <c r="X80" s="90"/>
      <c r="Y80" s="430"/>
      <c r="Z80" s="92"/>
      <c r="AA80" s="37"/>
      <c r="AB80" s="186" t="s">
        <v>42</v>
      </c>
      <c r="AC80" s="167"/>
      <c r="AD80" s="74"/>
      <c r="AE80" s="74"/>
      <c r="AF80" s="74"/>
      <c r="AG80" s="66"/>
      <c r="AH80" s="91"/>
      <c r="AI80" s="227"/>
      <c r="AJ80" s="167"/>
      <c r="AK80" s="91"/>
    </row>
    <row r="81" spans="1:37" ht="15.6" customHeight="1" x14ac:dyDescent="0.3">
      <c r="A81" s="301" t="s">
        <v>5</v>
      </c>
      <c r="B81" s="218" t="str">
        <f t="shared" si="37"/>
        <v>MASTManager Non Payroll</v>
      </c>
      <c r="C81" s="217" t="s">
        <v>48</v>
      </c>
      <c r="D81" s="10"/>
      <c r="E81" s="126"/>
      <c r="F81" s="126"/>
      <c r="G81" s="126"/>
      <c r="H81" s="42" t="s">
        <v>578</v>
      </c>
      <c r="I81" s="163">
        <f>ROUND((((I51+I60)*(1+$O$2))/VLOOKUP("MAJ ACCT SERV TEAMPayroll",'Base 2015 actual for Cost Cente'!$A:$F,6,FALSE))*VLOOKUP("MAJ ACCT SERV TEAMNon-Payroll",'Base 2015 actual for Cost Cente'!$A:$F,6,FALSE),0)</f>
        <v>0</v>
      </c>
      <c r="J81" s="74"/>
      <c r="K81" s="74"/>
      <c r="L81" s="74" t="s">
        <v>576</v>
      </c>
      <c r="M81" s="734" t="s">
        <v>372</v>
      </c>
      <c r="N81" s="91"/>
      <c r="O81" s="430"/>
      <c r="P81" s="92"/>
      <c r="Q81" s="37"/>
      <c r="R81" s="38" t="s">
        <v>337</v>
      </c>
      <c r="S81" s="163">
        <f>ROUND((((S51+S60)*(1+$O$2))/VLOOKUP("MAJ ACCT SERV TEAMPayroll",'Base 2015 actual for Cost Cente'!$A:$F,6,FALSE))*VLOOKUP("MAJ ACCT SERV TEAMNon-Payroll",'Base 2015 actual for Cost Cente'!$A:$F,6,FALSE),0)</f>
        <v>0</v>
      </c>
      <c r="T81" s="74"/>
      <c r="U81" s="74"/>
      <c r="V81" s="74" t="s">
        <v>576</v>
      </c>
      <c r="W81" s="734" t="s">
        <v>372</v>
      </c>
      <c r="X81" s="90"/>
      <c r="Y81" s="430"/>
      <c r="Z81" s="92"/>
      <c r="AA81" s="37"/>
      <c r="AB81" s="38" t="s">
        <v>337</v>
      </c>
      <c r="AC81" s="163">
        <f>ROUND((((AC51+AC60)*(1+$O$2))/VLOOKUP("MAJ ACCT SERV TEAMPayroll",'Base 2015 actual for Cost Cente'!$A:$F,6,FALSE))*VLOOKUP("MAJ ACCT SERV TEAMNon-Payroll",'Base 2015 actual for Cost Cente'!$A:$F,6,FALSE),0)</f>
        <v>1105</v>
      </c>
      <c r="AD81" s="74"/>
      <c r="AE81" s="74"/>
      <c r="AF81" s="74" t="s">
        <v>576</v>
      </c>
      <c r="AG81" s="734" t="s">
        <v>372</v>
      </c>
      <c r="AH81" s="91"/>
      <c r="AI81" s="227"/>
      <c r="AJ81" s="163">
        <f>I81+S81+AC81</f>
        <v>1105</v>
      </c>
      <c r="AK81" s="91"/>
    </row>
    <row r="82" spans="1:37" x14ac:dyDescent="0.3">
      <c r="A82" s="301" t="s">
        <v>5</v>
      </c>
      <c r="B82" s="218" t="str">
        <f t="shared" si="37"/>
        <v>MASTMAS NonPayroll</v>
      </c>
      <c r="C82" s="217" t="s">
        <v>48</v>
      </c>
      <c r="D82" s="10"/>
      <c r="E82" s="126"/>
      <c r="F82" s="126"/>
      <c r="G82" s="126"/>
      <c r="H82" s="42" t="s">
        <v>579</v>
      </c>
      <c r="I82" s="163">
        <f>ROUND((((I53+I61)*(1+$O$2))/VLOOKUP("FIELD SERVICESPayroll",'Base 2015 actual for Cost Cente'!$A:$F,6,FALSE))*VLOOKUP("FIELD SERVICESNon-Payroll",'Base 2015 actual for Cost Cente'!$A:$F,6,FALSE),0)</f>
        <v>0</v>
      </c>
      <c r="J82" s="42"/>
      <c r="K82" s="39"/>
      <c r="L82" s="42" t="s">
        <v>577</v>
      </c>
      <c r="M82" s="735"/>
      <c r="N82" s="91"/>
      <c r="O82" s="430"/>
      <c r="P82" s="92"/>
      <c r="Q82" s="37"/>
      <c r="R82" s="38"/>
      <c r="S82" s="163">
        <f>ROUND((((S53+S61)*(1+$O$2))/VLOOKUP("FIELD SERVICESPayroll",'Base 2015 actual for Cost Cente'!$A:$F,6,FALSE))*VLOOKUP("FIELD SERVICESNon-Payroll",'Base 2015 actual for Cost Cente'!$A:$F,6,FALSE),0)</f>
        <v>139</v>
      </c>
      <c r="T82" s="42"/>
      <c r="U82" s="39"/>
      <c r="V82" s="42" t="s">
        <v>577</v>
      </c>
      <c r="W82" s="735"/>
      <c r="X82" s="90"/>
      <c r="Y82" s="430"/>
      <c r="Z82" s="92"/>
      <c r="AA82" s="37"/>
      <c r="AB82" s="38"/>
      <c r="AC82" s="163">
        <f>ROUND((((AC53+AC61)*(1+$O$2))/VLOOKUP("FIELD SERVICESPayroll",'Base 2015 actual for Cost Cente'!$A:$F,6,FALSE))*VLOOKUP("FIELD SERVICESNon-Payroll",'Base 2015 actual for Cost Cente'!$A:$F,6,FALSE),0)</f>
        <v>5</v>
      </c>
      <c r="AD82" s="42"/>
      <c r="AE82" s="39"/>
      <c r="AF82" s="42" t="s">
        <v>577</v>
      </c>
      <c r="AG82" s="735"/>
      <c r="AH82" s="91"/>
      <c r="AI82" s="227"/>
      <c r="AJ82" s="163">
        <f>I82+S82+AC82</f>
        <v>144</v>
      </c>
      <c r="AK82" s="91"/>
    </row>
    <row r="83" spans="1:37" x14ac:dyDescent="0.3">
      <c r="A83" s="301" t="s">
        <v>5</v>
      </c>
      <c r="B83" s="218" t="str">
        <f t="shared" si="37"/>
        <v>MASTMAST Payroll</v>
      </c>
      <c r="C83" s="217" t="s">
        <v>48</v>
      </c>
      <c r="D83" s="10"/>
      <c r="E83" s="126"/>
      <c r="F83" s="126"/>
      <c r="G83" s="126"/>
      <c r="H83" s="42" t="s">
        <v>580</v>
      </c>
      <c r="I83" s="163">
        <f>ROUND((((I52+I62)*(1+$O$2))/VLOOKUP("CUST SEG SRVCPayroll",'Base 2015 actual for Cost Cente'!$A:$F,6,FALSE))*VLOOKUP("CUST SEG SRVCNon-Payroll",'Base 2015 actual for Cost Cente'!$A:$F,6,FALSE),0)</f>
        <v>0</v>
      </c>
      <c r="J83" s="42"/>
      <c r="K83" s="39"/>
      <c r="L83" s="42" t="s">
        <v>5</v>
      </c>
      <c r="M83" s="66" t="s">
        <v>574</v>
      </c>
      <c r="N83" s="91"/>
      <c r="O83" s="430"/>
      <c r="P83" s="92"/>
      <c r="Q83" s="37"/>
      <c r="R83" s="184"/>
      <c r="S83" s="163">
        <f>ROUND((((S52+S62)*(1+$O$2))/VLOOKUP("CUST SEG SRVCPayroll",'Base 2015 actual for Cost Cente'!$A:$F,6,FALSE))*VLOOKUP("CUST SEG SRVCNon-Payroll",'Base 2015 actual for Cost Cente'!$A:$F,6,FALSE),0)</f>
        <v>12</v>
      </c>
      <c r="T83" s="42"/>
      <c r="U83" s="39"/>
      <c r="V83" s="42" t="s">
        <v>5</v>
      </c>
      <c r="W83" s="66" t="s">
        <v>574</v>
      </c>
      <c r="X83" s="90"/>
      <c r="Y83" s="430"/>
      <c r="Z83" s="92"/>
      <c r="AA83" s="37"/>
      <c r="AB83" s="184"/>
      <c r="AC83" s="163">
        <f>ROUND((((AC52+AC62)*(1+$O$2))/VLOOKUP("CUST SEG SRVCPayroll",'Base 2015 actual for Cost Cente'!$A:$F,6,FALSE))*VLOOKUP("CUST SEG SRVCNon-Payroll",'Base 2015 actual for Cost Cente'!$A:$F,6,FALSE),0)</f>
        <v>505</v>
      </c>
      <c r="AD83" s="42"/>
      <c r="AE83" s="39"/>
      <c r="AF83" s="42" t="s">
        <v>5</v>
      </c>
      <c r="AG83" s="66" t="s">
        <v>574</v>
      </c>
      <c r="AH83" s="91"/>
      <c r="AI83" s="227"/>
      <c r="AJ83" s="163">
        <f>I83+S83+AC83</f>
        <v>517</v>
      </c>
      <c r="AK83" s="91"/>
    </row>
    <row r="84" spans="1:37" x14ac:dyDescent="0.3">
      <c r="A84" s="301" t="s">
        <v>5</v>
      </c>
      <c r="B84" s="218" t="str">
        <f t="shared" si="37"/>
        <v>MAST</v>
      </c>
      <c r="C84" s="217" t="s">
        <v>48</v>
      </c>
      <c r="D84" s="10"/>
      <c r="E84" s="126"/>
      <c r="F84" s="126"/>
      <c r="G84" s="126"/>
      <c r="H84" s="184"/>
      <c r="I84" s="158">
        <f t="shared" ref="I84:I86" si="50">J84*K84</f>
        <v>0</v>
      </c>
      <c r="J84" s="42"/>
      <c r="K84" s="39"/>
      <c r="L84" s="42"/>
      <c r="M84" s="66"/>
      <c r="N84" s="91"/>
      <c r="O84" s="430"/>
      <c r="P84" s="92"/>
      <c r="Q84" s="37"/>
      <c r="R84" s="184"/>
      <c r="S84" s="158"/>
      <c r="T84" s="42"/>
      <c r="U84" s="39"/>
      <c r="V84" s="42"/>
      <c r="W84" s="66"/>
      <c r="X84" s="90"/>
      <c r="Y84" s="430"/>
      <c r="Z84" s="92"/>
      <c r="AA84" s="37"/>
      <c r="AB84" s="184"/>
      <c r="AC84" s="158"/>
      <c r="AD84" s="42"/>
      <c r="AE84" s="39"/>
      <c r="AF84" s="42"/>
      <c r="AG84" s="66"/>
      <c r="AH84" s="91"/>
      <c r="AI84" s="227"/>
      <c r="AJ84" s="158"/>
      <c r="AK84" s="91"/>
    </row>
    <row r="85" spans="1:37" x14ac:dyDescent="0.3">
      <c r="A85" s="301" t="s">
        <v>5</v>
      </c>
      <c r="B85" s="218" t="str">
        <f t="shared" si="37"/>
        <v>MAST</v>
      </c>
      <c r="C85" s="217" t="s">
        <v>48</v>
      </c>
      <c r="D85" s="10"/>
      <c r="E85" s="126"/>
      <c r="F85" s="126"/>
      <c r="G85" s="126"/>
      <c r="H85" s="184"/>
      <c r="I85" s="158">
        <f t="shared" si="50"/>
        <v>0</v>
      </c>
      <c r="J85" s="42"/>
      <c r="K85" s="39"/>
      <c r="L85" s="42"/>
      <c r="M85" s="66"/>
      <c r="N85" s="91"/>
      <c r="O85" s="430"/>
      <c r="P85" s="92"/>
      <c r="Q85" s="37"/>
      <c r="R85" s="184"/>
      <c r="S85" s="158"/>
      <c r="T85" s="42"/>
      <c r="U85" s="39"/>
      <c r="V85" s="42"/>
      <c r="W85" s="66"/>
      <c r="X85" s="90"/>
      <c r="Y85" s="430"/>
      <c r="Z85" s="92"/>
      <c r="AA85" s="37"/>
      <c r="AB85" s="184"/>
      <c r="AC85" s="158"/>
      <c r="AD85" s="42"/>
      <c r="AE85" s="39"/>
      <c r="AF85" s="42"/>
      <c r="AG85" s="66"/>
      <c r="AH85" s="91"/>
      <c r="AI85" s="227"/>
      <c r="AJ85" s="158"/>
      <c r="AK85" s="91"/>
    </row>
    <row r="86" spans="1:37" x14ac:dyDescent="0.3">
      <c r="A86" s="301" t="s">
        <v>5</v>
      </c>
      <c r="B86" s="218" t="str">
        <f t="shared" si="37"/>
        <v>MAST</v>
      </c>
      <c r="C86" s="217" t="s">
        <v>48</v>
      </c>
      <c r="D86" s="10"/>
      <c r="E86" s="126"/>
      <c r="F86" s="126"/>
      <c r="G86" s="126"/>
      <c r="H86" s="179"/>
      <c r="I86" s="158">
        <f t="shared" si="50"/>
        <v>0</v>
      </c>
      <c r="J86" s="82"/>
      <c r="K86" s="82"/>
      <c r="L86" s="67"/>
      <c r="M86" s="40"/>
      <c r="N86" s="94"/>
      <c r="O86" s="423"/>
      <c r="P86" s="92"/>
      <c r="Q86" s="37"/>
      <c r="R86" s="184"/>
      <c r="S86" s="158"/>
      <c r="T86" s="82"/>
      <c r="U86" s="82"/>
      <c r="V86" s="67"/>
      <c r="W86" s="40"/>
      <c r="X86" s="93"/>
      <c r="Y86" s="423"/>
      <c r="Z86" s="92"/>
      <c r="AA86" s="37"/>
      <c r="AB86" s="184"/>
      <c r="AC86" s="158"/>
      <c r="AD86" s="82"/>
      <c r="AE86" s="82"/>
      <c r="AF86" s="67"/>
      <c r="AG86" s="40"/>
      <c r="AH86" s="94"/>
      <c r="AI86" s="242"/>
      <c r="AJ86" s="158"/>
      <c r="AK86" s="94"/>
    </row>
    <row r="87" spans="1:37" x14ac:dyDescent="0.3">
      <c r="A87" s="301" t="s">
        <v>5</v>
      </c>
      <c r="B87" s="218" t="str">
        <f t="shared" si="37"/>
        <v>MASTTotal Other</v>
      </c>
      <c r="C87" s="220" t="s">
        <v>50</v>
      </c>
      <c r="D87" s="10"/>
      <c r="E87" s="116">
        <f>I87</f>
        <v>0</v>
      </c>
      <c r="F87" s="116">
        <f>S87</f>
        <v>151</v>
      </c>
      <c r="G87" s="116">
        <f>AC87</f>
        <v>1615</v>
      </c>
      <c r="H87" s="258" t="s">
        <v>45</v>
      </c>
      <c r="I87" s="165">
        <f>SUM(I81:I86)</f>
        <v>0</v>
      </c>
      <c r="J87" s="68"/>
      <c r="K87" s="68"/>
      <c r="L87" s="68"/>
      <c r="M87" s="66"/>
      <c r="N87" s="414">
        <f>I87</f>
        <v>0</v>
      </c>
      <c r="O87" s="425" t="e">
        <f>N87/N90</f>
        <v>#DIV/0!</v>
      </c>
      <c r="P87" s="92"/>
      <c r="Q87" s="68"/>
      <c r="R87" s="185" t="s">
        <v>45</v>
      </c>
      <c r="S87" s="165">
        <f>SUM(S81:S86)</f>
        <v>151</v>
      </c>
      <c r="T87" s="68"/>
      <c r="U87" s="68"/>
      <c r="V87" s="68"/>
      <c r="W87" s="66"/>
      <c r="X87" s="165">
        <f>S87</f>
        <v>151</v>
      </c>
      <c r="Y87" s="425">
        <f>X87/X90</f>
        <v>3.7472275329340075E-2</v>
      </c>
      <c r="Z87" s="92"/>
      <c r="AA87" s="68"/>
      <c r="AB87" s="185" t="s">
        <v>45</v>
      </c>
      <c r="AC87" s="165">
        <f>SUM(AC81:AC86)</f>
        <v>1615</v>
      </c>
      <c r="AD87" s="68"/>
      <c r="AE87" s="68"/>
      <c r="AF87" s="68"/>
      <c r="AG87" s="66"/>
      <c r="AH87" s="414">
        <f>AC87</f>
        <v>1615</v>
      </c>
      <c r="AI87" s="233">
        <f>AH87/AH90</f>
        <v>3.6040718615095758E-2</v>
      </c>
      <c r="AJ87" s="165">
        <f>I87+S87+AC87</f>
        <v>1766</v>
      </c>
      <c r="AK87" s="414"/>
    </row>
    <row r="88" spans="1:37" ht="16.2" thickBot="1" x14ac:dyDescent="0.35">
      <c r="A88" s="301" t="s">
        <v>5</v>
      </c>
      <c r="B88" s="218" t="str">
        <f t="shared" si="37"/>
        <v>MAST</v>
      </c>
      <c r="C88" s="217" t="s">
        <v>48</v>
      </c>
      <c r="D88" s="10"/>
      <c r="E88" s="126"/>
      <c r="F88" s="126"/>
      <c r="G88" s="126"/>
      <c r="H88" s="189"/>
      <c r="I88" s="178"/>
      <c r="J88" s="101"/>
      <c r="K88" s="101"/>
      <c r="L88" s="101"/>
      <c r="M88" s="102"/>
      <c r="N88" s="415"/>
      <c r="O88" s="178"/>
      <c r="P88" s="101"/>
      <c r="Q88" s="101"/>
      <c r="R88" s="178"/>
      <c r="S88" s="178"/>
      <c r="T88" s="101"/>
      <c r="U88" s="101"/>
      <c r="V88" s="101"/>
      <c r="W88" s="102"/>
      <c r="X88" s="178"/>
      <c r="Y88" s="178"/>
      <c r="Z88" s="101"/>
      <c r="AA88" s="101"/>
      <c r="AB88" s="178"/>
      <c r="AC88" s="178"/>
      <c r="AD88" s="101"/>
      <c r="AE88" s="101"/>
      <c r="AF88" s="101"/>
      <c r="AG88" s="102"/>
      <c r="AH88" s="415"/>
      <c r="AI88" s="178"/>
      <c r="AJ88" s="178"/>
      <c r="AK88" s="415"/>
    </row>
    <row r="89" spans="1:37" ht="16.2" thickTop="1" x14ac:dyDescent="0.3">
      <c r="A89" s="301" t="s">
        <v>5</v>
      </c>
      <c r="B89" s="218" t="str">
        <f t="shared" si="37"/>
        <v>MASTTOTALS</v>
      </c>
      <c r="C89" s="217" t="s">
        <v>48</v>
      </c>
      <c r="D89" s="10"/>
      <c r="E89" s="126"/>
      <c r="F89" s="126"/>
      <c r="G89" s="126"/>
      <c r="H89" s="61" t="s">
        <v>28</v>
      </c>
      <c r="I89" s="103"/>
      <c r="J89" s="103"/>
      <c r="K89" s="103"/>
      <c r="L89" s="103"/>
      <c r="M89" s="104"/>
      <c r="N89" s="91"/>
      <c r="O89" s="136"/>
      <c r="P89" s="92"/>
      <c r="Q89" s="37"/>
      <c r="R89" s="186" t="s">
        <v>28</v>
      </c>
      <c r="S89" s="103"/>
      <c r="T89" s="103"/>
      <c r="U89" s="103"/>
      <c r="V89" s="103"/>
      <c r="W89" s="104"/>
      <c r="X89" s="90"/>
      <c r="Y89" s="136"/>
      <c r="Z89" s="92"/>
      <c r="AA89" s="37"/>
      <c r="AB89" s="186" t="s">
        <v>28</v>
      </c>
      <c r="AC89" s="103"/>
      <c r="AD89" s="103"/>
      <c r="AE89" s="103"/>
      <c r="AF89" s="103"/>
      <c r="AG89" s="104"/>
      <c r="AH89" s="91"/>
      <c r="AI89" s="136"/>
      <c r="AJ89" s="103"/>
      <c r="AK89" s="91"/>
    </row>
    <row r="90" spans="1:37" x14ac:dyDescent="0.3">
      <c r="A90" s="301" t="s">
        <v>5</v>
      </c>
      <c r="B90" s="218" t="str">
        <f t="shared" ref="B90:B120" si="51">A90&amp;H90</f>
        <v>MASTPER YEAR</v>
      </c>
      <c r="C90" s="220" t="s">
        <v>50</v>
      </c>
      <c r="D90" s="10"/>
      <c r="E90" s="116">
        <f>I90</f>
        <v>0</v>
      </c>
      <c r="F90" s="116">
        <f>S90</f>
        <v>4029.6458827993793</v>
      </c>
      <c r="G90" s="116">
        <f>S90</f>
        <v>4029.6458827993793</v>
      </c>
      <c r="H90" s="105" t="s">
        <v>46</v>
      </c>
      <c r="I90" s="106">
        <f>I57+I66+I73+I78+I87</f>
        <v>0</v>
      </c>
      <c r="J90" s="106"/>
      <c r="K90" s="106"/>
      <c r="L90" s="106"/>
      <c r="M90" s="107"/>
      <c r="N90" s="420">
        <f>SUM(N57:N88)</f>
        <v>0</v>
      </c>
      <c r="O90" s="425" t="e">
        <f>SUM(O57:O88)</f>
        <v>#DIV/0!</v>
      </c>
      <c r="P90" s="92"/>
      <c r="Q90" s="37"/>
      <c r="R90" s="190" t="s">
        <v>46</v>
      </c>
      <c r="S90" s="106">
        <f>S57+S66+S73+S78+S87</f>
        <v>4029.6458827993793</v>
      </c>
      <c r="T90" s="106"/>
      <c r="U90" s="106"/>
      <c r="V90" s="106"/>
      <c r="W90" s="107"/>
      <c r="X90" s="52">
        <f>SUM(X57:X88)</f>
        <v>4029.6458827993793</v>
      </c>
      <c r="Y90" s="425">
        <f>SUM(Y57:Y88)</f>
        <v>1</v>
      </c>
      <c r="Z90" s="92"/>
      <c r="AA90" s="37"/>
      <c r="AB90" s="190" t="s">
        <v>46</v>
      </c>
      <c r="AC90" s="106">
        <f>AC57+AC66+AC73+AC78+AC87</f>
        <v>44810.427262778067</v>
      </c>
      <c r="AD90" s="106"/>
      <c r="AE90" s="106"/>
      <c r="AF90" s="106"/>
      <c r="AG90" s="107"/>
      <c r="AH90" s="420">
        <f>SUM(AH57:AH88)</f>
        <v>44810.427262778067</v>
      </c>
      <c r="AI90" s="233">
        <f>SUM(AI57:AI88)</f>
        <v>0.99999999999999989</v>
      </c>
      <c r="AJ90" s="106">
        <f>I90+S90+AC90</f>
        <v>48840.073145577444</v>
      </c>
      <c r="AK90" s="420"/>
    </row>
    <row r="91" spans="1:37" x14ac:dyDescent="0.3">
      <c r="A91" s="301" t="s">
        <v>5</v>
      </c>
      <c r="B91" s="218" t="str">
        <f t="shared" si="51"/>
        <v>MASTPER BILL</v>
      </c>
      <c r="C91" s="220" t="s">
        <v>50</v>
      </c>
      <c r="D91" s="10"/>
      <c r="E91" s="126"/>
      <c r="F91" s="126"/>
      <c r="G91" s="126"/>
      <c r="H91" s="663" t="s">
        <v>286</v>
      </c>
      <c r="I91" s="664">
        <f>I90/I$6</f>
        <v>0</v>
      </c>
      <c r="J91" s="664"/>
      <c r="K91" s="664"/>
      <c r="L91" s="664"/>
      <c r="M91" s="665"/>
      <c r="N91" s="98"/>
      <c r="O91" s="431"/>
      <c r="P91" s="99"/>
      <c r="Q91" s="60"/>
      <c r="R91" s="666" t="s">
        <v>286</v>
      </c>
      <c r="S91" s="664">
        <f>S90/S$6</f>
        <v>5.2895958850407839E-3</v>
      </c>
      <c r="T91" s="664"/>
      <c r="U91" s="664"/>
      <c r="V91" s="664"/>
      <c r="W91" s="665"/>
      <c r="X91" s="97"/>
      <c r="Y91" s="431"/>
      <c r="Z91" s="99"/>
      <c r="AA91" s="60"/>
      <c r="AB91" s="666" t="s">
        <v>286</v>
      </c>
      <c r="AC91" s="664">
        <f>AC90/AC$6</f>
        <v>1.7883396760497292</v>
      </c>
      <c r="AD91" s="664"/>
      <c r="AE91" s="664"/>
      <c r="AF91" s="664"/>
      <c r="AG91" s="665"/>
      <c r="AH91" s="98"/>
      <c r="AI91" s="243"/>
      <c r="AJ91" s="664">
        <f>I91+S91+AC91</f>
        <v>1.79362927193477</v>
      </c>
      <c r="AK91" s="98"/>
    </row>
    <row r="92" spans="1:37" x14ac:dyDescent="0.3">
      <c r="A92" s="301" t="s">
        <v>5</v>
      </c>
      <c r="B92" s="218"/>
      <c r="C92" s="220"/>
      <c r="D92" s="10"/>
      <c r="E92" s="10"/>
      <c r="F92" s="10"/>
      <c r="G92" s="10"/>
      <c r="H92" s="137" t="s">
        <v>585</v>
      </c>
      <c r="I92" s="659">
        <f>I57+I66</f>
        <v>0</v>
      </c>
      <c r="J92" s="108"/>
      <c r="K92" s="108"/>
      <c r="L92" s="108"/>
      <c r="M92" s="109"/>
      <c r="N92" s="656"/>
      <c r="O92" s="657"/>
      <c r="P92" s="92"/>
      <c r="Q92" s="37"/>
      <c r="R92" s="137" t="s">
        <v>585</v>
      </c>
      <c r="S92" s="659">
        <f>S57+S66</f>
        <v>3878.6458827993793</v>
      </c>
      <c r="T92" s="108"/>
      <c r="U92" s="108"/>
      <c r="V92" s="108"/>
      <c r="W92" s="109"/>
      <c r="X92" s="658"/>
      <c r="Y92" s="657"/>
      <c r="Z92" s="92"/>
      <c r="AA92" s="37"/>
      <c r="AB92" s="137" t="s">
        <v>585</v>
      </c>
      <c r="AC92" s="659">
        <f>AC57+AC66</f>
        <v>43195.427262778067</v>
      </c>
      <c r="AD92" s="108"/>
      <c r="AE92" s="108"/>
      <c r="AF92" s="108"/>
      <c r="AG92" s="109"/>
      <c r="AH92" s="656"/>
      <c r="AI92" s="137"/>
      <c r="AJ92" s="659">
        <f>I92+S92+AC92</f>
        <v>47074.073145577444</v>
      </c>
      <c r="AK92" s="656"/>
    </row>
    <row r="93" spans="1:37" x14ac:dyDescent="0.3">
      <c r="A93" s="301" t="s">
        <v>5</v>
      </c>
      <c r="B93" s="218"/>
      <c r="C93" s="220"/>
      <c r="D93" s="10"/>
      <c r="E93" s="10"/>
      <c r="F93" s="10"/>
      <c r="G93" s="10"/>
      <c r="H93" s="137" t="s">
        <v>586</v>
      </c>
      <c r="I93" s="659">
        <f>I87+I78+I73</f>
        <v>0</v>
      </c>
      <c r="J93" s="108"/>
      <c r="K93" s="659"/>
      <c r="L93" s="108"/>
      <c r="M93" s="109"/>
      <c r="N93" s="656"/>
      <c r="O93" s="657"/>
      <c r="P93" s="92"/>
      <c r="Q93" s="37"/>
      <c r="R93" s="137" t="s">
        <v>586</v>
      </c>
      <c r="S93" s="659">
        <f>S87+S78+S73</f>
        <v>151</v>
      </c>
      <c r="T93" s="108"/>
      <c r="U93" s="659"/>
      <c r="V93" s="108"/>
      <c r="W93" s="109"/>
      <c r="X93" s="658"/>
      <c r="Y93" s="657"/>
      <c r="Z93" s="92"/>
      <c r="AA93" s="37"/>
      <c r="AB93" s="137" t="s">
        <v>586</v>
      </c>
      <c r="AC93" s="659">
        <f>AC87+AC78+AC73</f>
        <v>1615</v>
      </c>
      <c r="AD93" s="108"/>
      <c r="AE93" s="659"/>
      <c r="AF93" s="108"/>
      <c r="AG93" s="109"/>
      <c r="AH93" s="656"/>
      <c r="AI93" s="137"/>
      <c r="AJ93" s="659">
        <f>I93+S93+AC93</f>
        <v>1766</v>
      </c>
      <c r="AK93" s="656"/>
    </row>
    <row r="94" spans="1:37" x14ac:dyDescent="0.3">
      <c r="A94" s="301" t="s">
        <v>5</v>
      </c>
      <c r="B94" s="218"/>
      <c r="C94" s="220"/>
      <c r="D94" s="10"/>
      <c r="E94" s="10"/>
      <c r="F94" s="10"/>
      <c r="G94" s="10"/>
      <c r="H94" s="137" t="s">
        <v>584</v>
      </c>
      <c r="I94" s="659">
        <f>I90</f>
        <v>0</v>
      </c>
      <c r="J94" s="108"/>
      <c r="K94" s="108"/>
      <c r="L94" s="108"/>
      <c r="M94" s="109"/>
      <c r="N94" s="656"/>
      <c r="O94" s="657"/>
      <c r="P94" s="92"/>
      <c r="Q94" s="37"/>
      <c r="R94" s="137" t="s">
        <v>584</v>
      </c>
      <c r="S94" s="659">
        <f>S90</f>
        <v>4029.6458827993793</v>
      </c>
      <c r="T94" s="108"/>
      <c r="U94" s="108"/>
      <c r="V94" s="108"/>
      <c r="W94" s="109"/>
      <c r="X94" s="658"/>
      <c r="Y94" s="657"/>
      <c r="Z94" s="92"/>
      <c r="AA94" s="37"/>
      <c r="AB94" s="137" t="s">
        <v>584</v>
      </c>
      <c r="AC94" s="659">
        <f>AC90</f>
        <v>44810.427262778067</v>
      </c>
      <c r="AD94" s="108"/>
      <c r="AE94" s="108"/>
      <c r="AF94" s="108"/>
      <c r="AG94" s="109"/>
      <c r="AH94" s="656"/>
      <c r="AI94" s="137"/>
      <c r="AJ94" s="659">
        <f>I94+S94+AC94</f>
        <v>48840.073145577444</v>
      </c>
      <c r="AK94" s="656"/>
    </row>
    <row r="95" spans="1:37" ht="46.8" customHeight="1" x14ac:dyDescent="0.3">
      <c r="A95" s="301" t="s">
        <v>6</v>
      </c>
      <c r="B95" s="218" t="str">
        <f t="shared" si="51"/>
        <v>RMCLABOR: NON-SUPERVISORY</v>
      </c>
      <c r="C95" s="12" t="s">
        <v>6</v>
      </c>
      <c r="D95" s="10" t="str">
        <f>'2015Summary METER to CASH (Base'!C19</f>
        <v>* Plan &amp; assign all routes to field personnel</v>
      </c>
      <c r="E95" s="117">
        <f>N131</f>
        <v>39590.008439999998</v>
      </c>
      <c r="F95" s="117">
        <f>X131</f>
        <v>3891.34276</v>
      </c>
      <c r="G95" s="117">
        <f>AC131</f>
        <v>78.464200000000005</v>
      </c>
      <c r="H95" s="182" t="s">
        <v>31</v>
      </c>
      <c r="I95" s="157"/>
      <c r="J95" s="118"/>
      <c r="K95" s="118"/>
      <c r="L95" s="118"/>
      <c r="M95" s="119"/>
      <c r="N95" s="121"/>
      <c r="O95" s="206"/>
      <c r="P95" s="122"/>
      <c r="Q95" s="123"/>
      <c r="R95" s="183" t="s">
        <v>31</v>
      </c>
      <c r="S95" s="157"/>
      <c r="T95" s="118"/>
      <c r="U95" s="118"/>
      <c r="V95" s="118"/>
      <c r="W95" s="119"/>
      <c r="X95" s="120"/>
      <c r="Y95" s="206"/>
      <c r="Z95" s="122"/>
      <c r="AA95" s="123"/>
      <c r="AB95" s="183" t="s">
        <v>31</v>
      </c>
      <c r="AC95" s="157"/>
      <c r="AD95" s="118"/>
      <c r="AE95" s="118"/>
      <c r="AF95" s="118"/>
      <c r="AG95" s="119"/>
      <c r="AH95" s="121"/>
      <c r="AI95" s="135"/>
      <c r="AJ95" s="157"/>
      <c r="AK95" s="121"/>
    </row>
    <row r="96" spans="1:37" ht="21" x14ac:dyDescent="0.4">
      <c r="A96" s="301" t="s">
        <v>6</v>
      </c>
      <c r="B96" s="218" t="str">
        <f t="shared" si="51"/>
        <v>RMCReso Mgmt Spec (Grade 18)</v>
      </c>
      <c r="C96" s="5" t="s">
        <v>48</v>
      </c>
      <c r="D96" s="10"/>
      <c r="E96" s="116"/>
      <c r="F96" s="116"/>
      <c r="G96" s="116"/>
      <c r="H96" s="38" t="s">
        <v>315</v>
      </c>
      <c r="I96" s="163">
        <f>J96*K96</f>
        <v>17594</v>
      </c>
      <c r="J96" s="42">
        <f>ROUND(510*(I$6/($I$6+$S$6+$AC$6)),0)</f>
        <v>463</v>
      </c>
      <c r="K96" s="39">
        <v>38</v>
      </c>
      <c r="L96" s="39"/>
      <c r="M96" s="40" t="str">
        <f>J96&amp;" hrs @ "&amp;K96</f>
        <v>463 hrs @ 38</v>
      </c>
      <c r="N96" s="35"/>
      <c r="O96" s="207"/>
      <c r="P96" s="36"/>
      <c r="Q96" s="41"/>
      <c r="R96" s="184" t="s">
        <v>315</v>
      </c>
      <c r="S96" s="163">
        <f>T96*U96</f>
        <v>1710</v>
      </c>
      <c r="T96" s="42">
        <f>ROUND(510*(S$6/($I$6+$S$6+$AC$6)),0)</f>
        <v>45</v>
      </c>
      <c r="U96" s="39">
        <v>38</v>
      </c>
      <c r="V96" s="39"/>
      <c r="W96" s="40" t="str">
        <f>T96&amp;" hrs @ "&amp;U96</f>
        <v>45 hrs @ 38</v>
      </c>
      <c r="X96" s="34"/>
      <c r="Y96" s="207"/>
      <c r="Z96" s="36"/>
      <c r="AA96" s="41"/>
      <c r="AB96" s="184" t="s">
        <v>315</v>
      </c>
      <c r="AC96" s="163">
        <f>AD96*AE96</f>
        <v>38</v>
      </c>
      <c r="AD96" s="42">
        <f>ROUND(510*(AC$6/($I$6+$S$6+$AC$6)),0)</f>
        <v>1</v>
      </c>
      <c r="AE96" s="39">
        <v>38</v>
      </c>
      <c r="AF96" s="39"/>
      <c r="AG96" s="40" t="str">
        <f>AD96&amp;" hrs @ "&amp;AE96</f>
        <v>1 hrs @ 38</v>
      </c>
      <c r="AH96" s="35"/>
      <c r="AI96" s="136"/>
      <c r="AJ96" s="163">
        <f>I96+S96+AC96</f>
        <v>19342</v>
      </c>
      <c r="AK96" s="35"/>
    </row>
    <row r="97" spans="1:37" ht="21" x14ac:dyDescent="0.4">
      <c r="A97" s="301" t="s">
        <v>6</v>
      </c>
      <c r="B97" s="218" t="str">
        <f t="shared" si="51"/>
        <v>RMC</v>
      </c>
      <c r="C97" s="5" t="s">
        <v>48</v>
      </c>
      <c r="D97" s="10"/>
      <c r="E97" s="116"/>
      <c r="F97" s="116"/>
      <c r="G97" s="116"/>
      <c r="H97" s="38"/>
      <c r="I97" s="158"/>
      <c r="J97" s="42"/>
      <c r="K97" s="39"/>
      <c r="L97" s="42"/>
      <c r="M97" s="40" t="str">
        <f t="shared" ref="M97:M99" si="52">J97&amp;" hrs @ "&amp;K97</f>
        <v xml:space="preserve"> hrs @ </v>
      </c>
      <c r="N97" s="35"/>
      <c r="O97" s="207"/>
      <c r="P97" s="36"/>
      <c r="Q97" s="3"/>
      <c r="R97" s="184"/>
      <c r="S97" s="158"/>
      <c r="T97" s="42"/>
      <c r="U97" s="39"/>
      <c r="V97" s="42"/>
      <c r="W97" s="40" t="str">
        <f t="shared" ref="W97:W99" si="53">T97&amp;" hrs @ "&amp;U97</f>
        <v xml:space="preserve"> hrs @ </v>
      </c>
      <c r="X97" s="34"/>
      <c r="Y97" s="207"/>
      <c r="Z97" s="36"/>
      <c r="AA97" s="3"/>
      <c r="AB97" s="184"/>
      <c r="AC97" s="158"/>
      <c r="AD97" s="42"/>
      <c r="AE97" s="39"/>
      <c r="AF97" s="42"/>
      <c r="AG97" s="40" t="str">
        <f t="shared" ref="AG97:AG99" si="54">AD97&amp;" hrs @ "&amp;AE97</f>
        <v xml:space="preserve"> hrs @ </v>
      </c>
      <c r="AH97" s="35"/>
      <c r="AI97" s="136"/>
      <c r="AJ97" s="158"/>
      <c r="AK97" s="35"/>
    </row>
    <row r="98" spans="1:37" ht="21" x14ac:dyDescent="0.4">
      <c r="A98" s="301" t="s">
        <v>6</v>
      </c>
      <c r="B98" s="218" t="str">
        <f t="shared" si="51"/>
        <v>RMC</v>
      </c>
      <c r="C98" s="5" t="s">
        <v>48</v>
      </c>
      <c r="D98" s="10"/>
      <c r="E98" s="116"/>
      <c r="F98" s="116"/>
      <c r="G98" s="116"/>
      <c r="H98" s="38"/>
      <c r="I98" s="158"/>
      <c r="J98" s="42"/>
      <c r="K98" s="39"/>
      <c r="L98" s="42"/>
      <c r="M98" s="40" t="str">
        <f t="shared" si="52"/>
        <v xml:space="preserve"> hrs @ </v>
      </c>
      <c r="N98" s="35"/>
      <c r="O98" s="207"/>
      <c r="P98" s="36"/>
      <c r="Q98" s="41"/>
      <c r="R98" s="184"/>
      <c r="S98" s="158"/>
      <c r="T98" s="42"/>
      <c r="U98" s="39"/>
      <c r="V98" s="42"/>
      <c r="W98" s="40" t="str">
        <f t="shared" si="53"/>
        <v xml:space="preserve"> hrs @ </v>
      </c>
      <c r="X98" s="34"/>
      <c r="Y98" s="207"/>
      <c r="Z98" s="36"/>
      <c r="AA98" s="41"/>
      <c r="AB98" s="184"/>
      <c r="AC98" s="158"/>
      <c r="AD98" s="42"/>
      <c r="AE98" s="39"/>
      <c r="AF98" s="42"/>
      <c r="AG98" s="40" t="str">
        <f t="shared" si="54"/>
        <v xml:space="preserve"> hrs @ </v>
      </c>
      <c r="AH98" s="35"/>
      <c r="AI98" s="136"/>
      <c r="AJ98" s="158"/>
      <c r="AK98" s="35"/>
    </row>
    <row r="99" spans="1:37" ht="21" x14ac:dyDescent="0.4">
      <c r="A99" s="301" t="s">
        <v>6</v>
      </c>
      <c r="B99" s="218" t="str">
        <f t="shared" si="51"/>
        <v>RMC</v>
      </c>
      <c r="C99" s="5" t="s">
        <v>48</v>
      </c>
      <c r="D99" s="10"/>
      <c r="E99" s="116"/>
      <c r="F99" s="116"/>
      <c r="G99" s="116"/>
      <c r="H99" s="179"/>
      <c r="I99" s="173"/>
      <c r="J99" s="174"/>
      <c r="K99" s="175"/>
      <c r="L99" s="181">
        <v>7.0000000000000007E-2</v>
      </c>
      <c r="M99" s="176" t="str">
        <f t="shared" si="52"/>
        <v xml:space="preserve"> hrs @ </v>
      </c>
      <c r="N99" s="35"/>
      <c r="O99" s="207"/>
      <c r="P99" s="36"/>
      <c r="Q99" s="44"/>
      <c r="R99" s="179"/>
      <c r="S99" s="173"/>
      <c r="T99" s="174"/>
      <c r="U99" s="175"/>
      <c r="V99" s="181">
        <v>7.0000000000000007E-2</v>
      </c>
      <c r="W99" s="176" t="str">
        <f t="shared" si="53"/>
        <v xml:space="preserve"> hrs @ </v>
      </c>
      <c r="X99" s="34"/>
      <c r="Y99" s="207"/>
      <c r="Z99" s="36"/>
      <c r="AA99" s="44"/>
      <c r="AB99" s="179"/>
      <c r="AC99" s="173"/>
      <c r="AD99" s="174"/>
      <c r="AE99" s="175"/>
      <c r="AF99" s="181"/>
      <c r="AG99" s="176" t="str">
        <f t="shared" si="54"/>
        <v xml:space="preserve"> hrs @ </v>
      </c>
      <c r="AH99" s="35"/>
      <c r="AI99" s="136"/>
      <c r="AJ99" s="173"/>
      <c r="AK99" s="35"/>
    </row>
    <row r="100" spans="1:37" ht="21" x14ac:dyDescent="0.4">
      <c r="A100" s="301" t="s">
        <v>6</v>
      </c>
      <c r="B100" s="218" t="str">
        <f t="shared" si="51"/>
        <v>RMCTotal Wages</v>
      </c>
      <c r="C100" s="5" t="s">
        <v>48</v>
      </c>
      <c r="D100" s="10"/>
      <c r="E100" s="116"/>
      <c r="F100" s="116"/>
      <c r="G100" s="116"/>
      <c r="H100" s="38" t="s">
        <v>32</v>
      </c>
      <c r="I100" s="158">
        <f>SUM(I96:I99)</f>
        <v>17594</v>
      </c>
      <c r="J100" s="42"/>
      <c r="K100" s="39"/>
      <c r="L100" s="39"/>
      <c r="M100" s="40"/>
      <c r="N100" s="35"/>
      <c r="O100" s="207"/>
      <c r="P100" s="36"/>
      <c r="Q100" s="41"/>
      <c r="R100" s="184" t="s">
        <v>32</v>
      </c>
      <c r="S100" s="158">
        <f>SUM(S96:S99)</f>
        <v>1710</v>
      </c>
      <c r="T100" s="42"/>
      <c r="U100" s="39"/>
      <c r="V100" s="39"/>
      <c r="W100" s="40"/>
      <c r="X100" s="34"/>
      <c r="Y100" s="207"/>
      <c r="Z100" s="36"/>
      <c r="AA100" s="41"/>
      <c r="AB100" s="184" t="s">
        <v>32</v>
      </c>
      <c r="AC100" s="158">
        <f>SUM(AC96:AC99)</f>
        <v>38</v>
      </c>
      <c r="AD100" s="42"/>
      <c r="AE100" s="39"/>
      <c r="AF100" s="39"/>
      <c r="AG100" s="40"/>
      <c r="AH100" s="35"/>
      <c r="AI100" s="136"/>
      <c r="AJ100" s="158">
        <f>I100+S100+AC100</f>
        <v>19342</v>
      </c>
      <c r="AK100" s="35"/>
    </row>
    <row r="101" spans="1:37" ht="21" x14ac:dyDescent="0.4">
      <c r="A101" s="301" t="s">
        <v>6</v>
      </c>
      <c r="B101" s="218" t="str">
        <f t="shared" si="51"/>
        <v>RMCBenefits</v>
      </c>
      <c r="C101" s="5" t="s">
        <v>48</v>
      </c>
      <c r="D101" s="10"/>
      <c r="E101" s="116"/>
      <c r="F101" s="116"/>
      <c r="G101" s="116"/>
      <c r="H101" s="38" t="s">
        <v>33</v>
      </c>
      <c r="I101" s="159">
        <f>I100*$O$2</f>
        <v>17345.924599999998</v>
      </c>
      <c r="J101" s="42"/>
      <c r="K101" s="39"/>
      <c r="M101" s="45" t="str">
        <f>"@ "&amp;$O$2*100&amp;" %"</f>
        <v>@ 98.59 %</v>
      </c>
      <c r="N101" s="47"/>
      <c r="O101" s="424"/>
      <c r="P101" s="48"/>
      <c r="Q101" s="41"/>
      <c r="R101" s="184" t="s">
        <v>33</v>
      </c>
      <c r="S101" s="159">
        <f>S100*$O$2</f>
        <v>1685.8889999999999</v>
      </c>
      <c r="T101" s="42"/>
      <c r="U101" s="39"/>
      <c r="W101" s="45" t="str">
        <f>"@ "&amp;$O$2*100&amp;" %"</f>
        <v>@ 98.59 %</v>
      </c>
      <c r="X101" s="46"/>
      <c r="Y101" s="424"/>
      <c r="Z101" s="48"/>
      <c r="AA101" s="41"/>
      <c r="AB101" s="184" t="s">
        <v>33</v>
      </c>
      <c r="AC101" s="159">
        <f>AC100*$O$2</f>
        <v>37.464199999999998</v>
      </c>
      <c r="AD101" s="42"/>
      <c r="AE101" s="39"/>
      <c r="AG101" s="45" t="str">
        <f>"@ "&amp;$O$2*100&amp;" %"</f>
        <v>@ 98.59 %</v>
      </c>
      <c r="AH101" s="47"/>
      <c r="AI101" s="432"/>
      <c r="AJ101" s="159">
        <f>I101+S101+AC101</f>
        <v>19069.277799999996</v>
      </c>
      <c r="AK101" s="47"/>
    </row>
    <row r="102" spans="1:37" ht="21" x14ac:dyDescent="0.3">
      <c r="A102" s="301" t="s">
        <v>6</v>
      </c>
      <c r="B102" s="218" t="str">
        <f t="shared" si="51"/>
        <v>RMCTotal</v>
      </c>
      <c r="C102" s="125" t="s">
        <v>50</v>
      </c>
      <c r="D102" s="10"/>
      <c r="E102" s="116"/>
      <c r="F102" s="116"/>
      <c r="G102" s="116"/>
      <c r="H102" s="49" t="s">
        <v>34</v>
      </c>
      <c r="I102" s="160">
        <f>I100+I101</f>
        <v>34939.924599999998</v>
      </c>
      <c r="J102" s="42"/>
      <c r="K102" s="39"/>
      <c r="L102" s="50"/>
      <c r="M102" s="51"/>
      <c r="N102" s="420">
        <f>I102</f>
        <v>34939.924599999998</v>
      </c>
      <c r="O102" s="425">
        <f>N102/N131</f>
        <v>0.88254400483275064</v>
      </c>
      <c r="P102" s="53"/>
      <c r="Q102" s="37"/>
      <c r="R102" s="185" t="s">
        <v>34</v>
      </c>
      <c r="S102" s="160">
        <f>S100+S101</f>
        <v>3395.8890000000001</v>
      </c>
      <c r="T102" s="42"/>
      <c r="U102" s="39"/>
      <c r="V102" s="50"/>
      <c r="W102" s="51"/>
      <c r="X102" s="52">
        <f>S102</f>
        <v>3395.8890000000001</v>
      </c>
      <c r="Y102" s="425">
        <f>X102/X131</f>
        <v>0.87267794420659062</v>
      </c>
      <c r="Z102" s="53"/>
      <c r="AA102" s="37"/>
      <c r="AB102" s="185" t="s">
        <v>34</v>
      </c>
      <c r="AC102" s="160">
        <f>AC100+AC101</f>
        <v>75.464200000000005</v>
      </c>
      <c r="AD102" s="42"/>
      <c r="AE102" s="39"/>
      <c r="AF102" s="50"/>
      <c r="AG102" s="51"/>
      <c r="AH102" s="420">
        <f>AC102</f>
        <v>75.464200000000005</v>
      </c>
      <c r="AI102" s="233">
        <f>AH102/AH131</f>
        <v>0.96176600283951152</v>
      </c>
      <c r="AJ102" s="160">
        <f>I102+S102+AC102</f>
        <v>38411.277800000003</v>
      </c>
      <c r="AK102" s="420"/>
    </row>
    <row r="103" spans="1:37" ht="21" x14ac:dyDescent="0.4">
      <c r="A103" s="301" t="s">
        <v>6</v>
      </c>
      <c r="B103" s="218" t="str">
        <f t="shared" si="51"/>
        <v>RMC</v>
      </c>
      <c r="C103" s="5" t="s">
        <v>48</v>
      </c>
      <c r="D103" s="10"/>
      <c r="E103" s="116"/>
      <c r="F103" s="116"/>
      <c r="G103" s="116"/>
      <c r="H103" s="54"/>
      <c r="I103" s="166"/>
      <c r="J103" s="69"/>
      <c r="K103" s="69"/>
      <c r="L103" s="69"/>
      <c r="M103" s="70"/>
      <c r="N103" s="58"/>
      <c r="O103" s="426"/>
      <c r="P103" s="59"/>
      <c r="Q103" s="60"/>
      <c r="R103" s="179"/>
      <c r="S103" s="166"/>
      <c r="T103" s="69"/>
      <c r="U103" s="69"/>
      <c r="V103" s="69"/>
      <c r="W103" s="70"/>
      <c r="X103" s="57"/>
      <c r="Y103" s="426"/>
      <c r="Z103" s="59"/>
      <c r="AA103" s="60"/>
      <c r="AB103" s="179"/>
      <c r="AC103" s="166"/>
      <c r="AD103" s="69"/>
      <c r="AE103" s="69"/>
      <c r="AF103" s="69"/>
      <c r="AG103" s="70"/>
      <c r="AH103" s="58"/>
      <c r="AI103" s="231"/>
      <c r="AJ103" s="166"/>
      <c r="AK103" s="58"/>
    </row>
    <row r="104" spans="1:37" ht="27.6" customHeight="1" x14ac:dyDescent="0.4">
      <c r="A104" s="301" t="s">
        <v>6</v>
      </c>
      <c r="B104" s="218" t="str">
        <f t="shared" si="51"/>
        <v>RMCLABOR: SUPERVISORY</v>
      </c>
      <c r="C104" s="124" t="s">
        <v>50</v>
      </c>
      <c r="D104" s="10"/>
      <c r="E104" s="116"/>
      <c r="F104" s="116"/>
      <c r="G104" s="116"/>
      <c r="H104" s="61" t="s">
        <v>35</v>
      </c>
      <c r="I104" s="167"/>
      <c r="J104" s="74"/>
      <c r="K104" s="74"/>
      <c r="L104" s="74"/>
      <c r="M104" s="66"/>
      <c r="N104" s="26"/>
      <c r="O104" s="421"/>
      <c r="P104" s="65"/>
      <c r="Q104" s="37"/>
      <c r="R104" s="186" t="s">
        <v>35</v>
      </c>
      <c r="S104" s="167"/>
      <c r="T104" s="74"/>
      <c r="U104" s="74"/>
      <c r="V104" s="74"/>
      <c r="W104" s="66"/>
      <c r="X104" s="64"/>
      <c r="Y104" s="421"/>
      <c r="Z104" s="65"/>
      <c r="AA104" s="37"/>
      <c r="AB104" s="186" t="s">
        <v>35</v>
      </c>
      <c r="AC104" s="167"/>
      <c r="AD104" s="74"/>
      <c r="AE104" s="74"/>
      <c r="AF104" s="74"/>
      <c r="AG104" s="66"/>
      <c r="AH104" s="26"/>
      <c r="AI104" s="234"/>
      <c r="AJ104" s="167"/>
      <c r="AK104" s="26"/>
    </row>
    <row r="105" spans="1:37" ht="21" x14ac:dyDescent="0.4">
      <c r="A105" s="301" t="s">
        <v>6</v>
      </c>
      <c r="B105" s="218" t="str">
        <f t="shared" si="51"/>
        <v>RMCResource Mgmt Supv</v>
      </c>
      <c r="C105" s="5" t="s">
        <v>48</v>
      </c>
      <c r="D105" s="10"/>
      <c r="E105" s="116"/>
      <c r="F105" s="116"/>
      <c r="G105" s="116"/>
      <c r="H105" s="38" t="s">
        <v>314</v>
      </c>
      <c r="I105" s="163">
        <f>J105*K105</f>
        <v>1497.6000000000001</v>
      </c>
      <c r="J105" s="42">
        <f>ROUND(40*(I$6/($I$6+$S$6+$AC$6)),0)</f>
        <v>36</v>
      </c>
      <c r="K105" s="39">
        <v>41.6</v>
      </c>
      <c r="L105" s="43"/>
      <c r="M105" s="40" t="str">
        <f t="shared" ref="M105" si="55">J105&amp;" hrs @ "&amp;K105</f>
        <v>36 hrs @ 41.6</v>
      </c>
      <c r="N105" s="26"/>
      <c r="O105" s="421"/>
      <c r="P105" s="65"/>
      <c r="Q105" s="41"/>
      <c r="R105" s="184" t="s">
        <v>314</v>
      </c>
      <c r="S105" s="163">
        <f>T105*U105</f>
        <v>166.4</v>
      </c>
      <c r="T105" s="42">
        <f>ROUND(40*(S$6/($I$6+$S$6+$AC$6)),0)</f>
        <v>4</v>
      </c>
      <c r="U105" s="39">
        <v>41.6</v>
      </c>
      <c r="V105" s="43"/>
      <c r="W105" s="40" t="str">
        <f t="shared" ref="W105" si="56">T105&amp;" hrs @ "&amp;U105</f>
        <v>4 hrs @ 41.6</v>
      </c>
      <c r="X105" s="64"/>
      <c r="Y105" s="421"/>
      <c r="Z105" s="65"/>
      <c r="AA105" s="41"/>
      <c r="AB105" s="184" t="s">
        <v>314</v>
      </c>
      <c r="AC105" s="163">
        <f>AD105*AE105</f>
        <v>0</v>
      </c>
      <c r="AD105" s="42">
        <f>ROUND(40*(AC$6/($I$6+$S$6+$AC$6)),0)</f>
        <v>0</v>
      </c>
      <c r="AE105" s="39">
        <v>41.6</v>
      </c>
      <c r="AF105" s="43"/>
      <c r="AG105" s="40" t="str">
        <f t="shared" ref="AG105" si="57">AD105&amp;" hrs @ "&amp;AE105</f>
        <v>0 hrs @ 41.6</v>
      </c>
      <c r="AH105" s="26"/>
      <c r="AI105" s="234"/>
      <c r="AJ105" s="163">
        <f>I105+S105+AC105</f>
        <v>1664.0000000000002</v>
      </c>
      <c r="AK105" s="26"/>
    </row>
    <row r="106" spans="1:37" ht="21" x14ac:dyDescent="0.4">
      <c r="A106" s="301" t="s">
        <v>6</v>
      </c>
      <c r="B106" s="218" t="str">
        <f t="shared" si="51"/>
        <v>RMCBenefits</v>
      </c>
      <c r="C106" s="5" t="s">
        <v>48</v>
      </c>
      <c r="D106" s="10"/>
      <c r="E106" s="116"/>
      <c r="F106" s="116"/>
      <c r="G106" s="116"/>
      <c r="H106" s="38" t="s">
        <v>33</v>
      </c>
      <c r="I106" s="159">
        <f>I105*$O$2</f>
        <v>1476.4838400000001</v>
      </c>
      <c r="J106" s="42"/>
      <c r="K106" s="39"/>
      <c r="L106" s="156"/>
      <c r="M106" s="45" t="str">
        <f>"@ "&amp;$O$2*100&amp;" %"</f>
        <v>@ 98.59 %</v>
      </c>
      <c r="N106" s="26"/>
      <c r="O106" s="421"/>
      <c r="P106" s="65"/>
      <c r="Q106" s="41"/>
      <c r="R106" s="184" t="s">
        <v>33</v>
      </c>
      <c r="S106" s="159">
        <f>S105*$O$2</f>
        <v>164.05376000000001</v>
      </c>
      <c r="T106" s="42"/>
      <c r="U106" s="39"/>
      <c r="V106" s="156"/>
      <c r="W106" s="45" t="str">
        <f>"@ "&amp;$O$2*100&amp;" %"</f>
        <v>@ 98.59 %</v>
      </c>
      <c r="X106" s="64"/>
      <c r="Y106" s="421"/>
      <c r="Z106" s="65"/>
      <c r="AA106" s="41"/>
      <c r="AB106" s="184" t="s">
        <v>33</v>
      </c>
      <c r="AC106" s="159">
        <f>AC105*$O$2</f>
        <v>0</v>
      </c>
      <c r="AD106" s="42"/>
      <c r="AE106" s="39"/>
      <c r="AF106" s="156"/>
      <c r="AG106" s="45" t="str">
        <f>"@ "&amp;$O$2*100&amp;" %"</f>
        <v>@ 98.59 %</v>
      </c>
      <c r="AH106" s="26"/>
      <c r="AI106" s="234"/>
      <c r="AJ106" s="159">
        <f>I106+S106+AC106</f>
        <v>1640.5376000000001</v>
      </c>
      <c r="AK106" s="26"/>
    </row>
    <row r="107" spans="1:37" ht="21" x14ac:dyDescent="0.4">
      <c r="A107" s="301" t="s">
        <v>6</v>
      </c>
      <c r="B107" s="218" t="str">
        <f t="shared" si="51"/>
        <v>RMCTotal</v>
      </c>
      <c r="C107" s="124" t="s">
        <v>50</v>
      </c>
      <c r="D107" s="10"/>
      <c r="E107" s="116"/>
      <c r="F107" s="116"/>
      <c r="G107" s="116"/>
      <c r="H107" s="49" t="s">
        <v>34</v>
      </c>
      <c r="I107" s="165">
        <f>I106+I105</f>
        <v>2974.0838400000002</v>
      </c>
      <c r="J107" s="68"/>
      <c r="K107" s="68"/>
      <c r="L107" s="68"/>
      <c r="M107" s="63"/>
      <c r="N107" s="420">
        <f>I107</f>
        <v>2974.0838400000002</v>
      </c>
      <c r="O107" s="425">
        <f>N107/N131</f>
        <v>7.5122081484456496E-2</v>
      </c>
      <c r="P107" s="65"/>
      <c r="Q107" s="41"/>
      <c r="R107" s="185" t="s">
        <v>34</v>
      </c>
      <c r="S107" s="165">
        <f>S106+S105</f>
        <v>330.45375999999999</v>
      </c>
      <c r="T107" s="68"/>
      <c r="U107" s="68"/>
      <c r="V107" s="68"/>
      <c r="W107" s="63"/>
      <c r="X107" s="52">
        <f>S107</f>
        <v>330.45375999999999</v>
      </c>
      <c r="Y107" s="425">
        <f>X107/X131</f>
        <v>8.4920239716945414E-2</v>
      </c>
      <c r="Z107" s="65"/>
      <c r="AA107" s="41"/>
      <c r="AB107" s="185" t="s">
        <v>34</v>
      </c>
      <c r="AC107" s="165">
        <f>AC106+AC105</f>
        <v>0</v>
      </c>
      <c r="AD107" s="68"/>
      <c r="AE107" s="68"/>
      <c r="AF107" s="68"/>
      <c r="AG107" s="63"/>
      <c r="AH107" s="420">
        <f>AC107</f>
        <v>0</v>
      </c>
      <c r="AI107" s="233">
        <f>AH107/AH131</f>
        <v>0</v>
      </c>
      <c r="AJ107" s="165">
        <f>I107+S107+AC107</f>
        <v>3304.5376000000001</v>
      </c>
      <c r="AK107" s="420"/>
    </row>
    <row r="108" spans="1:37" ht="21" x14ac:dyDescent="0.4">
      <c r="A108" s="301" t="s">
        <v>6</v>
      </c>
      <c r="B108" s="218" t="str">
        <f t="shared" si="51"/>
        <v>RMC</v>
      </c>
      <c r="C108" s="5" t="s">
        <v>48</v>
      </c>
      <c r="D108" s="10"/>
      <c r="E108" s="116"/>
      <c r="F108" s="116"/>
      <c r="G108" s="116"/>
      <c r="H108" s="54"/>
      <c r="I108" s="166"/>
      <c r="J108" s="69"/>
      <c r="K108" s="69"/>
      <c r="L108" s="69"/>
      <c r="M108" s="70"/>
      <c r="N108" s="72"/>
      <c r="O108" s="427"/>
      <c r="P108" s="73"/>
      <c r="Q108" s="60"/>
      <c r="R108" s="179"/>
      <c r="S108" s="166"/>
      <c r="T108" s="69"/>
      <c r="U108" s="69"/>
      <c r="V108" s="69"/>
      <c r="W108" s="70"/>
      <c r="X108" s="71"/>
      <c r="Y108" s="427"/>
      <c r="Z108" s="73"/>
      <c r="AA108" s="60"/>
      <c r="AB108" s="179"/>
      <c r="AC108" s="166"/>
      <c r="AD108" s="69"/>
      <c r="AE108" s="69"/>
      <c r="AF108" s="69"/>
      <c r="AG108" s="70"/>
      <c r="AH108" s="72"/>
      <c r="AI108" s="235"/>
      <c r="AJ108" s="166"/>
      <c r="AK108" s="72"/>
    </row>
    <row r="109" spans="1:37" ht="21" x14ac:dyDescent="0.4">
      <c r="A109" s="301" t="s">
        <v>6</v>
      </c>
      <c r="B109" s="218" t="str">
        <f t="shared" si="51"/>
        <v>RMCEQUIPMENT</v>
      </c>
      <c r="C109" s="124" t="s">
        <v>50</v>
      </c>
      <c r="D109" s="10"/>
      <c r="E109" s="116"/>
      <c r="F109" s="116"/>
      <c r="G109" s="116"/>
      <c r="H109" s="61" t="s">
        <v>36</v>
      </c>
      <c r="I109" s="167"/>
      <c r="J109" s="74"/>
      <c r="K109" s="74"/>
      <c r="L109" s="74"/>
      <c r="M109" s="66"/>
      <c r="N109" s="76"/>
      <c r="O109" s="428"/>
      <c r="P109" s="65"/>
      <c r="Q109" s="37"/>
      <c r="R109" s="186" t="s">
        <v>36</v>
      </c>
      <c r="S109" s="167"/>
      <c r="T109" s="74"/>
      <c r="U109" s="74"/>
      <c r="V109" s="74"/>
      <c r="W109" s="66"/>
      <c r="X109" s="75"/>
      <c r="Y109" s="428"/>
      <c r="Z109" s="65"/>
      <c r="AA109" s="37"/>
      <c r="AB109" s="186" t="s">
        <v>36</v>
      </c>
      <c r="AC109" s="167"/>
      <c r="AD109" s="74"/>
      <c r="AE109" s="74"/>
      <c r="AF109" s="74"/>
      <c r="AG109" s="66"/>
      <c r="AH109" s="76"/>
      <c r="AI109" s="237"/>
      <c r="AJ109" s="167"/>
      <c r="AK109" s="76"/>
    </row>
    <row r="110" spans="1:37" ht="21" x14ac:dyDescent="0.4">
      <c r="A110" s="301" t="s">
        <v>6</v>
      </c>
      <c r="B110" s="218" t="str">
        <f t="shared" si="51"/>
        <v>RMC</v>
      </c>
      <c r="C110" s="5" t="s">
        <v>48</v>
      </c>
      <c r="D110" s="10"/>
      <c r="E110" s="116"/>
      <c r="F110" s="116"/>
      <c r="G110" s="116"/>
      <c r="H110" s="77"/>
      <c r="I110" s="163"/>
      <c r="J110" s="42"/>
      <c r="K110" s="39"/>
      <c r="L110" s="39"/>
      <c r="M110" s="40" t="str">
        <f>J110&amp;" hrs @ "&amp;K110</f>
        <v xml:space="preserve"> hrs @ </v>
      </c>
      <c r="N110" s="76"/>
      <c r="O110" s="428"/>
      <c r="P110" s="65"/>
      <c r="Q110" s="37"/>
      <c r="R110" s="187"/>
      <c r="S110" s="163"/>
      <c r="T110" s="42"/>
      <c r="U110" s="39"/>
      <c r="V110" s="39"/>
      <c r="W110" s="40" t="str">
        <f>T110&amp;" hrs @ "&amp;U110</f>
        <v xml:space="preserve"> hrs @ </v>
      </c>
      <c r="X110" s="75"/>
      <c r="Y110" s="428"/>
      <c r="Z110" s="65"/>
      <c r="AA110" s="37"/>
      <c r="AB110" s="187"/>
      <c r="AC110" s="163"/>
      <c r="AD110" s="42"/>
      <c r="AE110" s="39"/>
      <c r="AF110" s="39"/>
      <c r="AG110" s="40" t="str">
        <f>AD110&amp;" hrs @ "&amp;AE110</f>
        <v xml:space="preserve"> hrs @ </v>
      </c>
      <c r="AH110" s="76"/>
      <c r="AI110" s="237"/>
      <c r="AJ110" s="163"/>
      <c r="AK110" s="76"/>
    </row>
    <row r="111" spans="1:37" ht="21" x14ac:dyDescent="0.4">
      <c r="A111" s="301" t="s">
        <v>6</v>
      </c>
      <c r="B111" s="218" t="str">
        <f t="shared" si="51"/>
        <v>RMC</v>
      </c>
      <c r="C111" s="5" t="s">
        <v>48</v>
      </c>
      <c r="D111" s="10"/>
      <c r="E111" s="116"/>
      <c r="F111" s="116"/>
      <c r="G111" s="116"/>
      <c r="H111" s="77"/>
      <c r="I111" s="163"/>
      <c r="J111" s="42"/>
      <c r="K111" s="39"/>
      <c r="L111" s="39"/>
      <c r="M111" s="40" t="str">
        <f t="shared" ref="M111:M113" si="58">J111&amp;" hrs @ "&amp;K111</f>
        <v xml:space="preserve"> hrs @ </v>
      </c>
      <c r="N111" s="79"/>
      <c r="O111" s="422"/>
      <c r="P111" s="80"/>
      <c r="Q111" s="81"/>
      <c r="R111" s="187"/>
      <c r="S111" s="163"/>
      <c r="T111" s="42"/>
      <c r="U111" s="39"/>
      <c r="V111" s="39"/>
      <c r="W111" s="40" t="str">
        <f t="shared" ref="W111:W113" si="59">T111&amp;" hrs @ "&amp;U111</f>
        <v xml:space="preserve"> hrs @ </v>
      </c>
      <c r="X111" s="78"/>
      <c r="Y111" s="422"/>
      <c r="Z111" s="80"/>
      <c r="AA111" s="81"/>
      <c r="AB111" s="187"/>
      <c r="AC111" s="163"/>
      <c r="AD111" s="42"/>
      <c r="AE111" s="39"/>
      <c r="AF111" s="39"/>
      <c r="AG111" s="40" t="str">
        <f t="shared" ref="AG111:AG113" si="60">AD111&amp;" hrs @ "&amp;AE111</f>
        <v xml:space="preserve"> hrs @ </v>
      </c>
      <c r="AH111" s="79"/>
      <c r="AI111" s="238"/>
      <c r="AJ111" s="163"/>
      <c r="AK111" s="79"/>
    </row>
    <row r="112" spans="1:37" ht="21" x14ac:dyDescent="0.4">
      <c r="A112" s="301" t="s">
        <v>6</v>
      </c>
      <c r="B112" s="218" t="str">
        <f t="shared" si="51"/>
        <v>RMC</v>
      </c>
      <c r="C112" s="5" t="s">
        <v>48</v>
      </c>
      <c r="D112" s="10"/>
      <c r="E112" s="116"/>
      <c r="F112" s="116"/>
      <c r="G112" s="116"/>
      <c r="H112" s="77"/>
      <c r="I112" s="168"/>
      <c r="J112" s="42"/>
      <c r="K112" s="39"/>
      <c r="L112" s="42"/>
      <c r="M112" s="40" t="str">
        <f t="shared" si="58"/>
        <v xml:space="preserve"> hrs @ </v>
      </c>
      <c r="N112" s="79"/>
      <c r="O112" s="422"/>
      <c r="P112" s="80"/>
      <c r="Q112" s="81"/>
      <c r="R112" s="187"/>
      <c r="S112" s="168"/>
      <c r="T112" s="42"/>
      <c r="U112" s="39"/>
      <c r="V112" s="42"/>
      <c r="W112" s="40" t="str">
        <f t="shared" si="59"/>
        <v xml:space="preserve"> hrs @ </v>
      </c>
      <c r="X112" s="78"/>
      <c r="Y112" s="422"/>
      <c r="Z112" s="80"/>
      <c r="AA112" s="81"/>
      <c r="AB112" s="187"/>
      <c r="AC112" s="168"/>
      <c r="AD112" s="42"/>
      <c r="AE112" s="39"/>
      <c r="AF112" s="42"/>
      <c r="AG112" s="40" t="str">
        <f t="shared" si="60"/>
        <v xml:space="preserve"> hrs @ </v>
      </c>
      <c r="AH112" s="79"/>
      <c r="AI112" s="238"/>
      <c r="AJ112" s="168"/>
      <c r="AK112" s="79"/>
    </row>
    <row r="113" spans="1:37" ht="21" x14ac:dyDescent="0.4">
      <c r="A113" s="301" t="s">
        <v>6</v>
      </c>
      <c r="B113" s="218" t="str">
        <f t="shared" si="51"/>
        <v>RMC</v>
      </c>
      <c r="C113" s="5" t="s">
        <v>48</v>
      </c>
      <c r="D113" s="10"/>
      <c r="E113" s="116"/>
      <c r="F113" s="116"/>
      <c r="G113" s="116"/>
      <c r="H113" s="77"/>
      <c r="I113" s="164"/>
      <c r="J113" s="42"/>
      <c r="K113" s="39"/>
      <c r="L113" s="43"/>
      <c r="M113" s="40" t="str">
        <f t="shared" si="58"/>
        <v xml:space="preserve"> hrs @ </v>
      </c>
      <c r="N113" s="79"/>
      <c r="O113" s="422"/>
      <c r="P113" s="80"/>
      <c r="Q113" s="81"/>
      <c r="R113" s="187"/>
      <c r="S113" s="164"/>
      <c r="T113" s="42"/>
      <c r="U113" s="39"/>
      <c r="V113" s="43"/>
      <c r="W113" s="40" t="str">
        <f t="shared" si="59"/>
        <v xml:space="preserve"> hrs @ </v>
      </c>
      <c r="X113" s="78"/>
      <c r="Y113" s="422"/>
      <c r="Z113" s="80"/>
      <c r="AA113" s="81"/>
      <c r="AB113" s="187"/>
      <c r="AC113" s="164"/>
      <c r="AD113" s="42"/>
      <c r="AE113" s="39"/>
      <c r="AF113" s="43"/>
      <c r="AG113" s="40" t="str">
        <f t="shared" si="60"/>
        <v xml:space="preserve"> hrs @ </v>
      </c>
      <c r="AH113" s="79"/>
      <c r="AI113" s="238"/>
      <c r="AJ113" s="164"/>
      <c r="AK113" s="79"/>
    </row>
    <row r="114" spans="1:37" ht="21" x14ac:dyDescent="0.4">
      <c r="A114" s="301" t="s">
        <v>6</v>
      </c>
      <c r="B114" s="218" t="str">
        <f t="shared" si="51"/>
        <v>RMCTotal Equipment</v>
      </c>
      <c r="C114" s="124" t="s">
        <v>50</v>
      </c>
      <c r="D114" s="10"/>
      <c r="E114" s="116">
        <f>I114</f>
        <v>0</v>
      </c>
      <c r="F114" s="116">
        <f>S114</f>
        <v>0</v>
      </c>
      <c r="G114" s="116">
        <f>AC114</f>
        <v>0</v>
      </c>
      <c r="H114" s="83" t="s">
        <v>37</v>
      </c>
      <c r="I114" s="165">
        <f>SUM(I110:I113)</f>
        <v>0</v>
      </c>
      <c r="J114" s="68"/>
      <c r="K114" s="68"/>
      <c r="L114" s="68"/>
      <c r="M114" s="66"/>
      <c r="N114" s="420">
        <f>I114</f>
        <v>0</v>
      </c>
      <c r="O114" s="425">
        <f>N114/N131</f>
        <v>0</v>
      </c>
      <c r="P114" s="80"/>
      <c r="Q114" s="81"/>
      <c r="R114" s="188" t="s">
        <v>37</v>
      </c>
      <c r="S114" s="165">
        <f>SUM(S110:S113)</f>
        <v>0</v>
      </c>
      <c r="T114" s="68"/>
      <c r="U114" s="68"/>
      <c r="V114" s="68"/>
      <c r="W114" s="66"/>
      <c r="X114" s="52">
        <f>S114</f>
        <v>0</v>
      </c>
      <c r="Y114" s="425">
        <f>X114/X131</f>
        <v>0</v>
      </c>
      <c r="Z114" s="80"/>
      <c r="AA114" s="81"/>
      <c r="AB114" s="188" t="s">
        <v>37</v>
      </c>
      <c r="AC114" s="165">
        <f>SUM(AC110:AC113)</f>
        <v>0</v>
      </c>
      <c r="AD114" s="68"/>
      <c r="AE114" s="68"/>
      <c r="AF114" s="68"/>
      <c r="AG114" s="66"/>
      <c r="AH114" s="420">
        <f>AC114</f>
        <v>0</v>
      </c>
      <c r="AI114" s="233">
        <f>AH114/AH131</f>
        <v>0</v>
      </c>
      <c r="AJ114" s="165">
        <f>I114+S114+AC114</f>
        <v>0</v>
      </c>
      <c r="AK114" s="420"/>
    </row>
    <row r="115" spans="1:37" ht="21" x14ac:dyDescent="0.4">
      <c r="A115" s="301" t="s">
        <v>6</v>
      </c>
      <c r="B115" s="218" t="str">
        <f t="shared" si="51"/>
        <v>RMC</v>
      </c>
      <c r="C115" s="5" t="s">
        <v>48</v>
      </c>
      <c r="D115" s="10"/>
      <c r="E115" s="116"/>
      <c r="F115" s="116"/>
      <c r="G115" s="116"/>
      <c r="H115" s="84"/>
      <c r="I115" s="166"/>
      <c r="J115" s="69"/>
      <c r="K115" s="69"/>
      <c r="L115" s="69"/>
      <c r="M115" s="70"/>
      <c r="N115" s="88"/>
      <c r="O115" s="429"/>
      <c r="P115" s="89"/>
      <c r="Q115" s="60"/>
      <c r="R115" s="189"/>
      <c r="S115" s="166"/>
      <c r="T115" s="69"/>
      <c r="U115" s="69"/>
      <c r="V115" s="69"/>
      <c r="W115" s="70"/>
      <c r="X115" s="87"/>
      <c r="Y115" s="429"/>
      <c r="Z115" s="89"/>
      <c r="AA115" s="60"/>
      <c r="AB115" s="189"/>
      <c r="AC115" s="166"/>
      <c r="AD115" s="69"/>
      <c r="AE115" s="69"/>
      <c r="AF115" s="69"/>
      <c r="AG115" s="70"/>
      <c r="AH115" s="88"/>
      <c r="AI115" s="241"/>
      <c r="AJ115" s="166"/>
      <c r="AK115" s="88"/>
    </row>
    <row r="116" spans="1:37" ht="21" x14ac:dyDescent="0.4">
      <c r="A116" s="301" t="s">
        <v>6</v>
      </c>
      <c r="B116" s="218" t="str">
        <f t="shared" si="51"/>
        <v>RMCIS SUPPORT</v>
      </c>
      <c r="C116" s="124" t="s">
        <v>50</v>
      </c>
      <c r="D116" s="10"/>
      <c r="E116" s="116"/>
      <c r="F116" s="116"/>
      <c r="G116" s="116"/>
      <c r="H116" s="61" t="s">
        <v>38</v>
      </c>
      <c r="I116" s="167"/>
      <c r="J116" s="74"/>
      <c r="K116" s="74"/>
      <c r="L116" s="74"/>
      <c r="M116" s="66"/>
      <c r="N116" s="91"/>
      <c r="O116" s="430"/>
      <c r="P116" s="92"/>
      <c r="Q116" s="37"/>
      <c r="R116" s="186" t="s">
        <v>38</v>
      </c>
      <c r="S116" s="167"/>
      <c r="T116" s="74"/>
      <c r="U116" s="74"/>
      <c r="V116" s="74"/>
      <c r="W116" s="66"/>
      <c r="X116" s="90"/>
      <c r="Y116" s="430"/>
      <c r="Z116" s="92"/>
      <c r="AA116" s="37"/>
      <c r="AB116" s="186" t="s">
        <v>38</v>
      </c>
      <c r="AC116" s="167"/>
      <c r="AD116" s="74"/>
      <c r="AE116" s="74"/>
      <c r="AF116" s="74"/>
      <c r="AG116" s="66"/>
      <c r="AH116" s="91"/>
      <c r="AI116" s="227"/>
      <c r="AJ116" s="167"/>
      <c r="AK116" s="91"/>
    </row>
    <row r="117" spans="1:37" ht="21" x14ac:dyDescent="0.4">
      <c r="A117" s="301" t="s">
        <v>6</v>
      </c>
      <c r="B117" s="218" t="str">
        <f t="shared" si="51"/>
        <v>RMC</v>
      </c>
      <c r="C117" s="5" t="s">
        <v>48</v>
      </c>
      <c r="D117" s="10"/>
      <c r="E117" s="116"/>
      <c r="F117" s="116"/>
      <c r="G117" s="116"/>
      <c r="H117" s="38"/>
      <c r="I117" s="162"/>
      <c r="J117" s="42"/>
      <c r="K117" s="39"/>
      <c r="L117" s="39"/>
      <c r="M117" s="40" t="str">
        <f>J117&amp;" hrs @ "&amp;K117</f>
        <v xml:space="preserve"> hrs @ </v>
      </c>
      <c r="N117" s="94"/>
      <c r="O117" s="423"/>
      <c r="P117" s="92"/>
      <c r="Q117" s="37"/>
      <c r="R117" s="184"/>
      <c r="S117" s="162"/>
      <c r="T117" s="42"/>
      <c r="U117" s="39"/>
      <c r="V117" s="39"/>
      <c r="W117" s="40" t="str">
        <f>T117&amp;" hrs @ "&amp;U117</f>
        <v xml:space="preserve"> hrs @ </v>
      </c>
      <c r="X117" s="93"/>
      <c r="Y117" s="423"/>
      <c r="Z117" s="92"/>
      <c r="AA117" s="37"/>
      <c r="AB117" s="184"/>
      <c r="AC117" s="162"/>
      <c r="AD117" s="42"/>
      <c r="AE117" s="39"/>
      <c r="AF117" s="39"/>
      <c r="AG117" s="40" t="str">
        <f>AD117&amp;" hrs @ "&amp;AE117</f>
        <v xml:space="preserve"> hrs @ </v>
      </c>
      <c r="AH117" s="94"/>
      <c r="AI117" s="242"/>
      <c r="AJ117" s="162"/>
      <c r="AK117" s="94"/>
    </row>
    <row r="118" spans="1:37" ht="21" x14ac:dyDescent="0.4">
      <c r="A118" s="301" t="s">
        <v>6</v>
      </c>
      <c r="B118" s="218" t="str">
        <f t="shared" si="51"/>
        <v>RMCAnalyst Benefits</v>
      </c>
      <c r="C118" s="5" t="s">
        <v>48</v>
      </c>
      <c r="D118" s="10"/>
      <c r="E118" s="116"/>
      <c r="F118" s="116"/>
      <c r="G118" s="116"/>
      <c r="H118" s="38" t="s">
        <v>40</v>
      </c>
      <c r="I118" s="159">
        <f>I117*$O$2</f>
        <v>0</v>
      </c>
      <c r="J118" s="42"/>
      <c r="K118" s="39"/>
      <c r="L118" s="156"/>
      <c r="M118" s="45" t="str">
        <f>"@ "&amp;$O$2*100&amp;" %"</f>
        <v>@ 98.59 %</v>
      </c>
      <c r="N118" s="94"/>
      <c r="O118" s="423"/>
      <c r="P118" s="92"/>
      <c r="Q118" s="37"/>
      <c r="R118" s="184" t="s">
        <v>40</v>
      </c>
      <c r="S118" s="159">
        <f>S117*$O$2</f>
        <v>0</v>
      </c>
      <c r="T118" s="42"/>
      <c r="U118" s="39"/>
      <c r="V118" s="156"/>
      <c r="W118" s="45" t="str">
        <f>"@ "&amp;$O$2*100&amp;" %"</f>
        <v>@ 98.59 %</v>
      </c>
      <c r="X118" s="93"/>
      <c r="Y118" s="423"/>
      <c r="Z118" s="92"/>
      <c r="AA118" s="37"/>
      <c r="AB118" s="184" t="s">
        <v>40</v>
      </c>
      <c r="AC118" s="159">
        <f>AC117*$O$2</f>
        <v>0</v>
      </c>
      <c r="AD118" s="42"/>
      <c r="AE118" s="39"/>
      <c r="AF118" s="156"/>
      <c r="AG118" s="45" t="str">
        <f>"@ "&amp;$O$2*100&amp;" %"</f>
        <v>@ 98.59 %</v>
      </c>
      <c r="AH118" s="94"/>
      <c r="AI118" s="242"/>
      <c r="AJ118" s="159"/>
      <c r="AK118" s="94"/>
    </row>
    <row r="119" spans="1:37" ht="21" x14ac:dyDescent="0.4">
      <c r="A119" s="301" t="s">
        <v>6</v>
      </c>
      <c r="B119" s="218" t="str">
        <f t="shared" si="51"/>
        <v>RMCTotal IS</v>
      </c>
      <c r="C119" s="124" t="s">
        <v>50</v>
      </c>
      <c r="D119" s="10"/>
      <c r="E119" s="116"/>
      <c r="F119" s="116"/>
      <c r="G119" s="116"/>
      <c r="H119" s="49" t="s">
        <v>41</v>
      </c>
      <c r="I119" s="165">
        <f>I117+I118</f>
        <v>0</v>
      </c>
      <c r="J119" s="68"/>
      <c r="K119" s="68"/>
      <c r="L119" s="68"/>
      <c r="M119" s="66"/>
      <c r="N119" s="420">
        <f>I119</f>
        <v>0</v>
      </c>
      <c r="O119" s="425">
        <f>N119/N131</f>
        <v>0</v>
      </c>
      <c r="P119" s="92"/>
      <c r="Q119" s="37"/>
      <c r="R119" s="185" t="s">
        <v>41</v>
      </c>
      <c r="S119" s="165">
        <f>S117+S118</f>
        <v>0</v>
      </c>
      <c r="T119" s="68"/>
      <c r="U119" s="68"/>
      <c r="V119" s="68"/>
      <c r="W119" s="66"/>
      <c r="X119" s="52">
        <f>S119</f>
        <v>0</v>
      </c>
      <c r="Y119" s="425">
        <f>X119/X131</f>
        <v>0</v>
      </c>
      <c r="Z119" s="92"/>
      <c r="AA119" s="37"/>
      <c r="AB119" s="185" t="s">
        <v>41</v>
      </c>
      <c r="AC119" s="165">
        <f>AC117+AC118</f>
        <v>0</v>
      </c>
      <c r="AD119" s="68"/>
      <c r="AE119" s="68"/>
      <c r="AF119" s="68"/>
      <c r="AG119" s="66"/>
      <c r="AH119" s="420">
        <f>AC119</f>
        <v>0</v>
      </c>
      <c r="AI119" s="233">
        <f>AH119/AH131</f>
        <v>0</v>
      </c>
      <c r="AJ119" s="165">
        <f>I119+S119+AC119</f>
        <v>0</v>
      </c>
      <c r="AK119" s="420"/>
    </row>
    <row r="120" spans="1:37" ht="21" x14ac:dyDescent="0.4">
      <c r="A120" s="301" t="s">
        <v>6</v>
      </c>
      <c r="B120" s="218" t="str">
        <f t="shared" si="51"/>
        <v>RMC</v>
      </c>
      <c r="C120" s="5" t="s">
        <v>48</v>
      </c>
      <c r="D120" s="10"/>
      <c r="E120" s="116"/>
      <c r="F120" s="116"/>
      <c r="G120" s="116"/>
      <c r="H120" s="54"/>
      <c r="I120" s="166"/>
      <c r="J120" s="69"/>
      <c r="K120" s="69"/>
      <c r="L120" s="69"/>
      <c r="M120" s="70"/>
      <c r="N120" s="98"/>
      <c r="O120" s="431"/>
      <c r="P120" s="99"/>
      <c r="Q120" s="60"/>
      <c r="R120" s="179"/>
      <c r="S120" s="166"/>
      <c r="T120" s="69"/>
      <c r="U120" s="69"/>
      <c r="V120" s="69"/>
      <c r="W120" s="70"/>
      <c r="X120" s="97"/>
      <c r="Y120" s="431"/>
      <c r="Z120" s="99"/>
      <c r="AA120" s="60"/>
      <c r="AB120" s="179"/>
      <c r="AC120" s="166"/>
      <c r="AD120" s="69"/>
      <c r="AE120" s="69"/>
      <c r="AF120" s="69"/>
      <c r="AG120" s="70"/>
      <c r="AH120" s="98"/>
      <c r="AI120" s="243"/>
      <c r="AJ120" s="166"/>
      <c r="AK120" s="98"/>
    </row>
    <row r="121" spans="1:37" ht="21" x14ac:dyDescent="0.4">
      <c r="A121" s="301" t="s">
        <v>6</v>
      </c>
      <c r="B121" s="218" t="str">
        <f t="shared" ref="B121:B145" si="61">A121&amp;H121</f>
        <v>RMCOTHER</v>
      </c>
      <c r="C121" s="124" t="s">
        <v>50</v>
      </c>
      <c r="D121" s="10"/>
      <c r="E121" s="116"/>
      <c r="F121" s="116"/>
      <c r="G121" s="116"/>
      <c r="H121" s="61" t="s">
        <v>42</v>
      </c>
      <c r="I121" s="167"/>
      <c r="J121" s="74"/>
      <c r="K121" s="74"/>
      <c r="L121" s="74"/>
      <c r="M121" s="66"/>
      <c r="N121" s="91"/>
      <c r="O121" s="430"/>
      <c r="P121" s="92"/>
      <c r="Q121" s="37"/>
      <c r="R121" s="186" t="s">
        <v>42</v>
      </c>
      <c r="S121" s="167"/>
      <c r="T121" s="74"/>
      <c r="U121" s="74"/>
      <c r="V121" s="74"/>
      <c r="W121" s="66"/>
      <c r="X121" s="90"/>
      <c r="Y121" s="430"/>
      <c r="Z121" s="92"/>
      <c r="AA121" s="37"/>
      <c r="AB121" s="186" t="s">
        <v>42</v>
      </c>
      <c r="AC121" s="167"/>
      <c r="AD121" s="74"/>
      <c r="AE121" s="74"/>
      <c r="AF121" s="74"/>
      <c r="AG121" s="66"/>
      <c r="AH121" s="91"/>
      <c r="AI121" s="227"/>
      <c r="AJ121" s="167"/>
      <c r="AK121" s="91"/>
    </row>
    <row r="122" spans="1:37" ht="21" x14ac:dyDescent="0.4">
      <c r="A122" s="301" t="s">
        <v>6</v>
      </c>
      <c r="B122" s="218" t="str">
        <f t="shared" si="61"/>
        <v xml:space="preserve">RMCNon-Payroll </v>
      </c>
      <c r="C122" s="5" t="s">
        <v>48</v>
      </c>
      <c r="D122" s="10"/>
      <c r="E122" s="116"/>
      <c r="F122" s="116"/>
      <c r="G122" s="116"/>
      <c r="H122" s="38" t="s">
        <v>337</v>
      </c>
      <c r="I122" s="167">
        <f>ROUND(((I102+I107+I119)/VLOOKUP("RESOURCE MGMT CTRPayroll",'Base 2015 actual for Cost Cente'!$A:$F,6,FALSE))*VLOOKUP("RESOURCE MGMT CTRNon-Payroll",'Base 2015 actual for Cost Cente'!$A:$F,6,FALSE),0)</f>
        <v>1676</v>
      </c>
      <c r="J122" s="74"/>
      <c r="K122" s="74"/>
      <c r="L122" s="74"/>
      <c r="M122" s="734" t="s">
        <v>372</v>
      </c>
      <c r="N122" s="91"/>
      <c r="O122" s="430"/>
      <c r="P122" s="92"/>
      <c r="Q122" s="37"/>
      <c r="R122" s="184" t="s">
        <v>337</v>
      </c>
      <c r="S122" s="167">
        <f>ROUND(((S102+S107+S119)/VLOOKUP("RESOURCE MGMT CTRPayroll",'Base 2015 actual for Cost Cente'!$A:$F,6,FALSE))*VLOOKUP("RESOURCE MGMT CTRNon-Payroll",'Base 2015 actual for Cost Cente'!$A:$F,6,FALSE),0)</f>
        <v>165</v>
      </c>
      <c r="T122" s="74"/>
      <c r="U122" s="74"/>
      <c r="V122" s="74"/>
      <c r="W122" s="734" t="s">
        <v>372</v>
      </c>
      <c r="X122" s="90"/>
      <c r="Y122" s="430"/>
      <c r="Z122" s="92"/>
      <c r="AA122" s="37"/>
      <c r="AB122" s="184" t="s">
        <v>337</v>
      </c>
      <c r="AC122" s="167">
        <f>ROUND(((AC102+AC107+AC119)/VLOOKUP("RESOURCE MGMT CTRPayroll",'Base 2015 actual for Cost Cente'!$A:$F,6,FALSE))*VLOOKUP("RESOURCE MGMT CTRNon-Payroll",'Base 2015 actual for Cost Cente'!$A:$F,6,FALSE),0)</f>
        <v>3</v>
      </c>
      <c r="AD122" s="74"/>
      <c r="AE122" s="74"/>
      <c r="AF122" s="74"/>
      <c r="AG122" s="734" t="s">
        <v>372</v>
      </c>
      <c r="AH122" s="91"/>
      <c r="AI122" s="227"/>
      <c r="AJ122" s="167"/>
      <c r="AK122" s="91"/>
    </row>
    <row r="123" spans="1:37" ht="21" x14ac:dyDescent="0.4">
      <c r="A123" s="301" t="s">
        <v>6</v>
      </c>
      <c r="B123" s="218" t="str">
        <f t="shared" si="61"/>
        <v>RMC</v>
      </c>
      <c r="C123" s="5" t="s">
        <v>48</v>
      </c>
      <c r="D123" s="10"/>
      <c r="E123" s="116"/>
      <c r="F123" s="116"/>
      <c r="G123" s="116"/>
      <c r="H123" s="38"/>
      <c r="I123" s="168"/>
      <c r="J123" s="42"/>
      <c r="K123" s="39"/>
      <c r="L123" s="42"/>
      <c r="M123" s="735"/>
      <c r="N123" s="91"/>
      <c r="O123" s="430"/>
      <c r="P123" s="92"/>
      <c r="Q123" s="37"/>
      <c r="R123" s="184"/>
      <c r="S123" s="168"/>
      <c r="T123" s="42"/>
      <c r="U123" s="39"/>
      <c r="V123" s="42"/>
      <c r="W123" s="735"/>
      <c r="X123" s="90"/>
      <c r="Y123" s="430"/>
      <c r="Z123" s="92"/>
      <c r="AA123" s="37"/>
      <c r="AB123" s="184"/>
      <c r="AC123" s="168"/>
      <c r="AD123" s="42"/>
      <c r="AE123" s="39"/>
      <c r="AF123" s="42"/>
      <c r="AG123" s="735"/>
      <c r="AH123" s="91"/>
      <c r="AI123" s="227"/>
      <c r="AJ123" s="168"/>
      <c r="AK123" s="91"/>
    </row>
    <row r="124" spans="1:37" ht="21" x14ac:dyDescent="0.4">
      <c r="A124" s="301" t="s">
        <v>6</v>
      </c>
      <c r="B124" s="218" t="str">
        <f t="shared" si="61"/>
        <v>RMC</v>
      </c>
      <c r="C124" s="5" t="s">
        <v>48</v>
      </c>
      <c r="D124" s="10"/>
      <c r="E124" s="116"/>
      <c r="F124" s="116"/>
      <c r="G124" s="116"/>
      <c r="H124" s="38"/>
      <c r="I124" s="168"/>
      <c r="J124" s="42"/>
      <c r="K124" s="39"/>
      <c r="L124" s="42"/>
      <c r="M124" s="66"/>
      <c r="N124" s="91"/>
      <c r="O124" s="430"/>
      <c r="P124" s="92"/>
      <c r="Q124" s="37"/>
      <c r="R124" s="184"/>
      <c r="S124" s="168"/>
      <c r="T124" s="42"/>
      <c r="U124" s="39"/>
      <c r="V124" s="42"/>
      <c r="W124" s="66"/>
      <c r="X124" s="90"/>
      <c r="Y124" s="430"/>
      <c r="Z124" s="92"/>
      <c r="AA124" s="37"/>
      <c r="AB124" s="184"/>
      <c r="AC124" s="168"/>
      <c r="AD124" s="42"/>
      <c r="AE124" s="39"/>
      <c r="AF124" s="42"/>
      <c r="AG124" s="66"/>
      <c r="AH124" s="91"/>
      <c r="AI124" s="227"/>
      <c r="AJ124" s="168"/>
      <c r="AK124" s="91"/>
    </row>
    <row r="125" spans="1:37" ht="21" x14ac:dyDescent="0.4">
      <c r="A125" s="301" t="s">
        <v>6</v>
      </c>
      <c r="B125" s="218" t="str">
        <f t="shared" si="61"/>
        <v>RMC</v>
      </c>
      <c r="C125" s="5" t="s">
        <v>48</v>
      </c>
      <c r="D125" s="10"/>
      <c r="E125" s="116"/>
      <c r="F125" s="116"/>
      <c r="G125" s="116"/>
      <c r="H125" s="38"/>
      <c r="I125" s="168"/>
      <c r="J125" s="42"/>
      <c r="K125" s="39"/>
      <c r="L125" s="42"/>
      <c r="M125" s="66"/>
      <c r="N125" s="91"/>
      <c r="O125" s="430"/>
      <c r="P125" s="92"/>
      <c r="Q125" s="37"/>
      <c r="R125" s="184"/>
      <c r="S125" s="168"/>
      <c r="T125" s="42"/>
      <c r="U125" s="39"/>
      <c r="V125" s="42"/>
      <c r="W125" s="66"/>
      <c r="X125" s="90"/>
      <c r="Y125" s="430"/>
      <c r="Z125" s="92"/>
      <c r="AA125" s="37"/>
      <c r="AB125" s="184"/>
      <c r="AC125" s="168"/>
      <c r="AD125" s="42"/>
      <c r="AE125" s="39"/>
      <c r="AF125" s="42"/>
      <c r="AG125" s="66"/>
      <c r="AH125" s="91"/>
      <c r="AI125" s="227"/>
      <c r="AJ125" s="168"/>
      <c r="AK125" s="91"/>
    </row>
    <row r="126" spans="1:37" ht="21" x14ac:dyDescent="0.4">
      <c r="A126" s="301" t="s">
        <v>6</v>
      </c>
      <c r="B126" s="218" t="str">
        <f t="shared" si="61"/>
        <v>RMC</v>
      </c>
      <c r="C126" s="5" t="s">
        <v>48</v>
      </c>
      <c r="D126" s="10"/>
      <c r="E126" s="116"/>
      <c r="F126" s="116"/>
      <c r="G126" s="116"/>
      <c r="H126" s="38"/>
      <c r="I126" s="168"/>
      <c r="J126" s="42"/>
      <c r="K126" s="39"/>
      <c r="L126" s="42"/>
      <c r="M126" s="66"/>
      <c r="N126" s="91"/>
      <c r="O126" s="430"/>
      <c r="P126" s="92"/>
      <c r="Q126" s="37"/>
      <c r="R126" s="184"/>
      <c r="S126" s="168"/>
      <c r="T126" s="42"/>
      <c r="U126" s="39"/>
      <c r="V126" s="42"/>
      <c r="W126" s="66"/>
      <c r="X126" s="90"/>
      <c r="Y126" s="430"/>
      <c r="Z126" s="92"/>
      <c r="AA126" s="37"/>
      <c r="AB126" s="184"/>
      <c r="AC126" s="168"/>
      <c r="AD126" s="42"/>
      <c r="AE126" s="39"/>
      <c r="AF126" s="42"/>
      <c r="AG126" s="66"/>
      <c r="AH126" s="91"/>
      <c r="AI126" s="227"/>
      <c r="AJ126" s="168"/>
      <c r="AK126" s="91"/>
    </row>
    <row r="127" spans="1:37" ht="21" x14ac:dyDescent="0.4">
      <c r="A127" s="301" t="s">
        <v>6</v>
      </c>
      <c r="B127" s="218" t="str">
        <f t="shared" si="61"/>
        <v>RMC</v>
      </c>
      <c r="C127" s="5" t="s">
        <v>48</v>
      </c>
      <c r="D127" s="10"/>
      <c r="E127" s="116"/>
      <c r="F127" s="116"/>
      <c r="G127" s="116"/>
      <c r="H127" s="38"/>
      <c r="I127" s="164"/>
      <c r="J127" s="67"/>
      <c r="K127" s="67"/>
      <c r="L127" s="67"/>
      <c r="M127" s="40" t="str">
        <f>J127&amp;" days @ "&amp;K127</f>
        <v xml:space="preserve"> days @ </v>
      </c>
      <c r="N127" s="94"/>
      <c r="O127" s="423"/>
      <c r="P127" s="92"/>
      <c r="Q127" s="37"/>
      <c r="R127" s="184"/>
      <c r="S127" s="164"/>
      <c r="T127" s="67"/>
      <c r="U127" s="67"/>
      <c r="V127" s="67"/>
      <c r="W127" s="40" t="str">
        <f>T127&amp;" days @ "&amp;U127</f>
        <v xml:space="preserve"> days @ </v>
      </c>
      <c r="X127" s="93"/>
      <c r="Y127" s="423"/>
      <c r="Z127" s="92"/>
      <c r="AA127" s="37"/>
      <c r="AB127" s="184"/>
      <c r="AC127" s="164"/>
      <c r="AD127" s="67"/>
      <c r="AE127" s="67"/>
      <c r="AF127" s="67"/>
      <c r="AG127" s="40" t="str">
        <f>AD127&amp;" days @ "&amp;AE127</f>
        <v xml:space="preserve"> days @ </v>
      </c>
      <c r="AH127" s="94"/>
      <c r="AI127" s="242"/>
      <c r="AJ127" s="164"/>
      <c r="AK127" s="94"/>
    </row>
    <row r="128" spans="1:37" ht="21" x14ac:dyDescent="0.4">
      <c r="A128" s="301" t="s">
        <v>6</v>
      </c>
      <c r="B128" s="218" t="str">
        <f t="shared" si="61"/>
        <v>RMCTotal Other</v>
      </c>
      <c r="C128" s="124" t="s">
        <v>50</v>
      </c>
      <c r="D128" s="10"/>
      <c r="E128" s="116">
        <f>I128</f>
        <v>1676</v>
      </c>
      <c r="F128" s="116">
        <f>S128</f>
        <v>165</v>
      </c>
      <c r="G128" s="116">
        <f>AC128</f>
        <v>3</v>
      </c>
      <c r="H128" s="49" t="s">
        <v>45</v>
      </c>
      <c r="I128" s="165">
        <f>SUM(I122:I127)</f>
        <v>1676</v>
      </c>
      <c r="J128" s="68"/>
      <c r="K128" s="68"/>
      <c r="L128" s="68"/>
      <c r="M128" s="66"/>
      <c r="N128" s="414">
        <f>I128</f>
        <v>1676</v>
      </c>
      <c r="O128" s="425">
        <f>N128/N131</f>
        <v>4.2333913682792844E-2</v>
      </c>
      <c r="P128" s="92"/>
      <c r="Q128" s="68"/>
      <c r="R128" s="185" t="s">
        <v>45</v>
      </c>
      <c r="S128" s="165">
        <f>SUM(S122:S127)</f>
        <v>165</v>
      </c>
      <c r="T128" s="68"/>
      <c r="U128" s="68"/>
      <c r="V128" s="68"/>
      <c r="W128" s="66"/>
      <c r="X128" s="165">
        <f>S128</f>
        <v>165</v>
      </c>
      <c r="Y128" s="425">
        <f>X128/X131</f>
        <v>4.2401816076464052E-2</v>
      </c>
      <c r="Z128" s="92"/>
      <c r="AA128" s="68"/>
      <c r="AB128" s="185" t="s">
        <v>45</v>
      </c>
      <c r="AC128" s="165">
        <f>SUM(AC122:AC127)</f>
        <v>3</v>
      </c>
      <c r="AD128" s="68"/>
      <c r="AE128" s="68"/>
      <c r="AF128" s="68"/>
      <c r="AG128" s="66"/>
      <c r="AH128" s="414">
        <f>AC128</f>
        <v>3</v>
      </c>
      <c r="AI128" s="233">
        <f>AH128/AH131</f>
        <v>3.8233997160488475E-2</v>
      </c>
      <c r="AJ128" s="165">
        <f>I128+S128+AC128</f>
        <v>1844</v>
      </c>
      <c r="AK128" s="414"/>
    </row>
    <row r="129" spans="1:37" ht="21.6" thickBot="1" x14ac:dyDescent="0.45">
      <c r="A129" s="301" t="s">
        <v>6</v>
      </c>
      <c r="B129" s="218" t="str">
        <f t="shared" si="61"/>
        <v>RMC</v>
      </c>
      <c r="C129" s="5" t="s">
        <v>48</v>
      </c>
      <c r="D129" s="10"/>
      <c r="E129" s="116"/>
      <c r="F129" s="116"/>
      <c r="G129" s="116"/>
      <c r="H129" s="100"/>
      <c r="I129" s="178"/>
      <c r="J129" s="101"/>
      <c r="K129" s="101"/>
      <c r="L129" s="101"/>
      <c r="M129" s="102"/>
      <c r="N129" s="415"/>
      <c r="O129" s="178"/>
      <c r="P129" s="101"/>
      <c r="Q129" s="101"/>
      <c r="R129" s="178"/>
      <c r="S129" s="178"/>
      <c r="T129" s="101"/>
      <c r="U129" s="101"/>
      <c r="V129" s="101"/>
      <c r="W129" s="102"/>
      <c r="X129" s="178"/>
      <c r="Y129" s="178"/>
      <c r="Z129" s="101"/>
      <c r="AA129" s="101"/>
      <c r="AB129" s="178"/>
      <c r="AC129" s="178"/>
      <c r="AD129" s="101"/>
      <c r="AE129" s="101"/>
      <c r="AF129" s="101"/>
      <c r="AG129" s="102"/>
      <c r="AH129" s="415"/>
      <c r="AI129" s="178"/>
      <c r="AJ129" s="178"/>
      <c r="AK129" s="415"/>
    </row>
    <row r="130" spans="1:37" ht="21.6" thickTop="1" x14ac:dyDescent="0.4">
      <c r="A130" s="301" t="s">
        <v>6</v>
      </c>
      <c r="B130" s="218" t="str">
        <f t="shared" si="61"/>
        <v>RMCTOTALS</v>
      </c>
      <c r="C130" s="5" t="s">
        <v>48</v>
      </c>
      <c r="D130" s="10"/>
      <c r="E130" s="116"/>
      <c r="F130" s="116"/>
      <c r="G130" s="116"/>
      <c r="H130" s="61" t="s">
        <v>28</v>
      </c>
      <c r="I130" s="103"/>
      <c r="J130" s="103"/>
      <c r="K130" s="103"/>
      <c r="L130" s="103"/>
      <c r="M130" s="104"/>
      <c r="N130" s="91"/>
      <c r="O130" s="136"/>
      <c r="P130" s="92"/>
      <c r="Q130" s="37"/>
      <c r="R130" s="186" t="s">
        <v>28</v>
      </c>
      <c r="S130" s="103"/>
      <c r="T130" s="103"/>
      <c r="U130" s="103"/>
      <c r="V130" s="103"/>
      <c r="W130" s="104"/>
      <c r="X130" s="90"/>
      <c r="Y130" s="136"/>
      <c r="Z130" s="92"/>
      <c r="AA130" s="37"/>
      <c r="AB130" s="186" t="s">
        <v>28</v>
      </c>
      <c r="AC130" s="103"/>
      <c r="AD130" s="103"/>
      <c r="AE130" s="103"/>
      <c r="AF130" s="103"/>
      <c r="AG130" s="104"/>
      <c r="AH130" s="91"/>
      <c r="AI130" s="136"/>
      <c r="AJ130" s="165"/>
      <c r="AK130" s="91"/>
    </row>
    <row r="131" spans="1:37" ht="21" x14ac:dyDescent="0.4">
      <c r="A131" s="301" t="s">
        <v>6</v>
      </c>
      <c r="B131" s="218" t="str">
        <f t="shared" si="61"/>
        <v>RMCPER YEAR</v>
      </c>
      <c r="C131" s="124" t="s">
        <v>50</v>
      </c>
      <c r="D131" s="10"/>
      <c r="E131" s="116"/>
      <c r="F131" s="116"/>
      <c r="G131" s="116"/>
      <c r="H131" s="105" t="s">
        <v>46</v>
      </c>
      <c r="I131" s="106">
        <f>I102+I107+I114+I119+I128</f>
        <v>39590.008439999998</v>
      </c>
      <c r="J131" s="106"/>
      <c r="K131" s="106"/>
      <c r="L131" s="106"/>
      <c r="M131" s="107"/>
      <c r="N131" s="420">
        <f>SUM(N102:N129)</f>
        <v>39590.008439999998</v>
      </c>
      <c r="O131" s="425">
        <f>SUM(O102:O129)</f>
        <v>1</v>
      </c>
      <c r="P131" s="92"/>
      <c r="Q131" s="37"/>
      <c r="R131" s="190" t="s">
        <v>46</v>
      </c>
      <c r="S131" s="106">
        <f>S102+S107+S114+S119+S128</f>
        <v>3891.34276</v>
      </c>
      <c r="T131" s="106"/>
      <c r="U131" s="106"/>
      <c r="V131" s="106"/>
      <c r="W131" s="107"/>
      <c r="X131" s="52">
        <f>SUM(X102:X129)</f>
        <v>3891.34276</v>
      </c>
      <c r="Y131" s="425">
        <f>SUM(Y102:Y129)</f>
        <v>1</v>
      </c>
      <c r="Z131" s="92"/>
      <c r="AA131" s="37"/>
      <c r="AB131" s="190" t="s">
        <v>46</v>
      </c>
      <c r="AC131" s="106">
        <f>AC102+AC107+AC114+AC119+AC128</f>
        <v>78.464200000000005</v>
      </c>
      <c r="AD131" s="106"/>
      <c r="AE131" s="106"/>
      <c r="AF131" s="106"/>
      <c r="AG131" s="107"/>
      <c r="AH131" s="420">
        <f>SUM(AH102:AH129)</f>
        <v>78.464200000000005</v>
      </c>
      <c r="AI131" s="233">
        <f>SUM(AI102:AI129)</f>
        <v>1</v>
      </c>
      <c r="AJ131" s="165">
        <f>I131+S131+AC131</f>
        <v>43559.815399999999</v>
      </c>
      <c r="AK131" s="420"/>
    </row>
    <row r="132" spans="1:37" ht="21" x14ac:dyDescent="0.4">
      <c r="A132" s="301" t="s">
        <v>6</v>
      </c>
      <c r="B132" s="218" t="str">
        <f t="shared" si="61"/>
        <v>RMCPER PAYMENT</v>
      </c>
      <c r="C132" s="124" t="s">
        <v>50</v>
      </c>
      <c r="D132" s="10"/>
      <c r="E132" s="116"/>
      <c r="F132" s="116"/>
      <c r="G132" s="116"/>
      <c r="H132" s="49" t="s">
        <v>47</v>
      </c>
      <c r="I132" s="108">
        <f>I131/I$6</f>
        <v>5.0686175236627183E-3</v>
      </c>
      <c r="J132" s="108"/>
      <c r="K132" s="108"/>
      <c r="L132" s="108"/>
      <c r="M132" s="109"/>
      <c r="N132" s="98"/>
      <c r="O132" s="431"/>
      <c r="P132" s="99"/>
      <c r="Q132" s="60"/>
      <c r="R132" s="185" t="s">
        <v>47</v>
      </c>
      <c r="S132" s="108">
        <f>S131/S$6</f>
        <v>5.1080495034168802E-3</v>
      </c>
      <c r="T132" s="108"/>
      <c r="U132" s="108"/>
      <c r="V132" s="108"/>
      <c r="W132" s="109"/>
      <c r="X132" s="97"/>
      <c r="Y132" s="431"/>
      <c r="Z132" s="99"/>
      <c r="AA132" s="60"/>
      <c r="AB132" s="185" t="s">
        <v>47</v>
      </c>
      <c r="AC132" s="108">
        <f>AC131/AC$6</f>
        <v>3.1314283433771005E-3</v>
      </c>
      <c r="AD132" s="108"/>
      <c r="AE132" s="108"/>
      <c r="AF132" s="108"/>
      <c r="AG132" s="109"/>
      <c r="AH132" s="98"/>
      <c r="AI132" s="243"/>
      <c r="AJ132" s="165">
        <f>I132+S132+AC132</f>
        <v>1.3308095370456699E-2</v>
      </c>
      <c r="AK132" s="98"/>
    </row>
    <row r="133" spans="1:37" x14ac:dyDescent="0.3">
      <c r="A133" s="301" t="s">
        <v>6</v>
      </c>
      <c r="B133" s="218"/>
      <c r="C133" s="220"/>
      <c r="D133" s="10"/>
      <c r="E133" s="10"/>
      <c r="F133" s="10"/>
      <c r="G133" s="10"/>
      <c r="H133" s="137" t="s">
        <v>585</v>
      </c>
      <c r="I133" s="659">
        <f>I102+I107</f>
        <v>37914.008439999998</v>
      </c>
      <c r="J133" s="108"/>
      <c r="K133" s="108"/>
      <c r="L133" s="108"/>
      <c r="M133" s="109"/>
      <c r="N133" s="656"/>
      <c r="O133" s="657"/>
      <c r="P133" s="92"/>
      <c r="Q133" s="37"/>
      <c r="R133" s="137" t="s">
        <v>585</v>
      </c>
      <c r="S133" s="659">
        <f>S102+S107</f>
        <v>3726.34276</v>
      </c>
      <c r="T133" s="108"/>
      <c r="U133" s="108"/>
      <c r="V133" s="108"/>
      <c r="W133" s="109"/>
      <c r="X133" s="658"/>
      <c r="Y133" s="657"/>
      <c r="Z133" s="92"/>
      <c r="AA133" s="37"/>
      <c r="AB133" s="137" t="s">
        <v>585</v>
      </c>
      <c r="AC133" s="659">
        <f>AC102+AC107</f>
        <v>75.464200000000005</v>
      </c>
      <c r="AD133" s="108"/>
      <c r="AE133" s="108"/>
      <c r="AF133" s="108"/>
      <c r="AG133" s="109"/>
      <c r="AH133" s="656"/>
      <c r="AI133" s="137"/>
      <c r="AJ133" s="165">
        <f>I133+S133+AC133</f>
        <v>41715.815399999999</v>
      </c>
      <c r="AK133" s="656"/>
    </row>
    <row r="134" spans="1:37" x14ac:dyDescent="0.3">
      <c r="A134" s="301" t="s">
        <v>6</v>
      </c>
      <c r="B134" s="218"/>
      <c r="C134" s="220"/>
      <c r="D134" s="10"/>
      <c r="E134" s="10"/>
      <c r="F134" s="10"/>
      <c r="G134" s="10"/>
      <c r="H134" s="137" t="s">
        <v>586</v>
      </c>
      <c r="I134" s="659">
        <f>I128+I119+I114</f>
        <v>1676</v>
      </c>
      <c r="J134" s="108"/>
      <c r="K134" s="659"/>
      <c r="L134" s="108"/>
      <c r="M134" s="109"/>
      <c r="N134" s="656"/>
      <c r="O134" s="657"/>
      <c r="P134" s="92"/>
      <c r="Q134" s="37"/>
      <c r="R134" s="137" t="s">
        <v>586</v>
      </c>
      <c r="S134" s="659">
        <f>S128+S119+S114</f>
        <v>165</v>
      </c>
      <c r="T134" s="108"/>
      <c r="U134" s="659"/>
      <c r="V134" s="108"/>
      <c r="W134" s="109"/>
      <c r="X134" s="658"/>
      <c r="Y134" s="657"/>
      <c r="Z134" s="92"/>
      <c r="AA134" s="37"/>
      <c r="AB134" s="137" t="s">
        <v>586</v>
      </c>
      <c r="AC134" s="659">
        <f>AC128+AC119+AC114</f>
        <v>3</v>
      </c>
      <c r="AD134" s="108"/>
      <c r="AE134" s="659"/>
      <c r="AF134" s="108"/>
      <c r="AG134" s="109"/>
      <c r="AH134" s="656"/>
      <c r="AI134" s="137"/>
      <c r="AJ134" s="165">
        <f>I134+S134+AC134</f>
        <v>1844</v>
      </c>
      <c r="AK134" s="656"/>
    </row>
    <row r="135" spans="1:37" x14ac:dyDescent="0.3">
      <c r="A135" s="301" t="s">
        <v>6</v>
      </c>
      <c r="B135" s="218"/>
      <c r="C135" s="220"/>
      <c r="D135" s="10"/>
      <c r="E135" s="10"/>
      <c r="F135" s="10"/>
      <c r="G135" s="10"/>
      <c r="H135" s="137" t="s">
        <v>584</v>
      </c>
      <c r="I135" s="659">
        <f>I131</f>
        <v>39590.008439999998</v>
      </c>
      <c r="J135" s="108"/>
      <c r="K135" s="108"/>
      <c r="L135" s="108"/>
      <c r="M135" s="109"/>
      <c r="N135" s="656"/>
      <c r="O135" s="657"/>
      <c r="P135" s="92"/>
      <c r="Q135" s="37"/>
      <c r="R135" s="137" t="s">
        <v>584</v>
      </c>
      <c r="S135" s="659">
        <f>S131</f>
        <v>3891.34276</v>
      </c>
      <c r="T135" s="108"/>
      <c r="U135" s="108"/>
      <c r="V135" s="108"/>
      <c r="W135" s="109"/>
      <c r="X135" s="658"/>
      <c r="Y135" s="657"/>
      <c r="Z135" s="92"/>
      <c r="AA135" s="37"/>
      <c r="AB135" s="137" t="s">
        <v>584</v>
      </c>
      <c r="AC135" s="659">
        <f>AC131</f>
        <v>78.464200000000005</v>
      </c>
      <c r="AD135" s="108"/>
      <c r="AE135" s="108"/>
      <c r="AF135" s="108"/>
      <c r="AG135" s="109"/>
      <c r="AH135" s="656"/>
      <c r="AI135" s="137"/>
      <c r="AJ135" s="165">
        <f>I135+S135+AC135</f>
        <v>43559.815399999999</v>
      </c>
      <c r="AK135" s="656"/>
    </row>
    <row r="136" spans="1:37" ht="62.4" x14ac:dyDescent="0.3">
      <c r="A136" s="301" t="s">
        <v>52</v>
      </c>
      <c r="B136" s="218" t="str">
        <f t="shared" si="61"/>
        <v>CFSLABOR: NON-SUPERVISORY</v>
      </c>
      <c r="C136" s="12" t="s">
        <v>52</v>
      </c>
      <c r="D136" s="10" t="str">
        <f>'2015Summary METER to CASH (Base'!C22</f>
        <v>* Read routes
* Investigate, repair or replace non-operable meters and ERTs</v>
      </c>
      <c r="E136" s="117">
        <f>N173</f>
        <v>770312.59009081672</v>
      </c>
      <c r="F136" s="117">
        <f>X173</f>
        <v>74685.748028237285</v>
      </c>
      <c r="G136" s="117">
        <f>AC173</f>
        <v>2456.2294709460698</v>
      </c>
      <c r="H136" s="182" t="s">
        <v>31</v>
      </c>
      <c r="I136" s="157"/>
      <c r="J136" s="118"/>
      <c r="K136" s="118"/>
      <c r="L136" s="118"/>
      <c r="M136" s="119"/>
      <c r="N136" s="121"/>
      <c r="O136" s="206"/>
      <c r="P136" s="122"/>
      <c r="Q136" s="123"/>
      <c r="R136" s="183" t="s">
        <v>31</v>
      </c>
      <c r="S136" s="157"/>
      <c r="T136" s="118"/>
      <c r="U136" s="118"/>
      <c r="V136" s="118"/>
      <c r="W136" s="119"/>
      <c r="X136" s="120"/>
      <c r="Y136" s="206"/>
      <c r="Z136" s="122"/>
      <c r="AA136" s="123"/>
      <c r="AB136" s="183" t="s">
        <v>31</v>
      </c>
      <c r="AC136" s="157"/>
      <c r="AD136" s="118"/>
      <c r="AE136" s="118"/>
      <c r="AF136" s="118"/>
      <c r="AG136" s="119"/>
      <c r="AH136" s="121"/>
      <c r="AI136" s="135"/>
      <c r="AJ136" s="157"/>
      <c r="AK136" s="121"/>
    </row>
    <row r="137" spans="1:37" ht="21" x14ac:dyDescent="0.4">
      <c r="A137" s="301" t="s">
        <v>52</v>
      </c>
      <c r="B137" s="218" t="str">
        <f t="shared" si="61"/>
        <v>CFSUtilility Support  2 &amp; 3</v>
      </c>
      <c r="C137" s="5" t="s">
        <v>48</v>
      </c>
      <c r="D137" s="10"/>
      <c r="E137" s="116"/>
      <c r="F137" s="116"/>
      <c r="G137" s="116"/>
      <c r="H137" s="38" t="s">
        <v>343</v>
      </c>
      <c r="I137" s="158">
        <f>J137*K137</f>
        <v>298229.93950770173</v>
      </c>
      <c r="J137" s="42">
        <f>14089*(I6/($I$6+$S$6+$AC$6))</f>
        <v>12799.568219214665</v>
      </c>
      <c r="K137" s="39">
        <v>23.3</v>
      </c>
      <c r="L137" s="39"/>
      <c r="M137" s="40" t="str">
        <f>ROUND(J137,0)&amp;" hrs @ "&amp;K137</f>
        <v>12800 hrs @ 23.3</v>
      </c>
      <c r="N137" s="35"/>
      <c r="O137" s="428"/>
      <c r="P137" s="187"/>
      <c r="Q137" s="41"/>
      <c r="R137" s="184" t="s">
        <v>343</v>
      </c>
      <c r="S137" s="158">
        <f>T137*U137</f>
        <v>29087.041842856783</v>
      </c>
      <c r="T137" s="42">
        <f>14089*(S6/($I$6+$S$6+$AC$6))</f>
        <v>1248.3708945432095</v>
      </c>
      <c r="U137" s="39">
        <v>23.3</v>
      </c>
      <c r="V137" s="39"/>
      <c r="W137" s="40" t="str">
        <f>ROUND(T137,0)&amp;" hrs @ "&amp;U137</f>
        <v>1248 hrs @ 23.3</v>
      </c>
      <c r="X137" s="34"/>
      <c r="Y137" s="207"/>
      <c r="Z137" s="36"/>
      <c r="AA137" s="41"/>
      <c r="AB137" s="184" t="s">
        <v>343</v>
      </c>
      <c r="AC137" s="158">
        <f>AD137*AE137</f>
        <v>956.71864944154072</v>
      </c>
      <c r="AD137" s="42">
        <f>14089*(AC6/($I$6+$S$6+$AC$6))</f>
        <v>41.060886242126209</v>
      </c>
      <c r="AE137" s="39">
        <v>23.3</v>
      </c>
      <c r="AF137" s="39"/>
      <c r="AG137" s="40" t="str">
        <f>ROUND(AD137,0)&amp;" hrs @ "&amp;AE137</f>
        <v>41 hrs @ 23.3</v>
      </c>
      <c r="AH137" s="35"/>
      <c r="AI137" s="136"/>
      <c r="AJ137" s="158">
        <f>I137+S137+AC137</f>
        <v>328273.70000000007</v>
      </c>
      <c r="AK137" s="35"/>
    </row>
    <row r="138" spans="1:37" ht="21" x14ac:dyDescent="0.4">
      <c r="A138" s="301" t="s">
        <v>52</v>
      </c>
      <c r="B138" s="218" t="str">
        <f t="shared" si="61"/>
        <v>CFS</v>
      </c>
      <c r="C138" s="5" t="s">
        <v>48</v>
      </c>
      <c r="D138" s="10"/>
      <c r="E138" s="116"/>
      <c r="F138" s="116"/>
      <c r="G138" s="116"/>
      <c r="H138" s="38"/>
      <c r="I138" s="158">
        <f t="shared" ref="I138:I139" si="62">J138*K138</f>
        <v>0</v>
      </c>
      <c r="J138" s="42"/>
      <c r="K138" s="39"/>
      <c r="L138" s="42"/>
      <c r="M138" s="40" t="str">
        <f t="shared" ref="M138:M140" si="63">J138&amp;" hrs @ "&amp;K138</f>
        <v xml:space="preserve"> hrs @ </v>
      </c>
      <c r="N138" s="35"/>
      <c r="O138" s="207"/>
      <c r="P138" s="36"/>
      <c r="Q138" s="3"/>
      <c r="R138" s="184"/>
      <c r="S138" s="158">
        <f t="shared" ref="S138:S139" si="64">T138*U138</f>
        <v>0</v>
      </c>
      <c r="T138" s="42"/>
      <c r="U138" s="39"/>
      <c r="V138" s="42"/>
      <c r="W138" s="40" t="str">
        <f t="shared" ref="W138:W140" si="65">T138&amp;" hrs @ "&amp;U138</f>
        <v xml:space="preserve"> hrs @ </v>
      </c>
      <c r="X138" s="34"/>
      <c r="Y138" s="207"/>
      <c r="Z138" s="36"/>
      <c r="AA138" s="3"/>
      <c r="AB138" s="184"/>
      <c r="AC138" s="158">
        <f t="shared" ref="AC138:AC140" si="66">AD138*AE138</f>
        <v>0</v>
      </c>
      <c r="AD138" s="42"/>
      <c r="AE138" s="39"/>
      <c r="AF138" s="42"/>
      <c r="AG138" s="40" t="str">
        <f t="shared" ref="AG138:AG140" si="67">AD138&amp;" hrs @ "&amp;AE138</f>
        <v xml:space="preserve"> hrs @ </v>
      </c>
      <c r="AH138" s="35"/>
      <c r="AI138" s="136"/>
      <c r="AJ138" s="158"/>
      <c r="AK138" s="35"/>
    </row>
    <row r="139" spans="1:37" ht="21" x14ac:dyDescent="0.4">
      <c r="A139" s="301" t="s">
        <v>52</v>
      </c>
      <c r="B139" s="218" t="str">
        <f t="shared" si="61"/>
        <v>CFS</v>
      </c>
      <c r="C139" s="5" t="s">
        <v>48</v>
      </c>
      <c r="D139" s="10"/>
      <c r="E139" s="116"/>
      <c r="F139" s="116"/>
      <c r="G139" s="116"/>
      <c r="H139" s="38"/>
      <c r="I139" s="158">
        <f t="shared" si="62"/>
        <v>0</v>
      </c>
      <c r="J139" s="42"/>
      <c r="K139" s="39"/>
      <c r="L139" s="42"/>
      <c r="M139" s="40" t="str">
        <f t="shared" si="63"/>
        <v xml:space="preserve"> hrs @ </v>
      </c>
      <c r="N139" s="35"/>
      <c r="O139" s="207"/>
      <c r="P139" s="36"/>
      <c r="Q139" s="41"/>
      <c r="R139" s="184"/>
      <c r="S139" s="158">
        <f t="shared" si="64"/>
        <v>0</v>
      </c>
      <c r="T139" s="42"/>
      <c r="U139" s="39"/>
      <c r="V139" s="42"/>
      <c r="W139" s="40" t="str">
        <f t="shared" si="65"/>
        <v xml:space="preserve"> hrs @ </v>
      </c>
      <c r="X139" s="34"/>
      <c r="Y139" s="207"/>
      <c r="Z139" s="36"/>
      <c r="AA139" s="41"/>
      <c r="AB139" s="184"/>
      <c r="AC139" s="158">
        <f t="shared" si="66"/>
        <v>0</v>
      </c>
      <c r="AD139" s="42"/>
      <c r="AE139" s="39"/>
      <c r="AF139" s="42"/>
      <c r="AG139" s="40" t="str">
        <f t="shared" si="67"/>
        <v xml:space="preserve"> hrs @ </v>
      </c>
      <c r="AH139" s="35"/>
      <c r="AI139" s="136"/>
      <c r="AJ139" s="158"/>
      <c r="AK139" s="35"/>
    </row>
    <row r="140" spans="1:37" ht="21" x14ac:dyDescent="0.4">
      <c r="A140" s="301" t="s">
        <v>52</v>
      </c>
      <c r="B140" s="218" t="str">
        <f t="shared" si="61"/>
        <v>CFS</v>
      </c>
      <c r="C140" s="5" t="s">
        <v>48</v>
      </c>
      <c r="D140" s="10"/>
      <c r="E140" s="116"/>
      <c r="F140" s="116"/>
      <c r="G140" s="116"/>
      <c r="H140" s="179"/>
      <c r="I140" s="173">
        <f>J140*K140*L140</f>
        <v>0</v>
      </c>
      <c r="J140" s="174"/>
      <c r="K140" s="175"/>
      <c r="L140" s="181"/>
      <c r="M140" s="176" t="str">
        <f t="shared" si="63"/>
        <v xml:space="preserve"> hrs @ </v>
      </c>
      <c r="N140" s="35"/>
      <c r="O140" s="207"/>
      <c r="P140" s="36"/>
      <c r="Q140" s="44"/>
      <c r="R140" s="179"/>
      <c r="S140" s="173">
        <f>T140*U140*V140</f>
        <v>0</v>
      </c>
      <c r="T140" s="174"/>
      <c r="U140" s="175"/>
      <c r="V140" s="181"/>
      <c r="W140" s="176" t="str">
        <f t="shared" si="65"/>
        <v xml:space="preserve"> hrs @ </v>
      </c>
      <c r="X140" s="34"/>
      <c r="Y140" s="207"/>
      <c r="Z140" s="36"/>
      <c r="AA140" s="44"/>
      <c r="AB140" s="179"/>
      <c r="AC140" s="173">
        <f t="shared" si="66"/>
        <v>0</v>
      </c>
      <c r="AD140" s="174"/>
      <c r="AE140" s="175"/>
      <c r="AF140" s="181"/>
      <c r="AG140" s="176" t="str">
        <f t="shared" si="67"/>
        <v xml:space="preserve"> hrs @ </v>
      </c>
      <c r="AH140" s="35"/>
      <c r="AI140" s="136"/>
      <c r="AJ140" s="173"/>
      <c r="AK140" s="35"/>
    </row>
    <row r="141" spans="1:37" ht="21" x14ac:dyDescent="0.4">
      <c r="A141" s="301" t="s">
        <v>52</v>
      </c>
      <c r="B141" s="218" t="str">
        <f t="shared" si="61"/>
        <v>CFSTotal Wages</v>
      </c>
      <c r="C141" s="5" t="s">
        <v>48</v>
      </c>
      <c r="D141" s="10"/>
      <c r="E141" s="116"/>
      <c r="F141" s="116"/>
      <c r="G141" s="116"/>
      <c r="H141" s="38" t="s">
        <v>32</v>
      </c>
      <c r="I141" s="158">
        <f>SUM(I137:I140)</f>
        <v>298229.93950770173</v>
      </c>
      <c r="J141" s="42"/>
      <c r="K141" s="39"/>
      <c r="L141" s="39"/>
      <c r="M141" s="40"/>
      <c r="N141" s="35"/>
      <c r="O141" s="207"/>
      <c r="P141" s="36"/>
      <c r="Q141" s="41"/>
      <c r="R141" s="184" t="s">
        <v>32</v>
      </c>
      <c r="S141" s="158">
        <f>SUM(S137:S140)</f>
        <v>29087.041842856783</v>
      </c>
      <c r="T141" s="42"/>
      <c r="U141" s="39"/>
      <c r="V141" s="39"/>
      <c r="W141" s="40"/>
      <c r="X141" s="34"/>
      <c r="Y141" s="207"/>
      <c r="Z141" s="36"/>
      <c r="AA141" s="41"/>
      <c r="AB141" s="184" t="s">
        <v>32</v>
      </c>
      <c r="AC141" s="158">
        <f>SUM(AC137:AC140)</f>
        <v>956.71864944154072</v>
      </c>
      <c r="AD141" s="42"/>
      <c r="AE141" s="39"/>
      <c r="AF141" s="39"/>
      <c r="AG141" s="40"/>
      <c r="AH141" s="35"/>
      <c r="AI141" s="136"/>
      <c r="AJ141" s="158">
        <f>I141+S141+AC141</f>
        <v>328273.70000000007</v>
      </c>
      <c r="AK141" s="35"/>
    </row>
    <row r="142" spans="1:37" ht="21" x14ac:dyDescent="0.4">
      <c r="A142" s="301" t="s">
        <v>52</v>
      </c>
      <c r="B142" s="218" t="str">
        <f t="shared" si="61"/>
        <v>CFSBenefits</v>
      </c>
      <c r="C142" s="5" t="s">
        <v>48</v>
      </c>
      <c r="D142" s="10"/>
      <c r="E142" s="116"/>
      <c r="F142" s="116"/>
      <c r="G142" s="116"/>
      <c r="H142" s="38" t="s">
        <v>33</v>
      </c>
      <c r="I142" s="159">
        <f>I141*$O$2</f>
        <v>294024.89736064314</v>
      </c>
      <c r="J142" s="42"/>
      <c r="K142" s="39"/>
      <c r="M142" s="45" t="str">
        <f>"@ "&amp;$O$2*100&amp;" %"</f>
        <v>@ 98.59 %</v>
      </c>
      <c r="N142" s="47"/>
      <c r="O142" s="424"/>
      <c r="P142" s="48"/>
      <c r="Q142" s="41"/>
      <c r="R142" s="184" t="s">
        <v>33</v>
      </c>
      <c r="S142" s="159">
        <f>S141*$O$2</f>
        <v>28676.914552872502</v>
      </c>
      <c r="T142" s="42"/>
      <c r="U142" s="39"/>
      <c r="W142" s="45" t="str">
        <f>"@ "&amp;$O$2*100&amp;" %"</f>
        <v>@ 98.59 %</v>
      </c>
      <c r="X142" s="46"/>
      <c r="Y142" s="424"/>
      <c r="Z142" s="48"/>
      <c r="AA142" s="41"/>
      <c r="AB142" s="184" t="s">
        <v>33</v>
      </c>
      <c r="AC142" s="159">
        <f>AC141*$O$2</f>
        <v>943.22891648441498</v>
      </c>
      <c r="AD142" s="42"/>
      <c r="AE142" s="39"/>
      <c r="AG142" s="45" t="str">
        <f>"@ "&amp;$O$2*100&amp;" %"</f>
        <v>@ 98.59 %</v>
      </c>
      <c r="AH142" s="47"/>
      <c r="AI142" s="432"/>
      <c r="AJ142" s="159">
        <f>I142+S142+AC142</f>
        <v>323645.04083000001</v>
      </c>
      <c r="AK142" s="47"/>
    </row>
    <row r="143" spans="1:37" ht="21" x14ac:dyDescent="0.4">
      <c r="A143" s="301" t="s">
        <v>52</v>
      </c>
      <c r="B143" s="218" t="str">
        <f t="shared" si="61"/>
        <v>CFSTotal</v>
      </c>
      <c r="C143" s="5" t="s">
        <v>48</v>
      </c>
      <c r="D143" s="10"/>
      <c r="E143" s="116"/>
      <c r="F143" s="116"/>
      <c r="G143" s="116"/>
      <c r="H143" s="49" t="s">
        <v>34</v>
      </c>
      <c r="I143" s="160">
        <f>I141+I142</f>
        <v>592254.83686834481</v>
      </c>
      <c r="J143" s="42"/>
      <c r="K143" s="39"/>
      <c r="L143" s="50"/>
      <c r="M143" s="51"/>
      <c r="N143" s="420">
        <f>I143</f>
        <v>592254.83686834481</v>
      </c>
      <c r="O143" s="425">
        <f>N143/N173</f>
        <v>0.76885000256651703</v>
      </c>
      <c r="P143" s="53"/>
      <c r="Q143" s="37"/>
      <c r="R143" s="185" t="s">
        <v>34</v>
      </c>
      <c r="S143" s="160">
        <f>S141+S142</f>
        <v>57763.956395729285</v>
      </c>
      <c r="T143" s="42"/>
      <c r="U143" s="39"/>
      <c r="V143" s="50"/>
      <c r="W143" s="51"/>
      <c r="X143" s="52">
        <f>S143</f>
        <v>57763.956395729285</v>
      </c>
      <c r="Y143" s="425">
        <f>X143/X173</f>
        <v>0.77342676375002384</v>
      </c>
      <c r="Z143" s="53"/>
      <c r="AA143" s="37"/>
      <c r="AB143" s="185" t="s">
        <v>34</v>
      </c>
      <c r="AC143" s="160">
        <f>AC141+AC142</f>
        <v>1899.9475659259556</v>
      </c>
      <c r="AD143" s="42"/>
      <c r="AE143" s="39"/>
      <c r="AF143" s="50"/>
      <c r="AG143" s="51"/>
      <c r="AH143" s="420">
        <f>AC143</f>
        <v>1899.9475659259556</v>
      </c>
      <c r="AI143" s="233">
        <f>AH143/AH173</f>
        <v>0.77352201347626925</v>
      </c>
      <c r="AJ143" s="160">
        <f>I143+S143+AC143</f>
        <v>651918.74083000014</v>
      </c>
      <c r="AK143" s="420"/>
    </row>
    <row r="144" spans="1:37" ht="21" x14ac:dyDescent="0.4">
      <c r="A144" s="301" t="s">
        <v>52</v>
      </c>
      <c r="B144" s="218" t="str">
        <f t="shared" si="61"/>
        <v>CFS</v>
      </c>
      <c r="C144" s="5" t="s">
        <v>48</v>
      </c>
      <c r="D144" s="10"/>
      <c r="E144" s="116"/>
      <c r="F144" s="116"/>
      <c r="G144" s="116"/>
      <c r="H144" s="54"/>
      <c r="I144" s="166"/>
      <c r="J144" s="69"/>
      <c r="K144" s="69"/>
      <c r="L144" s="69"/>
      <c r="M144" s="70"/>
      <c r="N144" s="58"/>
      <c r="O144" s="426"/>
      <c r="P144" s="59"/>
      <c r="Q144" s="60"/>
      <c r="R144" s="179"/>
      <c r="S144" s="166"/>
      <c r="T144" s="69"/>
      <c r="U144" s="69"/>
      <c r="V144" s="69"/>
      <c r="W144" s="70"/>
      <c r="X144" s="57"/>
      <c r="Y144" s="426"/>
      <c r="Z144" s="59"/>
      <c r="AA144" s="60"/>
      <c r="AB144" s="179"/>
      <c r="AC144" s="166"/>
      <c r="AD144" s="69"/>
      <c r="AE144" s="69"/>
      <c r="AF144" s="69"/>
      <c r="AG144" s="70"/>
      <c r="AH144" s="58"/>
      <c r="AI144" s="231"/>
      <c r="AJ144" s="166"/>
      <c r="AK144" s="58"/>
    </row>
    <row r="145" spans="1:37" ht="21" x14ac:dyDescent="0.4">
      <c r="A145" s="301" t="s">
        <v>52</v>
      </c>
      <c r="B145" s="218" t="str">
        <f t="shared" si="61"/>
        <v>CFSLABOR: SUPERVISORY</v>
      </c>
      <c r="C145" s="124" t="s">
        <v>50</v>
      </c>
      <c r="D145" s="10"/>
      <c r="E145" s="116"/>
      <c r="F145" s="116"/>
      <c r="G145" s="116"/>
      <c r="H145" s="61" t="s">
        <v>35</v>
      </c>
      <c r="I145" s="167"/>
      <c r="J145" s="74"/>
      <c r="K145" s="74"/>
      <c r="L145" s="74"/>
      <c r="M145" s="66"/>
      <c r="N145" s="26"/>
      <c r="O145" s="421"/>
      <c r="P145" s="65"/>
      <c r="Q145" s="37"/>
      <c r="R145" s="186" t="s">
        <v>35</v>
      </c>
      <c r="S145" s="167"/>
      <c r="T145" s="74"/>
      <c r="U145" s="74"/>
      <c r="V145" s="74"/>
      <c r="W145" s="66"/>
      <c r="X145" s="64"/>
      <c r="Y145" s="421"/>
      <c r="Z145" s="65"/>
      <c r="AA145" s="37"/>
      <c r="AB145" s="186" t="s">
        <v>35</v>
      </c>
      <c r="AC145" s="167"/>
      <c r="AD145" s="74"/>
      <c r="AE145" s="74"/>
      <c r="AF145" s="74"/>
      <c r="AG145" s="66"/>
      <c r="AH145" s="26"/>
      <c r="AI145" s="234"/>
      <c r="AJ145" s="167"/>
      <c r="AK145" s="26"/>
    </row>
    <row r="146" spans="1:37" ht="21" x14ac:dyDescent="0.4">
      <c r="A146" s="301" t="s">
        <v>52</v>
      </c>
      <c r="B146" s="218"/>
      <c r="C146" s="124"/>
      <c r="D146" s="10"/>
      <c r="E146" s="116"/>
      <c r="F146" s="116"/>
      <c r="G146" s="116"/>
      <c r="H146" s="184" t="s">
        <v>352</v>
      </c>
      <c r="I146" s="158">
        <f t="shared" ref="I146" si="68">J146*K146</f>
        <v>2036.3999999999999</v>
      </c>
      <c r="J146" s="42">
        <v>40</v>
      </c>
      <c r="K146" s="39">
        <v>50.91</v>
      </c>
      <c r="L146" s="43"/>
      <c r="M146" s="40" t="str">
        <f>ROUND(J146,0)&amp;" hrs @ "&amp;K146</f>
        <v>40 hrs @ 50.91</v>
      </c>
      <c r="N146" s="26"/>
      <c r="O146" s="421"/>
      <c r="P146" s="65"/>
      <c r="Q146" s="37"/>
      <c r="R146" s="184" t="s">
        <v>352</v>
      </c>
      <c r="S146" s="158">
        <f t="shared" ref="S146" si="69">T146*U146</f>
        <v>0</v>
      </c>
      <c r="T146" s="42">
        <f>1800*((T136/1800)/12)</f>
        <v>0</v>
      </c>
      <c r="U146" s="39">
        <v>50.91</v>
      </c>
      <c r="V146" s="43"/>
      <c r="W146" s="40" t="str">
        <f>ROUND(T146,0)&amp;" hrs @ "&amp;U146</f>
        <v>0 hrs @ 50.91</v>
      </c>
      <c r="X146" s="64"/>
      <c r="Y146" s="421"/>
      <c r="Z146" s="65"/>
      <c r="AA146" s="37"/>
      <c r="AB146" s="184" t="s">
        <v>352</v>
      </c>
      <c r="AC146" s="158">
        <f t="shared" ref="AC146" si="70">AD146*AE146</f>
        <v>0</v>
      </c>
      <c r="AD146" s="42">
        <f>1800*((AD136/1800)/12)</f>
        <v>0</v>
      </c>
      <c r="AE146" s="39">
        <v>50.91</v>
      </c>
      <c r="AF146" s="43"/>
      <c r="AG146" s="40" t="str">
        <f>ROUND(AD146,0)&amp;" hrs @ "&amp;AE146</f>
        <v>0 hrs @ 50.91</v>
      </c>
      <c r="AH146" s="26"/>
      <c r="AI146" s="234"/>
      <c r="AJ146" s="158">
        <f>I146+S146+AC146</f>
        <v>2036.3999999999999</v>
      </c>
      <c r="AK146" s="26"/>
    </row>
    <row r="147" spans="1:37" ht="21" x14ac:dyDescent="0.4">
      <c r="A147" s="301" t="s">
        <v>52</v>
      </c>
      <c r="B147" s="218" t="str">
        <f t="shared" ref="B147:B174" si="71">A147&amp;H147</f>
        <v>CFSUtility Support Supervisor (Grade 20)</v>
      </c>
      <c r="C147" s="5" t="s">
        <v>48</v>
      </c>
      <c r="D147" s="10"/>
      <c r="E147" s="116"/>
      <c r="F147" s="116"/>
      <c r="G147" s="116"/>
      <c r="H147" s="38" t="s">
        <v>350</v>
      </c>
      <c r="I147" s="158">
        <f t="shared" ref="I147" si="72">J147*K147</f>
        <v>44152.105575543523</v>
      </c>
      <c r="J147" s="289">
        <f>(2/3)*(I$6/($I$6+$S$6+$AC$6)*1800)</f>
        <v>1090.1754463097166</v>
      </c>
      <c r="K147" s="259">
        <v>40.5</v>
      </c>
      <c r="L147" s="43"/>
      <c r="M147" s="40" t="str">
        <f>ROUND(J147,0)&amp;" hrs @ "&amp;K147</f>
        <v>1090 hrs @ 40.5</v>
      </c>
      <c r="N147" s="26"/>
      <c r="O147" s="421"/>
      <c r="P147" s="65"/>
      <c r="Q147" s="41"/>
      <c r="R147" s="184" t="s">
        <v>350</v>
      </c>
      <c r="S147" s="158">
        <f t="shared" ref="S147" si="73">T147*U147</f>
        <v>4306.2549133934262</v>
      </c>
      <c r="T147" s="289">
        <f>(2/3)*(S$6/($I$6+$S$6+$AC$6)*1800)</f>
        <v>106.32728181218336</v>
      </c>
      <c r="U147" s="259">
        <v>40.5</v>
      </c>
      <c r="V147" s="43"/>
      <c r="W147" s="40" t="str">
        <f>ROUND(T147,0)&amp;" hrs @ "&amp;U147</f>
        <v>106 hrs @ 40.5</v>
      </c>
      <c r="X147" s="64"/>
      <c r="Y147" s="421"/>
      <c r="Z147" s="65"/>
      <c r="AA147" s="41"/>
      <c r="AB147" s="184" t="s">
        <v>350</v>
      </c>
      <c r="AC147" s="158">
        <f t="shared" ref="AC147" si="74">AD147*AE147</f>
        <v>141.63951106305157</v>
      </c>
      <c r="AD147" s="289">
        <f>(2/3)*(AC$6/($I$6+$S$6+$AC$6)*1800)</f>
        <v>3.4972718781000389</v>
      </c>
      <c r="AE147" s="259">
        <v>40.5</v>
      </c>
      <c r="AF147" s="43"/>
      <c r="AG147" s="40" t="str">
        <f>ROUND(AD147,0)&amp;" hrs @ "&amp;AE147</f>
        <v>3 hrs @ 40.5</v>
      </c>
      <c r="AH147" s="26"/>
      <c r="AI147" s="234"/>
      <c r="AJ147" s="158">
        <f>I147+S147+AC147</f>
        <v>48600</v>
      </c>
      <c r="AK147" s="26"/>
    </row>
    <row r="148" spans="1:37" ht="21" x14ac:dyDescent="0.4">
      <c r="A148" s="301" t="s">
        <v>52</v>
      </c>
      <c r="B148" s="218" t="str">
        <f t="shared" si="71"/>
        <v>CFSBenefits</v>
      </c>
      <c r="C148" s="5" t="s">
        <v>48</v>
      </c>
      <c r="D148" s="10"/>
      <c r="E148" s="116"/>
      <c r="F148" s="116"/>
      <c r="G148" s="116"/>
      <c r="H148" s="38" t="s">
        <v>33</v>
      </c>
      <c r="I148" s="159">
        <f>(I147+I146)*$O$2</f>
        <v>45537.247646928357</v>
      </c>
      <c r="J148" s="42"/>
      <c r="K148" s="39"/>
      <c r="L148" s="156"/>
      <c r="M148" s="45" t="str">
        <f>"@ "&amp;$O$2*100&amp;" %"</f>
        <v>@ 98.59 %</v>
      </c>
      <c r="N148" s="26"/>
      <c r="O148" s="421"/>
      <c r="P148" s="65"/>
      <c r="Q148" s="41"/>
      <c r="R148" s="184" t="s">
        <v>33</v>
      </c>
      <c r="S148" s="159">
        <f>S147*$O$2</f>
        <v>4245.5367191145788</v>
      </c>
      <c r="T148" s="42"/>
      <c r="U148" s="39"/>
      <c r="V148" s="156"/>
      <c r="W148" s="45" t="str">
        <f>"@ "&amp;$O$2*100&amp;" %"</f>
        <v>@ 98.59 %</v>
      </c>
      <c r="X148" s="64"/>
      <c r="Y148" s="421"/>
      <c r="Z148" s="65"/>
      <c r="AA148" s="41"/>
      <c r="AB148" s="184" t="s">
        <v>33</v>
      </c>
      <c r="AC148" s="159">
        <f>AC147*$O$2</f>
        <v>139.64239395706255</v>
      </c>
      <c r="AD148" s="42"/>
      <c r="AE148" s="39"/>
      <c r="AF148" s="156"/>
      <c r="AG148" s="45" t="str">
        <f>"@ "&amp;$O$2*100&amp;" %"</f>
        <v>@ 98.59 %</v>
      </c>
      <c r="AH148" s="26"/>
      <c r="AI148" s="234"/>
      <c r="AJ148" s="159">
        <f>I148+S148+AC148</f>
        <v>49922.426759999995</v>
      </c>
      <c r="AK148" s="26"/>
    </row>
    <row r="149" spans="1:37" ht="21" x14ac:dyDescent="0.4">
      <c r="A149" s="301" t="s">
        <v>52</v>
      </c>
      <c r="B149" s="218" t="str">
        <f t="shared" si="71"/>
        <v>CFSTotal</v>
      </c>
      <c r="C149" s="124" t="s">
        <v>50</v>
      </c>
      <c r="D149" s="10"/>
      <c r="E149" s="116"/>
      <c r="F149" s="116"/>
      <c r="G149" s="116"/>
      <c r="H149" s="49" t="s">
        <v>34</v>
      </c>
      <c r="I149" s="160">
        <f>I148+I147+I146</f>
        <v>91725.753222471874</v>
      </c>
      <c r="J149" s="68"/>
      <c r="K149" s="68"/>
      <c r="L149" s="68"/>
      <c r="M149" s="63"/>
      <c r="N149" s="420">
        <f>I149</f>
        <v>91725.753222471874</v>
      </c>
      <c r="O149" s="425">
        <f>N149/N173</f>
        <v>0.11907601459773334</v>
      </c>
      <c r="P149" s="65"/>
      <c r="Q149" s="41"/>
      <c r="R149" s="185" t="s">
        <v>34</v>
      </c>
      <c r="S149" s="160">
        <f>S148+S147+S146</f>
        <v>8551.7916325080041</v>
      </c>
      <c r="T149" s="68"/>
      <c r="U149" s="68"/>
      <c r="V149" s="68"/>
      <c r="W149" s="63"/>
      <c r="X149" s="52">
        <f>S149</f>
        <v>8551.7916325080041</v>
      </c>
      <c r="Y149" s="425">
        <f>X149/X173</f>
        <v>0.11450366178664678</v>
      </c>
      <c r="Z149" s="65"/>
      <c r="AA149" s="41"/>
      <c r="AB149" s="185" t="s">
        <v>34</v>
      </c>
      <c r="AC149" s="160">
        <f>AC148+AC147+AC146</f>
        <v>281.2819050201141</v>
      </c>
      <c r="AD149" s="68"/>
      <c r="AE149" s="68"/>
      <c r="AF149" s="68"/>
      <c r="AG149" s="63"/>
      <c r="AH149" s="420">
        <f>AC149</f>
        <v>281.2819050201141</v>
      </c>
      <c r="AI149" s="233">
        <f>AH149/AH173</f>
        <v>0.11451776324130347</v>
      </c>
      <c r="AJ149" s="160">
        <f>I149+S149+AC149</f>
        <v>100558.82675999998</v>
      </c>
      <c r="AK149" s="420"/>
    </row>
    <row r="150" spans="1:37" ht="21" x14ac:dyDescent="0.4">
      <c r="A150" s="301" t="s">
        <v>52</v>
      </c>
      <c r="B150" s="218" t="str">
        <f t="shared" si="71"/>
        <v>CFS</v>
      </c>
      <c r="C150" s="5" t="s">
        <v>48</v>
      </c>
      <c r="D150" s="10"/>
      <c r="E150" s="116"/>
      <c r="F150" s="116"/>
      <c r="G150" s="116"/>
      <c r="H150" s="54"/>
      <c r="I150" s="166"/>
      <c r="J150" s="69"/>
      <c r="K150" s="69"/>
      <c r="L150" s="69"/>
      <c r="M150" s="70"/>
      <c r="N150" s="72"/>
      <c r="O150" s="427"/>
      <c r="P150" s="73"/>
      <c r="Q150" s="60"/>
      <c r="R150" s="179"/>
      <c r="S150" s="166"/>
      <c r="T150" s="69"/>
      <c r="U150" s="69"/>
      <c r="V150" s="69"/>
      <c r="W150" s="70"/>
      <c r="X150" s="71"/>
      <c r="Y150" s="427"/>
      <c r="Z150" s="73"/>
      <c r="AA150" s="60"/>
      <c r="AB150" s="179"/>
      <c r="AC150" s="166"/>
      <c r="AD150" s="69"/>
      <c r="AE150" s="69"/>
      <c r="AF150" s="69"/>
      <c r="AG150" s="70"/>
      <c r="AH150" s="72"/>
      <c r="AI150" s="235"/>
      <c r="AJ150" s="166"/>
      <c r="AK150" s="72"/>
    </row>
    <row r="151" spans="1:37" ht="21" x14ac:dyDescent="0.4">
      <c r="A151" s="301" t="s">
        <v>52</v>
      </c>
      <c r="B151" s="218" t="str">
        <f t="shared" si="71"/>
        <v>CFSEQUIPMENT</v>
      </c>
      <c r="C151" s="124" t="s">
        <v>50</v>
      </c>
      <c r="D151" s="10"/>
      <c r="E151" s="116"/>
      <c r="F151" s="116"/>
      <c r="G151" s="116"/>
      <c r="H151" s="61" t="s">
        <v>36</v>
      </c>
      <c r="I151" s="167"/>
      <c r="J151" s="74"/>
      <c r="K151" s="74"/>
      <c r="L151" s="74"/>
      <c r="M151" s="66"/>
      <c r="N151" s="76"/>
      <c r="O151" s="428"/>
      <c r="P151" s="65"/>
      <c r="Q151" s="37"/>
      <c r="R151" s="186" t="s">
        <v>36</v>
      </c>
      <c r="S151" s="167"/>
      <c r="T151" s="74"/>
      <c r="U151" s="74"/>
      <c r="V151" s="74"/>
      <c r="W151" s="66"/>
      <c r="X151" s="75"/>
      <c r="Y151" s="428"/>
      <c r="Z151" s="65"/>
      <c r="AA151" s="37"/>
      <c r="AB151" s="186" t="s">
        <v>36</v>
      </c>
      <c r="AC151" s="167"/>
      <c r="AD151" s="74"/>
      <c r="AE151" s="74"/>
      <c r="AF151" s="74"/>
      <c r="AG151" s="66"/>
      <c r="AH151" s="76"/>
      <c r="AI151" s="237"/>
      <c r="AJ151" s="167"/>
      <c r="AK151" s="76"/>
    </row>
    <row r="152" spans="1:37" ht="21" x14ac:dyDescent="0.4">
      <c r="A152" s="301" t="s">
        <v>52</v>
      </c>
      <c r="B152" s="218" t="str">
        <f t="shared" si="71"/>
        <v>CFS</v>
      </c>
      <c r="C152" s="5" t="s">
        <v>48</v>
      </c>
      <c r="D152" s="10"/>
      <c r="E152" s="116"/>
      <c r="F152" s="116"/>
      <c r="G152" s="116"/>
      <c r="H152" s="184"/>
      <c r="I152" s="163"/>
      <c r="J152" s="42"/>
      <c r="K152" s="653"/>
      <c r="L152" s="39"/>
      <c r="M152" s="40" t="str">
        <f>J152&amp;" @ "&amp;K152&amp;""</f>
        <v xml:space="preserve"> @ </v>
      </c>
      <c r="N152" s="76"/>
      <c r="O152" s="428"/>
      <c r="P152" s="65"/>
      <c r="Q152" s="37"/>
      <c r="R152" s="184"/>
      <c r="S152" s="163"/>
      <c r="T152" s="42"/>
      <c r="U152" s="653"/>
      <c r="V152" s="39"/>
      <c r="W152" s="40" t="str">
        <f>T152&amp;" @ "&amp;U152&amp;""</f>
        <v xml:space="preserve"> @ </v>
      </c>
      <c r="X152" s="75"/>
      <c r="Y152" s="428"/>
      <c r="Z152" s="65"/>
      <c r="AA152" s="37"/>
      <c r="AB152" s="184"/>
      <c r="AC152" s="163">
        <f>AD152*AE152</f>
        <v>0</v>
      </c>
      <c r="AD152" s="42"/>
      <c r="AE152" s="653"/>
      <c r="AF152" s="39"/>
      <c r="AG152" s="40" t="str">
        <f>AD152&amp;" @ "&amp;AE152&amp;""</f>
        <v xml:space="preserve"> @ </v>
      </c>
      <c r="AH152" s="76"/>
      <c r="AI152" s="237"/>
      <c r="AJ152" s="163"/>
      <c r="AK152" s="76"/>
    </row>
    <row r="153" spans="1:37" ht="21" x14ac:dyDescent="0.4">
      <c r="A153" s="301" t="s">
        <v>52</v>
      </c>
      <c r="B153" s="218" t="str">
        <f t="shared" si="71"/>
        <v>CFS</v>
      </c>
      <c r="C153" s="5" t="s">
        <v>48</v>
      </c>
      <c r="D153" s="10"/>
      <c r="E153" s="116"/>
      <c r="F153" s="116"/>
      <c r="G153" s="116"/>
      <c r="H153" s="38"/>
      <c r="I153" s="163"/>
      <c r="J153" s="42"/>
      <c r="K153" s="653"/>
      <c r="L153" s="39"/>
      <c r="M153" s="40" t="str">
        <f>J153&amp;" @ "&amp;K153&amp;""</f>
        <v xml:space="preserve"> @ </v>
      </c>
      <c r="N153" s="79"/>
      <c r="O153" s="422"/>
      <c r="P153" s="80"/>
      <c r="Q153" s="81"/>
      <c r="R153" s="38"/>
      <c r="S153" s="163"/>
      <c r="T153" s="42"/>
      <c r="U153" s="653"/>
      <c r="V153" s="39"/>
      <c r="W153" s="40" t="str">
        <f>T153&amp;" @ "&amp;U153&amp;""</f>
        <v xml:space="preserve"> @ </v>
      </c>
      <c r="X153" s="78"/>
      <c r="Y153" s="422"/>
      <c r="Z153" s="80"/>
      <c r="AA153" s="81"/>
      <c r="AB153" s="38"/>
      <c r="AC153" s="163">
        <f>AD153*AE153</f>
        <v>0</v>
      </c>
      <c r="AD153" s="42"/>
      <c r="AE153" s="653"/>
      <c r="AF153" s="39"/>
      <c r="AG153" s="40" t="str">
        <f>AD153&amp;" @ "&amp;AE153&amp;""</f>
        <v xml:space="preserve"> @ </v>
      </c>
      <c r="AH153" s="79"/>
      <c r="AI153" s="238"/>
      <c r="AJ153" s="163"/>
      <c r="AK153" s="79"/>
    </row>
    <row r="154" spans="1:37" ht="21" x14ac:dyDescent="0.4">
      <c r="A154" s="301" t="s">
        <v>52</v>
      </c>
      <c r="B154" s="218" t="str">
        <f t="shared" si="71"/>
        <v>CFS</v>
      </c>
      <c r="C154" s="5" t="s">
        <v>48</v>
      </c>
      <c r="D154" s="10"/>
      <c r="E154" s="116"/>
      <c r="F154" s="116"/>
      <c r="G154" s="116"/>
      <c r="H154" s="77"/>
      <c r="I154" s="168"/>
      <c r="J154" s="42"/>
      <c r="K154" s="39"/>
      <c r="L154" s="42"/>
      <c r="M154" s="40" t="str">
        <f t="shared" ref="M154:M155" si="75">J154&amp;" hrs @ "&amp;K154</f>
        <v xml:space="preserve"> hrs @ </v>
      </c>
      <c r="N154" s="79"/>
      <c r="O154" s="422"/>
      <c r="P154" s="80"/>
      <c r="Q154" s="81"/>
      <c r="R154" s="187"/>
      <c r="S154" s="168"/>
      <c r="T154" s="42"/>
      <c r="U154" s="39"/>
      <c r="V154" s="42"/>
      <c r="W154" s="40" t="str">
        <f t="shared" ref="W154:W155" si="76">T154&amp;" hrs @ "&amp;U154</f>
        <v xml:space="preserve"> hrs @ </v>
      </c>
      <c r="X154" s="78"/>
      <c r="Y154" s="422"/>
      <c r="Z154" s="80"/>
      <c r="AA154" s="81"/>
      <c r="AB154" s="187"/>
      <c r="AC154" s="168"/>
      <c r="AD154" s="42"/>
      <c r="AE154" s="39"/>
      <c r="AF154" s="42"/>
      <c r="AG154" s="40" t="str">
        <f t="shared" ref="AG154:AG155" si="77">AD154&amp;" hrs @ "&amp;AE154</f>
        <v xml:space="preserve"> hrs @ </v>
      </c>
      <c r="AH154" s="79"/>
      <c r="AI154" s="238"/>
      <c r="AJ154" s="168"/>
      <c r="AK154" s="79"/>
    </row>
    <row r="155" spans="1:37" ht="21" x14ac:dyDescent="0.4">
      <c r="A155" s="301" t="s">
        <v>52</v>
      </c>
      <c r="B155" s="218" t="str">
        <f t="shared" si="71"/>
        <v>CFS</v>
      </c>
      <c r="C155" s="5" t="s">
        <v>48</v>
      </c>
      <c r="D155" s="10"/>
      <c r="E155" s="116"/>
      <c r="F155" s="116"/>
      <c r="G155" s="116"/>
      <c r="H155" s="77"/>
      <c r="I155" s="164"/>
      <c r="J155" s="42"/>
      <c r="K155" s="39"/>
      <c r="L155" s="43"/>
      <c r="M155" s="40" t="str">
        <f t="shared" si="75"/>
        <v xml:space="preserve"> hrs @ </v>
      </c>
      <c r="N155" s="79"/>
      <c r="O155" s="422"/>
      <c r="P155" s="80"/>
      <c r="Q155" s="81"/>
      <c r="R155" s="187"/>
      <c r="S155" s="164">
        <f>12*X$2</f>
        <v>0</v>
      </c>
      <c r="T155" s="42"/>
      <c r="U155" s="39"/>
      <c r="V155" s="43"/>
      <c r="W155" s="40" t="str">
        <f t="shared" si="76"/>
        <v xml:space="preserve"> hrs @ </v>
      </c>
      <c r="X155" s="78"/>
      <c r="Y155" s="422"/>
      <c r="Z155" s="80"/>
      <c r="AA155" s="81"/>
      <c r="AB155" s="187"/>
      <c r="AC155" s="164">
        <f>12*AH$2</f>
        <v>0</v>
      </c>
      <c r="AD155" s="42"/>
      <c r="AE155" s="39"/>
      <c r="AF155" s="43"/>
      <c r="AG155" s="40" t="str">
        <f t="shared" si="77"/>
        <v xml:space="preserve"> hrs @ </v>
      </c>
      <c r="AH155" s="79"/>
      <c r="AI155" s="238"/>
      <c r="AJ155" s="164"/>
      <c r="AK155" s="79"/>
    </row>
    <row r="156" spans="1:37" ht="21" x14ac:dyDescent="0.4">
      <c r="A156" s="301" t="s">
        <v>52</v>
      </c>
      <c r="B156" s="218" t="str">
        <f t="shared" si="71"/>
        <v>CFSTotal Equipment</v>
      </c>
      <c r="C156" s="124" t="s">
        <v>50</v>
      </c>
      <c r="D156" s="10"/>
      <c r="E156" s="116">
        <f>I156</f>
        <v>0</v>
      </c>
      <c r="F156" s="116">
        <f>S156</f>
        <v>0</v>
      </c>
      <c r="G156" s="116">
        <f>AC156</f>
        <v>0</v>
      </c>
      <c r="H156" s="83" t="s">
        <v>37</v>
      </c>
      <c r="I156" s="654">
        <f>SUM(I152:I155)</f>
        <v>0</v>
      </c>
      <c r="J156" s="68"/>
      <c r="K156" s="68"/>
      <c r="L156" s="68"/>
      <c r="M156" s="66"/>
      <c r="N156" s="420">
        <f>I156</f>
        <v>0</v>
      </c>
      <c r="O156" s="425">
        <f>N156/N173</f>
        <v>0</v>
      </c>
      <c r="P156" s="80"/>
      <c r="Q156" s="81"/>
      <c r="R156" s="188" t="s">
        <v>37</v>
      </c>
      <c r="S156" s="165">
        <f>SUM(S152:S155)</f>
        <v>0</v>
      </c>
      <c r="T156" s="68"/>
      <c r="U156" s="68"/>
      <c r="V156" s="68"/>
      <c r="W156" s="66"/>
      <c r="X156" s="52">
        <f>S156</f>
        <v>0</v>
      </c>
      <c r="Y156" s="425">
        <f>X156/X173</f>
        <v>0</v>
      </c>
      <c r="Z156" s="80"/>
      <c r="AA156" s="81"/>
      <c r="AB156" s="188" t="s">
        <v>37</v>
      </c>
      <c r="AC156" s="165">
        <f>SUM(AC152:AC155)</f>
        <v>0</v>
      </c>
      <c r="AD156" s="68"/>
      <c r="AE156" s="68"/>
      <c r="AF156" s="68"/>
      <c r="AG156" s="66"/>
      <c r="AH156" s="420">
        <f>AC156</f>
        <v>0</v>
      </c>
      <c r="AI156" s="233">
        <f>AH156/AH173</f>
        <v>0</v>
      </c>
      <c r="AJ156" s="165">
        <f>I156+S156+AC156</f>
        <v>0</v>
      </c>
      <c r="AK156" s="420"/>
    </row>
    <row r="157" spans="1:37" ht="21" x14ac:dyDescent="0.4">
      <c r="A157" s="301" t="s">
        <v>52</v>
      </c>
      <c r="B157" s="218" t="str">
        <f t="shared" si="71"/>
        <v>CFS</v>
      </c>
      <c r="C157" s="5" t="s">
        <v>48</v>
      </c>
      <c r="D157" s="10"/>
      <c r="E157" s="116"/>
      <c r="F157" s="116"/>
      <c r="G157" s="116"/>
      <c r="H157" s="84"/>
      <c r="I157" s="166"/>
      <c r="J157" s="69"/>
      <c r="K157" s="69"/>
      <c r="L157" s="69"/>
      <c r="M157" s="70"/>
      <c r="N157" s="88"/>
      <c r="O157" s="429"/>
      <c r="P157" s="89"/>
      <c r="Q157" s="60"/>
      <c r="R157" s="189"/>
      <c r="S157" s="166"/>
      <c r="T157" s="69"/>
      <c r="U157" s="69"/>
      <c r="V157" s="69"/>
      <c r="W157" s="70"/>
      <c r="X157" s="87"/>
      <c r="Y157" s="429"/>
      <c r="Z157" s="89"/>
      <c r="AA157" s="60"/>
      <c r="AB157" s="189"/>
      <c r="AC157" s="166"/>
      <c r="AD157" s="69"/>
      <c r="AE157" s="69"/>
      <c r="AF157" s="69"/>
      <c r="AG157" s="70"/>
      <c r="AH157" s="88"/>
      <c r="AI157" s="241"/>
      <c r="AJ157" s="166"/>
      <c r="AK157" s="88"/>
    </row>
    <row r="158" spans="1:37" ht="21" x14ac:dyDescent="0.4">
      <c r="A158" s="301" t="s">
        <v>52</v>
      </c>
      <c r="B158" s="218" t="str">
        <f t="shared" si="71"/>
        <v>CFSIS SUPPORT</v>
      </c>
      <c r="C158" s="124" t="s">
        <v>50</v>
      </c>
      <c r="D158" s="10"/>
      <c r="E158" s="116"/>
      <c r="F158" s="116"/>
      <c r="G158" s="116"/>
      <c r="H158" s="61" t="s">
        <v>38</v>
      </c>
      <c r="I158" s="167"/>
      <c r="J158" s="74"/>
      <c r="K158" s="74"/>
      <c r="L158" s="74"/>
      <c r="M158" s="66"/>
      <c r="N158" s="91"/>
      <c r="O158" s="430"/>
      <c r="P158" s="92"/>
      <c r="Q158" s="37"/>
      <c r="R158" s="186" t="s">
        <v>38</v>
      </c>
      <c r="S158" s="167"/>
      <c r="T158" s="74"/>
      <c r="U158" s="74"/>
      <c r="V158" s="74"/>
      <c r="W158" s="66"/>
      <c r="X158" s="90"/>
      <c r="Y158" s="430"/>
      <c r="Z158" s="92"/>
      <c r="AA158" s="37"/>
      <c r="AB158" s="186" t="s">
        <v>38</v>
      </c>
      <c r="AC158" s="167"/>
      <c r="AD158" s="74"/>
      <c r="AE158" s="74"/>
      <c r="AF158" s="74"/>
      <c r="AG158" s="66"/>
      <c r="AH158" s="91"/>
      <c r="AI158" s="227"/>
      <c r="AJ158" s="167"/>
      <c r="AK158" s="91"/>
    </row>
    <row r="159" spans="1:37" ht="21" x14ac:dyDescent="0.4">
      <c r="A159" s="301" t="s">
        <v>52</v>
      </c>
      <c r="B159" s="218" t="str">
        <f t="shared" si="71"/>
        <v>CFS</v>
      </c>
      <c r="C159" s="5" t="s">
        <v>48</v>
      </c>
      <c r="D159" s="10"/>
      <c r="E159" s="116"/>
      <c r="F159" s="116"/>
      <c r="G159" s="116"/>
      <c r="H159" s="38"/>
      <c r="I159" s="162"/>
      <c r="J159" s="42"/>
      <c r="K159" s="39"/>
      <c r="L159" s="39"/>
      <c r="M159" s="40" t="str">
        <f>J159&amp;" hrs @ "&amp;K159</f>
        <v xml:space="preserve"> hrs @ </v>
      </c>
      <c r="N159" s="94"/>
      <c r="O159" s="423"/>
      <c r="P159" s="92"/>
      <c r="Q159" s="37"/>
      <c r="R159" s="184"/>
      <c r="S159" s="162">
        <f>T159*U159</f>
        <v>0</v>
      </c>
      <c r="T159" s="42"/>
      <c r="U159" s="39"/>
      <c r="V159" s="39"/>
      <c r="W159" s="40" t="str">
        <f>T159&amp;" hrs @ "&amp;U159</f>
        <v xml:space="preserve"> hrs @ </v>
      </c>
      <c r="X159" s="93"/>
      <c r="Y159" s="423"/>
      <c r="Z159" s="92"/>
      <c r="AA159" s="37"/>
      <c r="AB159" s="184"/>
      <c r="AC159" s="162">
        <f>AD159*AE159</f>
        <v>0</v>
      </c>
      <c r="AD159" s="42"/>
      <c r="AE159" s="39"/>
      <c r="AF159" s="39"/>
      <c r="AG159" s="40" t="str">
        <f>AD159&amp;" hrs @ "&amp;AE159</f>
        <v xml:space="preserve"> hrs @ </v>
      </c>
      <c r="AH159" s="94"/>
      <c r="AI159" s="242"/>
      <c r="AJ159" s="162"/>
      <c r="AK159" s="94"/>
    </row>
    <row r="160" spans="1:37" ht="21" x14ac:dyDescent="0.4">
      <c r="A160" s="301" t="s">
        <v>52</v>
      </c>
      <c r="B160" s="218" t="str">
        <f t="shared" si="71"/>
        <v>CFSAnalyst Benefits</v>
      </c>
      <c r="C160" s="5" t="s">
        <v>48</v>
      </c>
      <c r="D160" s="10"/>
      <c r="E160" s="116"/>
      <c r="F160" s="116"/>
      <c r="G160" s="116"/>
      <c r="H160" s="38" t="s">
        <v>40</v>
      </c>
      <c r="I160" s="159">
        <f>I159*$O$2</f>
        <v>0</v>
      </c>
      <c r="J160" s="42"/>
      <c r="K160" s="39"/>
      <c r="L160" s="156"/>
      <c r="M160" s="45" t="str">
        <f>"@ "&amp;$O$2*100&amp;" %"</f>
        <v>@ 98.59 %</v>
      </c>
      <c r="N160" s="94"/>
      <c r="O160" s="423"/>
      <c r="P160" s="92"/>
      <c r="Q160" s="37"/>
      <c r="R160" s="184"/>
      <c r="S160" s="159">
        <f>S159*$O$2</f>
        <v>0</v>
      </c>
      <c r="T160" s="42"/>
      <c r="U160" s="39"/>
      <c r="V160" s="156"/>
      <c r="W160" s="45" t="str">
        <f>"@ "&amp;$O$2*100&amp;" %"</f>
        <v>@ 98.59 %</v>
      </c>
      <c r="X160" s="93"/>
      <c r="Y160" s="423"/>
      <c r="Z160" s="92"/>
      <c r="AA160" s="37"/>
      <c r="AB160" s="184"/>
      <c r="AC160" s="159">
        <f>AC159*$O$2</f>
        <v>0</v>
      </c>
      <c r="AD160" s="42"/>
      <c r="AE160" s="39"/>
      <c r="AF160" s="156"/>
      <c r="AG160" s="45" t="str">
        <f>"@ "&amp;$O$2*100&amp;" %"</f>
        <v>@ 98.59 %</v>
      </c>
      <c r="AH160" s="94"/>
      <c r="AI160" s="242"/>
      <c r="AJ160" s="159"/>
      <c r="AK160" s="94"/>
    </row>
    <row r="161" spans="1:37" ht="21" x14ac:dyDescent="0.4">
      <c r="A161" s="301" t="s">
        <v>52</v>
      </c>
      <c r="B161" s="218" t="str">
        <f t="shared" si="71"/>
        <v>CFSTotal IS</v>
      </c>
      <c r="C161" s="124" t="s">
        <v>50</v>
      </c>
      <c r="D161" s="10"/>
      <c r="E161" s="116"/>
      <c r="F161" s="116"/>
      <c r="G161" s="116"/>
      <c r="H161" s="49" t="s">
        <v>41</v>
      </c>
      <c r="I161" s="165">
        <f>I159+I160</f>
        <v>0</v>
      </c>
      <c r="J161" s="68"/>
      <c r="K161" s="68"/>
      <c r="L161" s="68"/>
      <c r="M161" s="66"/>
      <c r="N161" s="420">
        <f>I161</f>
        <v>0</v>
      </c>
      <c r="O161" s="425">
        <f>N161/N173</f>
        <v>0</v>
      </c>
      <c r="P161" s="92"/>
      <c r="Q161" s="37"/>
      <c r="R161" s="185" t="s">
        <v>41</v>
      </c>
      <c r="S161" s="165">
        <f>S159+S160</f>
        <v>0</v>
      </c>
      <c r="T161" s="68"/>
      <c r="U161" s="68"/>
      <c r="V161" s="68"/>
      <c r="W161" s="66"/>
      <c r="X161" s="52">
        <f>S161</f>
        <v>0</v>
      </c>
      <c r="Y161" s="425">
        <f>X161/X173</f>
        <v>0</v>
      </c>
      <c r="Z161" s="92"/>
      <c r="AA161" s="37"/>
      <c r="AB161" s="185" t="s">
        <v>41</v>
      </c>
      <c r="AC161" s="165">
        <f>AC159+AC160</f>
        <v>0</v>
      </c>
      <c r="AD161" s="68"/>
      <c r="AE161" s="68"/>
      <c r="AF161" s="68"/>
      <c r="AG161" s="66"/>
      <c r="AH161" s="420">
        <f>AC161</f>
        <v>0</v>
      </c>
      <c r="AI161" s="233">
        <f>AH161/AH173</f>
        <v>0</v>
      </c>
      <c r="AJ161" s="165">
        <f>I161+S161+AC161</f>
        <v>0</v>
      </c>
      <c r="AK161" s="420"/>
    </row>
    <row r="162" spans="1:37" ht="21" x14ac:dyDescent="0.4">
      <c r="A162" s="301" t="s">
        <v>52</v>
      </c>
      <c r="B162" s="218" t="str">
        <f t="shared" si="71"/>
        <v>CFS</v>
      </c>
      <c r="C162" s="5" t="s">
        <v>48</v>
      </c>
      <c r="D162" s="10"/>
      <c r="E162" s="116"/>
      <c r="F162" s="116"/>
      <c r="G162" s="116"/>
      <c r="H162" s="54"/>
      <c r="I162" s="166"/>
      <c r="J162" s="69"/>
      <c r="K162" s="69"/>
      <c r="L162" s="69"/>
      <c r="M162" s="70"/>
      <c r="N162" s="98"/>
      <c r="O162" s="431"/>
      <c r="P162" s="99"/>
      <c r="Q162" s="60"/>
      <c r="R162" s="179"/>
      <c r="S162" s="166"/>
      <c r="T162" s="69"/>
      <c r="U162" s="69"/>
      <c r="V162" s="69"/>
      <c r="W162" s="70"/>
      <c r="X162" s="97"/>
      <c r="Y162" s="431"/>
      <c r="Z162" s="99"/>
      <c r="AA162" s="60"/>
      <c r="AB162" s="179"/>
      <c r="AC162" s="166"/>
      <c r="AD162" s="69"/>
      <c r="AE162" s="69"/>
      <c r="AF162" s="69"/>
      <c r="AG162" s="70"/>
      <c r="AH162" s="98"/>
      <c r="AI162" s="243"/>
      <c r="AJ162" s="166"/>
      <c r="AK162" s="98"/>
    </row>
    <row r="163" spans="1:37" ht="21" x14ac:dyDescent="0.4">
      <c r="A163" s="301" t="s">
        <v>52</v>
      </c>
      <c r="B163" s="218" t="str">
        <f t="shared" si="71"/>
        <v>CFSOTHER</v>
      </c>
      <c r="C163" s="124" t="s">
        <v>50</v>
      </c>
      <c r="D163" s="10"/>
      <c r="E163" s="116"/>
      <c r="F163" s="116"/>
      <c r="G163" s="116"/>
      <c r="H163" s="61" t="s">
        <v>42</v>
      </c>
      <c r="I163" s="167"/>
      <c r="J163" s="74"/>
      <c r="K163" s="74"/>
      <c r="L163" s="74"/>
      <c r="M163" s="66"/>
      <c r="N163" s="91"/>
      <c r="O163" s="453"/>
      <c r="P163" s="92"/>
      <c r="Q163" s="37"/>
      <c r="R163" s="186" t="s">
        <v>42</v>
      </c>
      <c r="S163" s="167"/>
      <c r="T163" s="74"/>
      <c r="U163" s="74"/>
      <c r="V163" s="74"/>
      <c r="W163" s="66"/>
      <c r="X163" s="90"/>
      <c r="Y163" s="226"/>
      <c r="Z163" s="92"/>
      <c r="AA163" s="37"/>
      <c r="AB163" s="186" t="s">
        <v>42</v>
      </c>
      <c r="AC163" s="167"/>
      <c r="AD163" s="74"/>
      <c r="AE163" s="74"/>
      <c r="AF163" s="74"/>
      <c r="AG163" s="66"/>
      <c r="AH163" s="91"/>
      <c r="AI163" s="227"/>
      <c r="AJ163" s="167"/>
      <c r="AK163" s="91"/>
    </row>
    <row r="164" spans="1:37" ht="21" x14ac:dyDescent="0.4">
      <c r="A164" s="301" t="s">
        <v>52</v>
      </c>
      <c r="B164" s="218" t="str">
        <f t="shared" si="71"/>
        <v xml:space="preserve">CFSNon-Payroll </v>
      </c>
      <c r="C164" s="5" t="s">
        <v>48</v>
      </c>
      <c r="D164" s="10"/>
      <c r="E164" s="116"/>
      <c r="F164" s="116"/>
      <c r="G164" s="116"/>
      <c r="H164" s="38" t="s">
        <v>337</v>
      </c>
      <c r="I164" s="163">
        <f>ROUND(((I143+I149+I161)/VLOOKUP("CUST FIELD SERVICESPayroll",'Base 2015 actual for Cost Cente'!$A:$F,6,FALSE))*VLOOKUP("CUST FIELD SERVICESNon-Payroll",'Base 2015 actual for Cost Cente'!$A:$F,6,FALSE),0)</f>
        <v>86332</v>
      </c>
      <c r="J164" s="74"/>
      <c r="K164" s="74"/>
      <c r="L164" s="74"/>
      <c r="M164" s="734" t="s">
        <v>372</v>
      </c>
      <c r="N164" s="91"/>
      <c r="O164" s="454"/>
      <c r="P164" s="92"/>
      <c r="Q164" s="37"/>
      <c r="R164" s="184" t="s">
        <v>337</v>
      </c>
      <c r="S164" s="163">
        <f>ROUND(((S143+S149+S161)/VLOOKUP("CUST FIELD SERVICESPayroll",'Base 2015 actual for Cost Cente'!$A:$F,6,FALSE))*VLOOKUP("CUST FIELD SERVICESNon-Payroll",'Base 2015 actual for Cost Cente'!$A:$F,6,FALSE),0)</f>
        <v>8370</v>
      </c>
      <c r="T164" s="74"/>
      <c r="U164" s="74"/>
      <c r="V164" s="74"/>
      <c r="W164" s="734" t="s">
        <v>372</v>
      </c>
      <c r="X164" s="90"/>
      <c r="Y164" s="227"/>
      <c r="Z164" s="92"/>
      <c r="AA164" s="37"/>
      <c r="AB164" s="184" t="s">
        <v>337</v>
      </c>
      <c r="AC164" s="163">
        <f>ROUND(((AC143+AC149+AC161)/VLOOKUP("CUST FIELD SERVICESPayroll",'Base 2015 actual for Cost Cente'!$A:$F,6,FALSE))*VLOOKUP("CUST FIELD SERVICESNon-Payroll",'Base 2015 actual for Cost Cente'!$A:$F,6,FALSE),0)</f>
        <v>275</v>
      </c>
      <c r="AD164" s="74"/>
      <c r="AE164" s="74"/>
      <c r="AF164" s="74"/>
      <c r="AG164" s="734" t="s">
        <v>372</v>
      </c>
      <c r="AH164" s="91"/>
      <c r="AI164" s="227"/>
      <c r="AJ164" s="163">
        <f>I164+S164+AC164</f>
        <v>94977</v>
      </c>
      <c r="AK164" s="91"/>
    </row>
    <row r="165" spans="1:37" ht="21" x14ac:dyDescent="0.4">
      <c r="A165" s="301" t="s">
        <v>52</v>
      </c>
      <c r="B165" s="218" t="str">
        <f t="shared" si="71"/>
        <v>CFS</v>
      </c>
      <c r="C165" s="5" t="s">
        <v>48</v>
      </c>
      <c r="D165" s="10"/>
      <c r="E165" s="116"/>
      <c r="F165" s="116"/>
      <c r="G165" s="116"/>
      <c r="H165" s="38"/>
      <c r="I165" s="168"/>
      <c r="J165" s="42"/>
      <c r="K165" s="39"/>
      <c r="L165" s="42"/>
      <c r="M165" s="735"/>
      <c r="N165" s="91"/>
      <c r="O165" s="454"/>
      <c r="P165" s="92"/>
      <c r="Q165" s="37"/>
      <c r="R165" s="184"/>
      <c r="S165" s="168"/>
      <c r="T165" s="42"/>
      <c r="U165" s="39"/>
      <c r="V165" s="42"/>
      <c r="W165" s="735"/>
      <c r="X165" s="90"/>
      <c r="Y165" s="227"/>
      <c r="Z165" s="92"/>
      <c r="AA165" s="37"/>
      <c r="AB165" s="184"/>
      <c r="AC165" s="168"/>
      <c r="AD165" s="42"/>
      <c r="AE165" s="39"/>
      <c r="AF165" s="42"/>
      <c r="AG165" s="735"/>
      <c r="AH165" s="91"/>
      <c r="AI165" s="227"/>
      <c r="AJ165" s="168"/>
      <c r="AK165" s="91"/>
    </row>
    <row r="166" spans="1:37" ht="21" x14ac:dyDescent="0.4">
      <c r="A166" s="301" t="s">
        <v>52</v>
      </c>
      <c r="B166" s="218" t="str">
        <f t="shared" si="71"/>
        <v>CFS</v>
      </c>
      <c r="C166" s="5" t="s">
        <v>48</v>
      </c>
      <c r="D166" s="10"/>
      <c r="E166" s="116"/>
      <c r="F166" s="116"/>
      <c r="G166" s="116"/>
      <c r="H166" s="38"/>
      <c r="I166" s="168"/>
      <c r="J166" s="42"/>
      <c r="K166" s="39"/>
      <c r="L166" s="42"/>
      <c r="M166" s="66" t="s">
        <v>574</v>
      </c>
      <c r="N166" s="91"/>
      <c r="O166" s="454"/>
      <c r="P166" s="92"/>
      <c r="Q166" s="37"/>
      <c r="R166" s="184"/>
      <c r="S166" s="168"/>
      <c r="T166" s="42"/>
      <c r="U166" s="39"/>
      <c r="V166" s="42"/>
      <c r="W166" s="66" t="s">
        <v>574</v>
      </c>
      <c r="X166" s="90"/>
      <c r="Y166" s="227"/>
      <c r="Z166" s="92"/>
      <c r="AA166" s="37"/>
      <c r="AB166" s="184"/>
      <c r="AC166" s="168"/>
      <c r="AD166" s="42"/>
      <c r="AE166" s="39"/>
      <c r="AF166" s="42"/>
      <c r="AG166" s="66" t="s">
        <v>574</v>
      </c>
      <c r="AH166" s="91"/>
      <c r="AI166" s="227"/>
      <c r="AJ166" s="168"/>
      <c r="AK166" s="91"/>
    </row>
    <row r="167" spans="1:37" ht="21" x14ac:dyDescent="0.4">
      <c r="A167" s="301" t="s">
        <v>52</v>
      </c>
      <c r="B167" s="218" t="str">
        <f t="shared" si="71"/>
        <v>CFS</v>
      </c>
      <c r="C167" s="5" t="s">
        <v>48</v>
      </c>
      <c r="D167" s="10"/>
      <c r="E167" s="116"/>
      <c r="F167" s="116"/>
      <c r="G167" s="116"/>
      <c r="H167" s="38"/>
      <c r="I167" s="168"/>
      <c r="J167" s="42"/>
      <c r="K167" s="39"/>
      <c r="L167" s="42"/>
      <c r="M167" s="66"/>
      <c r="N167" s="91"/>
      <c r="O167" s="454"/>
      <c r="P167" s="92"/>
      <c r="Q167" s="37"/>
      <c r="R167" s="184"/>
      <c r="S167" s="168"/>
      <c r="T167" s="42"/>
      <c r="U167" s="39"/>
      <c r="V167" s="42"/>
      <c r="W167" s="66"/>
      <c r="X167" s="90"/>
      <c r="Y167" s="227"/>
      <c r="Z167" s="92"/>
      <c r="AA167" s="37"/>
      <c r="AB167" s="184"/>
      <c r="AC167" s="168"/>
      <c r="AD167" s="42"/>
      <c r="AE167" s="39"/>
      <c r="AF167" s="42"/>
      <c r="AG167" s="66"/>
      <c r="AH167" s="91"/>
      <c r="AI167" s="227"/>
      <c r="AJ167" s="168"/>
      <c r="AK167" s="91"/>
    </row>
    <row r="168" spans="1:37" ht="21" x14ac:dyDescent="0.4">
      <c r="A168" s="301" t="s">
        <v>52</v>
      </c>
      <c r="B168" s="218" t="str">
        <f t="shared" si="71"/>
        <v>CFS</v>
      </c>
      <c r="C168" s="5" t="s">
        <v>48</v>
      </c>
      <c r="D168" s="10"/>
      <c r="E168" s="116"/>
      <c r="F168" s="116"/>
      <c r="G168" s="116"/>
      <c r="H168" s="38"/>
      <c r="I168" s="168"/>
      <c r="J168" s="42"/>
      <c r="K168" s="39"/>
      <c r="L168" s="42"/>
      <c r="M168" s="66"/>
      <c r="N168" s="91"/>
      <c r="O168" s="454"/>
      <c r="P168" s="92"/>
      <c r="Q168" s="37"/>
      <c r="R168" s="184"/>
      <c r="S168" s="168"/>
      <c r="T168" s="42"/>
      <c r="U168" s="39"/>
      <c r="V168" s="42"/>
      <c r="W168" s="66"/>
      <c r="X168" s="90"/>
      <c r="Y168" s="227"/>
      <c r="Z168" s="92"/>
      <c r="AA168" s="37"/>
      <c r="AB168" s="184"/>
      <c r="AC168" s="168"/>
      <c r="AD168" s="42"/>
      <c r="AE168" s="39"/>
      <c r="AF168" s="42"/>
      <c r="AG168" s="66"/>
      <c r="AH168" s="91"/>
      <c r="AI168" s="227"/>
      <c r="AJ168" s="168"/>
      <c r="AK168" s="91"/>
    </row>
    <row r="169" spans="1:37" ht="21" x14ac:dyDescent="0.4">
      <c r="A169" s="301" t="s">
        <v>52</v>
      </c>
      <c r="B169" s="218" t="str">
        <f t="shared" si="71"/>
        <v>CFS</v>
      </c>
      <c r="C169" s="5" t="s">
        <v>48</v>
      </c>
      <c r="D169" s="10"/>
      <c r="E169" s="116"/>
      <c r="F169" s="116"/>
      <c r="G169" s="116"/>
      <c r="H169" s="38"/>
      <c r="I169" s="164"/>
      <c r="J169" s="67"/>
      <c r="K169" s="67"/>
      <c r="L169" s="67"/>
      <c r="M169" s="40" t="str">
        <f>J169&amp;" days @ "&amp;K169</f>
        <v xml:space="preserve"> days @ </v>
      </c>
      <c r="N169" s="94"/>
      <c r="O169" s="455"/>
      <c r="P169" s="92"/>
      <c r="Q169" s="37"/>
      <c r="R169" s="184"/>
      <c r="S169" s="164"/>
      <c r="T169" s="67"/>
      <c r="U169" s="67"/>
      <c r="V169" s="67"/>
      <c r="W169" s="40" t="str">
        <f>T169&amp;" days @ "&amp;U169</f>
        <v xml:space="preserve"> days @ </v>
      </c>
      <c r="X169" s="93"/>
      <c r="Y169" s="242"/>
      <c r="Z169" s="92"/>
      <c r="AA169" s="37"/>
      <c r="AB169" s="184"/>
      <c r="AC169" s="164"/>
      <c r="AD169" s="67"/>
      <c r="AE169" s="67"/>
      <c r="AF169" s="67"/>
      <c r="AG169" s="40" t="str">
        <f>AD169&amp;" days @ "&amp;AE169</f>
        <v xml:space="preserve"> days @ </v>
      </c>
      <c r="AH169" s="94"/>
      <c r="AI169" s="242"/>
      <c r="AJ169" s="164"/>
      <c r="AK169" s="94"/>
    </row>
    <row r="170" spans="1:37" ht="21" x14ac:dyDescent="0.4">
      <c r="A170" s="301" t="s">
        <v>52</v>
      </c>
      <c r="B170" s="218" t="str">
        <f t="shared" si="71"/>
        <v>CFSTotal Other</v>
      </c>
      <c r="C170" s="124" t="s">
        <v>50</v>
      </c>
      <c r="D170" s="10"/>
      <c r="E170" s="116">
        <f>I170</f>
        <v>86332</v>
      </c>
      <c r="F170" s="116">
        <f>S170</f>
        <v>8370</v>
      </c>
      <c r="G170" s="116">
        <f>AC170</f>
        <v>275</v>
      </c>
      <c r="H170" s="49" t="s">
        <v>45</v>
      </c>
      <c r="I170" s="165">
        <f>SUM(I164:I169)</f>
        <v>86332</v>
      </c>
      <c r="J170" s="68"/>
      <c r="K170" s="68"/>
      <c r="L170" s="68"/>
      <c r="M170" s="66"/>
      <c r="N170" s="414">
        <f>I170</f>
        <v>86332</v>
      </c>
      <c r="O170" s="425">
        <f>N170/N173</f>
        <v>0.11207398283574958</v>
      </c>
      <c r="P170" s="92"/>
      <c r="Q170" s="68"/>
      <c r="R170" s="185" t="s">
        <v>45</v>
      </c>
      <c r="S170" s="165">
        <f>SUM(S164:S169)</f>
        <v>8370</v>
      </c>
      <c r="T170" s="68"/>
      <c r="U170" s="68"/>
      <c r="V170" s="68"/>
      <c r="W170" s="66"/>
      <c r="X170" s="165">
        <f>S170</f>
        <v>8370</v>
      </c>
      <c r="Y170" s="425">
        <f>X170/X173</f>
        <v>0.11206957446332946</v>
      </c>
      <c r="Z170" s="92"/>
      <c r="AA170" s="68"/>
      <c r="AB170" s="185" t="s">
        <v>45</v>
      </c>
      <c r="AC170" s="165">
        <f>SUM(AC164:AC169)</f>
        <v>275</v>
      </c>
      <c r="AD170" s="68"/>
      <c r="AE170" s="68"/>
      <c r="AF170" s="68"/>
      <c r="AG170" s="66"/>
      <c r="AH170" s="414">
        <f>AC170</f>
        <v>275</v>
      </c>
      <c r="AI170" s="233">
        <f>AH170/AH173</f>
        <v>0.11196022328242719</v>
      </c>
      <c r="AJ170" s="165">
        <f>I170+S170+AC170</f>
        <v>94977</v>
      </c>
      <c r="AK170" s="414"/>
    </row>
    <row r="171" spans="1:37" ht="21.6" thickBot="1" x14ac:dyDescent="0.45">
      <c r="A171" s="301" t="s">
        <v>52</v>
      </c>
      <c r="B171" s="218" t="str">
        <f t="shared" si="71"/>
        <v>CFS</v>
      </c>
      <c r="C171" s="5" t="s">
        <v>48</v>
      </c>
      <c r="D171" s="10"/>
      <c r="E171" s="116"/>
      <c r="F171" s="116"/>
      <c r="G171" s="116"/>
      <c r="H171" s="100"/>
      <c r="I171" s="178"/>
      <c r="J171" s="101"/>
      <c r="K171" s="101"/>
      <c r="L171" s="101"/>
      <c r="M171" s="102"/>
      <c r="N171" s="415"/>
      <c r="O171" s="178"/>
      <c r="P171" s="101"/>
      <c r="Q171" s="101"/>
      <c r="R171" s="178"/>
      <c r="S171" s="178"/>
      <c r="T171" s="101"/>
      <c r="U171" s="101"/>
      <c r="V171" s="101"/>
      <c r="W171" s="102"/>
      <c r="X171" s="178"/>
      <c r="Y171" s="178"/>
      <c r="Z171" s="101"/>
      <c r="AA171" s="101"/>
      <c r="AB171" s="178"/>
      <c r="AC171" s="178"/>
      <c r="AD171" s="101"/>
      <c r="AE171" s="101"/>
      <c r="AF171" s="101"/>
      <c r="AG171" s="102"/>
      <c r="AH171" s="415"/>
      <c r="AI171" s="178"/>
      <c r="AJ171" s="178"/>
      <c r="AK171" s="415"/>
    </row>
    <row r="172" spans="1:37" ht="21.6" thickTop="1" x14ac:dyDescent="0.4">
      <c r="A172" s="301" t="s">
        <v>52</v>
      </c>
      <c r="B172" s="218" t="str">
        <f t="shared" si="71"/>
        <v>CFSTOTALS</v>
      </c>
      <c r="C172" s="5" t="s">
        <v>48</v>
      </c>
      <c r="D172" s="10"/>
      <c r="E172" s="116"/>
      <c r="F172" s="116"/>
      <c r="G172" s="116"/>
      <c r="H172" s="61" t="s">
        <v>28</v>
      </c>
      <c r="I172" s="103"/>
      <c r="J172" s="103"/>
      <c r="K172" s="103"/>
      <c r="L172" s="103"/>
      <c r="M172" s="104"/>
      <c r="N172" s="91"/>
      <c r="O172" s="136"/>
      <c r="P172" s="92"/>
      <c r="Q172" s="37"/>
      <c r="R172" s="186" t="s">
        <v>28</v>
      </c>
      <c r="S172" s="103"/>
      <c r="T172" s="103"/>
      <c r="U172" s="103"/>
      <c r="V172" s="103"/>
      <c r="W172" s="104"/>
      <c r="X172" s="90"/>
      <c r="Y172" s="136"/>
      <c r="Z172" s="92"/>
      <c r="AA172" s="37"/>
      <c r="AB172" s="186" t="s">
        <v>28</v>
      </c>
      <c r="AC172" s="103"/>
      <c r="AD172" s="103"/>
      <c r="AE172" s="103"/>
      <c r="AF172" s="103"/>
      <c r="AG172" s="104"/>
      <c r="AH172" s="91"/>
      <c r="AI172" s="136"/>
      <c r="AJ172" s="417"/>
      <c r="AK172" s="91"/>
    </row>
    <row r="173" spans="1:37" ht="21" x14ac:dyDescent="0.4">
      <c r="A173" s="301" t="s">
        <v>52</v>
      </c>
      <c r="B173" s="218" t="str">
        <f t="shared" si="71"/>
        <v>CFSPER YEAR</v>
      </c>
      <c r="C173" s="124" t="s">
        <v>50</v>
      </c>
      <c r="D173" s="10"/>
      <c r="E173" s="116"/>
      <c r="F173" s="116"/>
      <c r="G173" s="116"/>
      <c r="H173" s="105" t="s">
        <v>46</v>
      </c>
      <c r="I173" s="106">
        <f>I143+I149+I156+I161+I170</f>
        <v>770312.59009081672</v>
      </c>
      <c r="J173" s="106"/>
      <c r="K173" s="106"/>
      <c r="L173" s="106"/>
      <c r="M173" s="107"/>
      <c r="N173" s="420">
        <f>SUM(N143:N171)</f>
        <v>770312.59009081672</v>
      </c>
      <c r="O173" s="425">
        <f>SUM(O143:O171)</f>
        <v>0.99999999999999989</v>
      </c>
      <c r="P173" s="92"/>
      <c r="Q173" s="37"/>
      <c r="R173" s="190" t="s">
        <v>46</v>
      </c>
      <c r="S173" s="106">
        <f>S143+S149+S156+S161+S170</f>
        <v>74685.748028237285</v>
      </c>
      <c r="T173" s="106"/>
      <c r="U173" s="106"/>
      <c r="V173" s="106"/>
      <c r="W173" s="107"/>
      <c r="X173" s="52">
        <f>SUM(X143:X171)</f>
        <v>74685.748028237285</v>
      </c>
      <c r="Y173" s="425">
        <f>SUM(Y143:Y171)</f>
        <v>1.0000000000000002</v>
      </c>
      <c r="Z173" s="92"/>
      <c r="AA173" s="37"/>
      <c r="AB173" s="190" t="s">
        <v>46</v>
      </c>
      <c r="AC173" s="106">
        <f>AC143+AC149+AC156+AC161+AC170</f>
        <v>2456.2294709460698</v>
      </c>
      <c r="AD173" s="106"/>
      <c r="AE173" s="106"/>
      <c r="AF173" s="106"/>
      <c r="AG173" s="107"/>
      <c r="AH173" s="420">
        <f>SUM(AH143:AH171)</f>
        <v>2456.2294709460698</v>
      </c>
      <c r="AI173" s="233">
        <f>SUM(AI143:AI171)</f>
        <v>0.99999999999999989</v>
      </c>
      <c r="AJ173" s="419">
        <f>I173+S173+AC173</f>
        <v>847454.56759000011</v>
      </c>
      <c r="AK173" s="420"/>
    </row>
    <row r="174" spans="1:37" ht="21" x14ac:dyDescent="0.4">
      <c r="A174" s="301" t="s">
        <v>52</v>
      </c>
      <c r="B174" s="218" t="str">
        <f t="shared" si="71"/>
        <v>CFSPER PAYMENT</v>
      </c>
      <c r="C174" s="124" t="s">
        <v>50</v>
      </c>
      <c r="D174" s="10"/>
      <c r="E174" s="116"/>
      <c r="F174" s="116"/>
      <c r="G174" s="116"/>
      <c r="H174" s="49" t="s">
        <v>47</v>
      </c>
      <c r="I174" s="108">
        <f>I173/I$6</f>
        <v>9.8621345301040067E-2</v>
      </c>
      <c r="J174" s="108"/>
      <c r="K174" s="108"/>
      <c r="L174" s="108"/>
      <c r="M174" s="109"/>
      <c r="N174" s="98"/>
      <c r="O174" s="431"/>
      <c r="P174" s="99"/>
      <c r="Q174" s="60"/>
      <c r="R174" s="185" t="s">
        <v>47</v>
      </c>
      <c r="S174" s="108">
        <f>S173/S$6</f>
        <v>9.8037752430720271E-2</v>
      </c>
      <c r="T174" s="108"/>
      <c r="U174" s="108"/>
      <c r="V174" s="108"/>
      <c r="W174" s="109"/>
      <c r="X174" s="97"/>
      <c r="Y174" s="431"/>
      <c r="Z174" s="99"/>
      <c r="AA174" s="60"/>
      <c r="AB174" s="185" t="s">
        <v>47</v>
      </c>
      <c r="AC174" s="108">
        <f>AC173/AC$6</f>
        <v>9.8025680286788916E-2</v>
      </c>
      <c r="AD174" s="108"/>
      <c r="AE174" s="108"/>
      <c r="AF174" s="108"/>
      <c r="AG174" s="109"/>
      <c r="AH174" s="98"/>
      <c r="AI174" s="243"/>
      <c r="AJ174" s="659">
        <f>I174+S174+AC174</f>
        <v>0.29468477801854925</v>
      </c>
      <c r="AK174" s="98"/>
    </row>
    <row r="175" spans="1:37" x14ac:dyDescent="0.3">
      <c r="A175" s="301" t="s">
        <v>52</v>
      </c>
      <c r="B175" s="218"/>
      <c r="C175" s="220"/>
      <c r="D175" s="10"/>
      <c r="E175" s="10"/>
      <c r="F175" s="10"/>
      <c r="G175" s="10"/>
      <c r="H175" s="137" t="s">
        <v>585</v>
      </c>
      <c r="I175" s="659">
        <f>I143+I149</f>
        <v>683980.59009081672</v>
      </c>
      <c r="J175" s="108"/>
      <c r="K175" s="108"/>
      <c r="L175" s="108"/>
      <c r="M175" s="109"/>
      <c r="N175" s="656"/>
      <c r="O175" s="657"/>
      <c r="P175" s="92"/>
      <c r="Q175" s="37"/>
      <c r="R175" s="137" t="s">
        <v>585</v>
      </c>
      <c r="S175" s="659">
        <f>S143+S149</f>
        <v>66315.748028237285</v>
      </c>
      <c r="T175" s="108"/>
      <c r="U175" s="108"/>
      <c r="V175" s="108"/>
      <c r="W175" s="109"/>
      <c r="X175" s="658"/>
      <c r="Y175" s="657"/>
      <c r="Z175" s="92"/>
      <c r="AA175" s="37"/>
      <c r="AB175" s="137" t="s">
        <v>585</v>
      </c>
      <c r="AC175" s="659">
        <f>AC143+AC149</f>
        <v>2181.2294709460698</v>
      </c>
      <c r="AD175" s="108"/>
      <c r="AE175" s="108"/>
      <c r="AF175" s="108"/>
      <c r="AG175" s="109"/>
      <c r="AH175" s="656"/>
      <c r="AI175" s="137"/>
      <c r="AJ175" s="659">
        <f>I175+S175+AC175</f>
        <v>752477.56759000011</v>
      </c>
      <c r="AK175" s="656"/>
    </row>
    <row r="176" spans="1:37" x14ac:dyDescent="0.3">
      <c r="A176" s="301" t="s">
        <v>52</v>
      </c>
      <c r="B176" s="218"/>
      <c r="C176" s="220"/>
      <c r="D176" s="10"/>
      <c r="E176" s="10"/>
      <c r="F176" s="10"/>
      <c r="G176" s="10"/>
      <c r="H176" s="137" t="s">
        <v>586</v>
      </c>
      <c r="I176" s="659">
        <f>I170+I161+I156</f>
        <v>86332</v>
      </c>
      <c r="J176" s="108"/>
      <c r="K176" s="659"/>
      <c r="L176" s="108"/>
      <c r="M176" s="109"/>
      <c r="N176" s="656"/>
      <c r="O176" s="657"/>
      <c r="P176" s="92"/>
      <c r="Q176" s="37"/>
      <c r="R176" s="137" t="s">
        <v>586</v>
      </c>
      <c r="S176" s="659">
        <f>S170+S161+S156</f>
        <v>8370</v>
      </c>
      <c r="T176" s="108"/>
      <c r="U176" s="659"/>
      <c r="V176" s="108"/>
      <c r="W176" s="109"/>
      <c r="X176" s="658"/>
      <c r="Y176" s="657"/>
      <c r="Z176" s="92"/>
      <c r="AA176" s="37"/>
      <c r="AB176" s="137" t="s">
        <v>586</v>
      </c>
      <c r="AC176" s="659">
        <f>AC170+AC161+AC156</f>
        <v>275</v>
      </c>
      <c r="AD176" s="108"/>
      <c r="AE176" s="659"/>
      <c r="AF176" s="108"/>
      <c r="AG176" s="109"/>
      <c r="AH176" s="656"/>
      <c r="AI176" s="137"/>
      <c r="AJ176" s="659">
        <f>I176+S176+AC176</f>
        <v>94977</v>
      </c>
      <c r="AK176" s="656"/>
    </row>
    <row r="177" spans="1:37" x14ac:dyDescent="0.3">
      <c r="A177" s="301" t="s">
        <v>52</v>
      </c>
      <c r="B177" s="218"/>
      <c r="C177" s="220"/>
      <c r="D177" s="10"/>
      <c r="E177" s="10"/>
      <c r="F177" s="10"/>
      <c r="G177" s="10"/>
      <c r="H177" s="137" t="s">
        <v>584</v>
      </c>
      <c r="I177" s="659">
        <f>I173</f>
        <v>770312.59009081672</v>
      </c>
      <c r="J177" s="108"/>
      <c r="K177" s="108"/>
      <c r="L177" s="108"/>
      <c r="M177" s="109"/>
      <c r="N177" s="656"/>
      <c r="O177" s="657"/>
      <c r="P177" s="92"/>
      <c r="Q177" s="37"/>
      <c r="R177" s="137" t="s">
        <v>584</v>
      </c>
      <c r="S177" s="659">
        <f>S173</f>
        <v>74685.748028237285</v>
      </c>
      <c r="T177" s="108"/>
      <c r="U177" s="108"/>
      <c r="V177" s="108"/>
      <c r="W177" s="109"/>
      <c r="X177" s="658"/>
      <c r="Y177" s="657"/>
      <c r="Z177" s="92"/>
      <c r="AA177" s="37"/>
      <c r="AB177" s="137" t="s">
        <v>584</v>
      </c>
      <c r="AC177" s="659">
        <f>AC173</f>
        <v>2456.2294709460698</v>
      </c>
      <c r="AD177" s="108"/>
      <c r="AE177" s="108"/>
      <c r="AF177" s="108"/>
      <c r="AG177" s="109"/>
      <c r="AH177" s="656"/>
      <c r="AI177" s="137"/>
      <c r="AJ177" s="659">
        <f>I177+S177+AC177</f>
        <v>847454.56759000011</v>
      </c>
      <c r="AK177" s="656"/>
    </row>
    <row r="178" spans="1:37" x14ac:dyDescent="0.3">
      <c r="A178" s="261" t="s">
        <v>50</v>
      </c>
      <c r="AI178" s="392"/>
    </row>
    <row r="179" spans="1:37" x14ac:dyDescent="0.3">
      <c r="H179" s="261" t="s">
        <v>67</v>
      </c>
      <c r="I179" s="667">
        <f>I175+I133+I92+I47</f>
        <v>748655.03792881675</v>
      </c>
      <c r="R179" s="261" t="s">
        <v>67</v>
      </c>
      <c r="S179" s="667">
        <f>S175+S133+S92+S47</f>
        <v>76088.048636036663</v>
      </c>
      <c r="AB179" s="261" t="s">
        <v>67</v>
      </c>
      <c r="AC179" s="667">
        <f>AC175+AC133+AC92+AC47</f>
        <v>45452.120933724138</v>
      </c>
      <c r="AJ179" s="667">
        <f>I179+S179+AC179</f>
        <v>870195.20749857754</v>
      </c>
    </row>
    <row r="180" spans="1:37" x14ac:dyDescent="0.3">
      <c r="H180" s="261" t="s">
        <v>583</v>
      </c>
      <c r="I180" s="667">
        <f t="shared" ref="I180:I181" si="78">I176+I134+I93+I48</f>
        <v>88008</v>
      </c>
      <c r="R180" s="261" t="s">
        <v>583</v>
      </c>
      <c r="S180" s="667">
        <f t="shared" ref="S180:S181" si="79">S176+S134+S93+S48</f>
        <v>8686</v>
      </c>
      <c r="AB180" s="261" t="s">
        <v>583</v>
      </c>
      <c r="AC180" s="667">
        <f t="shared" ref="AC180:AC181" si="80">AC176+AC134+AC93+AC48</f>
        <v>1893</v>
      </c>
      <c r="AJ180" s="667">
        <f>I180+S180+AC180</f>
        <v>98587</v>
      </c>
    </row>
    <row r="181" spans="1:37" x14ac:dyDescent="0.3">
      <c r="H181" s="261" t="s">
        <v>584</v>
      </c>
      <c r="I181" s="667">
        <f t="shared" si="78"/>
        <v>836663.03792881675</v>
      </c>
      <c r="R181" s="261" t="s">
        <v>584</v>
      </c>
      <c r="S181" s="667">
        <f t="shared" si="79"/>
        <v>84774.048636036663</v>
      </c>
      <c r="AB181" s="261" t="s">
        <v>584</v>
      </c>
      <c r="AC181" s="667">
        <f t="shared" si="80"/>
        <v>47345.120933724138</v>
      </c>
      <c r="AJ181" s="667">
        <f>I181+S181+AC181</f>
        <v>968782.20749857754</v>
      </c>
    </row>
    <row r="182" spans="1:37" x14ac:dyDescent="0.3">
      <c r="A182" s="261" t="s">
        <v>50</v>
      </c>
    </row>
    <row r="183" spans="1:37" x14ac:dyDescent="0.3">
      <c r="H183" s="261" t="s">
        <v>588</v>
      </c>
      <c r="I183" s="667">
        <f>SUM(I181,S181,AC181)</f>
        <v>968782.20749857754</v>
      </c>
    </row>
  </sheetData>
  <autoFilter ref="A6:AU183"/>
  <mergeCells count="13">
    <mergeCell ref="AB4:AL4"/>
    <mergeCell ref="I5:M5"/>
    <mergeCell ref="H4:Q4"/>
    <mergeCell ref="R4:AA4"/>
    <mergeCell ref="M122:M123"/>
    <mergeCell ref="W122:W123"/>
    <mergeCell ref="AG122:AG123"/>
    <mergeCell ref="M164:M165"/>
    <mergeCell ref="W164:W165"/>
    <mergeCell ref="AG164:AG165"/>
    <mergeCell ref="M81:M82"/>
    <mergeCell ref="W81:W82"/>
    <mergeCell ref="AG81:AG82"/>
  </mergeCells>
  <printOptions horizontalCentered="1"/>
  <pageMargins left="0.28999999999999998" right="0.35" top="0.53" bottom="0.4" header="0.17" footer="0.17"/>
  <pageSetup paperSize="17" scale="69" orientation="landscape" r:id="rId1"/>
  <headerFooter>
    <oddHeader>&amp;C&amp;"-,Bold"&amp;22METER TO CASH MATRIX</oddHeader>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295"/>
  <sheetViews>
    <sheetView zoomScale="60" zoomScaleNormal="60" workbookViewId="0">
      <pane xSplit="7" ySplit="6" topLeftCell="H7" activePane="bottomRight" state="frozen"/>
      <selection pane="topRight" activeCell="H1" sqref="H1"/>
      <selection pane="bottomLeft" activeCell="A7" sqref="A7"/>
      <selection pane="bottomRight" activeCell="I2" sqref="I2"/>
    </sheetView>
  </sheetViews>
  <sheetFormatPr defaultRowHeight="14.4" x14ac:dyDescent="0.3"/>
  <cols>
    <col min="1" max="1" width="14.88671875" style="2" customWidth="1"/>
    <col min="2" max="2" width="11.109375" style="214" hidden="1" customWidth="1"/>
    <col min="3" max="3" width="10.5546875" style="215" hidden="1" customWidth="1"/>
    <col min="4" max="4" width="26.21875" style="1" customWidth="1"/>
    <col min="5" max="5" width="12.5546875" style="1" hidden="1" customWidth="1"/>
    <col min="6" max="6" width="12.6640625" style="1" hidden="1" customWidth="1"/>
    <col min="7" max="7" width="13.6640625" style="1" hidden="1" customWidth="1"/>
    <col min="8" max="8" width="25.6640625" customWidth="1"/>
    <col min="9" max="9" width="11.44140625" customWidth="1"/>
    <col min="10" max="10" width="7.21875" customWidth="1"/>
    <col min="11" max="11" width="9.44140625" customWidth="1"/>
    <col min="12" max="12" width="6.6640625" customWidth="1"/>
    <col min="13" max="13" width="14.5546875" customWidth="1"/>
    <col min="14" max="14" width="11.33203125" customWidth="1"/>
    <col min="15" max="15" width="7.5546875" customWidth="1"/>
    <col min="16" max="16" width="0" hidden="1" customWidth="1"/>
    <col min="17" max="17" width="25" hidden="1" customWidth="1"/>
    <col min="18" max="18" width="25.77734375" customWidth="1"/>
    <col min="19" max="19" width="11.44140625" customWidth="1"/>
    <col min="20" max="20" width="7.21875" customWidth="1"/>
    <col min="21" max="21" width="9.44140625" customWidth="1"/>
    <col min="22" max="22" width="6.6640625" customWidth="1"/>
    <col min="23" max="23" width="12.5546875" customWidth="1"/>
    <col min="24" max="24" width="11.33203125" customWidth="1"/>
    <col min="25" max="25" width="7.5546875" customWidth="1"/>
    <col min="26" max="26" width="0" hidden="1" customWidth="1"/>
    <col min="27" max="27" width="25" hidden="1" customWidth="1"/>
    <col min="28" max="28" width="25.88671875" customWidth="1"/>
    <col min="29" max="29" width="11.44140625" customWidth="1"/>
    <col min="30" max="30" width="7.21875" customWidth="1"/>
    <col min="31" max="31" width="9.44140625" customWidth="1"/>
    <col min="32" max="32" width="6.6640625" customWidth="1"/>
    <col min="33" max="33" width="12.5546875" customWidth="1"/>
    <col min="34" max="34" width="11.33203125" customWidth="1"/>
    <col min="35" max="35" width="7.5546875" customWidth="1"/>
    <col min="36" max="36" width="21.44140625" customWidth="1"/>
    <col min="37" max="37" width="10" customWidth="1"/>
    <col min="38" max="38" width="8.88671875" customWidth="1"/>
    <col min="42" max="42" width="13.77734375" bestFit="1" customWidth="1"/>
  </cols>
  <sheetData>
    <row r="1" spans="1:47" ht="40.200000000000003" x14ac:dyDescent="0.3">
      <c r="E1" s="15" t="s">
        <v>18</v>
      </c>
      <c r="F1" s="16" t="s">
        <v>19</v>
      </c>
      <c r="G1" s="21" t="s">
        <v>20</v>
      </c>
      <c r="R1" s="2"/>
      <c r="S1" s="303">
        <v>0.33</v>
      </c>
      <c r="T1" s="2" t="s">
        <v>391</v>
      </c>
    </row>
    <row r="2" spans="1:47" s="2" customFormat="1" ht="41.4" customHeight="1" x14ac:dyDescent="0.4">
      <c r="B2" s="216"/>
      <c r="C2" s="217"/>
      <c r="D2" s="14"/>
      <c r="E2" s="110" t="s">
        <v>22</v>
      </c>
      <c r="F2" s="111" t="s">
        <v>23</v>
      </c>
      <c r="G2" s="111" t="s">
        <v>24</v>
      </c>
      <c r="N2" s="2" t="s">
        <v>129</v>
      </c>
      <c r="O2" s="303">
        <f>'Projection Inputs'!B33</f>
        <v>0.9859</v>
      </c>
    </row>
    <row r="3" spans="1:47" s="2" customFormat="1" ht="24.75" customHeight="1" x14ac:dyDescent="0.45">
      <c r="B3" s="216"/>
      <c r="C3" s="217"/>
      <c r="D3" s="484" t="s">
        <v>229</v>
      </c>
      <c r="E3" s="110" t="s">
        <v>22</v>
      </c>
      <c r="F3" s="111" t="s">
        <v>23</v>
      </c>
      <c r="G3" s="111" t="s">
        <v>24</v>
      </c>
      <c r="H3" s="225" t="str">
        <f>+D3</f>
        <v xml:space="preserve">BILLING </v>
      </c>
    </row>
    <row r="4" spans="1:47" ht="21.6" thickBot="1" x14ac:dyDescent="0.45">
      <c r="D4" s="9"/>
      <c r="E4" s="110" t="s">
        <v>22</v>
      </c>
      <c r="F4" s="111" t="s">
        <v>23</v>
      </c>
      <c r="G4" s="111" t="s">
        <v>24</v>
      </c>
      <c r="H4" s="738" t="s">
        <v>49</v>
      </c>
      <c r="I4" s="729"/>
      <c r="J4" s="729"/>
      <c r="K4" s="729"/>
      <c r="L4" s="729"/>
      <c r="M4" s="729"/>
      <c r="N4" s="729"/>
      <c r="O4" s="729"/>
      <c r="P4" s="729"/>
      <c r="Q4" s="729"/>
      <c r="R4" s="739" t="s">
        <v>224</v>
      </c>
      <c r="S4" s="729"/>
      <c r="T4" s="729"/>
      <c r="U4" s="729"/>
      <c r="V4" s="729"/>
      <c r="W4" s="729"/>
      <c r="X4" s="729"/>
      <c r="Y4" s="729"/>
      <c r="Z4" s="729"/>
      <c r="AA4" s="729"/>
      <c r="AB4" s="736" t="s">
        <v>227</v>
      </c>
      <c r="AC4" s="729"/>
      <c r="AD4" s="729"/>
      <c r="AE4" s="729"/>
      <c r="AF4" s="729"/>
      <c r="AG4" s="729"/>
      <c r="AH4" s="729"/>
      <c r="AI4" s="729"/>
      <c r="AJ4" s="729"/>
      <c r="AK4" s="729"/>
      <c r="AL4" s="729"/>
    </row>
    <row r="5" spans="1:47" ht="22.2" thickTop="1" thickBot="1" x14ac:dyDescent="0.45">
      <c r="D5" s="115" t="s">
        <v>26</v>
      </c>
      <c r="E5" s="115"/>
      <c r="F5" s="115"/>
      <c r="G5" s="115"/>
      <c r="H5" s="25"/>
      <c r="I5" s="737" t="s">
        <v>281</v>
      </c>
      <c r="J5" s="737"/>
      <c r="K5" s="737"/>
      <c r="L5" s="737"/>
      <c r="M5" s="737"/>
      <c r="N5" s="26"/>
      <c r="O5" s="26"/>
      <c r="P5" s="25"/>
      <c r="Q5" s="3"/>
    </row>
    <row r="6" spans="1:47" s="2" customFormat="1" ht="21.6" thickTop="1" x14ac:dyDescent="0.4">
      <c r="B6" s="216"/>
      <c r="C6" s="217"/>
      <c r="D6" s="112" t="s">
        <v>229</v>
      </c>
      <c r="E6" s="113"/>
      <c r="F6" s="114"/>
      <c r="G6" s="114"/>
      <c r="H6" s="202" t="s">
        <v>27</v>
      </c>
      <c r="I6" s="27">
        <f>'2015 - 2016 Customers'!G3+'2015 - 2016 Customers'!G4</f>
        <v>7784082</v>
      </c>
      <c r="J6" s="203" t="s">
        <v>127</v>
      </c>
      <c r="K6" s="203" t="s">
        <v>128</v>
      </c>
      <c r="L6" s="155" t="s">
        <v>29</v>
      </c>
      <c r="M6" s="28" t="s">
        <v>374</v>
      </c>
      <c r="N6" s="29" t="s">
        <v>28</v>
      </c>
      <c r="O6" s="230" t="s">
        <v>29</v>
      </c>
      <c r="P6" s="31"/>
      <c r="Q6" s="32" t="s">
        <v>30</v>
      </c>
      <c r="R6" s="202" t="s">
        <v>27</v>
      </c>
      <c r="S6" s="27">
        <f>'2015 - 2016 Customers'!H3+'2015 - 2016 Customers'!H4</f>
        <v>761806</v>
      </c>
      <c r="T6" s="203" t="s">
        <v>127</v>
      </c>
      <c r="U6" s="203" t="s">
        <v>128</v>
      </c>
      <c r="V6" s="155" t="s">
        <v>29</v>
      </c>
      <c r="W6" s="28" t="s">
        <v>374</v>
      </c>
      <c r="X6" s="29" t="s">
        <v>28</v>
      </c>
      <c r="Y6" s="230" t="s">
        <v>29</v>
      </c>
      <c r="Z6" s="31"/>
      <c r="AA6" s="32" t="s">
        <v>30</v>
      </c>
      <c r="AB6" s="202" t="s">
        <v>27</v>
      </c>
      <c r="AC6" s="27">
        <f>'2015 - 2016 Customers'!I3+'2015 - 2016 Customers'!I4</f>
        <v>25057</v>
      </c>
      <c r="AD6" s="203" t="s">
        <v>127</v>
      </c>
      <c r="AE6" s="203" t="s">
        <v>128</v>
      </c>
      <c r="AF6" s="155" t="s">
        <v>29</v>
      </c>
      <c r="AG6" s="28" t="s">
        <v>374</v>
      </c>
      <c r="AH6" s="29" t="s">
        <v>28</v>
      </c>
      <c r="AI6" s="230" t="s">
        <v>29</v>
      </c>
      <c r="AJ6" s="380" t="s">
        <v>589</v>
      </c>
      <c r="AK6" s="247" t="s">
        <v>30</v>
      </c>
      <c r="AU6" s="6"/>
    </row>
    <row r="7" spans="1:47" ht="96.6" customHeight="1" x14ac:dyDescent="0.3">
      <c r="A7" s="299" t="s">
        <v>8</v>
      </c>
      <c r="B7" s="218" t="str">
        <f>A7&amp;H7</f>
        <v>Account ServicesLABOR: NON-SUPERVISORY</v>
      </c>
      <c r="C7" s="218" t="s">
        <v>228</v>
      </c>
      <c r="D7" s="10" t="str">
        <f>'2015Summary METER to CASH (Base'!G10</f>
        <v>* Bill exception work
* Rebills
* Bill controls
* Bill paper stock &amp; envelopes
* Postage</v>
      </c>
      <c r="E7" s="116">
        <f>N45</f>
        <v>3441884.8067899998</v>
      </c>
      <c r="F7" s="117">
        <f>X45</f>
        <v>393339.83981499996</v>
      </c>
      <c r="G7" s="117">
        <f>AC45</f>
        <v>11977.528000000002</v>
      </c>
      <c r="H7" s="182" t="s">
        <v>31</v>
      </c>
      <c r="I7" s="157"/>
      <c r="J7" s="118"/>
      <c r="K7" s="118"/>
      <c r="L7" s="118"/>
      <c r="M7" s="119"/>
      <c r="N7" s="121"/>
      <c r="O7" s="135"/>
      <c r="P7" s="456"/>
      <c r="Q7" s="248"/>
      <c r="R7" s="183" t="s">
        <v>31</v>
      </c>
      <c r="S7" s="157"/>
      <c r="T7" s="118"/>
      <c r="U7" s="118"/>
      <c r="V7" s="118"/>
      <c r="W7" s="119"/>
      <c r="X7" s="120"/>
      <c r="Y7" s="135"/>
      <c r="Z7" s="456"/>
      <c r="AA7" s="248"/>
      <c r="AB7" s="183" t="s">
        <v>31</v>
      </c>
      <c r="AC7" s="157"/>
      <c r="AD7" s="118"/>
      <c r="AE7" s="118"/>
      <c r="AF7" s="118"/>
      <c r="AG7" s="119"/>
      <c r="AH7" s="121"/>
      <c r="AI7" s="135"/>
      <c r="AJ7" s="713"/>
      <c r="AK7" s="120"/>
    </row>
    <row r="8" spans="1:47" ht="15.6" x14ac:dyDescent="0.3">
      <c r="A8" s="299" t="s">
        <v>8</v>
      </c>
      <c r="B8" s="218" t="str">
        <f t="shared" ref="B8:B75" si="0">A8&amp;H8</f>
        <v>Account ServicesAccountant (Grade 145)</v>
      </c>
      <c r="C8" s="217" t="s">
        <v>48</v>
      </c>
      <c r="D8" s="10"/>
      <c r="E8" s="10"/>
      <c r="F8" s="10"/>
      <c r="G8" s="10"/>
      <c r="H8" s="255" t="s">
        <v>242</v>
      </c>
      <c r="I8" s="158">
        <f>J8*K8</f>
        <v>57764.79</v>
      </c>
      <c r="J8" s="289">
        <f>+ROUND('FTE Alloc OR &amp; WA'!G31*2080,0)</f>
        <v>1983</v>
      </c>
      <c r="K8" s="259">
        <v>29.13</v>
      </c>
      <c r="L8" s="39"/>
      <c r="M8" s="40" t="str">
        <f>J8&amp;" hrs @ "&amp;K8</f>
        <v>1983 hrs @ 29.13</v>
      </c>
      <c r="N8" s="35"/>
      <c r="O8" s="136"/>
      <c r="P8" s="457"/>
      <c r="Q8" s="249"/>
      <c r="R8" s="255" t="s">
        <v>242</v>
      </c>
      <c r="S8" s="158">
        <f>T8*U8</f>
        <v>4631.67</v>
      </c>
      <c r="T8" s="289">
        <f>+ROUND('FTE Alloc OR &amp; WA'!H31*2080,0)</f>
        <v>159</v>
      </c>
      <c r="U8" s="259">
        <v>29.13</v>
      </c>
      <c r="V8" s="39"/>
      <c r="W8" s="40" t="str">
        <f>T8&amp;" hrs @ "&amp;U8</f>
        <v>159 hrs @ 29.13</v>
      </c>
      <c r="X8" s="34"/>
      <c r="Y8" s="136"/>
      <c r="Z8" s="457"/>
      <c r="AA8" s="249"/>
      <c r="AB8" s="255" t="s">
        <v>242</v>
      </c>
      <c r="AC8" s="158">
        <f>AD8*AE8</f>
        <v>0</v>
      </c>
      <c r="AD8" s="289">
        <f>+ROUND('FTE Alloc OR &amp; WA'!I30*2080,0)</f>
        <v>0</v>
      </c>
      <c r="AE8" s="259">
        <v>29.13</v>
      </c>
      <c r="AF8" s="39"/>
      <c r="AG8" s="40" t="str">
        <f>AD8&amp;" hrs @ "&amp;AE8</f>
        <v>0 hrs @ 29.13</v>
      </c>
      <c r="AH8" s="35"/>
      <c r="AI8" s="136"/>
      <c r="AJ8" s="714">
        <f t="shared" ref="AJ8:AJ14" si="1">I8+S8+AC8</f>
        <v>62396.46</v>
      </c>
      <c r="AK8" s="34"/>
    </row>
    <row r="9" spans="1:47" ht="15.6" x14ac:dyDescent="0.3">
      <c r="A9" s="299" t="s">
        <v>8</v>
      </c>
      <c r="B9" s="218" t="str">
        <f t="shared" si="0"/>
        <v>Account ServicesSr Coll Rep (Grade 140)</v>
      </c>
      <c r="C9" s="217" t="s">
        <v>48</v>
      </c>
      <c r="D9" s="10"/>
      <c r="E9" s="10"/>
      <c r="F9" s="10"/>
      <c r="G9" s="10"/>
      <c r="H9" s="184" t="s">
        <v>243</v>
      </c>
      <c r="I9" s="158">
        <f t="shared" ref="I9:I10" si="2">J9*K9</f>
        <v>0</v>
      </c>
      <c r="J9" s="289">
        <f>+ROUND('FTE Alloc OR &amp; WA'!G36*2080,0)</f>
        <v>0</v>
      </c>
      <c r="K9" s="259">
        <v>27.22</v>
      </c>
      <c r="L9" s="42"/>
      <c r="M9" s="40" t="str">
        <f t="shared" ref="M9:M11" si="3">J9&amp;" hrs @ "&amp;K9</f>
        <v>0 hrs @ 27.22</v>
      </c>
      <c r="N9" s="35"/>
      <c r="O9" s="136"/>
      <c r="P9" s="457"/>
      <c r="Q9" s="250"/>
      <c r="R9" s="184" t="s">
        <v>243</v>
      </c>
      <c r="S9" s="158">
        <f t="shared" ref="S9:S10" si="4">T9*U9</f>
        <v>0</v>
      </c>
      <c r="T9" s="289">
        <f>+ROUND('FTE Alloc OR &amp; WA'!H36*2080,0)</f>
        <v>0</v>
      </c>
      <c r="U9" s="259">
        <v>27.22</v>
      </c>
      <c r="V9" s="42"/>
      <c r="W9" s="40" t="str">
        <f t="shared" ref="W9:W11" si="5">T9&amp;" hrs @ "&amp;U9</f>
        <v>0 hrs @ 27.22</v>
      </c>
      <c r="X9" s="34"/>
      <c r="Y9" s="136"/>
      <c r="Z9" s="457"/>
      <c r="AA9" s="250"/>
      <c r="AB9" s="184" t="s">
        <v>243</v>
      </c>
      <c r="AC9" s="158">
        <f t="shared" ref="AC9:AC10" si="6">AD9*AE9</f>
        <v>0</v>
      </c>
      <c r="AD9" s="289">
        <f>+ROUND('FTE Alloc OR &amp; WA'!I36*2080,0)</f>
        <v>0</v>
      </c>
      <c r="AE9" s="259">
        <v>27.22</v>
      </c>
      <c r="AF9" s="42"/>
      <c r="AG9" s="40" t="str">
        <f t="shared" ref="AG9:AG11" si="7">AD9&amp;" hrs @ "&amp;AE9</f>
        <v>0 hrs @ 27.22</v>
      </c>
      <c r="AH9" s="35"/>
      <c r="AI9" s="136"/>
      <c r="AJ9" s="714">
        <f t="shared" si="1"/>
        <v>0</v>
      </c>
      <c r="AK9" s="34"/>
    </row>
    <row r="10" spans="1:47" ht="15.6" x14ac:dyDescent="0.3">
      <c r="A10" s="299" t="s">
        <v>8</v>
      </c>
      <c r="B10" s="218" t="str">
        <f t="shared" si="0"/>
        <v>Account ServicesSr Biller/ PP Clerk (Grade 135)</v>
      </c>
      <c r="C10" s="217" t="s">
        <v>48</v>
      </c>
      <c r="D10" s="10"/>
      <c r="E10" s="10"/>
      <c r="F10" s="10"/>
      <c r="G10" s="10"/>
      <c r="H10" s="184" t="s">
        <v>245</v>
      </c>
      <c r="I10" s="158">
        <f t="shared" si="2"/>
        <v>130252.8</v>
      </c>
      <c r="J10" s="289">
        <f>+ROUND(('FTE Alloc OR &amp; WA'!G32+'FTE Alloc OR &amp; WA'!G35)*2080,0)</f>
        <v>5120</v>
      </c>
      <c r="K10" s="259">
        <v>25.44</v>
      </c>
      <c r="L10" s="42"/>
      <c r="M10" s="40" t="str">
        <f t="shared" si="3"/>
        <v>5120 hrs @ 25.44</v>
      </c>
      <c r="N10" s="35"/>
      <c r="O10" s="136"/>
      <c r="P10" s="457"/>
      <c r="Q10" s="249"/>
      <c r="R10" s="184" t="s">
        <v>245</v>
      </c>
      <c r="S10" s="158">
        <f t="shared" si="4"/>
        <v>13254.24</v>
      </c>
      <c r="T10" s="289">
        <f>+ROUND(('FTE Alloc OR &amp; WA'!H32+'FTE Alloc OR &amp; WA'!H35)*2080,0)</f>
        <v>521</v>
      </c>
      <c r="U10" s="259">
        <v>25.44</v>
      </c>
      <c r="V10" s="42"/>
      <c r="W10" s="40" t="str">
        <f t="shared" si="5"/>
        <v>521 hrs @ 25.44</v>
      </c>
      <c r="X10" s="34"/>
      <c r="Y10" s="136"/>
      <c r="Z10" s="457"/>
      <c r="AA10" s="249"/>
      <c r="AB10" s="184" t="s">
        <v>245</v>
      </c>
      <c r="AC10" s="158">
        <f t="shared" si="6"/>
        <v>0</v>
      </c>
      <c r="AD10" s="289">
        <f>+ROUND(('FTE Alloc OR &amp; WA'!I31+'FTE Alloc OR &amp; WA'!I34)*2080,0)</f>
        <v>0</v>
      </c>
      <c r="AE10" s="259">
        <v>25.44</v>
      </c>
      <c r="AF10" s="42"/>
      <c r="AG10" s="40" t="str">
        <f t="shared" si="7"/>
        <v>0 hrs @ 25.44</v>
      </c>
      <c r="AH10" s="35"/>
      <c r="AI10" s="136"/>
      <c r="AJ10" s="714">
        <f t="shared" si="1"/>
        <v>143507.04</v>
      </c>
      <c r="AK10" s="34"/>
    </row>
    <row r="11" spans="1:47" ht="15.6" x14ac:dyDescent="0.3">
      <c r="A11" s="299" t="s">
        <v>8</v>
      </c>
      <c r="B11" s="218" t="str">
        <f t="shared" si="0"/>
        <v>Account ServicesBiller (Grade 125)</v>
      </c>
      <c r="C11" s="217" t="s">
        <v>48</v>
      </c>
      <c r="D11" s="10"/>
      <c r="E11" s="10"/>
      <c r="F11" s="10"/>
      <c r="G11" s="10"/>
      <c r="H11" s="179" t="s">
        <v>244</v>
      </c>
      <c r="I11" s="173">
        <f>J11*K11</f>
        <v>111172.51000000001</v>
      </c>
      <c r="J11" s="291">
        <f>+ROUND('FTE Alloc OR &amp; WA'!G33*2080,0)</f>
        <v>5051</v>
      </c>
      <c r="K11" s="260">
        <v>22.01</v>
      </c>
      <c r="L11" s="181"/>
      <c r="M11" s="176" t="str">
        <f t="shared" si="3"/>
        <v>5051 hrs @ 22.01</v>
      </c>
      <c r="N11" s="451"/>
      <c r="O11" s="231"/>
      <c r="P11" s="458"/>
      <c r="Q11" s="459"/>
      <c r="R11" s="179" t="s">
        <v>244</v>
      </c>
      <c r="S11" s="173">
        <f>T11*U11</f>
        <v>11973.44</v>
      </c>
      <c r="T11" s="291">
        <f>+ROUND('FTE Alloc OR &amp; WA'!H33*2080,0)</f>
        <v>544</v>
      </c>
      <c r="U11" s="260">
        <v>22.01</v>
      </c>
      <c r="V11" s="181"/>
      <c r="W11" s="176" t="str">
        <f t="shared" si="5"/>
        <v>544 hrs @ 22.01</v>
      </c>
      <c r="X11" s="57"/>
      <c r="Y11" s="231"/>
      <c r="Z11" s="458"/>
      <c r="AA11" s="459"/>
      <c r="AB11" s="179" t="s">
        <v>244</v>
      </c>
      <c r="AC11" s="173">
        <f>AD11*AE11</f>
        <v>0</v>
      </c>
      <c r="AD11" s="291">
        <f>+ROUND('FTE Alloc OR &amp; WA'!I32*2080,0)</f>
        <v>0</v>
      </c>
      <c r="AE11" s="260">
        <v>22.01</v>
      </c>
      <c r="AF11" s="181"/>
      <c r="AG11" s="176" t="str">
        <f t="shared" si="7"/>
        <v>0 hrs @ 22.01</v>
      </c>
      <c r="AH11" s="35"/>
      <c r="AI11" s="136"/>
      <c r="AJ11" s="715">
        <f t="shared" si="1"/>
        <v>123145.95000000001</v>
      </c>
      <c r="AK11" s="57"/>
    </row>
    <row r="12" spans="1:47" ht="15.6" x14ac:dyDescent="0.3">
      <c r="A12" s="299" t="s">
        <v>8</v>
      </c>
      <c r="B12" s="218" t="str">
        <f t="shared" si="0"/>
        <v>Account ServicesTotal Wages</v>
      </c>
      <c r="C12" s="217" t="s">
        <v>48</v>
      </c>
      <c r="D12" s="10"/>
      <c r="E12" s="10"/>
      <c r="F12" s="10"/>
      <c r="G12" s="10"/>
      <c r="H12" s="38" t="s">
        <v>32</v>
      </c>
      <c r="I12" s="158">
        <f>SUM(I8:I11)</f>
        <v>299190.09999999998</v>
      </c>
      <c r="J12" s="42"/>
      <c r="K12" s="39"/>
      <c r="L12" s="39"/>
      <c r="M12" s="40"/>
      <c r="N12" s="35"/>
      <c r="O12" s="234"/>
      <c r="P12" s="457"/>
      <c r="Q12" s="249"/>
      <c r="R12" s="184" t="s">
        <v>32</v>
      </c>
      <c r="S12" s="158">
        <f>SUM(S8:S11)</f>
        <v>29859.35</v>
      </c>
      <c r="T12" s="42"/>
      <c r="U12" s="39"/>
      <c r="V12" s="39"/>
      <c r="W12" s="40"/>
      <c r="X12" s="34"/>
      <c r="Y12" s="234"/>
      <c r="Z12" s="457"/>
      <c r="AA12" s="249"/>
      <c r="AB12" s="184" t="s">
        <v>32</v>
      </c>
      <c r="AC12" s="158">
        <f>SUM(AC8:AC11)</f>
        <v>0</v>
      </c>
      <c r="AD12" s="42"/>
      <c r="AE12" s="39"/>
      <c r="AF12" s="39"/>
      <c r="AG12" s="40"/>
      <c r="AH12" s="35"/>
      <c r="AI12" s="231"/>
      <c r="AJ12" s="714">
        <f t="shared" si="1"/>
        <v>329049.44999999995</v>
      </c>
      <c r="AK12" s="34"/>
    </row>
    <row r="13" spans="1:47" ht="15.6" x14ac:dyDescent="0.3">
      <c r="A13" s="299" t="s">
        <v>8</v>
      </c>
      <c r="B13" s="218" t="str">
        <f t="shared" si="0"/>
        <v>Account ServicesBenefits</v>
      </c>
      <c r="C13" s="217" t="s">
        <v>48</v>
      </c>
      <c r="D13" s="10"/>
      <c r="E13" s="10"/>
      <c r="F13" s="10"/>
      <c r="G13" s="10"/>
      <c r="H13" s="38" t="s">
        <v>33</v>
      </c>
      <c r="I13" s="159">
        <f>I12*$O$2</f>
        <v>294971.51958999998</v>
      </c>
      <c r="J13" s="42"/>
      <c r="K13" s="39"/>
      <c r="M13" s="45" t="str">
        <f>"@ "&amp;$O$2*100&amp;" %"</f>
        <v>@ 98.59 %</v>
      </c>
      <c r="N13" s="47"/>
      <c r="O13" s="234"/>
      <c r="P13" s="460"/>
      <c r="Q13" s="249"/>
      <c r="R13" s="184" t="s">
        <v>33</v>
      </c>
      <c r="S13" s="159">
        <f>S12*$O$2</f>
        <v>29438.333165</v>
      </c>
      <c r="T13" s="42"/>
      <c r="U13" s="39"/>
      <c r="W13" s="45" t="str">
        <f>"@ "&amp;$O$2*100&amp;" %"</f>
        <v>@ 98.59 %</v>
      </c>
      <c r="X13" s="46"/>
      <c r="Y13" s="234"/>
      <c r="Z13" s="460"/>
      <c r="AA13" s="249"/>
      <c r="AB13" s="184" t="s">
        <v>33</v>
      </c>
      <c r="AC13" s="159">
        <f>AC12*$O$2</f>
        <v>0</v>
      </c>
      <c r="AD13" s="42"/>
      <c r="AE13" s="39"/>
      <c r="AG13" s="45" t="str">
        <f>"@ "&amp;$O$2*100&amp;" %"</f>
        <v>@ 98.59 %</v>
      </c>
      <c r="AH13" s="47"/>
      <c r="AI13" s="232"/>
      <c r="AJ13" s="716">
        <f t="shared" si="1"/>
        <v>324409.852755</v>
      </c>
      <c r="AK13" s="46"/>
    </row>
    <row r="14" spans="1:47" ht="15.6" x14ac:dyDescent="0.3">
      <c r="A14" s="299" t="s">
        <v>8</v>
      </c>
      <c r="B14" s="218" t="str">
        <f t="shared" si="0"/>
        <v>Account ServicesTotal</v>
      </c>
      <c r="C14" s="219" t="s">
        <v>50</v>
      </c>
      <c r="D14" s="10"/>
      <c r="E14" s="10"/>
      <c r="F14" s="10"/>
      <c r="G14" s="10"/>
      <c r="H14" s="49" t="s">
        <v>34</v>
      </c>
      <c r="I14" s="160">
        <f>I12+I13</f>
        <v>594161.61959000002</v>
      </c>
      <c r="J14" s="42"/>
      <c r="K14" s="39"/>
      <c r="L14" s="50"/>
      <c r="M14" s="51"/>
      <c r="N14" s="420">
        <f>I14</f>
        <v>594161.61959000002</v>
      </c>
      <c r="O14" s="233">
        <f>N14/N45</f>
        <v>0.17262681726531462</v>
      </c>
      <c r="P14" s="461"/>
      <c r="Q14" s="252"/>
      <c r="R14" s="185" t="s">
        <v>34</v>
      </c>
      <c r="S14" s="160">
        <f>S12+S13</f>
        <v>59297.683164999995</v>
      </c>
      <c r="T14" s="42"/>
      <c r="U14" s="39"/>
      <c r="V14" s="50"/>
      <c r="W14" s="51"/>
      <c r="X14" s="52">
        <f>S14</f>
        <v>59297.683164999995</v>
      </c>
      <c r="Y14" s="233">
        <f>X14/X45</f>
        <v>0.1507543278425332</v>
      </c>
      <c r="Z14" s="461"/>
      <c r="AA14" s="252"/>
      <c r="AB14" s="185" t="s">
        <v>34</v>
      </c>
      <c r="AC14" s="160">
        <f>AC12+AC13</f>
        <v>0</v>
      </c>
      <c r="AD14" s="42"/>
      <c r="AE14" s="39"/>
      <c r="AF14" s="50"/>
      <c r="AG14" s="51"/>
      <c r="AH14" s="420">
        <f>AC14</f>
        <v>0</v>
      </c>
      <c r="AI14" s="233">
        <f>AH14/AH45</f>
        <v>0</v>
      </c>
      <c r="AJ14" s="221">
        <f t="shared" si="1"/>
        <v>653459.30275500007</v>
      </c>
      <c r="AK14" s="52"/>
    </row>
    <row r="15" spans="1:47" ht="15.6" x14ac:dyDescent="0.3">
      <c r="A15" s="299" t="s">
        <v>8</v>
      </c>
      <c r="B15" s="218" t="str">
        <f t="shared" si="0"/>
        <v>Account Services</v>
      </c>
      <c r="C15" s="217" t="s">
        <v>48</v>
      </c>
      <c r="D15" s="10"/>
      <c r="E15" s="10"/>
      <c r="F15" s="10"/>
      <c r="G15" s="10"/>
      <c r="H15" s="54"/>
      <c r="I15" s="161"/>
      <c r="J15" s="55"/>
      <c r="K15" s="55"/>
      <c r="L15" s="55"/>
      <c r="M15" s="56"/>
      <c r="N15" s="58"/>
      <c r="O15" s="231"/>
      <c r="P15" s="458"/>
      <c r="Q15" s="253"/>
      <c r="R15" s="179"/>
      <c r="S15" s="161"/>
      <c r="T15" s="55"/>
      <c r="U15" s="55"/>
      <c r="V15" s="55"/>
      <c r="W15" s="56"/>
      <c r="X15" s="57"/>
      <c r="Y15" s="231"/>
      <c r="Z15" s="458"/>
      <c r="AA15" s="253"/>
      <c r="AB15" s="179"/>
      <c r="AC15" s="161"/>
      <c r="AD15" s="55"/>
      <c r="AE15" s="55"/>
      <c r="AF15" s="55"/>
      <c r="AG15" s="56"/>
      <c r="AH15" s="58"/>
      <c r="AI15" s="231"/>
      <c r="AJ15" s="715"/>
      <c r="AK15" s="57"/>
    </row>
    <row r="16" spans="1:47" ht="24" customHeight="1" x14ac:dyDescent="0.3">
      <c r="A16" s="299" t="s">
        <v>8</v>
      </c>
      <c r="B16" s="218" t="str">
        <f t="shared" si="0"/>
        <v>Account ServicesLABOR: SUPERVISORY</v>
      </c>
      <c r="C16" s="220" t="s">
        <v>50</v>
      </c>
      <c r="D16" s="10"/>
      <c r="E16" s="10"/>
      <c r="F16" s="10"/>
      <c r="G16" s="10"/>
      <c r="H16" s="61" t="s">
        <v>35</v>
      </c>
      <c r="I16" s="162"/>
      <c r="J16" s="62"/>
      <c r="K16" s="62"/>
      <c r="L16" s="62"/>
      <c r="M16" s="63"/>
      <c r="N16" s="26"/>
      <c r="O16" s="234"/>
      <c r="P16" s="462"/>
      <c r="Q16" s="252"/>
      <c r="R16" s="186" t="s">
        <v>35</v>
      </c>
      <c r="S16" s="162"/>
      <c r="T16" s="62"/>
      <c r="U16" s="62"/>
      <c r="V16" s="62"/>
      <c r="W16" s="63"/>
      <c r="X16" s="64"/>
      <c r="Y16" s="234"/>
      <c r="Z16" s="462"/>
      <c r="AA16" s="252"/>
      <c r="AB16" s="186" t="s">
        <v>35</v>
      </c>
      <c r="AC16" s="162"/>
      <c r="AD16" s="62"/>
      <c r="AE16" s="62"/>
      <c r="AF16" s="62"/>
      <c r="AG16" s="63"/>
      <c r="AH16" s="26"/>
      <c r="AI16" s="234"/>
      <c r="AJ16" s="714"/>
      <c r="AK16" s="64"/>
    </row>
    <row r="17" spans="1:37" ht="24" customHeight="1" x14ac:dyDescent="0.3">
      <c r="A17" s="299" t="s">
        <v>8</v>
      </c>
      <c r="B17" s="218"/>
      <c r="C17" s="220"/>
      <c r="D17" s="10"/>
      <c r="E17" s="10"/>
      <c r="F17" s="10"/>
      <c r="G17" s="10"/>
      <c r="H17" s="184" t="s">
        <v>375</v>
      </c>
      <c r="I17" s="158">
        <f t="shared" ref="I17:I18" si="8">J17*K17</f>
        <v>0</v>
      </c>
      <c r="J17" s="62"/>
      <c r="K17" s="62">
        <v>50.91</v>
      </c>
      <c r="L17" s="62"/>
      <c r="M17" s="40" t="str">
        <f t="shared" ref="M17" si="9">J17&amp;" hrs @ "&amp;K17</f>
        <v xml:space="preserve"> hrs @ 50.91</v>
      </c>
      <c r="N17" s="26"/>
      <c r="O17" s="234"/>
      <c r="P17" s="462"/>
      <c r="Q17" s="252"/>
      <c r="R17" s="184" t="s">
        <v>375</v>
      </c>
      <c r="S17" s="158">
        <f t="shared" ref="S17" si="10">T17*U17</f>
        <v>0</v>
      </c>
      <c r="T17" s="62"/>
      <c r="U17" s="62">
        <v>50.91</v>
      </c>
      <c r="V17" s="62"/>
      <c r="W17" s="40" t="str">
        <f t="shared" ref="W17" si="11">T17&amp;" hrs @ "&amp;U17</f>
        <v xml:space="preserve"> hrs @ 50.91</v>
      </c>
      <c r="X17" s="64"/>
      <c r="Y17" s="234"/>
      <c r="Z17" s="462"/>
      <c r="AA17" s="252"/>
      <c r="AB17" s="184" t="s">
        <v>375</v>
      </c>
      <c r="AC17" s="158">
        <f t="shared" ref="AC17" si="12">AD17*AE17</f>
        <v>0</v>
      </c>
      <c r="AD17" s="62"/>
      <c r="AE17" s="62">
        <v>50.91</v>
      </c>
      <c r="AF17" s="62"/>
      <c r="AG17" s="40" t="str">
        <f t="shared" ref="AG17" si="13">AD17&amp;" hrs @ "&amp;AE17</f>
        <v xml:space="preserve"> hrs @ 50.91</v>
      </c>
      <c r="AH17" s="26"/>
      <c r="AI17" s="234"/>
      <c r="AJ17" s="714">
        <f>I17+S17+AC17</f>
        <v>0</v>
      </c>
      <c r="AK17" s="64"/>
    </row>
    <row r="18" spans="1:37" ht="15.6" x14ac:dyDescent="0.3">
      <c r="A18" s="299" t="s">
        <v>8</v>
      </c>
      <c r="B18" s="218" t="str">
        <f t="shared" si="0"/>
        <v>Account ServicesSupervisor</v>
      </c>
      <c r="C18" s="217" t="s">
        <v>48</v>
      </c>
      <c r="D18" s="10"/>
      <c r="E18" s="10"/>
      <c r="F18" s="10"/>
      <c r="G18" s="10"/>
      <c r="H18" s="184" t="s">
        <v>376</v>
      </c>
      <c r="I18" s="158">
        <f t="shared" si="8"/>
        <v>84078</v>
      </c>
      <c r="J18" s="289">
        <f>+ROUND(('FTE Alloc OR &amp; WA'!G44+'FTE Alloc OR &amp; WA'!G46)*2080,0)</f>
        <v>2076</v>
      </c>
      <c r="K18" s="259">
        <v>40.5</v>
      </c>
      <c r="L18" s="43"/>
      <c r="M18" s="40" t="str">
        <f t="shared" ref="M18" si="14">J18&amp;" hrs @ "&amp;K18</f>
        <v>2076 hrs @ 40.5</v>
      </c>
      <c r="N18" s="26"/>
      <c r="O18" s="234"/>
      <c r="P18" s="462"/>
      <c r="Q18" s="249"/>
      <c r="R18" s="184" t="s">
        <v>376</v>
      </c>
      <c r="S18" s="158">
        <f t="shared" ref="S18" si="15">T18*U18</f>
        <v>9193.5</v>
      </c>
      <c r="T18" s="289">
        <f>+ROUND(('FTE Alloc OR &amp; WA'!H44+'FTE Alloc OR &amp; WA'!H46)*2080,0)</f>
        <v>227</v>
      </c>
      <c r="U18" s="259">
        <v>40.5</v>
      </c>
      <c r="V18" s="43"/>
      <c r="W18" s="40" t="str">
        <f t="shared" ref="W18" si="16">T18&amp;" hrs @ "&amp;U18</f>
        <v>227 hrs @ 40.5</v>
      </c>
      <c r="X18" s="64"/>
      <c r="Y18" s="234"/>
      <c r="Z18" s="462"/>
      <c r="AA18" s="249"/>
      <c r="AB18" s="184" t="s">
        <v>376</v>
      </c>
      <c r="AC18" s="158">
        <f t="shared" ref="AC18" si="17">AD18*AE18</f>
        <v>0</v>
      </c>
      <c r="AD18" s="289">
        <f>+ROUND('FTE Alloc OR &amp; WA'!I31*2080,0)</f>
        <v>0</v>
      </c>
      <c r="AE18" s="259">
        <v>40.5</v>
      </c>
      <c r="AF18" s="43"/>
      <c r="AG18" s="40" t="str">
        <f t="shared" ref="AG18" si="18">AD18&amp;" hrs @ "&amp;AE18</f>
        <v>0 hrs @ 40.5</v>
      </c>
      <c r="AH18" s="26"/>
      <c r="AI18" s="235"/>
      <c r="AJ18" s="714">
        <f>I18+S18+AC18</f>
        <v>93271.5</v>
      </c>
      <c r="AK18" s="64"/>
    </row>
    <row r="19" spans="1:37" ht="15.6" x14ac:dyDescent="0.3">
      <c r="A19" s="299" t="s">
        <v>8</v>
      </c>
      <c r="B19" s="218"/>
      <c r="C19" s="217"/>
      <c r="D19" s="10"/>
      <c r="E19" s="10"/>
      <c r="F19" s="10"/>
      <c r="G19" s="10"/>
      <c r="H19" s="255" t="s">
        <v>32</v>
      </c>
      <c r="I19" s="393">
        <f>SUM(I16:I18)</f>
        <v>84078</v>
      </c>
      <c r="J19" s="394"/>
      <c r="K19" s="395"/>
      <c r="L19" s="395"/>
      <c r="M19" s="396"/>
      <c r="N19" s="26"/>
      <c r="O19" s="234"/>
      <c r="P19" s="462"/>
      <c r="Q19" s="249"/>
      <c r="R19" s="255" t="s">
        <v>32</v>
      </c>
      <c r="S19" s="393">
        <f>SUM(S16:S18)</f>
        <v>9193.5</v>
      </c>
      <c r="T19" s="394"/>
      <c r="U19" s="395"/>
      <c r="V19" s="395"/>
      <c r="W19" s="396"/>
      <c r="X19" s="64"/>
      <c r="Y19" s="234"/>
      <c r="Z19" s="462"/>
      <c r="AA19" s="249"/>
      <c r="AB19" s="255" t="s">
        <v>32</v>
      </c>
      <c r="AC19" s="393">
        <f>SUM(AC16:AC18)</f>
        <v>0</v>
      </c>
      <c r="AD19" s="394"/>
      <c r="AE19" s="395"/>
      <c r="AF19" s="395"/>
      <c r="AG19" s="396"/>
      <c r="AH19" s="26"/>
      <c r="AI19" s="234"/>
      <c r="AJ19" s="714">
        <f>I19+S19+AC19</f>
        <v>93271.5</v>
      </c>
      <c r="AK19" s="64"/>
    </row>
    <row r="20" spans="1:37" ht="15.6" x14ac:dyDescent="0.3">
      <c r="A20" s="299" t="s">
        <v>8</v>
      </c>
      <c r="B20" s="218" t="str">
        <f t="shared" si="0"/>
        <v>Account ServicesBenefits</v>
      </c>
      <c r="C20" s="217" t="s">
        <v>48</v>
      </c>
      <c r="D20" s="10"/>
      <c r="E20" s="10"/>
      <c r="F20" s="10"/>
      <c r="G20" s="10"/>
      <c r="H20" s="38" t="s">
        <v>33</v>
      </c>
      <c r="I20" s="159">
        <f>I19*$O$2</f>
        <v>82892.500199999995</v>
      </c>
      <c r="J20" s="42"/>
      <c r="K20" s="39"/>
      <c r="L20" s="156"/>
      <c r="M20" s="45" t="str">
        <f>"@ "&amp;$O$2*100&amp;" %"</f>
        <v>@ 98.59 %</v>
      </c>
      <c r="N20" s="26"/>
      <c r="O20" s="234"/>
      <c r="P20" s="462"/>
      <c r="Q20" s="249"/>
      <c r="R20" s="184" t="s">
        <v>33</v>
      </c>
      <c r="S20" s="159">
        <f>S19*$O$2</f>
        <v>9063.8716499999991</v>
      </c>
      <c r="T20" s="42"/>
      <c r="U20" s="39"/>
      <c r="V20" s="156"/>
      <c r="W20" s="45" t="str">
        <f>"@ "&amp;$O$2*100&amp;" %"</f>
        <v>@ 98.59 %</v>
      </c>
      <c r="X20" s="64"/>
      <c r="Y20" s="234"/>
      <c r="Z20" s="462"/>
      <c r="AA20" s="249"/>
      <c r="AB20" s="184" t="s">
        <v>33</v>
      </c>
      <c r="AC20" s="159">
        <f>AC19*$O$2</f>
        <v>0</v>
      </c>
      <c r="AD20" s="42"/>
      <c r="AE20" s="39"/>
      <c r="AF20" s="156"/>
      <c r="AG20" s="45" t="str">
        <f>"@ "&amp;$O$2*100&amp;" %"</f>
        <v>@ 98.59 %</v>
      </c>
      <c r="AH20" s="26"/>
      <c r="AI20" s="236"/>
      <c r="AJ20" s="714">
        <f>I20+S20+AC20</f>
        <v>91956.371849999996</v>
      </c>
      <c r="AK20" s="64"/>
    </row>
    <row r="21" spans="1:37" ht="15.6" x14ac:dyDescent="0.3">
      <c r="A21" s="299" t="s">
        <v>8</v>
      </c>
      <c r="B21" s="218" t="str">
        <f t="shared" si="0"/>
        <v>Account ServicesTotal</v>
      </c>
      <c r="C21" s="220" t="s">
        <v>50</v>
      </c>
      <c r="D21" s="10"/>
      <c r="E21" s="10"/>
      <c r="F21" s="10"/>
      <c r="G21" s="10"/>
      <c r="H21" s="49" t="s">
        <v>34</v>
      </c>
      <c r="I21" s="397">
        <f>I20+I18</f>
        <v>166970.50020000001</v>
      </c>
      <c r="J21" s="68"/>
      <c r="K21" s="68"/>
      <c r="L21" s="68"/>
      <c r="M21" s="63"/>
      <c r="N21" s="420">
        <f>I21</f>
        <v>166970.50020000001</v>
      </c>
      <c r="O21" s="233">
        <f>N21/N45</f>
        <v>4.851135629833047E-2</v>
      </c>
      <c r="P21" s="462"/>
      <c r="Q21" s="249"/>
      <c r="R21" s="185" t="s">
        <v>34</v>
      </c>
      <c r="S21" s="397">
        <f>S20+S18</f>
        <v>18257.371650000001</v>
      </c>
      <c r="T21" s="68"/>
      <c r="U21" s="68"/>
      <c r="V21" s="68"/>
      <c r="W21" s="63"/>
      <c r="X21" s="52">
        <f>S21</f>
        <v>18257.371650000001</v>
      </c>
      <c r="Y21" s="233">
        <f>X21/X45</f>
        <v>4.6416278754237088E-2</v>
      </c>
      <c r="Z21" s="462"/>
      <c r="AA21" s="249"/>
      <c r="AB21" s="185" t="s">
        <v>34</v>
      </c>
      <c r="AC21" s="397">
        <f>AC20+AC18</f>
        <v>0</v>
      </c>
      <c r="AD21" s="68"/>
      <c r="AE21" s="68"/>
      <c r="AF21" s="68"/>
      <c r="AG21" s="63"/>
      <c r="AH21" s="420">
        <f>AC21</f>
        <v>0</v>
      </c>
      <c r="AI21" s="233">
        <f>AH21/AH45</f>
        <v>0</v>
      </c>
      <c r="AJ21" s="221">
        <f>I21+S21+AC21</f>
        <v>185227.87185</v>
      </c>
      <c r="AK21" s="52"/>
    </row>
    <row r="22" spans="1:37" ht="15.6" x14ac:dyDescent="0.3">
      <c r="A22" s="299" t="s">
        <v>8</v>
      </c>
      <c r="B22" s="218" t="str">
        <f t="shared" si="0"/>
        <v>Account Services</v>
      </c>
      <c r="C22" s="217" t="s">
        <v>48</v>
      </c>
      <c r="D22" s="10"/>
      <c r="E22" s="10"/>
      <c r="F22" s="10"/>
      <c r="G22" s="10"/>
      <c r="H22" s="54"/>
      <c r="I22" s="166"/>
      <c r="J22" s="69"/>
      <c r="K22" s="69"/>
      <c r="L22" s="69"/>
      <c r="M22" s="70"/>
      <c r="N22" s="72"/>
      <c r="O22" s="235"/>
      <c r="P22" s="463"/>
      <c r="Q22" s="253"/>
      <c r="R22" s="179"/>
      <c r="S22" s="166"/>
      <c r="T22" s="69"/>
      <c r="U22" s="69"/>
      <c r="V22" s="69"/>
      <c r="W22" s="70"/>
      <c r="X22" s="71"/>
      <c r="Y22" s="235"/>
      <c r="Z22" s="463"/>
      <c r="AA22" s="253"/>
      <c r="AB22" s="179"/>
      <c r="AC22" s="166"/>
      <c r="AD22" s="69"/>
      <c r="AE22" s="69"/>
      <c r="AF22" s="69"/>
      <c r="AG22" s="70"/>
      <c r="AH22" s="72"/>
      <c r="AI22" s="235"/>
      <c r="AJ22" s="715"/>
      <c r="AK22" s="71"/>
    </row>
    <row r="23" spans="1:37" ht="15.6" x14ac:dyDescent="0.3">
      <c r="A23" s="299" t="s">
        <v>8</v>
      </c>
      <c r="B23" s="218" t="str">
        <f t="shared" si="0"/>
        <v>Account ServicesEQUIPMENT</v>
      </c>
      <c r="C23" s="220" t="s">
        <v>50</v>
      </c>
      <c r="D23" s="10"/>
      <c r="E23" s="10"/>
      <c r="F23" s="10"/>
      <c r="G23" s="10"/>
      <c r="H23" s="61" t="s">
        <v>36</v>
      </c>
      <c r="I23" s="167"/>
      <c r="J23" s="74"/>
      <c r="K23" s="74"/>
      <c r="L23" s="74"/>
      <c r="M23" s="66"/>
      <c r="N23" s="76"/>
      <c r="O23" s="237"/>
      <c r="P23" s="462"/>
      <c r="Q23" s="252"/>
      <c r="R23" s="186" t="s">
        <v>36</v>
      </c>
      <c r="S23" s="167"/>
      <c r="T23" s="74"/>
      <c r="U23" s="74"/>
      <c r="V23" s="74"/>
      <c r="W23" s="66"/>
      <c r="X23" s="75"/>
      <c r="Y23" s="237"/>
      <c r="Z23" s="462"/>
      <c r="AA23" s="252"/>
      <c r="AB23" s="186" t="s">
        <v>36</v>
      </c>
      <c r="AC23" s="167"/>
      <c r="AD23" s="74"/>
      <c r="AE23" s="74"/>
      <c r="AF23" s="74"/>
      <c r="AG23" s="66"/>
      <c r="AH23" s="76"/>
      <c r="AI23" s="237"/>
      <c r="AJ23" s="221"/>
      <c r="AK23" s="75"/>
    </row>
    <row r="24" spans="1:37" ht="15.6" x14ac:dyDescent="0.3">
      <c r="A24" s="299" t="s">
        <v>8</v>
      </c>
      <c r="B24" s="218" t="str">
        <f t="shared" si="0"/>
        <v>Account Services</v>
      </c>
      <c r="C24" s="217" t="s">
        <v>48</v>
      </c>
      <c r="D24" s="10"/>
      <c r="E24" s="10"/>
      <c r="F24" s="10"/>
      <c r="G24" s="10"/>
      <c r="H24" s="77"/>
      <c r="I24" s="158">
        <f t="shared" ref="I24:I27" si="19">J24*K24</f>
        <v>0</v>
      </c>
      <c r="J24" s="42"/>
      <c r="K24" s="39"/>
      <c r="L24" s="39"/>
      <c r="M24" s="40" t="str">
        <f>J24&amp;" hrs @ "&amp;K24</f>
        <v xml:space="preserve"> hrs @ </v>
      </c>
      <c r="N24" s="76"/>
      <c r="O24" s="237"/>
      <c r="P24" s="462"/>
      <c r="Q24" s="252"/>
      <c r="R24" s="187"/>
      <c r="S24" s="158">
        <f t="shared" ref="S24:S27" si="20">T24*U24</f>
        <v>0</v>
      </c>
      <c r="T24" s="42"/>
      <c r="U24" s="39"/>
      <c r="V24" s="39"/>
      <c r="W24" s="40" t="str">
        <f>T24&amp;" hrs @ "&amp;U24</f>
        <v xml:space="preserve"> hrs @ </v>
      </c>
      <c r="X24" s="75"/>
      <c r="Y24" s="237"/>
      <c r="Z24" s="462"/>
      <c r="AA24" s="252"/>
      <c r="AB24" s="187"/>
      <c r="AC24" s="158">
        <f t="shared" ref="AC24:AC27" si="21">AD24*AE24</f>
        <v>0</v>
      </c>
      <c r="AD24" s="42"/>
      <c r="AE24" s="39"/>
      <c r="AF24" s="39"/>
      <c r="AG24" s="40" t="str">
        <f>AD24&amp;" hrs @ "&amp;AE24</f>
        <v xml:space="preserve"> hrs @ </v>
      </c>
      <c r="AH24" s="76"/>
      <c r="AI24" s="237"/>
      <c r="AJ24" s="221">
        <f t="shared" ref="AJ24:AJ27" si="22">I24+S24+AC24</f>
        <v>0</v>
      </c>
      <c r="AK24" s="75"/>
    </row>
    <row r="25" spans="1:37" ht="15.6" x14ac:dyDescent="0.3">
      <c r="A25" s="299" t="s">
        <v>8</v>
      </c>
      <c r="B25" s="218" t="str">
        <f t="shared" si="0"/>
        <v>Account Services</v>
      </c>
      <c r="C25" s="217" t="s">
        <v>48</v>
      </c>
      <c r="D25" s="10"/>
      <c r="E25" s="10"/>
      <c r="F25" s="10"/>
      <c r="G25" s="10"/>
      <c r="H25" s="77"/>
      <c r="I25" s="158">
        <f t="shared" si="19"/>
        <v>0</v>
      </c>
      <c r="J25" s="42"/>
      <c r="K25" s="39"/>
      <c r="L25" s="42"/>
      <c r="M25" s="40" t="str">
        <f t="shared" ref="M25:M27" si="23">J25&amp;" hrs @ "&amp;K25</f>
        <v xml:space="preserve"> hrs @ </v>
      </c>
      <c r="N25" s="79"/>
      <c r="O25" s="234"/>
      <c r="P25" s="464"/>
      <c r="Q25" s="254"/>
      <c r="R25" s="187"/>
      <c r="S25" s="158">
        <f t="shared" si="20"/>
        <v>0</v>
      </c>
      <c r="T25" s="42"/>
      <c r="U25" s="39"/>
      <c r="V25" s="42"/>
      <c r="W25" s="40" t="str">
        <f t="shared" ref="W25:W27" si="24">T25&amp;" hrs @ "&amp;U25</f>
        <v xml:space="preserve"> hrs @ </v>
      </c>
      <c r="X25" s="78"/>
      <c r="Y25" s="234"/>
      <c r="Z25" s="464"/>
      <c r="AA25" s="254"/>
      <c r="AB25" s="187"/>
      <c r="AC25" s="158">
        <f t="shared" si="21"/>
        <v>0</v>
      </c>
      <c r="AD25" s="42"/>
      <c r="AE25" s="39"/>
      <c r="AF25" s="42"/>
      <c r="AG25" s="40" t="str">
        <f t="shared" ref="AG25:AG27" si="25">AD25&amp;" hrs @ "&amp;AE25</f>
        <v xml:space="preserve"> hrs @ </v>
      </c>
      <c r="AH25" s="79"/>
      <c r="AI25" s="238"/>
      <c r="AJ25" s="717">
        <f t="shared" si="22"/>
        <v>0</v>
      </c>
      <c r="AK25" s="78"/>
    </row>
    <row r="26" spans="1:37" ht="15.6" x14ac:dyDescent="0.3">
      <c r="A26" s="299" t="s">
        <v>8</v>
      </c>
      <c r="B26" s="218" t="str">
        <f t="shared" si="0"/>
        <v>Account Services</v>
      </c>
      <c r="C26" s="217" t="s">
        <v>48</v>
      </c>
      <c r="D26" s="10"/>
      <c r="E26" s="10"/>
      <c r="F26" s="10"/>
      <c r="G26" s="10"/>
      <c r="H26" s="77"/>
      <c r="I26" s="158">
        <f t="shared" si="19"/>
        <v>0</v>
      </c>
      <c r="J26" s="42"/>
      <c r="K26" s="39"/>
      <c r="L26" s="42"/>
      <c r="M26" s="40" t="str">
        <f t="shared" si="23"/>
        <v xml:space="preserve"> hrs @ </v>
      </c>
      <c r="N26" s="79"/>
      <c r="O26" s="234"/>
      <c r="P26" s="464"/>
      <c r="Q26" s="254"/>
      <c r="R26" s="187"/>
      <c r="S26" s="158">
        <f t="shared" si="20"/>
        <v>0</v>
      </c>
      <c r="T26" s="42"/>
      <c r="U26" s="39"/>
      <c r="V26" s="42"/>
      <c r="W26" s="40" t="str">
        <f t="shared" si="24"/>
        <v xml:space="preserve"> hrs @ </v>
      </c>
      <c r="X26" s="78"/>
      <c r="Y26" s="234"/>
      <c r="Z26" s="464"/>
      <c r="AA26" s="254"/>
      <c r="AB26" s="187"/>
      <c r="AC26" s="158">
        <f t="shared" si="21"/>
        <v>0</v>
      </c>
      <c r="AD26" s="42"/>
      <c r="AE26" s="39"/>
      <c r="AF26" s="42"/>
      <c r="AG26" s="40" t="str">
        <f t="shared" si="25"/>
        <v xml:space="preserve"> hrs @ </v>
      </c>
      <c r="AH26" s="79"/>
      <c r="AI26" s="238"/>
      <c r="AJ26" s="717">
        <f t="shared" si="22"/>
        <v>0</v>
      </c>
      <c r="AK26" s="78"/>
    </row>
    <row r="27" spans="1:37" ht="15.6" x14ac:dyDescent="0.3">
      <c r="A27" s="299" t="s">
        <v>8</v>
      </c>
      <c r="B27" s="218" t="str">
        <f t="shared" si="0"/>
        <v>Account Services</v>
      </c>
      <c r="C27" s="217" t="s">
        <v>48</v>
      </c>
      <c r="D27" s="10"/>
      <c r="E27" s="10"/>
      <c r="F27" s="10"/>
      <c r="G27" s="10"/>
      <c r="H27" s="77"/>
      <c r="I27" s="158">
        <f t="shared" si="19"/>
        <v>0</v>
      </c>
      <c r="J27" s="42"/>
      <c r="K27" s="39"/>
      <c r="L27" s="43"/>
      <c r="M27" s="40" t="str">
        <f t="shared" si="23"/>
        <v xml:space="preserve"> hrs @ </v>
      </c>
      <c r="N27" s="79"/>
      <c r="O27" s="234"/>
      <c r="P27" s="464"/>
      <c r="Q27" s="254"/>
      <c r="R27" s="187"/>
      <c r="S27" s="158">
        <f t="shared" si="20"/>
        <v>0</v>
      </c>
      <c r="T27" s="42"/>
      <c r="U27" s="39"/>
      <c r="V27" s="43"/>
      <c r="W27" s="40" t="str">
        <f t="shared" si="24"/>
        <v xml:space="preserve"> hrs @ </v>
      </c>
      <c r="X27" s="78"/>
      <c r="Y27" s="234"/>
      <c r="Z27" s="464"/>
      <c r="AA27" s="254"/>
      <c r="AB27" s="187"/>
      <c r="AC27" s="158">
        <f t="shared" si="21"/>
        <v>0</v>
      </c>
      <c r="AD27" s="42"/>
      <c r="AE27" s="39"/>
      <c r="AF27" s="43"/>
      <c r="AG27" s="40" t="str">
        <f t="shared" si="25"/>
        <v xml:space="preserve"> hrs @ </v>
      </c>
      <c r="AH27" s="79"/>
      <c r="AI27" s="239"/>
      <c r="AJ27" s="717">
        <f t="shared" si="22"/>
        <v>0</v>
      </c>
      <c r="AK27" s="78"/>
    </row>
    <row r="28" spans="1:37" ht="15.6" x14ac:dyDescent="0.3">
      <c r="A28" s="299" t="s">
        <v>8</v>
      </c>
      <c r="B28" s="218" t="str">
        <f t="shared" si="0"/>
        <v>Account ServicesTotal Equipment</v>
      </c>
      <c r="C28" s="220" t="s">
        <v>50</v>
      </c>
      <c r="D28" s="10"/>
      <c r="E28" s="116">
        <f>I28</f>
        <v>0</v>
      </c>
      <c r="F28" s="116">
        <f>S28</f>
        <v>0</v>
      </c>
      <c r="G28" s="116">
        <f>AC28</f>
        <v>0</v>
      </c>
      <c r="H28" s="83" t="s">
        <v>37</v>
      </c>
      <c r="I28" s="165">
        <f>SUM(I24:I27)</f>
        <v>0</v>
      </c>
      <c r="J28" s="68"/>
      <c r="K28" s="68"/>
      <c r="L28" s="68"/>
      <c r="M28" s="66"/>
      <c r="N28" s="420">
        <f>I28</f>
        <v>0</v>
      </c>
      <c r="O28" s="233">
        <f>N28/N45</f>
        <v>0</v>
      </c>
      <c r="P28" s="464"/>
      <c r="Q28" s="254"/>
      <c r="R28" s="188" t="s">
        <v>37</v>
      </c>
      <c r="S28" s="165">
        <f>SUM(S24:S27)</f>
        <v>0</v>
      </c>
      <c r="T28" s="68"/>
      <c r="U28" s="68"/>
      <c r="V28" s="68"/>
      <c r="W28" s="66"/>
      <c r="X28" s="52">
        <f>S28</f>
        <v>0</v>
      </c>
      <c r="Y28" s="233">
        <f>X28/X45</f>
        <v>0</v>
      </c>
      <c r="Z28" s="464"/>
      <c r="AA28" s="254"/>
      <c r="AB28" s="188" t="s">
        <v>37</v>
      </c>
      <c r="AC28" s="165">
        <f>SUM(AC24:AC27)</f>
        <v>0</v>
      </c>
      <c r="AD28" s="68"/>
      <c r="AE28" s="68"/>
      <c r="AF28" s="68"/>
      <c r="AG28" s="66"/>
      <c r="AH28" s="420">
        <f>AC28</f>
        <v>0</v>
      </c>
      <c r="AI28" s="240">
        <f>AH28/AH45</f>
        <v>0</v>
      </c>
      <c r="AJ28" s="221">
        <f>I28+S28+AC28</f>
        <v>0</v>
      </c>
      <c r="AK28" s="52"/>
    </row>
    <row r="29" spans="1:37" ht="15.6" x14ac:dyDescent="0.3">
      <c r="A29" s="299" t="s">
        <v>8</v>
      </c>
      <c r="B29" s="218" t="str">
        <f t="shared" si="0"/>
        <v>Account Services</v>
      </c>
      <c r="C29" s="217" t="s">
        <v>48</v>
      </c>
      <c r="D29" s="10"/>
      <c r="E29" s="10"/>
      <c r="F29" s="10"/>
      <c r="G29" s="10"/>
      <c r="H29" s="84"/>
      <c r="I29" s="169"/>
      <c r="J29" s="85"/>
      <c r="K29" s="85"/>
      <c r="L29" s="85"/>
      <c r="M29" s="86"/>
      <c r="N29" s="88"/>
      <c r="O29" s="241"/>
      <c r="P29" s="465"/>
      <c r="Q29" s="253"/>
      <c r="R29" s="189"/>
      <c r="S29" s="169"/>
      <c r="T29" s="85"/>
      <c r="U29" s="85"/>
      <c r="V29" s="85"/>
      <c r="W29" s="86"/>
      <c r="X29" s="87"/>
      <c r="Y29" s="241"/>
      <c r="Z29" s="465"/>
      <c r="AA29" s="253"/>
      <c r="AB29" s="189"/>
      <c r="AC29" s="169"/>
      <c r="AD29" s="85"/>
      <c r="AE29" s="85"/>
      <c r="AF29" s="85"/>
      <c r="AG29" s="86"/>
      <c r="AH29" s="88"/>
      <c r="AI29" s="241"/>
      <c r="AJ29" s="718"/>
      <c r="AK29" s="87"/>
    </row>
    <row r="30" spans="1:37" ht="15.6" x14ac:dyDescent="0.3">
      <c r="A30" s="299" t="s">
        <v>8</v>
      </c>
      <c r="B30" s="218" t="str">
        <f t="shared" si="0"/>
        <v>Account ServicesIS SUPPORT</v>
      </c>
      <c r="C30" s="220" t="s">
        <v>50</v>
      </c>
      <c r="D30" s="10"/>
      <c r="E30" s="10"/>
      <c r="F30" s="10"/>
      <c r="G30" s="10"/>
      <c r="H30" s="61" t="s">
        <v>38</v>
      </c>
      <c r="I30" s="167"/>
      <c r="J30" s="74"/>
      <c r="K30" s="74"/>
      <c r="L30" s="74"/>
      <c r="M30" s="66"/>
      <c r="N30" s="91"/>
      <c r="O30" s="227"/>
      <c r="P30" s="466"/>
      <c r="Q30" s="252"/>
      <c r="R30" s="186" t="s">
        <v>38</v>
      </c>
      <c r="S30" s="167"/>
      <c r="T30" s="74"/>
      <c r="U30" s="74"/>
      <c r="V30" s="74"/>
      <c r="W30" s="66"/>
      <c r="X30" s="90"/>
      <c r="Y30" s="227"/>
      <c r="Z30" s="466"/>
      <c r="AA30" s="252"/>
      <c r="AB30" s="186" t="s">
        <v>38</v>
      </c>
      <c r="AC30" s="167"/>
      <c r="AD30" s="74"/>
      <c r="AE30" s="74"/>
      <c r="AF30" s="74"/>
      <c r="AG30" s="66"/>
      <c r="AH30" s="91"/>
      <c r="AI30" s="227"/>
      <c r="AJ30" s="719"/>
      <c r="AK30" s="90"/>
    </row>
    <row r="31" spans="1:37" ht="15.6" x14ac:dyDescent="0.3">
      <c r="A31" s="299" t="s">
        <v>8</v>
      </c>
      <c r="B31" s="218" t="str">
        <f t="shared" si="0"/>
        <v>Account ServicesAnalyst Labor</v>
      </c>
      <c r="C31" s="217" t="s">
        <v>48</v>
      </c>
      <c r="D31" s="10"/>
      <c r="E31" s="10"/>
      <c r="F31" s="10"/>
      <c r="G31" s="10"/>
      <c r="H31" s="38" t="s">
        <v>39</v>
      </c>
      <c r="I31" s="162">
        <f>J31*K31</f>
        <v>0</v>
      </c>
      <c r="J31" s="42"/>
      <c r="K31" s="39">
        <v>22.94</v>
      </c>
      <c r="L31" s="39"/>
      <c r="M31" s="40" t="str">
        <f>J31&amp;" hrs @ "&amp;K31</f>
        <v xml:space="preserve"> hrs @ 22.94</v>
      </c>
      <c r="N31" s="94"/>
      <c r="O31" s="234"/>
      <c r="P31" s="466"/>
      <c r="Q31" s="252"/>
      <c r="R31" s="184" t="s">
        <v>39</v>
      </c>
      <c r="S31" s="162">
        <f>T31*U31</f>
        <v>0</v>
      </c>
      <c r="T31" s="42"/>
      <c r="U31" s="39">
        <v>22.94</v>
      </c>
      <c r="V31" s="39"/>
      <c r="W31" s="40" t="str">
        <f>T31&amp;" hrs @ "&amp;U31</f>
        <v xml:space="preserve"> hrs @ 22.94</v>
      </c>
      <c r="X31" s="93"/>
      <c r="Y31" s="234"/>
      <c r="Z31" s="466"/>
      <c r="AA31" s="252"/>
      <c r="AB31" s="184" t="s">
        <v>39</v>
      </c>
      <c r="AC31" s="162">
        <f>AD31*AE31</f>
        <v>0</v>
      </c>
      <c r="AD31" s="42"/>
      <c r="AE31" s="39">
        <v>22.94</v>
      </c>
      <c r="AF31" s="39"/>
      <c r="AG31" s="40" t="str">
        <f>AD31&amp;" hrs @ "&amp;AE31</f>
        <v xml:space="preserve"> hrs @ 22.94</v>
      </c>
      <c r="AH31" s="94"/>
      <c r="AI31" s="242"/>
      <c r="AJ31" s="720">
        <f t="shared" ref="AJ31:AJ33" si="26">I31+S31+AC31</f>
        <v>0</v>
      </c>
      <c r="AK31" s="93"/>
    </row>
    <row r="32" spans="1:37" ht="15.6" x14ac:dyDescent="0.3">
      <c r="A32" s="299" t="s">
        <v>8</v>
      </c>
      <c r="B32" s="218" t="str">
        <f t="shared" si="0"/>
        <v>Account ServicesAnalyst Benefits</v>
      </c>
      <c r="C32" s="217" t="s">
        <v>48</v>
      </c>
      <c r="D32" s="10"/>
      <c r="E32" s="10"/>
      <c r="F32" s="10"/>
      <c r="G32" s="10"/>
      <c r="H32" s="38" t="s">
        <v>40</v>
      </c>
      <c r="I32" s="159">
        <f>I31*$O$2</f>
        <v>0</v>
      </c>
      <c r="J32" s="42"/>
      <c r="K32" s="39"/>
      <c r="L32" s="156"/>
      <c r="M32" s="45" t="str">
        <f>"@ "&amp;$O$2*100&amp;" %"</f>
        <v>@ 98.59 %</v>
      </c>
      <c r="N32" s="94"/>
      <c r="O32" s="234"/>
      <c r="P32" s="466"/>
      <c r="Q32" s="252"/>
      <c r="R32" s="184" t="s">
        <v>40</v>
      </c>
      <c r="S32" s="159">
        <f>S31*$O$2</f>
        <v>0</v>
      </c>
      <c r="T32" s="42"/>
      <c r="U32" s="39"/>
      <c r="V32" s="156"/>
      <c r="W32" s="45" t="str">
        <f>"@ "&amp;$O$2*100&amp;" %"</f>
        <v>@ 98.59 %</v>
      </c>
      <c r="X32" s="93"/>
      <c r="Y32" s="234"/>
      <c r="Z32" s="466"/>
      <c r="AA32" s="252"/>
      <c r="AB32" s="184" t="s">
        <v>40</v>
      </c>
      <c r="AC32" s="159">
        <f>AC31*$O$2</f>
        <v>0</v>
      </c>
      <c r="AD32" s="42"/>
      <c r="AE32" s="39"/>
      <c r="AF32" s="156"/>
      <c r="AG32" s="45" t="str">
        <f>"@ "&amp;$O$2*100&amp;" %"</f>
        <v>@ 98.59 %</v>
      </c>
      <c r="AH32" s="94"/>
      <c r="AI32" s="228"/>
      <c r="AJ32" s="720">
        <f t="shared" si="26"/>
        <v>0</v>
      </c>
      <c r="AK32" s="93"/>
    </row>
    <row r="33" spans="1:37" ht="15.6" x14ac:dyDescent="0.3">
      <c r="A33" s="299" t="s">
        <v>8</v>
      </c>
      <c r="B33" s="218" t="str">
        <f t="shared" si="0"/>
        <v>Account ServicesTotal IS</v>
      </c>
      <c r="C33" s="220" t="s">
        <v>50</v>
      </c>
      <c r="D33" s="10"/>
      <c r="E33" s="10"/>
      <c r="F33" s="10"/>
      <c r="G33" s="10"/>
      <c r="H33" s="49" t="s">
        <v>41</v>
      </c>
      <c r="I33" s="165">
        <f>I31+I32</f>
        <v>0</v>
      </c>
      <c r="J33" s="68"/>
      <c r="K33" s="68"/>
      <c r="L33" s="68"/>
      <c r="M33" s="66"/>
      <c r="N33" s="420">
        <f>I33</f>
        <v>0</v>
      </c>
      <c r="O33" s="233">
        <f>N33/N45</f>
        <v>0</v>
      </c>
      <c r="P33" s="466"/>
      <c r="Q33" s="252"/>
      <c r="R33" s="185" t="s">
        <v>41</v>
      </c>
      <c r="S33" s="165">
        <f>S31+S32</f>
        <v>0</v>
      </c>
      <c r="T33" s="68"/>
      <c r="U33" s="68"/>
      <c r="V33" s="68"/>
      <c r="W33" s="66"/>
      <c r="X33" s="52">
        <f>S33</f>
        <v>0</v>
      </c>
      <c r="Y33" s="233">
        <f>X33/X45</f>
        <v>0</v>
      </c>
      <c r="Z33" s="466"/>
      <c r="AA33" s="252"/>
      <c r="AB33" s="185" t="s">
        <v>41</v>
      </c>
      <c r="AC33" s="165">
        <f>AC31+AC32</f>
        <v>0</v>
      </c>
      <c r="AD33" s="68"/>
      <c r="AE33" s="68"/>
      <c r="AF33" s="68"/>
      <c r="AG33" s="66"/>
      <c r="AH33" s="420">
        <f>AC33</f>
        <v>0</v>
      </c>
      <c r="AI33" s="240">
        <f>AH33/AH45</f>
        <v>0</v>
      </c>
      <c r="AJ33" s="221">
        <f t="shared" si="26"/>
        <v>0</v>
      </c>
      <c r="AK33" s="52"/>
    </row>
    <row r="34" spans="1:37" ht="15.6" x14ac:dyDescent="0.3">
      <c r="A34" s="299" t="s">
        <v>8</v>
      </c>
      <c r="B34" s="218" t="str">
        <f t="shared" si="0"/>
        <v>Account Services</v>
      </c>
      <c r="C34" s="217" t="s">
        <v>48</v>
      </c>
      <c r="D34" s="10"/>
      <c r="E34" s="10"/>
      <c r="F34" s="10"/>
      <c r="G34" s="10"/>
      <c r="H34" s="54"/>
      <c r="I34" s="170"/>
      <c r="J34" s="95"/>
      <c r="K34" s="95"/>
      <c r="L34" s="95"/>
      <c r="M34" s="96"/>
      <c r="N34" s="98"/>
      <c r="O34" s="243"/>
      <c r="P34" s="467"/>
      <c r="Q34" s="253"/>
      <c r="R34" s="179"/>
      <c r="S34" s="170"/>
      <c r="T34" s="95"/>
      <c r="U34" s="95"/>
      <c r="V34" s="95"/>
      <c r="W34" s="96"/>
      <c r="X34" s="97"/>
      <c r="Y34" s="243"/>
      <c r="Z34" s="467"/>
      <c r="AA34" s="253"/>
      <c r="AB34" s="179"/>
      <c r="AC34" s="170"/>
      <c r="AD34" s="95"/>
      <c r="AE34" s="95"/>
      <c r="AF34" s="95"/>
      <c r="AG34" s="96"/>
      <c r="AH34" s="98"/>
      <c r="AI34" s="243"/>
      <c r="AJ34" s="721"/>
      <c r="AK34" s="97"/>
    </row>
    <row r="35" spans="1:37" ht="15.6" x14ac:dyDescent="0.3">
      <c r="A35" s="299" t="s">
        <v>8</v>
      </c>
      <c r="B35" s="218" t="str">
        <f t="shared" si="0"/>
        <v>Account ServicesOTHER</v>
      </c>
      <c r="C35" s="220" t="s">
        <v>50</v>
      </c>
      <c r="D35" s="10"/>
      <c r="E35" s="10"/>
      <c r="F35" s="10"/>
      <c r="G35" s="10"/>
      <c r="H35" s="61" t="s">
        <v>42</v>
      </c>
      <c r="I35" s="167"/>
      <c r="J35" s="74"/>
      <c r="K35" s="74"/>
      <c r="L35" s="74"/>
      <c r="M35" s="66"/>
      <c r="N35" s="91"/>
      <c r="O35" s="227"/>
      <c r="P35" s="466"/>
      <c r="Q35" s="252"/>
      <c r="R35" s="186" t="s">
        <v>42</v>
      </c>
      <c r="S35" s="167"/>
      <c r="T35" s="74"/>
      <c r="U35" s="74"/>
      <c r="V35" s="74"/>
      <c r="W35" s="66"/>
      <c r="X35" s="90"/>
      <c r="Y35" s="227"/>
      <c r="Z35" s="466"/>
      <c r="AA35" s="252"/>
      <c r="AB35" s="186" t="s">
        <v>42</v>
      </c>
      <c r="AC35" s="167"/>
      <c r="AD35" s="74"/>
      <c r="AE35" s="74"/>
      <c r="AF35" s="74"/>
      <c r="AG35" s="66"/>
      <c r="AH35" s="91"/>
      <c r="AI35" s="227"/>
      <c r="AJ35" s="719"/>
      <c r="AK35" s="90"/>
    </row>
    <row r="36" spans="1:37" ht="15.6" x14ac:dyDescent="0.3">
      <c r="A36" s="299" t="s">
        <v>8</v>
      </c>
      <c r="B36" s="218" t="str">
        <f t="shared" si="0"/>
        <v>Account ServicesPostage</v>
      </c>
      <c r="C36" s="217" t="s">
        <v>48</v>
      </c>
      <c r="D36" s="10"/>
      <c r="E36" s="10"/>
      <c r="F36" s="10"/>
      <c r="G36" s="10"/>
      <c r="H36" s="38" t="s">
        <v>232</v>
      </c>
      <c r="I36" s="163">
        <f>J36*K36</f>
        <v>2373145.5329999998</v>
      </c>
      <c r="J36" s="293">
        <v>0.89100000000000001</v>
      </c>
      <c r="K36" s="39">
        <v>2663463</v>
      </c>
      <c r="L36" s="42"/>
      <c r="M36" s="66"/>
      <c r="N36" s="91"/>
      <c r="O36" s="227"/>
      <c r="P36" s="466"/>
      <c r="Q36" s="252"/>
      <c r="R36" s="184" t="s">
        <v>232</v>
      </c>
      <c r="S36" s="163">
        <f>T36*U36</f>
        <v>279663.61499999999</v>
      </c>
      <c r="T36" s="293">
        <v>0.105</v>
      </c>
      <c r="U36" s="39">
        <v>2663463</v>
      </c>
      <c r="V36" s="42"/>
      <c r="W36" s="66"/>
      <c r="X36" s="90"/>
      <c r="Y36" s="227"/>
      <c r="Z36" s="466"/>
      <c r="AA36" s="252"/>
      <c r="AB36" s="184" t="s">
        <v>232</v>
      </c>
      <c r="AC36" s="163">
        <f>AD36*AE36</f>
        <v>10653.852000000001</v>
      </c>
      <c r="AD36" s="293">
        <v>4.0000000000000001E-3</v>
      </c>
      <c r="AE36" s="39">
        <v>2663463</v>
      </c>
      <c r="AF36" s="42"/>
      <c r="AG36" s="66"/>
      <c r="AH36" s="91"/>
      <c r="AI36" s="227"/>
      <c r="AJ36" s="719">
        <f t="shared" ref="AJ36:AJ41" si="27">I36+S36+AC36</f>
        <v>2663463</v>
      </c>
      <c r="AK36" s="90"/>
    </row>
    <row r="37" spans="1:37" ht="15.6" x14ac:dyDescent="0.3">
      <c r="A37" s="299" t="s">
        <v>8</v>
      </c>
      <c r="B37" s="218" t="str">
        <f t="shared" si="0"/>
        <v>Account ServicesEnvelopes</v>
      </c>
      <c r="C37" s="217" t="s">
        <v>48</v>
      </c>
      <c r="D37" s="10"/>
      <c r="E37" s="10"/>
      <c r="F37" s="10"/>
      <c r="G37" s="10"/>
      <c r="H37" s="38" t="s">
        <v>233</v>
      </c>
      <c r="I37" s="163">
        <f t="shared" ref="I37:I41" si="28">J37*K37</f>
        <v>157617.9</v>
      </c>
      <c r="J37" s="293">
        <f>+J36</f>
        <v>0.89100000000000001</v>
      </c>
      <c r="K37" s="39">
        <v>176900</v>
      </c>
      <c r="L37" s="42"/>
      <c r="M37" s="66"/>
      <c r="N37" s="91"/>
      <c r="O37" s="227"/>
      <c r="P37" s="466"/>
      <c r="Q37" s="252"/>
      <c r="R37" s="184" t="s">
        <v>233</v>
      </c>
      <c r="S37" s="163">
        <f t="shared" ref="S37:S41" si="29">T37*U37</f>
        <v>18574.5</v>
      </c>
      <c r="T37" s="293">
        <f>+T36</f>
        <v>0.105</v>
      </c>
      <c r="U37" s="39">
        <v>176900</v>
      </c>
      <c r="V37" s="42"/>
      <c r="W37" s="66"/>
      <c r="X37" s="90"/>
      <c r="Y37" s="227"/>
      <c r="Z37" s="466"/>
      <c r="AA37" s="252"/>
      <c r="AB37" s="184" t="s">
        <v>233</v>
      </c>
      <c r="AC37" s="163">
        <f t="shared" ref="AC37:AC41" si="30">AD37*AE37</f>
        <v>707.6</v>
      </c>
      <c r="AD37" s="293">
        <f>+AD36</f>
        <v>4.0000000000000001E-3</v>
      </c>
      <c r="AE37" s="39">
        <v>176900</v>
      </c>
      <c r="AF37" s="42"/>
      <c r="AG37" s="66"/>
      <c r="AH37" s="91"/>
      <c r="AI37" s="227"/>
      <c r="AJ37" s="719">
        <f t="shared" si="27"/>
        <v>176900</v>
      </c>
      <c r="AK37" s="90"/>
    </row>
    <row r="38" spans="1:37" ht="15.6" x14ac:dyDescent="0.3">
      <c r="A38" s="299" t="s">
        <v>8</v>
      </c>
      <c r="B38" s="218" t="str">
        <f t="shared" si="0"/>
        <v>Account ServicesBill  Stock</v>
      </c>
      <c r="C38" s="217" t="s">
        <v>48</v>
      </c>
      <c r="D38" s="10"/>
      <c r="E38" s="10"/>
      <c r="F38" s="10"/>
      <c r="G38" s="10"/>
      <c r="H38" s="38" t="s">
        <v>234</v>
      </c>
      <c r="I38" s="163">
        <f t="shared" si="28"/>
        <v>135426.65400000001</v>
      </c>
      <c r="J38" s="293">
        <f>+J36</f>
        <v>0.89100000000000001</v>
      </c>
      <c r="K38" s="39">
        <v>151994</v>
      </c>
      <c r="L38" s="42"/>
      <c r="M38" s="66"/>
      <c r="N38" s="91"/>
      <c r="O38" s="227"/>
      <c r="P38" s="466"/>
      <c r="Q38" s="252"/>
      <c r="R38" s="184" t="s">
        <v>234</v>
      </c>
      <c r="S38" s="163">
        <f t="shared" si="29"/>
        <v>15959.369999999999</v>
      </c>
      <c r="T38" s="293">
        <f>+T36</f>
        <v>0.105</v>
      </c>
      <c r="U38" s="39">
        <v>151994</v>
      </c>
      <c r="V38" s="42"/>
      <c r="W38" s="66"/>
      <c r="X38" s="90"/>
      <c r="Y38" s="227"/>
      <c r="Z38" s="466"/>
      <c r="AA38" s="252"/>
      <c r="AB38" s="184" t="s">
        <v>234</v>
      </c>
      <c r="AC38" s="163">
        <f t="shared" si="30"/>
        <v>607.976</v>
      </c>
      <c r="AD38" s="293">
        <f>+AD36</f>
        <v>4.0000000000000001E-3</v>
      </c>
      <c r="AE38" s="39">
        <v>151994</v>
      </c>
      <c r="AF38" s="42"/>
      <c r="AG38" s="66"/>
      <c r="AH38" s="91"/>
      <c r="AI38" s="227"/>
      <c r="AJ38" s="719">
        <f t="shared" si="27"/>
        <v>151994</v>
      </c>
      <c r="AK38" s="90"/>
    </row>
    <row r="39" spans="1:37" ht="15.6" x14ac:dyDescent="0.3">
      <c r="A39" s="299" t="s">
        <v>8</v>
      </c>
      <c r="B39" s="218" t="str">
        <f t="shared" si="0"/>
        <v>Account ServicesRefund Check Stock</v>
      </c>
      <c r="C39" s="217" t="s">
        <v>48</v>
      </c>
      <c r="D39" s="10"/>
      <c r="E39" s="10"/>
      <c r="F39" s="10"/>
      <c r="G39" s="10"/>
      <c r="H39" s="38" t="s">
        <v>240</v>
      </c>
      <c r="I39" s="163">
        <f t="shared" si="28"/>
        <v>1328.1</v>
      </c>
      <c r="J39" s="293">
        <v>0.95</v>
      </c>
      <c r="K39" s="39">
        <v>1398</v>
      </c>
      <c r="L39" s="42"/>
      <c r="M39" s="66"/>
      <c r="N39" s="91"/>
      <c r="O39" s="227"/>
      <c r="P39" s="466"/>
      <c r="Q39" s="252"/>
      <c r="R39" s="184" t="s">
        <v>240</v>
      </c>
      <c r="S39" s="163">
        <f t="shared" si="29"/>
        <v>69.900000000000006</v>
      </c>
      <c r="T39" s="293">
        <v>0.05</v>
      </c>
      <c r="U39" s="39">
        <v>1398</v>
      </c>
      <c r="V39" s="42"/>
      <c r="W39" s="66"/>
      <c r="X39" s="90"/>
      <c r="Y39" s="227"/>
      <c r="Z39" s="466"/>
      <c r="AA39" s="252"/>
      <c r="AB39" s="184" t="s">
        <v>240</v>
      </c>
      <c r="AC39" s="163">
        <f t="shared" si="30"/>
        <v>0</v>
      </c>
      <c r="AD39" s="42">
        <v>0</v>
      </c>
      <c r="AE39" s="39">
        <v>1398</v>
      </c>
      <c r="AF39" s="42"/>
      <c r="AG39" s="66"/>
      <c r="AH39" s="91"/>
      <c r="AI39" s="227"/>
      <c r="AJ39" s="719">
        <f t="shared" si="27"/>
        <v>1398</v>
      </c>
      <c r="AK39" s="90"/>
    </row>
    <row r="40" spans="1:37" ht="15.6" x14ac:dyDescent="0.3">
      <c r="A40" s="299" t="s">
        <v>8</v>
      </c>
      <c r="B40" s="218" t="str">
        <f t="shared" si="0"/>
        <v>Account ServicesAWIS</v>
      </c>
      <c r="C40" s="217" t="s">
        <v>48</v>
      </c>
      <c r="D40" s="10"/>
      <c r="E40" s="10"/>
      <c r="F40" s="10"/>
      <c r="G40" s="10"/>
      <c r="H40" s="38" t="s">
        <v>288</v>
      </c>
      <c r="I40" s="163">
        <f t="shared" si="28"/>
        <v>2440.8000000000002</v>
      </c>
      <c r="J40" s="293">
        <v>0.90400000000000003</v>
      </c>
      <c r="K40" s="39">
        <v>2700</v>
      </c>
      <c r="L40" s="42"/>
      <c r="M40" s="66"/>
      <c r="N40" s="91"/>
      <c r="O40" s="227"/>
      <c r="P40" s="466"/>
      <c r="Q40" s="252"/>
      <c r="R40" s="184" t="s">
        <v>288</v>
      </c>
      <c r="S40" s="163">
        <f t="shared" si="29"/>
        <v>251.1</v>
      </c>
      <c r="T40" s="293">
        <v>9.2999999999999999E-2</v>
      </c>
      <c r="U40" s="39">
        <v>2700</v>
      </c>
      <c r="V40" s="42"/>
      <c r="W40" s="66"/>
      <c r="X40" s="90"/>
      <c r="Y40" s="227"/>
      <c r="Z40" s="466"/>
      <c r="AA40" s="252"/>
      <c r="AB40" s="184" t="s">
        <v>288</v>
      </c>
      <c r="AC40" s="163">
        <f t="shared" si="30"/>
        <v>8.1</v>
      </c>
      <c r="AD40" s="293">
        <v>3.0000000000000001E-3</v>
      </c>
      <c r="AE40" s="39">
        <v>2700</v>
      </c>
      <c r="AF40" s="42"/>
      <c r="AG40" s="66"/>
      <c r="AH40" s="91"/>
      <c r="AI40" s="227"/>
      <c r="AJ40" s="719">
        <f t="shared" si="27"/>
        <v>2700</v>
      </c>
      <c r="AK40" s="90"/>
    </row>
    <row r="41" spans="1:37" ht="15.6" x14ac:dyDescent="0.3">
      <c r="A41" s="299" t="s">
        <v>8</v>
      </c>
      <c r="B41" s="218" t="str">
        <f t="shared" si="0"/>
        <v>Account ServicesMisc</v>
      </c>
      <c r="C41" s="217" t="s">
        <v>48</v>
      </c>
      <c r="D41" s="10"/>
      <c r="E41" s="10"/>
      <c r="F41" s="10"/>
      <c r="G41" s="10"/>
      <c r="H41" s="38" t="s">
        <v>241</v>
      </c>
      <c r="I41" s="163">
        <f t="shared" si="28"/>
        <v>10793.7</v>
      </c>
      <c r="J41" s="294">
        <v>0.89500000000000002</v>
      </c>
      <c r="K41" s="82">
        <v>12060</v>
      </c>
      <c r="L41" s="67"/>
      <c r="M41" s="177"/>
      <c r="N41" s="94"/>
      <c r="O41" s="228"/>
      <c r="P41" s="466"/>
      <c r="Q41" s="252"/>
      <c r="R41" s="184" t="s">
        <v>241</v>
      </c>
      <c r="S41" s="163">
        <f t="shared" si="29"/>
        <v>1266.3</v>
      </c>
      <c r="T41" s="294">
        <v>0.105</v>
      </c>
      <c r="U41" s="82">
        <v>12060</v>
      </c>
      <c r="V41" s="67"/>
      <c r="W41" s="177"/>
      <c r="X41" s="93"/>
      <c r="Y41" s="228"/>
      <c r="Z41" s="466"/>
      <c r="AA41" s="252"/>
      <c r="AB41" s="184" t="s">
        <v>241</v>
      </c>
      <c r="AC41" s="163">
        <f t="shared" si="30"/>
        <v>0</v>
      </c>
      <c r="AD41" s="82">
        <v>0</v>
      </c>
      <c r="AE41" s="82">
        <v>12060</v>
      </c>
      <c r="AF41" s="67"/>
      <c r="AG41" s="177"/>
      <c r="AH41" s="94"/>
      <c r="AI41" s="228"/>
      <c r="AJ41" s="720">
        <f t="shared" si="27"/>
        <v>12060</v>
      </c>
      <c r="AK41" s="93"/>
    </row>
    <row r="42" spans="1:37" ht="15.6" x14ac:dyDescent="0.3">
      <c r="A42" s="299" t="s">
        <v>8</v>
      </c>
      <c r="B42" s="218" t="str">
        <f t="shared" si="0"/>
        <v>Account ServicesTotal Other</v>
      </c>
      <c r="C42" s="220" t="s">
        <v>50</v>
      </c>
      <c r="D42" s="10"/>
      <c r="E42" s="116">
        <f>I42</f>
        <v>2680752.6869999999</v>
      </c>
      <c r="F42" s="116">
        <f>S42</f>
        <v>315784.78499999997</v>
      </c>
      <c r="G42" s="116">
        <f>AC42</f>
        <v>11977.528000000002</v>
      </c>
      <c r="H42" s="30" t="s">
        <v>45</v>
      </c>
      <c r="I42" s="209">
        <f>SUM(I36:I41)</f>
        <v>2680752.6869999999</v>
      </c>
      <c r="J42" s="152"/>
      <c r="K42" s="152"/>
      <c r="L42" s="152"/>
      <c r="M42" s="86"/>
      <c r="N42" s="210">
        <f>I42</f>
        <v>2680752.6869999999</v>
      </c>
      <c r="O42" s="244">
        <f>N42/N45</f>
        <v>0.77886182643635493</v>
      </c>
      <c r="P42" s="467"/>
      <c r="Q42" s="253"/>
      <c r="R42" s="134" t="s">
        <v>45</v>
      </c>
      <c r="S42" s="209">
        <f>SUM(S36:S41)</f>
        <v>315784.78499999997</v>
      </c>
      <c r="T42" s="152"/>
      <c r="U42" s="152"/>
      <c r="V42" s="152"/>
      <c r="W42" s="86"/>
      <c r="X42" s="210">
        <f>S42</f>
        <v>315784.78499999997</v>
      </c>
      <c r="Y42" s="244">
        <f>X42/X45</f>
        <v>0.80282939340322979</v>
      </c>
      <c r="Z42" s="467"/>
      <c r="AA42" s="253"/>
      <c r="AB42" s="134" t="s">
        <v>45</v>
      </c>
      <c r="AC42" s="209">
        <f>SUM(AC36:AC41)</f>
        <v>11977.528000000002</v>
      </c>
      <c r="AD42" s="152"/>
      <c r="AE42" s="152"/>
      <c r="AF42" s="152"/>
      <c r="AG42" s="86"/>
      <c r="AH42" s="210">
        <f>AC42</f>
        <v>11977.528000000002</v>
      </c>
      <c r="AI42" s="244">
        <f>AH42/AH45</f>
        <v>1</v>
      </c>
      <c r="AJ42" s="210">
        <f>I42+S42+AC42</f>
        <v>3008515</v>
      </c>
      <c r="AK42" s="210"/>
    </row>
    <row r="43" spans="1:37" ht="15.6" x14ac:dyDescent="0.3">
      <c r="A43" s="299" t="s">
        <v>8</v>
      </c>
      <c r="B43" s="218" t="str">
        <f t="shared" si="0"/>
        <v>Account Services</v>
      </c>
      <c r="C43" s="217" t="s">
        <v>48</v>
      </c>
      <c r="D43" s="10"/>
      <c r="E43" s="10"/>
      <c r="F43" s="10"/>
      <c r="G43" s="10"/>
      <c r="H43" s="121"/>
      <c r="I43" s="171"/>
      <c r="J43" s="153"/>
      <c r="K43" s="153"/>
      <c r="L43" s="153"/>
      <c r="M43" s="66"/>
      <c r="N43" s="91"/>
      <c r="O43" s="135"/>
      <c r="P43" s="466"/>
      <c r="Q43" s="252"/>
      <c r="R43" s="135"/>
      <c r="S43" s="171"/>
      <c r="T43" s="153"/>
      <c r="U43" s="153"/>
      <c r="V43" s="153"/>
      <c r="W43" s="66"/>
      <c r="X43" s="90"/>
      <c r="Y43" s="135"/>
      <c r="Z43" s="466"/>
      <c r="AA43" s="252"/>
      <c r="AB43" s="135"/>
      <c r="AC43" s="171"/>
      <c r="AD43" s="153"/>
      <c r="AE43" s="153"/>
      <c r="AF43" s="153"/>
      <c r="AG43" s="66"/>
      <c r="AH43" s="91"/>
      <c r="AI43" s="135"/>
      <c r="AJ43" s="719"/>
      <c r="AK43" s="90"/>
    </row>
    <row r="44" spans="1:37" ht="15.6" x14ac:dyDescent="0.3">
      <c r="A44" s="299" t="s">
        <v>8</v>
      </c>
      <c r="B44" s="218" t="str">
        <f t="shared" si="0"/>
        <v>Account ServicesTOTALS</v>
      </c>
      <c r="C44" s="217" t="s">
        <v>48</v>
      </c>
      <c r="D44" s="10"/>
      <c r="E44" s="10"/>
      <c r="F44" s="10"/>
      <c r="G44" s="10"/>
      <c r="H44" s="35" t="s">
        <v>28</v>
      </c>
      <c r="I44" s="172"/>
      <c r="J44" s="42"/>
      <c r="K44" s="39"/>
      <c r="L44" s="154"/>
      <c r="M44" s="33"/>
      <c r="N44" s="91"/>
      <c r="O44" s="136"/>
      <c r="P44" s="466"/>
      <c r="Q44" s="252"/>
      <c r="R44" s="136" t="s">
        <v>28</v>
      </c>
      <c r="S44" s="172"/>
      <c r="T44" s="42"/>
      <c r="U44" s="39"/>
      <c r="V44" s="154"/>
      <c r="W44" s="33"/>
      <c r="X44" s="90"/>
      <c r="Y44" s="136"/>
      <c r="Z44" s="466"/>
      <c r="AA44" s="252"/>
      <c r="AB44" s="136" t="s">
        <v>28</v>
      </c>
      <c r="AC44" s="172"/>
      <c r="AD44" s="42"/>
      <c r="AE44" s="39"/>
      <c r="AF44" s="154"/>
      <c r="AG44" s="33"/>
      <c r="AH44" s="91"/>
      <c r="AI44" s="136"/>
      <c r="AJ44" s="719"/>
      <c r="AK44" s="90"/>
    </row>
    <row r="45" spans="1:37" ht="15.6" x14ac:dyDescent="0.3">
      <c r="A45" s="299" t="s">
        <v>8</v>
      </c>
      <c r="B45" s="218" t="str">
        <f t="shared" si="0"/>
        <v>Account ServicesPER YEAR</v>
      </c>
      <c r="C45" s="220" t="s">
        <v>50</v>
      </c>
      <c r="D45" s="10"/>
      <c r="E45" s="116">
        <f>I45</f>
        <v>3441884.8067899998</v>
      </c>
      <c r="F45" s="116">
        <f>S45</f>
        <v>393339.83981499996</v>
      </c>
      <c r="G45" s="116">
        <f>S45</f>
        <v>393339.83981499996</v>
      </c>
      <c r="H45" s="105" t="s">
        <v>46</v>
      </c>
      <c r="I45" s="106">
        <f>I14+I21+I28+I33+I42</f>
        <v>3441884.8067899998</v>
      </c>
      <c r="J45" s="106"/>
      <c r="K45" s="106"/>
      <c r="L45" s="106"/>
      <c r="M45" s="107"/>
      <c r="N45" s="420">
        <f>SUM(N14:N43)</f>
        <v>3441884.8067899998</v>
      </c>
      <c r="O45" s="233">
        <f>SUM(O14:O43)</f>
        <v>1</v>
      </c>
      <c r="P45" s="466"/>
      <c r="Q45" s="252"/>
      <c r="R45" s="190" t="s">
        <v>46</v>
      </c>
      <c r="S45" s="106">
        <f>S14+S21+S28+S33+S42</f>
        <v>393339.83981499996</v>
      </c>
      <c r="T45" s="106"/>
      <c r="U45" s="106"/>
      <c r="V45" s="106"/>
      <c r="W45" s="107"/>
      <c r="X45" s="52">
        <f>SUM(X14:X43)</f>
        <v>393339.83981499996</v>
      </c>
      <c r="Y45" s="233">
        <f>SUM(Y14:Y43)</f>
        <v>1</v>
      </c>
      <c r="Z45" s="466"/>
      <c r="AA45" s="252"/>
      <c r="AB45" s="190" t="s">
        <v>46</v>
      </c>
      <c r="AC45" s="106">
        <f>AC14+AC21+AC28+AC33+AC42</f>
        <v>11977.528000000002</v>
      </c>
      <c r="AD45" s="106"/>
      <c r="AE45" s="106"/>
      <c r="AF45" s="106"/>
      <c r="AG45" s="107"/>
      <c r="AH45" s="420">
        <f>SUM(AH14:AH43)</f>
        <v>11977.528000000002</v>
      </c>
      <c r="AI45" s="233">
        <f>SUM(AI14:AI43)</f>
        <v>1</v>
      </c>
      <c r="AJ45" s="221">
        <f>I45+S45+AC45</f>
        <v>3847202.1746049998</v>
      </c>
      <c r="AK45" s="52"/>
    </row>
    <row r="46" spans="1:37" ht="15.6" x14ac:dyDescent="0.3">
      <c r="A46" s="299" t="s">
        <v>8</v>
      </c>
      <c r="B46" s="218" t="str">
        <f t="shared" si="0"/>
        <v>Account ServicesPER BILL</v>
      </c>
      <c r="C46" s="220" t="s">
        <v>50</v>
      </c>
      <c r="D46" s="10"/>
      <c r="E46" s="10"/>
      <c r="F46" s="10"/>
      <c r="G46" s="10"/>
      <c r="H46" s="137" t="s">
        <v>286</v>
      </c>
      <c r="I46" s="108">
        <f>I45/I$6</f>
        <v>0.44216964913653273</v>
      </c>
      <c r="J46" s="108"/>
      <c r="K46" s="108"/>
      <c r="L46" s="108"/>
      <c r="M46" s="109"/>
      <c r="N46" s="98"/>
      <c r="O46" s="245"/>
      <c r="P46" s="467"/>
      <c r="Q46" s="253"/>
      <c r="R46" s="137" t="s">
        <v>286</v>
      </c>
      <c r="S46" s="108">
        <f>S45/S$6</f>
        <v>0.51632546844603477</v>
      </c>
      <c r="T46" s="108"/>
      <c r="U46" s="108"/>
      <c r="V46" s="108"/>
      <c r="W46" s="109"/>
      <c r="X46" s="97"/>
      <c r="Y46" s="245"/>
      <c r="Z46" s="467"/>
      <c r="AA46" s="253"/>
      <c r="AB46" s="137" t="s">
        <v>286</v>
      </c>
      <c r="AC46" s="108">
        <f>AC45/AC$6</f>
        <v>0.47801125434010466</v>
      </c>
      <c r="AD46" s="108"/>
      <c r="AE46" s="108"/>
      <c r="AF46" s="108"/>
      <c r="AG46" s="109"/>
      <c r="AH46" s="98"/>
      <c r="AI46" s="245"/>
      <c r="AJ46" s="721">
        <f>I46+S46+AC46</f>
        <v>1.4365063719226723</v>
      </c>
      <c r="AK46" s="97"/>
    </row>
    <row r="47" spans="1:37" ht="15.6" x14ac:dyDescent="0.3">
      <c r="A47" s="299" t="s">
        <v>8</v>
      </c>
      <c r="B47" s="218"/>
      <c r="C47" s="220"/>
      <c r="D47" s="10"/>
      <c r="E47" s="10"/>
      <c r="F47" s="10"/>
      <c r="G47" s="10"/>
      <c r="H47" s="137" t="s">
        <v>585</v>
      </c>
      <c r="I47" s="659">
        <f>I14+I21</f>
        <v>761132.11979000003</v>
      </c>
      <c r="J47" s="108"/>
      <c r="K47" s="108"/>
      <c r="L47" s="108"/>
      <c r="M47" s="109"/>
      <c r="N47" s="656"/>
      <c r="O47" s="657"/>
      <c r="P47" s="92"/>
      <c r="Q47" s="37"/>
      <c r="R47" s="137" t="s">
        <v>585</v>
      </c>
      <c r="S47" s="659">
        <f>S14+S21</f>
        <v>77555.054814999996</v>
      </c>
      <c r="T47" s="108"/>
      <c r="U47" s="108"/>
      <c r="V47" s="108"/>
      <c r="W47" s="109"/>
      <c r="X47" s="658"/>
      <c r="Y47" s="657"/>
      <c r="Z47" s="92"/>
      <c r="AA47" s="37"/>
      <c r="AB47" s="137" t="s">
        <v>585</v>
      </c>
      <c r="AC47" s="659">
        <f>AC14+AC21</f>
        <v>0</v>
      </c>
      <c r="AD47" s="108"/>
      <c r="AE47" s="108"/>
      <c r="AF47" s="108"/>
      <c r="AG47" s="109"/>
      <c r="AH47" s="656"/>
      <c r="AI47" s="137"/>
      <c r="AJ47" s="717">
        <f>I47+S47+AC47</f>
        <v>838687.17460500007</v>
      </c>
      <c r="AK47" s="658"/>
    </row>
    <row r="48" spans="1:37" ht="15.6" x14ac:dyDescent="0.3">
      <c r="A48" s="299" t="s">
        <v>8</v>
      </c>
      <c r="B48" s="218"/>
      <c r="C48" s="220"/>
      <c r="D48" s="10"/>
      <c r="E48" s="10"/>
      <c r="F48" s="10"/>
      <c r="G48" s="10"/>
      <c r="H48" s="137" t="s">
        <v>586</v>
      </c>
      <c r="I48" s="659">
        <f>I42+I33+I28</f>
        <v>2680752.6869999999</v>
      </c>
      <c r="J48" s="108"/>
      <c r="K48" s="659"/>
      <c r="L48" s="108"/>
      <c r="M48" s="109"/>
      <c r="N48" s="656"/>
      <c r="O48" s="657"/>
      <c r="P48" s="92"/>
      <c r="Q48" s="37"/>
      <c r="R48" s="137" t="s">
        <v>586</v>
      </c>
      <c r="S48" s="659">
        <f>S42+S33+S28</f>
        <v>315784.78499999997</v>
      </c>
      <c r="T48" s="108"/>
      <c r="U48" s="659"/>
      <c r="V48" s="108"/>
      <c r="W48" s="109"/>
      <c r="X48" s="658"/>
      <c r="Y48" s="657"/>
      <c r="Z48" s="92"/>
      <c r="AA48" s="37"/>
      <c r="AB48" s="137" t="s">
        <v>586</v>
      </c>
      <c r="AC48" s="659">
        <f>AC42+AC33+AC28</f>
        <v>11977.528000000002</v>
      </c>
      <c r="AD48" s="108"/>
      <c r="AE48" s="659"/>
      <c r="AF48" s="108"/>
      <c r="AG48" s="109"/>
      <c r="AH48" s="656"/>
      <c r="AI48" s="137"/>
      <c r="AJ48" s="717">
        <f>I48+S48+AC48</f>
        <v>3008515</v>
      </c>
      <c r="AK48" s="658"/>
    </row>
    <row r="49" spans="1:37" ht="15.6" x14ac:dyDescent="0.3">
      <c r="A49" s="299" t="s">
        <v>8</v>
      </c>
      <c r="B49" s="218"/>
      <c r="C49" s="220"/>
      <c r="D49" s="10"/>
      <c r="E49" s="10"/>
      <c r="F49" s="10"/>
      <c r="G49" s="10"/>
      <c r="H49" s="137" t="s">
        <v>584</v>
      </c>
      <c r="I49" s="659">
        <f>I45</f>
        <v>3441884.8067899998</v>
      </c>
      <c r="J49" s="108"/>
      <c r="K49" s="108"/>
      <c r="L49" s="108"/>
      <c r="M49" s="109"/>
      <c r="N49" s="656"/>
      <c r="O49" s="657"/>
      <c r="P49" s="92"/>
      <c r="Q49" s="37"/>
      <c r="R49" s="137" t="s">
        <v>584</v>
      </c>
      <c r="S49" s="659">
        <f>S45</f>
        <v>393339.83981499996</v>
      </c>
      <c r="T49" s="108"/>
      <c r="U49" s="108"/>
      <c r="V49" s="108"/>
      <c r="W49" s="109"/>
      <c r="X49" s="658"/>
      <c r="Y49" s="657"/>
      <c r="Z49" s="92"/>
      <c r="AA49" s="37"/>
      <c r="AB49" s="137" t="s">
        <v>584</v>
      </c>
      <c r="AC49" s="659">
        <f>AC45</f>
        <v>11977.528000000002</v>
      </c>
      <c r="AD49" s="108"/>
      <c r="AE49" s="108"/>
      <c r="AF49" s="108"/>
      <c r="AG49" s="109"/>
      <c r="AH49" s="656"/>
      <c r="AI49" s="137"/>
      <c r="AJ49" s="717">
        <f>I49+S49+AC49</f>
        <v>3847202.1746049998</v>
      </c>
      <c r="AK49" s="658"/>
    </row>
    <row r="50" spans="1:37" ht="171.6" x14ac:dyDescent="0.3">
      <c r="A50" s="299" t="s">
        <v>4</v>
      </c>
      <c r="B50" s="218" t="str">
        <f t="shared" si="0"/>
        <v>Contact CenterLABOR: NON-SUPERVISORY</v>
      </c>
      <c r="C50" s="12" t="s">
        <v>4</v>
      </c>
      <c r="D50" s="10" t="str">
        <f>'2015Summary METER to CASH (Base'!G13</f>
        <v xml:space="preserve">* Respond to customer billing questions
* Request for rebill to accounting
* Work non-delivered e-bills
* Work non-deliverable mailed bills
* Review daily temperature values
</v>
      </c>
      <c r="E50" s="133">
        <f>N93</f>
        <v>2733598.0414367509</v>
      </c>
      <c r="F50" s="133">
        <f>X93</f>
        <v>267529.47740719659</v>
      </c>
      <c r="G50" s="133">
        <f>AC93</f>
        <v>8799.4661572527966</v>
      </c>
      <c r="H50" s="182" t="s">
        <v>31</v>
      </c>
      <c r="I50" s="157"/>
      <c r="J50" s="302">
        <v>1800</v>
      </c>
      <c r="K50" s="302" t="s">
        <v>298</v>
      </c>
      <c r="L50" s="118"/>
      <c r="M50" s="119"/>
      <c r="N50" s="121"/>
      <c r="O50" s="136"/>
      <c r="P50" s="456"/>
      <c r="Q50" s="248"/>
      <c r="R50" s="183" t="s">
        <v>31</v>
      </c>
      <c r="S50" s="157"/>
      <c r="T50" s="302">
        <v>1800</v>
      </c>
      <c r="U50" s="302" t="s">
        <v>298</v>
      </c>
      <c r="V50" s="118"/>
      <c r="W50" s="119"/>
      <c r="X50" s="120"/>
      <c r="Y50" s="136"/>
      <c r="Z50" s="456"/>
      <c r="AA50" s="248"/>
      <c r="AB50" s="183" t="s">
        <v>31</v>
      </c>
      <c r="AC50" s="157"/>
      <c r="AD50" s="302">
        <v>1800</v>
      </c>
      <c r="AE50" s="302" t="s">
        <v>298</v>
      </c>
      <c r="AF50" s="118"/>
      <c r="AG50" s="119"/>
      <c r="AH50" s="121"/>
      <c r="AI50" s="136"/>
      <c r="AJ50" s="713"/>
      <c r="AK50" s="120"/>
    </row>
    <row r="51" spans="1:37" ht="21" x14ac:dyDescent="0.4">
      <c r="A51" s="299" t="s">
        <v>4</v>
      </c>
      <c r="B51" s="218" t="str">
        <f t="shared" si="0"/>
        <v>Contact CenterCust Svc 3/Operat Sppt 2  (4)</v>
      </c>
      <c r="C51" s="5" t="s">
        <v>48</v>
      </c>
      <c r="D51" s="10"/>
      <c r="E51" s="10"/>
      <c r="F51" s="10"/>
      <c r="G51" s="10"/>
      <c r="H51" s="38" t="s">
        <v>293</v>
      </c>
      <c r="I51" s="163">
        <f>J51*K51</f>
        <v>58737.201534607913</v>
      </c>
      <c r="J51" s="42">
        <f>((J50)*4*L51)*(I$6/($I$6+$S$6+$AC$6))</f>
        <v>2157.8692701913269</v>
      </c>
      <c r="K51" s="39">
        <v>27.22</v>
      </c>
      <c r="L51" s="304">
        <f>$S$1</f>
        <v>0.33</v>
      </c>
      <c r="M51" s="40" t="str">
        <f>ROUND(J51,0)&amp;" hrs @ "&amp;K51</f>
        <v>2158 hrs @ 27.22</v>
      </c>
      <c r="N51" s="35"/>
      <c r="O51" s="136"/>
      <c r="P51" s="457"/>
      <c r="Q51" s="249"/>
      <c r="R51" s="184" t="s">
        <v>293</v>
      </c>
      <c r="S51" s="163">
        <f>T51*U51</f>
        <v>5748.4431115028747</v>
      </c>
      <c r="T51" s="42">
        <f>((T50)*4*V51)*(S$6/($I$6+$S$6+$AC$6))</f>
        <v>211.18453752765888</v>
      </c>
      <c r="U51" s="39">
        <v>27.22</v>
      </c>
      <c r="V51" s="304">
        <f>$S$1</f>
        <v>0.33</v>
      </c>
      <c r="W51" s="40" t="str">
        <f>ROUND(T51,0)&amp;" hrs @ "&amp;U51</f>
        <v>211 hrs @ 27.22</v>
      </c>
      <c r="X51" s="34"/>
      <c r="Y51" s="136"/>
      <c r="Z51" s="457"/>
      <c r="AA51" s="249"/>
      <c r="AB51" s="184" t="s">
        <v>293</v>
      </c>
      <c r="AC51" s="163">
        <f>AD51*AE51</f>
        <v>189.07535388921525</v>
      </c>
      <c r="AD51" s="42">
        <f>((AD50)*4*AF51)*(AC$6/($I$6+$S$6+$AC$6))</f>
        <v>6.9461922810145209</v>
      </c>
      <c r="AE51" s="39">
        <v>27.22</v>
      </c>
      <c r="AF51" s="304">
        <f>$S$1</f>
        <v>0.33</v>
      </c>
      <c r="AG51" s="40" t="str">
        <f>ROUND(AD51,0)&amp;" hrs @ "&amp;AE51</f>
        <v>7 hrs @ 27.22</v>
      </c>
      <c r="AH51" s="35"/>
      <c r="AI51" s="136"/>
      <c r="AJ51" s="714">
        <f t="shared" ref="AJ51:AJ58" si="31">I51+S51+AC51</f>
        <v>64674.720000000001</v>
      </c>
      <c r="AK51" s="34"/>
    </row>
    <row r="52" spans="1:37" ht="21" x14ac:dyDescent="0.4">
      <c r="A52" s="299" t="s">
        <v>4</v>
      </c>
      <c r="B52" s="218" t="str">
        <f t="shared" si="0"/>
        <v>Contact CenterCustomer Service 2  (34)</v>
      </c>
      <c r="C52" s="5" t="s">
        <v>48</v>
      </c>
      <c r="D52" s="10"/>
      <c r="E52" s="10"/>
      <c r="F52" s="10"/>
      <c r="G52" s="10"/>
      <c r="H52" s="38" t="s">
        <v>294</v>
      </c>
      <c r="I52" s="163">
        <f>J52*K52</f>
        <v>426815.75229749345</v>
      </c>
      <c r="J52" s="42">
        <f>((J50)*34*L52)*(I$6/($I$6+$S$6+$AC$6))</f>
        <v>18341.888796626277</v>
      </c>
      <c r="K52" s="39">
        <v>23.27</v>
      </c>
      <c r="L52" s="304">
        <f>$S$1</f>
        <v>0.33</v>
      </c>
      <c r="M52" s="40" t="str">
        <f t="shared" ref="M52:M55" si="32">ROUND(J52,0)&amp;" hrs @ "&amp;K52</f>
        <v>18342 hrs @ 23.27</v>
      </c>
      <c r="N52" s="35"/>
      <c r="O52" s="136"/>
      <c r="P52" s="457"/>
      <c r="Q52" s="250"/>
      <c r="R52" s="184" t="s">
        <v>294</v>
      </c>
      <c r="S52" s="163">
        <f>T52*U52</f>
        <v>41771.245600283284</v>
      </c>
      <c r="T52" s="42">
        <f>((T50)*34*V52)*(S$6/($I$6+$S$6+$AC$6))</f>
        <v>1795.0685689851002</v>
      </c>
      <c r="U52" s="39">
        <v>23.27</v>
      </c>
      <c r="V52" s="304">
        <f>$S$1</f>
        <v>0.33</v>
      </c>
      <c r="W52" s="40" t="str">
        <f t="shared" ref="W52:W55" si="33">ROUND(T52,0)&amp;" hrs @ "&amp;U52</f>
        <v>1795 hrs @ 23.27</v>
      </c>
      <c r="X52" s="34"/>
      <c r="Y52" s="136"/>
      <c r="Z52" s="457"/>
      <c r="AA52" s="250"/>
      <c r="AB52" s="184" t="s">
        <v>294</v>
      </c>
      <c r="AC52" s="163">
        <f>AD52*AE52</f>
        <v>1373.9221022232671</v>
      </c>
      <c r="AD52" s="42">
        <f>((AD50)*34*AF52)*(AC$6/($I$6+$S$6+$AC$6))</f>
        <v>59.042634388623426</v>
      </c>
      <c r="AE52" s="39">
        <v>23.27</v>
      </c>
      <c r="AF52" s="304">
        <f>$S$1</f>
        <v>0.33</v>
      </c>
      <c r="AG52" s="40" t="str">
        <f t="shared" ref="AG52:AG55" si="34">ROUND(AD52,0)&amp;" hrs @ "&amp;AE52</f>
        <v>59 hrs @ 23.27</v>
      </c>
      <c r="AH52" s="35"/>
      <c r="AI52" s="136"/>
      <c r="AJ52" s="714">
        <f t="shared" si="31"/>
        <v>469960.92</v>
      </c>
      <c r="AK52" s="34"/>
    </row>
    <row r="53" spans="1:37" ht="21" x14ac:dyDescent="0.4">
      <c r="A53" s="299" t="s">
        <v>4</v>
      </c>
      <c r="B53" s="218" t="str">
        <f t="shared" si="0"/>
        <v>Contact CenterCustomer Service 3  (35)</v>
      </c>
      <c r="C53" s="5" t="s">
        <v>48</v>
      </c>
      <c r="D53" s="10"/>
      <c r="E53" s="10"/>
      <c r="F53" s="10"/>
      <c r="G53" s="10"/>
      <c r="H53" s="38" t="s">
        <v>295</v>
      </c>
      <c r="I53" s="163">
        <f>J53*K53*L53</f>
        <v>167734.41517587713</v>
      </c>
      <c r="J53" s="42">
        <f>((J50)*35*L53)*(I$6/($I$6+$S$6+$AC$6))</f>
        <v>18881.356114174108</v>
      </c>
      <c r="K53" s="39">
        <v>26.92</v>
      </c>
      <c r="L53" s="304">
        <f>$S$1</f>
        <v>0.33</v>
      </c>
      <c r="M53" s="40" t="str">
        <f t="shared" si="32"/>
        <v>18881 hrs @ 26.92</v>
      </c>
      <c r="N53" s="35"/>
      <c r="O53" s="136"/>
      <c r="P53" s="457"/>
      <c r="Q53" s="250"/>
      <c r="R53" s="184" t="s">
        <v>295</v>
      </c>
      <c r="S53" s="163">
        <f>T53*U53*V53</f>
        <v>16415.690878831214</v>
      </c>
      <c r="T53" s="42">
        <f>((T50)*35*V53)*(S$6/($I$6+$S$6+$AC$6))</f>
        <v>1847.864703367015</v>
      </c>
      <c r="U53" s="39">
        <v>26.92</v>
      </c>
      <c r="V53" s="304">
        <f>$S$1</f>
        <v>0.33</v>
      </c>
      <c r="W53" s="40" t="str">
        <f t="shared" si="33"/>
        <v>1848 hrs @ 26.92</v>
      </c>
      <c r="X53" s="34"/>
      <c r="Y53" s="136"/>
      <c r="Z53" s="457"/>
      <c r="AA53" s="250"/>
      <c r="AB53" s="184" t="s">
        <v>295</v>
      </c>
      <c r="AC53" s="163">
        <f>AD53*AE53*AF53</f>
        <v>539.93794529168031</v>
      </c>
      <c r="AD53" s="42">
        <f>((AD50)*35*AF53)*(AC$6/($I$6+$S$6+$AC$6))</f>
        <v>60.779182458877052</v>
      </c>
      <c r="AE53" s="39">
        <v>26.92</v>
      </c>
      <c r="AF53" s="304">
        <f>$S$1</f>
        <v>0.33</v>
      </c>
      <c r="AG53" s="40" t="str">
        <f t="shared" si="34"/>
        <v>61 hrs @ 26.92</v>
      </c>
      <c r="AH53" s="35"/>
      <c r="AI53" s="136"/>
      <c r="AJ53" s="714">
        <f t="shared" si="31"/>
        <v>184690.04400000005</v>
      </c>
      <c r="AK53" s="34"/>
    </row>
    <row r="54" spans="1:37" ht="21" x14ac:dyDescent="0.4">
      <c r="A54" s="299" t="s">
        <v>4</v>
      </c>
      <c r="B54" s="218" t="str">
        <f t="shared" si="0"/>
        <v>Contact CenterCustomer Service 4  (18)</v>
      </c>
      <c r="C54" s="5" t="s">
        <v>48</v>
      </c>
      <c r="D54" s="10"/>
      <c r="E54" s="10"/>
      <c r="F54" s="10"/>
      <c r="G54" s="10"/>
      <c r="H54" s="38" t="s">
        <v>296</v>
      </c>
      <c r="I54" s="163">
        <f>J54*K54</f>
        <v>297721.22320829734</v>
      </c>
      <c r="J54" s="42">
        <f>((J50)*18*L54)*(I$6/($I$6+$S$6+$AC$6))</f>
        <v>9710.4117158609697</v>
      </c>
      <c r="K54" s="39">
        <v>30.66</v>
      </c>
      <c r="L54" s="304">
        <f>$S$1</f>
        <v>0.33</v>
      </c>
      <c r="M54" s="40" t="str">
        <f t="shared" si="32"/>
        <v>9710 hrs @ 30.66</v>
      </c>
      <c r="N54" s="35"/>
      <c r="O54" s="136"/>
      <c r="P54" s="457"/>
      <c r="Q54" s="249"/>
      <c r="R54" s="184" t="s">
        <v>296</v>
      </c>
      <c r="S54" s="163">
        <f>T54*U54</f>
        <v>29137.130642691092</v>
      </c>
      <c r="T54" s="42">
        <f>((T50)*18*V54)*(S$6/($I$6+$S$6+$AC$6))</f>
        <v>950.33041887446484</v>
      </c>
      <c r="U54" s="39">
        <v>30.66</v>
      </c>
      <c r="V54" s="304">
        <f>$S$1</f>
        <v>0.33</v>
      </c>
      <c r="W54" s="40" t="str">
        <f t="shared" si="33"/>
        <v>950 hrs @ 30.66</v>
      </c>
      <c r="X54" s="34"/>
      <c r="Y54" s="136"/>
      <c r="Z54" s="457"/>
      <c r="AA54" s="249"/>
      <c r="AB54" s="184" t="s">
        <v>296</v>
      </c>
      <c r="AC54" s="163">
        <f>AD54*AE54</f>
        <v>958.36614901157338</v>
      </c>
      <c r="AD54" s="42">
        <f>((AD50)*18*AF54)*(AC$6/($I$6+$S$6+$AC$6))</f>
        <v>31.257865264565343</v>
      </c>
      <c r="AE54" s="39">
        <v>30.66</v>
      </c>
      <c r="AF54" s="304">
        <f>$S$1</f>
        <v>0.33</v>
      </c>
      <c r="AG54" s="40" t="str">
        <f t="shared" si="34"/>
        <v>31 hrs @ 30.66</v>
      </c>
      <c r="AH54" s="35"/>
      <c r="AI54" s="136"/>
      <c r="AJ54" s="714">
        <f t="shared" si="31"/>
        <v>327816.72000000003</v>
      </c>
      <c r="AK54" s="34"/>
    </row>
    <row r="55" spans="1:37" ht="21" x14ac:dyDescent="0.4">
      <c r="A55" s="299" t="s">
        <v>4</v>
      </c>
      <c r="B55" s="218" t="str">
        <f t="shared" si="0"/>
        <v>Contact CenterOperational Support 1</v>
      </c>
      <c r="C55" s="5" t="s">
        <v>48</v>
      </c>
      <c r="D55" s="10"/>
      <c r="E55" s="10"/>
      <c r="F55" s="10"/>
      <c r="G55" s="10"/>
      <c r="H55" s="179" t="s">
        <v>297</v>
      </c>
      <c r="I55" s="161">
        <f>J55*K55</f>
        <v>10471.060633603414</v>
      </c>
      <c r="J55" s="174">
        <f>((J50)*1*L55)*(I$6/($I$6+$S$6+$AC$6))</f>
        <v>539.46731754783173</v>
      </c>
      <c r="K55" s="175">
        <v>19.41</v>
      </c>
      <c r="L55" s="305">
        <f>$S$1</f>
        <v>0.33</v>
      </c>
      <c r="M55" s="176" t="str">
        <f t="shared" si="32"/>
        <v>539 hrs @ 19.41</v>
      </c>
      <c r="N55" s="35"/>
      <c r="O55" s="136"/>
      <c r="P55" s="457"/>
      <c r="Q55" s="251"/>
      <c r="R55" s="179" t="s">
        <v>297</v>
      </c>
      <c r="S55" s="161">
        <f>T55*U55</f>
        <v>1024.7729683529647</v>
      </c>
      <c r="T55" s="174">
        <f>((T50)*1*V55)*(S$6/($I$6+$S$6+$AC$6))</f>
        <v>52.796134381914719</v>
      </c>
      <c r="U55" s="175">
        <v>19.41</v>
      </c>
      <c r="V55" s="305">
        <f>$S$1</f>
        <v>0.33</v>
      </c>
      <c r="W55" s="176" t="str">
        <f t="shared" si="33"/>
        <v>53 hrs @ 19.41</v>
      </c>
      <c r="X55" s="34"/>
      <c r="Y55" s="136"/>
      <c r="Z55" s="457"/>
      <c r="AA55" s="251"/>
      <c r="AB55" s="179" t="s">
        <v>297</v>
      </c>
      <c r="AC55" s="161">
        <f>AD55*AE55</f>
        <v>33.706398043622961</v>
      </c>
      <c r="AD55" s="174">
        <f>((AD50)*1*AF55)*(AC$6/($I$6+$S$6+$AC$6))</f>
        <v>1.7365480702536302</v>
      </c>
      <c r="AE55" s="175">
        <v>19.41</v>
      </c>
      <c r="AF55" s="305">
        <f>$S$1</f>
        <v>0.33</v>
      </c>
      <c r="AG55" s="176" t="str">
        <f t="shared" si="34"/>
        <v>2 hrs @ 19.41</v>
      </c>
      <c r="AH55" s="35"/>
      <c r="AI55" s="136"/>
      <c r="AJ55" s="714">
        <f t="shared" si="31"/>
        <v>11529.540000000003</v>
      </c>
      <c r="AK55" s="34"/>
    </row>
    <row r="56" spans="1:37" ht="21" x14ac:dyDescent="0.4">
      <c r="A56" s="299" t="s">
        <v>4</v>
      </c>
      <c r="B56" s="218" t="str">
        <f t="shared" si="0"/>
        <v>Contact CenterTotal Wages</v>
      </c>
      <c r="C56" s="5" t="s">
        <v>48</v>
      </c>
      <c r="D56" s="10"/>
      <c r="E56" s="10"/>
      <c r="F56" s="10"/>
      <c r="G56" s="10"/>
      <c r="H56" s="38" t="s">
        <v>32</v>
      </c>
      <c r="I56" s="158">
        <f>SUM(I51:I55)</f>
        <v>961479.65284987923</v>
      </c>
      <c r="J56" s="42"/>
      <c r="K56" s="39"/>
      <c r="L56" s="39"/>
      <c r="M56" s="40"/>
      <c r="N56" s="35"/>
      <c r="O56" s="136"/>
      <c r="P56" s="457"/>
      <c r="Q56" s="249"/>
      <c r="R56" s="184" t="s">
        <v>32</v>
      </c>
      <c r="S56" s="158">
        <f>SUM(S51:S55)</f>
        <v>94097.283201661427</v>
      </c>
      <c r="T56" s="42"/>
      <c r="U56" s="39"/>
      <c r="V56" s="39"/>
      <c r="W56" s="40"/>
      <c r="X56" s="34"/>
      <c r="Y56" s="136"/>
      <c r="Z56" s="457"/>
      <c r="AA56" s="249"/>
      <c r="AB56" s="184" t="s">
        <v>32</v>
      </c>
      <c r="AC56" s="158">
        <f>SUM(AC51:AC55)</f>
        <v>3095.0079484593589</v>
      </c>
      <c r="AD56" s="42"/>
      <c r="AE56" s="39"/>
      <c r="AF56" s="39"/>
      <c r="AG56" s="40"/>
      <c r="AH56" s="35"/>
      <c r="AI56" s="136"/>
      <c r="AJ56" s="714">
        <f t="shared" si="31"/>
        <v>1058671.9439999999</v>
      </c>
      <c r="AK56" s="34"/>
    </row>
    <row r="57" spans="1:37" ht="21" x14ac:dyDescent="0.4">
      <c r="A57" s="299" t="s">
        <v>4</v>
      </c>
      <c r="B57" s="218" t="str">
        <f t="shared" si="0"/>
        <v>Contact CenterBenefits</v>
      </c>
      <c r="C57" s="5" t="s">
        <v>48</v>
      </c>
      <c r="D57" s="10"/>
      <c r="E57" s="10"/>
      <c r="F57" s="10"/>
      <c r="G57" s="10"/>
      <c r="H57" s="38" t="s">
        <v>33</v>
      </c>
      <c r="I57" s="159">
        <f>I56*$O$2</f>
        <v>947922.78974469588</v>
      </c>
      <c r="J57" s="42"/>
      <c r="K57" s="39"/>
      <c r="M57" s="45" t="str">
        <f>"@ "&amp;$O$2*100&amp;" %"</f>
        <v>@ 98.59 %</v>
      </c>
      <c r="N57" s="47"/>
      <c r="O57" s="432"/>
      <c r="P57" s="460"/>
      <c r="Q57" s="249"/>
      <c r="R57" s="184" t="s">
        <v>33</v>
      </c>
      <c r="S57" s="159">
        <f>S56*$O$2</f>
        <v>92770.511508518</v>
      </c>
      <c r="T57" s="42"/>
      <c r="U57" s="39"/>
      <c r="W57" s="45" t="str">
        <f>"@ "&amp;$O$2*100&amp;" %"</f>
        <v>@ 98.59 %</v>
      </c>
      <c r="X57" s="46"/>
      <c r="Y57" s="432"/>
      <c r="Z57" s="460"/>
      <c r="AA57" s="249"/>
      <c r="AB57" s="184" t="s">
        <v>33</v>
      </c>
      <c r="AC57" s="159">
        <f>AC56*$O$2</f>
        <v>3051.3683363860819</v>
      </c>
      <c r="AD57" s="42"/>
      <c r="AE57" s="39"/>
      <c r="AG57" s="45" t="str">
        <f>"@ "&amp;$O$2*100&amp;" %"</f>
        <v>@ 98.59 %</v>
      </c>
      <c r="AH57" s="47"/>
      <c r="AI57" s="432"/>
      <c r="AJ57" s="716">
        <f t="shared" si="31"/>
        <v>1043744.6695895999</v>
      </c>
      <c r="AK57" s="46"/>
    </row>
    <row r="58" spans="1:37" ht="21" x14ac:dyDescent="0.4">
      <c r="A58" s="299" t="s">
        <v>4</v>
      </c>
      <c r="B58" s="218" t="str">
        <f t="shared" si="0"/>
        <v>Contact CenterTotal</v>
      </c>
      <c r="C58" s="5" t="s">
        <v>48</v>
      </c>
      <c r="D58" s="10"/>
      <c r="E58" s="10"/>
      <c r="F58" s="10"/>
      <c r="G58" s="10"/>
      <c r="H58" s="49" t="s">
        <v>34</v>
      </c>
      <c r="I58" s="160">
        <f>I56+I57</f>
        <v>1909402.4425945752</v>
      </c>
      <c r="J58" s="42"/>
      <c r="K58" s="39"/>
      <c r="L58" s="50"/>
      <c r="M58" s="51"/>
      <c r="N58" s="420">
        <f>I58</f>
        <v>1909402.4425945752</v>
      </c>
      <c r="O58" s="233">
        <f>N58/N93</f>
        <v>0.69849422396828065</v>
      </c>
      <c r="P58" s="461"/>
      <c r="Q58" s="252"/>
      <c r="R58" s="185" t="s">
        <v>34</v>
      </c>
      <c r="S58" s="160">
        <f>S56+S57</f>
        <v>186867.79471017944</v>
      </c>
      <c r="T58" s="42"/>
      <c r="U58" s="39"/>
      <c r="V58" s="50"/>
      <c r="W58" s="51"/>
      <c r="X58" s="52">
        <f>S58</f>
        <v>186867.79471017944</v>
      </c>
      <c r="Y58" s="233">
        <f>X58/X93</f>
        <v>0.69849422396828065</v>
      </c>
      <c r="Z58" s="461"/>
      <c r="AA58" s="252"/>
      <c r="AB58" s="185" t="s">
        <v>34</v>
      </c>
      <c r="AC58" s="160">
        <f>AC56+AC57</f>
        <v>6146.3762848454408</v>
      </c>
      <c r="AD58" s="42"/>
      <c r="AE58" s="39"/>
      <c r="AF58" s="50"/>
      <c r="AG58" s="51"/>
      <c r="AH58" s="420">
        <f>AC58</f>
        <v>6146.3762848454408</v>
      </c>
      <c r="AI58" s="233">
        <f>AH58/AH93</f>
        <v>0.69849422396828065</v>
      </c>
      <c r="AJ58" s="221">
        <f t="shared" si="31"/>
        <v>2102416.6135896002</v>
      </c>
      <c r="AK58" s="52"/>
    </row>
    <row r="59" spans="1:37" ht="21" x14ac:dyDescent="0.4">
      <c r="A59" s="299" t="s">
        <v>4</v>
      </c>
      <c r="B59" s="218" t="str">
        <f t="shared" si="0"/>
        <v>Contact Center</v>
      </c>
      <c r="C59" s="5" t="s">
        <v>48</v>
      </c>
      <c r="D59" s="10"/>
      <c r="E59" s="10"/>
      <c r="F59" s="10"/>
      <c r="G59" s="10"/>
      <c r="H59" s="54"/>
      <c r="I59" s="166"/>
      <c r="J59" s="69"/>
      <c r="K59" s="69"/>
      <c r="L59" s="69"/>
      <c r="M59" s="70"/>
      <c r="N59" s="58"/>
      <c r="O59" s="231"/>
      <c r="P59" s="458"/>
      <c r="Q59" s="253"/>
      <c r="R59" s="179"/>
      <c r="S59" s="166"/>
      <c r="T59" s="69"/>
      <c r="U59" s="69"/>
      <c r="V59" s="69"/>
      <c r="W59" s="70"/>
      <c r="X59" s="57"/>
      <c r="Y59" s="231"/>
      <c r="Z59" s="458"/>
      <c r="AA59" s="253"/>
      <c r="AB59" s="179"/>
      <c r="AC59" s="166"/>
      <c r="AD59" s="69"/>
      <c r="AE59" s="69"/>
      <c r="AF59" s="69"/>
      <c r="AG59" s="70"/>
      <c r="AH59" s="58"/>
      <c r="AI59" s="231"/>
      <c r="AJ59" s="715"/>
      <c r="AK59" s="57"/>
    </row>
    <row r="60" spans="1:37" ht="21" x14ac:dyDescent="0.4">
      <c r="A60" s="299" t="s">
        <v>4</v>
      </c>
      <c r="B60" s="218" t="str">
        <f t="shared" si="0"/>
        <v>Contact CenterLABOR: SUPERVISORY</v>
      </c>
      <c r="C60" s="5" t="s">
        <v>48</v>
      </c>
      <c r="D60" s="10"/>
      <c r="E60" s="10"/>
      <c r="F60" s="10"/>
      <c r="G60" s="10"/>
      <c r="H60" s="61" t="s">
        <v>35</v>
      </c>
      <c r="I60" s="167"/>
      <c r="J60" s="302">
        <v>1800</v>
      </c>
      <c r="K60" s="302" t="s">
        <v>298</v>
      </c>
      <c r="L60" s="74"/>
      <c r="M60" s="66"/>
      <c r="N60" s="26"/>
      <c r="O60" s="234"/>
      <c r="P60" s="462"/>
      <c r="Q60" s="252"/>
      <c r="R60" s="186" t="s">
        <v>35</v>
      </c>
      <c r="S60" s="167"/>
      <c r="T60" s="302">
        <v>1800</v>
      </c>
      <c r="U60" s="302" t="s">
        <v>298</v>
      </c>
      <c r="V60" s="74"/>
      <c r="W60" s="66"/>
      <c r="X60" s="64"/>
      <c r="Y60" s="234"/>
      <c r="Z60" s="462"/>
      <c r="AA60" s="252"/>
      <c r="AB60" s="186" t="s">
        <v>35</v>
      </c>
      <c r="AC60" s="167"/>
      <c r="AD60" s="302">
        <v>1800</v>
      </c>
      <c r="AE60" s="302" t="s">
        <v>298</v>
      </c>
      <c r="AF60" s="74"/>
      <c r="AG60" s="66"/>
      <c r="AH60" s="26"/>
      <c r="AI60" s="234"/>
      <c r="AJ60" s="714"/>
      <c r="AK60" s="64"/>
    </row>
    <row r="61" spans="1:37" ht="21" x14ac:dyDescent="0.4">
      <c r="A61" s="299" t="s">
        <v>4</v>
      </c>
      <c r="B61" s="218" t="str">
        <f t="shared" si="0"/>
        <v>Contact CenterCustomer Contact Ctr Sr Manager</v>
      </c>
      <c r="C61" s="5" t="s">
        <v>48</v>
      </c>
      <c r="D61" s="10"/>
      <c r="E61" s="10"/>
      <c r="F61" s="10"/>
      <c r="G61" s="10"/>
      <c r="H61" s="38" t="s">
        <v>299</v>
      </c>
      <c r="I61" s="163">
        <f>J61*K61</f>
        <v>30091.486972818053</v>
      </c>
      <c r="J61" s="42">
        <f>((J60)*1*L61)*(I$6/($I$6+$S$6+$AC$6))</f>
        <v>539.46731754783173</v>
      </c>
      <c r="K61" s="39">
        <v>55.78</v>
      </c>
      <c r="L61" s="304">
        <f>$S$1</f>
        <v>0.33</v>
      </c>
      <c r="M61" s="40" t="str">
        <f>ROUND(J61,0)&amp;" hrs @ "&amp;K61</f>
        <v>539 hrs @ 55.78</v>
      </c>
      <c r="N61" s="26"/>
      <c r="O61" s="234"/>
      <c r="P61" s="462"/>
      <c r="Q61" s="252"/>
      <c r="R61" s="184" t="s">
        <v>299</v>
      </c>
      <c r="S61" s="163">
        <f>T61*U61</f>
        <v>2944.9683758232031</v>
      </c>
      <c r="T61" s="42">
        <f>((T60)*1*V61)*(S$6/($I$6+$S$6+$AC$6))</f>
        <v>52.796134381914719</v>
      </c>
      <c r="U61" s="39">
        <v>55.78</v>
      </c>
      <c r="V61" s="304">
        <f>$S$1</f>
        <v>0.33</v>
      </c>
      <c r="W61" s="40" t="str">
        <f>ROUND(T61,0)&amp;" hrs @ "&amp;U61</f>
        <v>53 hrs @ 55.78</v>
      </c>
      <c r="X61" s="64"/>
      <c r="Y61" s="234"/>
      <c r="Z61" s="462"/>
      <c r="AA61" s="252"/>
      <c r="AB61" s="184" t="s">
        <v>299</v>
      </c>
      <c r="AC61" s="163">
        <f>AD61*AE61</f>
        <v>96.864651358747494</v>
      </c>
      <c r="AD61" s="42">
        <f>((AD60)*1*AF61)*(AC$6/($I$6+$S$6+$AC$6))</f>
        <v>1.7365480702536302</v>
      </c>
      <c r="AE61" s="39">
        <v>55.78</v>
      </c>
      <c r="AF61" s="304">
        <f>$S$1</f>
        <v>0.33</v>
      </c>
      <c r="AG61" s="40" t="str">
        <f>ROUND(AD61,0)&amp;" hrs @ "&amp;AE61</f>
        <v>2 hrs @ 55.78</v>
      </c>
      <c r="AH61" s="26"/>
      <c r="AI61" s="234"/>
      <c r="AJ61" s="714">
        <f t="shared" ref="AJ61:AJ69" si="35">I61+S61+AC61</f>
        <v>33133.32</v>
      </c>
      <c r="AK61" s="64"/>
    </row>
    <row r="62" spans="1:37" ht="21" x14ac:dyDescent="0.4">
      <c r="A62" s="299" t="s">
        <v>4</v>
      </c>
      <c r="B62" s="218" t="str">
        <f t="shared" si="0"/>
        <v>Contact CenterAccounting Supervisor</v>
      </c>
      <c r="C62" s="5" t="s">
        <v>48</v>
      </c>
      <c r="D62" s="10"/>
      <c r="E62" s="10"/>
      <c r="F62" s="10"/>
      <c r="G62" s="10"/>
      <c r="H62" s="38" t="s">
        <v>300</v>
      </c>
      <c r="I62" s="163">
        <f>J62*K62</f>
        <v>25419.700002853828</v>
      </c>
      <c r="J62" s="42">
        <f>((J60)*1*L62)*(I$6/($I$6+$S$6+$AC$6))</f>
        <v>539.46731754783173</v>
      </c>
      <c r="K62" s="39">
        <v>47.12</v>
      </c>
      <c r="L62" s="304">
        <f>$S$1</f>
        <v>0.33</v>
      </c>
      <c r="M62" s="40" t="str">
        <f t="shared" ref="M62:M64" si="36">ROUND(J62,0)&amp;" hrs @ "&amp;K62</f>
        <v>539 hrs @ 47.12</v>
      </c>
      <c r="N62" s="26"/>
      <c r="O62" s="234"/>
      <c r="P62" s="462"/>
      <c r="Q62" s="252"/>
      <c r="R62" s="184" t="s">
        <v>300</v>
      </c>
      <c r="S62" s="163">
        <f>T62*U62</f>
        <v>2487.7538520758212</v>
      </c>
      <c r="T62" s="42">
        <f>((T60)*1*V62)*(S$6/($I$6+$S$6+$AC$6))</f>
        <v>52.796134381914719</v>
      </c>
      <c r="U62" s="39">
        <v>47.12</v>
      </c>
      <c r="V62" s="304">
        <f>$S$1</f>
        <v>0.33</v>
      </c>
      <c r="W62" s="40" t="str">
        <f t="shared" ref="W62:W64" si="37">ROUND(T62,0)&amp;" hrs @ "&amp;U62</f>
        <v>53 hrs @ 47.12</v>
      </c>
      <c r="X62" s="64"/>
      <c r="Y62" s="234"/>
      <c r="Z62" s="462"/>
      <c r="AA62" s="252"/>
      <c r="AB62" s="184" t="s">
        <v>300</v>
      </c>
      <c r="AC62" s="163">
        <f>AD62*AE62</f>
        <v>81.826145070351046</v>
      </c>
      <c r="AD62" s="42">
        <f>((AD60)*1*AF62)*(AC$6/($I$6+$S$6+$AC$6))</f>
        <v>1.7365480702536302</v>
      </c>
      <c r="AE62" s="39">
        <v>47.12</v>
      </c>
      <c r="AF62" s="304">
        <f>$S$1</f>
        <v>0.33</v>
      </c>
      <c r="AG62" s="40" t="str">
        <f t="shared" ref="AG62:AG64" si="38">ROUND(AD62,0)&amp;" hrs @ "&amp;AE62</f>
        <v>2 hrs @ 47.12</v>
      </c>
      <c r="AH62" s="26"/>
      <c r="AI62" s="234"/>
      <c r="AJ62" s="714">
        <f t="shared" si="35"/>
        <v>27989.279999999999</v>
      </c>
      <c r="AK62" s="64"/>
    </row>
    <row r="63" spans="1:37" ht="21" x14ac:dyDescent="0.4">
      <c r="A63" s="299" t="s">
        <v>4</v>
      </c>
      <c r="B63" s="218" t="str">
        <f t="shared" si="0"/>
        <v>Contact CenterCustomer Contact Ctr Supervisor (7)</v>
      </c>
      <c r="C63" s="5" t="s">
        <v>48</v>
      </c>
      <c r="D63" s="10"/>
      <c r="E63" s="10"/>
      <c r="F63" s="10"/>
      <c r="G63" s="10"/>
      <c r="H63" s="38" t="s">
        <v>301</v>
      </c>
      <c r="I63" s="163">
        <f>J63*K63*L63</f>
        <v>46855.973332934474</v>
      </c>
      <c r="J63" s="42">
        <f>((J60)*7*L63)*(I$6/($I$6+$S$6+$AC$6))</f>
        <v>3776.2712228348219</v>
      </c>
      <c r="K63" s="39">
        <v>37.6</v>
      </c>
      <c r="L63" s="304">
        <f>$S$1</f>
        <v>0.33</v>
      </c>
      <c r="M63" s="40" t="str">
        <f t="shared" si="36"/>
        <v>3776 hrs @ 37.6</v>
      </c>
      <c r="N63" s="26"/>
      <c r="O63" s="234"/>
      <c r="P63" s="462"/>
      <c r="Q63" s="252"/>
      <c r="R63" s="184" t="s">
        <v>301</v>
      </c>
      <c r="S63" s="163">
        <f>T63*U63*V63</f>
        <v>4585.6610478755847</v>
      </c>
      <c r="T63" s="42">
        <f>((T60)*7*V63)*(S$6/($I$6+$S$6+$AC$6))</f>
        <v>369.57294067340302</v>
      </c>
      <c r="U63" s="39">
        <v>37.6</v>
      </c>
      <c r="V63" s="304">
        <f>$S$1</f>
        <v>0.33</v>
      </c>
      <c r="W63" s="40" t="str">
        <f t="shared" si="37"/>
        <v>370 hrs @ 37.6</v>
      </c>
      <c r="X63" s="64"/>
      <c r="Y63" s="234"/>
      <c r="Z63" s="462"/>
      <c r="AA63" s="252"/>
      <c r="AB63" s="184" t="s">
        <v>301</v>
      </c>
      <c r="AC63" s="163">
        <f>AD63*AE63*AF63</f>
        <v>150.82961918994931</v>
      </c>
      <c r="AD63" s="42">
        <f>((AD60)*7*AF63)*(AC$6/($I$6+$S$6+$AC$6))</f>
        <v>12.15583649177541</v>
      </c>
      <c r="AE63" s="39">
        <v>37.6</v>
      </c>
      <c r="AF63" s="304">
        <f>$S$1</f>
        <v>0.33</v>
      </c>
      <c r="AG63" s="40" t="str">
        <f t="shared" si="38"/>
        <v>12 hrs @ 37.6</v>
      </c>
      <c r="AH63" s="26"/>
      <c r="AI63" s="234"/>
      <c r="AJ63" s="714">
        <f t="shared" si="35"/>
        <v>51592.464000000007</v>
      </c>
      <c r="AK63" s="64"/>
    </row>
    <row r="64" spans="1:37" ht="21" x14ac:dyDescent="0.4">
      <c r="A64" s="299" t="s">
        <v>4</v>
      </c>
      <c r="B64" s="218" t="str">
        <f t="shared" si="0"/>
        <v>Contact CenterCustomer Contact Ctr Analyst 2 (1) @ 33%</v>
      </c>
      <c r="C64" s="5" t="s">
        <v>48</v>
      </c>
      <c r="D64" s="10"/>
      <c r="E64" s="10"/>
      <c r="F64" s="10"/>
      <c r="G64" s="10"/>
      <c r="H64" s="38" t="s">
        <v>302</v>
      </c>
      <c r="I64" s="163">
        <f>J64*K64</f>
        <v>17408.610337268532</v>
      </c>
      <c r="J64" s="42">
        <f>((J60)*1*L64)*(I$6/($I$6+$S$6+$AC$6))</f>
        <v>539.46731754783173</v>
      </c>
      <c r="K64" s="39">
        <v>32.270000000000003</v>
      </c>
      <c r="L64" s="304">
        <f>$S$1</f>
        <v>0.33</v>
      </c>
      <c r="M64" s="40" t="str">
        <f t="shared" si="36"/>
        <v>539 hrs @ 32.27</v>
      </c>
      <c r="N64" s="26"/>
      <c r="O64" s="234"/>
      <c r="P64" s="462"/>
      <c r="Q64" s="252"/>
      <c r="R64" s="184" t="s">
        <v>302</v>
      </c>
      <c r="S64" s="163">
        <f>T64*U64</f>
        <v>1703.7312565043881</v>
      </c>
      <c r="T64" s="42">
        <f>((T60)*1*V64)*(S$6/($I$6+$S$6+$AC$6))</f>
        <v>52.796134381914719</v>
      </c>
      <c r="U64" s="39">
        <v>32.270000000000003</v>
      </c>
      <c r="V64" s="304">
        <f>$S$1</f>
        <v>0.33</v>
      </c>
      <c r="W64" s="40" t="str">
        <f t="shared" si="37"/>
        <v>53 hrs @ 32.27</v>
      </c>
      <c r="X64" s="64"/>
      <c r="Y64" s="234"/>
      <c r="Z64" s="462"/>
      <c r="AA64" s="252"/>
      <c r="AB64" s="184" t="s">
        <v>302</v>
      </c>
      <c r="AC64" s="163">
        <f>AD64*AE64</f>
        <v>56.03840622708465</v>
      </c>
      <c r="AD64" s="42">
        <f>((AD60)*1*AF64)*(AC$6/($I$6+$S$6+$AC$6))</f>
        <v>1.7365480702536302</v>
      </c>
      <c r="AE64" s="39">
        <v>32.270000000000003</v>
      </c>
      <c r="AF64" s="304">
        <f>$S$1</f>
        <v>0.33</v>
      </c>
      <c r="AG64" s="40" t="str">
        <f t="shared" si="38"/>
        <v>2 hrs @ 32.27</v>
      </c>
      <c r="AH64" s="26"/>
      <c r="AI64" s="234"/>
      <c r="AJ64" s="714">
        <f t="shared" si="35"/>
        <v>19168.380000000005</v>
      </c>
      <c r="AK64" s="64"/>
    </row>
    <row r="65" spans="1:37" ht="21" x14ac:dyDescent="0.4">
      <c r="A65" s="299" t="s">
        <v>4</v>
      </c>
      <c r="B65" s="218" t="str">
        <f t="shared" si="0"/>
        <v>Contact Center</v>
      </c>
      <c r="C65" s="5" t="s">
        <v>48</v>
      </c>
      <c r="D65" s="10"/>
      <c r="E65" s="10"/>
      <c r="F65" s="10"/>
      <c r="G65" s="10"/>
      <c r="H65" s="179"/>
      <c r="I65" s="173"/>
      <c r="J65" s="174"/>
      <c r="K65" s="175"/>
      <c r="L65" s="181"/>
      <c r="M65" s="176"/>
      <c r="N65" s="26"/>
      <c r="O65" s="234"/>
      <c r="P65" s="462"/>
      <c r="Q65" s="252"/>
      <c r="R65" s="179"/>
      <c r="S65" s="173"/>
      <c r="T65" s="174"/>
      <c r="U65" s="175"/>
      <c r="V65" s="181"/>
      <c r="W65" s="176"/>
      <c r="X65" s="64"/>
      <c r="Y65" s="234"/>
      <c r="Z65" s="462"/>
      <c r="AA65" s="252"/>
      <c r="AB65" s="179"/>
      <c r="AC65" s="173"/>
      <c r="AD65" s="174"/>
      <c r="AE65" s="175"/>
      <c r="AF65" s="181"/>
      <c r="AG65" s="176"/>
      <c r="AH65" s="26"/>
      <c r="AI65" s="234"/>
      <c r="AJ65" s="714">
        <f t="shared" si="35"/>
        <v>0</v>
      </c>
      <c r="AK65" s="64"/>
    </row>
    <row r="66" spans="1:37" ht="21" x14ac:dyDescent="0.4">
      <c r="A66" s="299" t="s">
        <v>4</v>
      </c>
      <c r="B66" s="218" t="str">
        <f t="shared" si="0"/>
        <v>Contact CenterTotal Wages</v>
      </c>
      <c r="C66" s="5" t="s">
        <v>48</v>
      </c>
      <c r="D66" s="10"/>
      <c r="E66" s="10"/>
      <c r="F66" s="10"/>
      <c r="G66" s="10"/>
      <c r="H66" s="38" t="s">
        <v>32</v>
      </c>
      <c r="I66" s="158">
        <f>SUM(I61:I65)</f>
        <v>119775.77064587489</v>
      </c>
      <c r="J66" s="42"/>
      <c r="K66" s="39"/>
      <c r="L66" s="39"/>
      <c r="M66" s="40"/>
      <c r="N66" s="26"/>
      <c r="O66" s="234"/>
      <c r="P66" s="462"/>
      <c r="Q66" s="249"/>
      <c r="R66" s="184" t="s">
        <v>32</v>
      </c>
      <c r="S66" s="158">
        <f>SUM(S61:S65)</f>
        <v>11722.114532278998</v>
      </c>
      <c r="T66" s="42"/>
      <c r="U66" s="39"/>
      <c r="V66" s="39"/>
      <c r="W66" s="40"/>
      <c r="X66" s="64"/>
      <c r="Y66" s="234"/>
      <c r="Z66" s="462"/>
      <c r="AA66" s="249"/>
      <c r="AB66" s="184" t="s">
        <v>32</v>
      </c>
      <c r="AC66" s="158">
        <f>SUM(AC61:AC65)</f>
        <v>385.5588218461325</v>
      </c>
      <c r="AD66" s="42"/>
      <c r="AE66" s="39"/>
      <c r="AF66" s="39"/>
      <c r="AG66" s="40"/>
      <c r="AH66" s="26"/>
      <c r="AI66" s="234"/>
      <c r="AJ66" s="714">
        <f t="shared" si="35"/>
        <v>131883.44400000002</v>
      </c>
      <c r="AK66" s="64"/>
    </row>
    <row r="67" spans="1:37" ht="21" x14ac:dyDescent="0.4">
      <c r="A67" s="299"/>
      <c r="B67" s="218" t="str">
        <f t="shared" si="0"/>
        <v/>
      </c>
      <c r="C67" s="5"/>
      <c r="D67" s="10"/>
      <c r="E67" s="10"/>
      <c r="F67" s="10"/>
      <c r="G67" s="10"/>
      <c r="H67" s="38"/>
      <c r="I67" s="159"/>
      <c r="J67" s="42"/>
      <c r="K67" s="39"/>
      <c r="M67" s="45"/>
      <c r="N67" s="26"/>
      <c r="O67" s="234"/>
      <c r="P67" s="462"/>
      <c r="Q67" s="249"/>
      <c r="R67" s="201" t="s">
        <v>222</v>
      </c>
      <c r="S67" s="159"/>
      <c r="T67" s="42"/>
      <c r="U67" s="39"/>
      <c r="V67" s="43"/>
      <c r="W67" s="40"/>
      <c r="X67" s="64"/>
      <c r="Y67" s="234"/>
      <c r="Z67" s="462"/>
      <c r="AA67" s="249"/>
      <c r="AB67" s="201" t="s">
        <v>222</v>
      </c>
      <c r="AC67" s="159"/>
      <c r="AD67" s="42"/>
      <c r="AE67" s="39"/>
      <c r="AF67" s="43"/>
      <c r="AG67" s="40"/>
      <c r="AH67" s="26"/>
      <c r="AI67" s="234"/>
      <c r="AJ67" s="714">
        <f t="shared" si="35"/>
        <v>0</v>
      </c>
      <c r="AK67" s="64"/>
    </row>
    <row r="68" spans="1:37" ht="21" x14ac:dyDescent="0.4">
      <c r="A68" s="299" t="s">
        <v>4</v>
      </c>
      <c r="B68" s="218" t="str">
        <f t="shared" si="0"/>
        <v>Contact CenterBenefits</v>
      </c>
      <c r="C68" s="5" t="s">
        <v>48</v>
      </c>
      <c r="D68" s="10"/>
      <c r="E68" s="10"/>
      <c r="F68" s="10"/>
      <c r="G68" s="10"/>
      <c r="H68" s="38" t="s">
        <v>33</v>
      </c>
      <c r="I68" s="159">
        <f>I66*$O$2</f>
        <v>118086.93227976805</v>
      </c>
      <c r="J68" s="42"/>
      <c r="K68" s="39"/>
      <c r="M68" s="45" t="str">
        <f>"@ "&amp;$O$2*100&amp;" %"</f>
        <v>@ 98.59 %</v>
      </c>
      <c r="N68" s="26"/>
      <c r="O68" s="234"/>
      <c r="P68" s="462"/>
      <c r="Q68" s="249"/>
      <c r="R68" s="184" t="s">
        <v>33</v>
      </c>
      <c r="S68" s="159">
        <f>S66*$O$2</f>
        <v>11556.832717373863</v>
      </c>
      <c r="T68" s="42"/>
      <c r="U68" s="39"/>
      <c r="W68" s="45" t="str">
        <f>"@ "&amp;$O$2*100&amp;" %"</f>
        <v>@ 98.59 %</v>
      </c>
      <c r="X68" s="64"/>
      <c r="Y68" s="234"/>
      <c r="Z68" s="462"/>
      <c r="AA68" s="249"/>
      <c r="AB68" s="184" t="s">
        <v>33</v>
      </c>
      <c r="AC68" s="159">
        <f>AC66*$O$2</f>
        <v>380.12244245810206</v>
      </c>
      <c r="AD68" s="42"/>
      <c r="AE68" s="39"/>
      <c r="AG68" s="45" t="str">
        <f>"@ "&amp;$O$2*100&amp;" %"</f>
        <v>@ 98.59 %</v>
      </c>
      <c r="AH68" s="26"/>
      <c r="AI68" s="234"/>
      <c r="AJ68" s="714">
        <f t="shared" si="35"/>
        <v>130023.88743960002</v>
      </c>
      <c r="AK68" s="64"/>
    </row>
    <row r="69" spans="1:37" ht="21" x14ac:dyDescent="0.4">
      <c r="A69" s="299" t="s">
        <v>4</v>
      </c>
      <c r="B69" s="218" t="str">
        <f t="shared" si="0"/>
        <v>Contact CenterTotal</v>
      </c>
      <c r="C69" s="124" t="s">
        <v>50</v>
      </c>
      <c r="D69" s="10"/>
      <c r="E69" s="10"/>
      <c r="F69" s="10"/>
      <c r="G69" s="10"/>
      <c r="H69" s="49" t="s">
        <v>34</v>
      </c>
      <c r="I69" s="160">
        <f>I66+I68</f>
        <v>237862.70292564295</v>
      </c>
      <c r="J69" s="42"/>
      <c r="K69" s="39"/>
      <c r="L69" s="50"/>
      <c r="M69" s="51"/>
      <c r="N69" s="420">
        <f>I69</f>
        <v>237862.70292564295</v>
      </c>
      <c r="O69" s="233">
        <f>N69/N93</f>
        <v>8.7014513223979614E-2</v>
      </c>
      <c r="P69" s="462"/>
      <c r="Q69" s="249"/>
      <c r="R69" s="185" t="s">
        <v>34</v>
      </c>
      <c r="S69" s="160">
        <f>S66+S68</f>
        <v>23278.947249652862</v>
      </c>
      <c r="T69" s="42"/>
      <c r="U69" s="39"/>
      <c r="V69" s="50"/>
      <c r="W69" s="51"/>
      <c r="X69" s="52">
        <f>S69</f>
        <v>23278.947249652862</v>
      </c>
      <c r="Y69" s="233">
        <f>X69/X93</f>
        <v>8.70145132239796E-2</v>
      </c>
      <c r="Z69" s="462"/>
      <c r="AA69" s="249"/>
      <c r="AB69" s="185" t="s">
        <v>34</v>
      </c>
      <c r="AC69" s="160">
        <f>AC66+AC68</f>
        <v>765.68126430423456</v>
      </c>
      <c r="AD69" s="42"/>
      <c r="AE69" s="39"/>
      <c r="AF69" s="50"/>
      <c r="AG69" s="51"/>
      <c r="AH69" s="420">
        <f>AC69</f>
        <v>765.68126430423456</v>
      </c>
      <c r="AI69" s="233">
        <f>AH69/AH93</f>
        <v>8.7014513223979614E-2</v>
      </c>
      <c r="AJ69" s="221">
        <f t="shared" si="35"/>
        <v>261907.33143960006</v>
      </c>
      <c r="AK69" s="52"/>
    </row>
    <row r="70" spans="1:37" ht="21" x14ac:dyDescent="0.4">
      <c r="A70" s="299" t="s">
        <v>4</v>
      </c>
      <c r="B70" s="218" t="str">
        <f t="shared" si="0"/>
        <v>Contact Center</v>
      </c>
      <c r="C70" s="5" t="s">
        <v>48</v>
      </c>
      <c r="D70" s="10"/>
      <c r="E70" s="10"/>
      <c r="F70" s="10"/>
      <c r="G70" s="10"/>
      <c r="H70" s="54"/>
      <c r="I70" s="166"/>
      <c r="J70" s="69"/>
      <c r="K70" s="69"/>
      <c r="L70" s="69"/>
      <c r="M70" s="70"/>
      <c r="N70" s="72"/>
      <c r="O70" s="235"/>
      <c r="P70" s="463"/>
      <c r="Q70" s="253"/>
      <c r="R70" s="179"/>
      <c r="S70" s="166"/>
      <c r="T70" s="69"/>
      <c r="U70" s="69"/>
      <c r="V70" s="69"/>
      <c r="W70" s="70"/>
      <c r="X70" s="71"/>
      <c r="Y70" s="235"/>
      <c r="Z70" s="463"/>
      <c r="AA70" s="253"/>
      <c r="AB70" s="179"/>
      <c r="AC70" s="166"/>
      <c r="AD70" s="69"/>
      <c r="AE70" s="69"/>
      <c r="AF70" s="69"/>
      <c r="AG70" s="70"/>
      <c r="AH70" s="72"/>
      <c r="AI70" s="235"/>
      <c r="AJ70" s="715"/>
      <c r="AK70" s="71"/>
    </row>
    <row r="71" spans="1:37" ht="21" x14ac:dyDescent="0.4">
      <c r="A71" s="299" t="s">
        <v>4</v>
      </c>
      <c r="B71" s="218" t="str">
        <f t="shared" si="0"/>
        <v>Contact CenterEQUIPMENT</v>
      </c>
      <c r="C71" s="124" t="s">
        <v>50</v>
      </c>
      <c r="D71" s="10"/>
      <c r="E71" s="10"/>
      <c r="F71" s="10"/>
      <c r="G71" s="10"/>
      <c r="H71" s="61" t="s">
        <v>36</v>
      </c>
      <c r="I71" s="167"/>
      <c r="J71" s="74"/>
      <c r="K71" s="74"/>
      <c r="L71" s="74"/>
      <c r="M71" s="66"/>
      <c r="N71" s="76"/>
      <c r="O71" s="237"/>
      <c r="P71" s="462"/>
      <c r="Q71" s="252"/>
      <c r="R71" s="186" t="s">
        <v>36</v>
      </c>
      <c r="S71" s="167"/>
      <c r="T71" s="74"/>
      <c r="U71" s="74"/>
      <c r="V71" s="74"/>
      <c r="W71" s="66"/>
      <c r="X71" s="75"/>
      <c r="Y71" s="237"/>
      <c r="Z71" s="462"/>
      <c r="AA71" s="252"/>
      <c r="AB71" s="186" t="s">
        <v>36</v>
      </c>
      <c r="AC71" s="167"/>
      <c r="AD71" s="74"/>
      <c r="AE71" s="74"/>
      <c r="AF71" s="74"/>
      <c r="AG71" s="66"/>
      <c r="AH71" s="76"/>
      <c r="AI71" s="237"/>
      <c r="AJ71" s="221"/>
      <c r="AK71" s="75"/>
    </row>
    <row r="72" spans="1:37" ht="21" x14ac:dyDescent="0.4">
      <c r="A72" s="299" t="s">
        <v>4</v>
      </c>
      <c r="B72" s="218" t="str">
        <f t="shared" si="0"/>
        <v>Contact CenterTelephone, Office Supplies, Printing, &amp; Other</v>
      </c>
      <c r="C72" s="5" t="s">
        <v>48</v>
      </c>
      <c r="D72" s="10"/>
      <c r="E72" s="10"/>
      <c r="F72" s="10"/>
      <c r="G72" s="10"/>
      <c r="H72" s="38" t="s">
        <v>303</v>
      </c>
      <c r="I72" s="163">
        <f>J72*K72*L72</f>
        <v>158125.69304937395</v>
      </c>
      <c r="J72" s="306">
        <f>1*(I$6/($I$6+$S$6+$AC$6))</f>
        <v>0.90819413728591192</v>
      </c>
      <c r="K72" s="39">
        <v>527606.10000000009</v>
      </c>
      <c r="L72" s="304">
        <f>$S$1</f>
        <v>0.33</v>
      </c>
      <c r="M72" s="66"/>
      <c r="N72" s="76"/>
      <c r="O72" s="237"/>
      <c r="P72" s="462"/>
      <c r="Q72" s="252"/>
      <c r="R72" s="184" t="s">
        <v>303</v>
      </c>
      <c r="S72" s="163">
        <f>T72*U72*V72</f>
        <v>15475.312531287744</v>
      </c>
      <c r="T72" s="306">
        <f>1*(S$6/($I$6+$S$6+$AC$6))</f>
        <v>8.8882381114334538E-2</v>
      </c>
      <c r="U72" s="39">
        <v>527606.10000000009</v>
      </c>
      <c r="V72" s="304">
        <f>$S$1</f>
        <v>0.33</v>
      </c>
      <c r="W72" s="66"/>
      <c r="X72" s="75"/>
      <c r="Y72" s="237"/>
      <c r="Z72" s="462"/>
      <c r="AA72" s="252"/>
      <c r="AB72" s="184" t="s">
        <v>303</v>
      </c>
      <c r="AC72" s="163">
        <f>AD72*AE72*AF72</f>
        <v>509.00741933835775</v>
      </c>
      <c r="AD72" s="306">
        <f>1*(AC$6/($I$6+$S$6+$AC$6))</f>
        <v>2.9234815997535861E-3</v>
      </c>
      <c r="AE72" s="39">
        <v>527606.10000000009</v>
      </c>
      <c r="AF72" s="304">
        <f>$S$1</f>
        <v>0.33</v>
      </c>
      <c r="AG72" s="40"/>
      <c r="AH72" s="76"/>
      <c r="AI72" s="237"/>
      <c r="AJ72" s="221">
        <f>I72+S72+AC72</f>
        <v>174110.01300000006</v>
      </c>
      <c r="AK72" s="75"/>
    </row>
    <row r="73" spans="1:37" ht="21" x14ac:dyDescent="0.4">
      <c r="A73" s="299" t="s">
        <v>4</v>
      </c>
      <c r="B73" s="218" t="str">
        <f t="shared" si="0"/>
        <v>Contact Center</v>
      </c>
      <c r="C73" s="5" t="s">
        <v>48</v>
      </c>
      <c r="D73" s="10"/>
      <c r="E73" s="10"/>
      <c r="F73" s="10"/>
      <c r="G73" s="10"/>
      <c r="H73" s="77"/>
      <c r="I73" s="163"/>
      <c r="J73" s="42"/>
      <c r="K73" s="39"/>
      <c r="L73" s="39"/>
      <c r="M73" s="66"/>
      <c r="N73" s="79"/>
      <c r="O73" s="238"/>
      <c r="P73" s="464"/>
      <c r="Q73" s="254"/>
      <c r="R73" s="187"/>
      <c r="S73" s="163"/>
      <c r="T73" s="42"/>
      <c r="U73" s="39"/>
      <c r="V73" s="39"/>
      <c r="W73" s="66"/>
      <c r="X73" s="78"/>
      <c r="Y73" s="238"/>
      <c r="Z73" s="464"/>
      <c r="AA73" s="254"/>
      <c r="AB73" s="187"/>
      <c r="AC73" s="163"/>
      <c r="AD73" s="42"/>
      <c r="AE73" s="39"/>
      <c r="AF73" s="39"/>
      <c r="AG73" s="40"/>
      <c r="AH73" s="79"/>
      <c r="AI73" s="238"/>
      <c r="AJ73" s="717"/>
      <c r="AK73" s="78"/>
    </row>
    <row r="74" spans="1:37" ht="21" x14ac:dyDescent="0.4">
      <c r="A74" s="299" t="s">
        <v>4</v>
      </c>
      <c r="B74" s="218" t="str">
        <f t="shared" si="0"/>
        <v>Contact Center</v>
      </c>
      <c r="C74" s="5" t="s">
        <v>48</v>
      </c>
      <c r="D74" s="10"/>
      <c r="E74" s="10"/>
      <c r="F74" s="10"/>
      <c r="G74" s="10"/>
      <c r="H74" s="77"/>
      <c r="I74" s="168"/>
      <c r="J74" s="42"/>
      <c r="K74" s="39"/>
      <c r="L74" s="42"/>
      <c r="M74" s="66"/>
      <c r="N74" s="79"/>
      <c r="O74" s="238"/>
      <c r="P74" s="464"/>
      <c r="Q74" s="254"/>
      <c r="R74" s="187"/>
      <c r="S74" s="168"/>
      <c r="T74" s="42"/>
      <c r="U74" s="39"/>
      <c r="V74" s="42"/>
      <c r="W74" s="66"/>
      <c r="X74" s="78"/>
      <c r="Y74" s="238"/>
      <c r="Z74" s="464"/>
      <c r="AA74" s="254"/>
      <c r="AB74" s="187"/>
      <c r="AC74" s="168"/>
      <c r="AD74" s="42"/>
      <c r="AE74" s="39"/>
      <c r="AF74" s="42"/>
      <c r="AG74" s="40"/>
      <c r="AH74" s="79"/>
      <c r="AI74" s="238"/>
      <c r="AJ74" s="717"/>
      <c r="AK74" s="78"/>
    </row>
    <row r="75" spans="1:37" ht="21" x14ac:dyDescent="0.4">
      <c r="A75" s="299" t="s">
        <v>4</v>
      </c>
      <c r="B75" s="218" t="str">
        <f t="shared" si="0"/>
        <v>Contact Center</v>
      </c>
      <c r="C75" s="5" t="s">
        <v>48</v>
      </c>
      <c r="D75" s="10"/>
      <c r="E75" s="10"/>
      <c r="F75" s="10"/>
      <c r="G75" s="10"/>
      <c r="H75" s="77"/>
      <c r="I75" s="164"/>
      <c r="J75" s="42"/>
      <c r="K75" s="39"/>
      <c r="L75" s="43"/>
      <c r="M75" s="66"/>
      <c r="N75" s="79"/>
      <c r="O75" s="238"/>
      <c r="P75" s="464"/>
      <c r="Q75" s="254"/>
      <c r="R75" s="187"/>
      <c r="S75" s="164"/>
      <c r="T75" s="42"/>
      <c r="U75" s="39"/>
      <c r="V75" s="43"/>
      <c r="W75" s="40" t="str">
        <f t="shared" ref="W75" si="39">T75&amp;" hrs @ "&amp;U75</f>
        <v xml:space="preserve"> hrs @ </v>
      </c>
      <c r="X75" s="78"/>
      <c r="Y75" s="238"/>
      <c r="Z75" s="464"/>
      <c r="AA75" s="254"/>
      <c r="AB75" s="187"/>
      <c r="AC75" s="164"/>
      <c r="AD75" s="42"/>
      <c r="AE75" s="39"/>
      <c r="AF75" s="43"/>
      <c r="AG75" s="40"/>
      <c r="AH75" s="79"/>
      <c r="AI75" s="238"/>
      <c r="AJ75" s="717"/>
      <c r="AK75" s="78"/>
    </row>
    <row r="76" spans="1:37" ht="21" x14ac:dyDescent="0.4">
      <c r="A76" s="299" t="s">
        <v>4</v>
      </c>
      <c r="B76" s="218" t="str">
        <f t="shared" ref="B76:B138" si="40">A76&amp;H76</f>
        <v>Contact CenterTotal Equipment</v>
      </c>
      <c r="C76" s="124" t="s">
        <v>50</v>
      </c>
      <c r="D76" s="10"/>
      <c r="E76" s="116">
        <f>I76</f>
        <v>158125.69304937395</v>
      </c>
      <c r="F76" s="116">
        <f>S76</f>
        <v>15475.312531287744</v>
      </c>
      <c r="G76" s="116">
        <f>AC76</f>
        <v>509.00741933835775</v>
      </c>
      <c r="H76" s="83" t="s">
        <v>37</v>
      </c>
      <c r="I76" s="165">
        <f>SUM(I72:I75)</f>
        <v>158125.69304937395</v>
      </c>
      <c r="J76" s="68"/>
      <c r="K76" s="68"/>
      <c r="L76" s="68"/>
      <c r="M76" s="66"/>
      <c r="N76" s="420">
        <f>I76</f>
        <v>158125.69304937395</v>
      </c>
      <c r="O76" s="233">
        <f>N76/N93</f>
        <v>5.7845261319496966E-2</v>
      </c>
      <c r="P76" s="464"/>
      <c r="Q76" s="254"/>
      <c r="R76" s="188" t="s">
        <v>37</v>
      </c>
      <c r="S76" s="165">
        <f>SUM(S72:S75)</f>
        <v>15475.312531287744</v>
      </c>
      <c r="T76" s="68"/>
      <c r="U76" s="68"/>
      <c r="V76" s="68"/>
      <c r="W76" s="66"/>
      <c r="X76" s="52">
        <f>S76</f>
        <v>15475.312531287744</v>
      </c>
      <c r="Y76" s="233">
        <f>X76/X93</f>
        <v>5.7845261319496952E-2</v>
      </c>
      <c r="Z76" s="464"/>
      <c r="AA76" s="254"/>
      <c r="AB76" s="188" t="s">
        <v>37</v>
      </c>
      <c r="AC76" s="165">
        <f>SUM(AC72:AC75)</f>
        <v>509.00741933835775</v>
      </c>
      <c r="AD76" s="68"/>
      <c r="AE76" s="68"/>
      <c r="AF76" s="68"/>
      <c r="AG76" s="66"/>
      <c r="AH76" s="420">
        <f>AC76</f>
        <v>509.00741933835775</v>
      </c>
      <c r="AI76" s="233">
        <f>AH76/AH93</f>
        <v>5.7845261319496959E-2</v>
      </c>
      <c r="AJ76" s="221">
        <f>I76+S76+AC76</f>
        <v>174110.01300000006</v>
      </c>
      <c r="AK76" s="52"/>
    </row>
    <row r="77" spans="1:37" ht="21" x14ac:dyDescent="0.4">
      <c r="A77" s="299" t="s">
        <v>4</v>
      </c>
      <c r="B77" s="218" t="str">
        <f t="shared" si="40"/>
        <v>Contact Center</v>
      </c>
      <c r="C77" s="5" t="s">
        <v>48</v>
      </c>
      <c r="D77" s="10"/>
      <c r="E77" s="10"/>
      <c r="F77" s="10"/>
      <c r="G77" s="10"/>
      <c r="H77" s="84"/>
      <c r="I77" s="166"/>
      <c r="J77" s="69"/>
      <c r="K77" s="69"/>
      <c r="L77" s="69"/>
      <c r="M77" s="70"/>
      <c r="N77" s="88"/>
      <c r="O77" s="241"/>
      <c r="P77" s="465"/>
      <c r="Q77" s="253"/>
      <c r="R77" s="189"/>
      <c r="S77" s="166"/>
      <c r="T77" s="69"/>
      <c r="U77" s="69"/>
      <c r="V77" s="69"/>
      <c r="W77" s="70"/>
      <c r="X77" s="87"/>
      <c r="Y77" s="241"/>
      <c r="Z77" s="465"/>
      <c r="AA77" s="253"/>
      <c r="AB77" s="189"/>
      <c r="AC77" s="166"/>
      <c r="AD77" s="69"/>
      <c r="AE77" s="69"/>
      <c r="AF77" s="69"/>
      <c r="AG77" s="70"/>
      <c r="AH77" s="88"/>
      <c r="AI77" s="241"/>
      <c r="AJ77" s="718"/>
      <c r="AK77" s="87"/>
    </row>
    <row r="78" spans="1:37" ht="21" x14ac:dyDescent="0.4">
      <c r="A78" s="299" t="s">
        <v>4</v>
      </c>
      <c r="B78" s="218" t="str">
        <f t="shared" si="40"/>
        <v>Contact CenterIS SUPPORT</v>
      </c>
      <c r="C78" s="124" t="s">
        <v>50</v>
      </c>
      <c r="D78" s="10"/>
      <c r="E78" s="10"/>
      <c r="F78" s="10"/>
      <c r="G78" s="10"/>
      <c r="H78" s="61" t="s">
        <v>38</v>
      </c>
      <c r="I78" s="167"/>
      <c r="J78" s="302">
        <v>1800</v>
      </c>
      <c r="K78" s="302" t="s">
        <v>298</v>
      </c>
      <c r="L78" s="74"/>
      <c r="M78" s="66"/>
      <c r="N78" s="91"/>
      <c r="O78" s="227"/>
      <c r="P78" s="466"/>
      <c r="Q78" s="252"/>
      <c r="R78" s="186" t="s">
        <v>38</v>
      </c>
      <c r="S78" s="167"/>
      <c r="T78" s="302">
        <v>1800</v>
      </c>
      <c r="U78" s="302" t="s">
        <v>298</v>
      </c>
      <c r="V78" s="74"/>
      <c r="W78" s="66"/>
      <c r="X78" s="90"/>
      <c r="Y78" s="227"/>
      <c r="Z78" s="466"/>
      <c r="AA78" s="252"/>
      <c r="AB78" s="186" t="s">
        <v>38</v>
      </c>
      <c r="AC78" s="167"/>
      <c r="AD78" s="302">
        <v>1800</v>
      </c>
      <c r="AE78" s="302" t="s">
        <v>298</v>
      </c>
      <c r="AF78" s="74"/>
      <c r="AG78" s="66"/>
      <c r="AH78" s="91"/>
      <c r="AI78" s="227"/>
      <c r="AJ78" s="719"/>
      <c r="AK78" s="90"/>
    </row>
    <row r="79" spans="1:37" ht="21" x14ac:dyDescent="0.4">
      <c r="A79" s="299" t="s">
        <v>4</v>
      </c>
      <c r="B79" s="218" t="str">
        <f t="shared" si="40"/>
        <v>Contact CenterBusiness Syst Info Svc Spec 3</v>
      </c>
      <c r="C79" s="5" t="s">
        <v>48</v>
      </c>
      <c r="D79" s="10"/>
      <c r="E79" s="10"/>
      <c r="F79" s="10"/>
      <c r="G79" s="10"/>
      <c r="H79" s="38" t="s">
        <v>305</v>
      </c>
      <c r="I79" s="163">
        <f>J79*K79</f>
        <v>20942.121267206829</v>
      </c>
      <c r="J79" s="42">
        <f>((J78)*1*L79)*(I$6/($I$6+$S$6+$AC$6))</f>
        <v>539.46731754783173</v>
      </c>
      <c r="K79" s="39">
        <v>38.82</v>
      </c>
      <c r="L79" s="304">
        <f>$S$1</f>
        <v>0.33</v>
      </c>
      <c r="M79" s="40" t="str">
        <f>ROUND(J79,0)&amp;" hrs @ "&amp;K79</f>
        <v>539 hrs @ 38.82</v>
      </c>
      <c r="N79" s="94"/>
      <c r="O79" s="242"/>
      <c r="P79" s="466"/>
      <c r="Q79" s="252"/>
      <c r="R79" s="184" t="s">
        <v>305</v>
      </c>
      <c r="S79" s="163">
        <f>T79*U79</f>
        <v>2049.5459367059293</v>
      </c>
      <c r="T79" s="42">
        <f>((T78)*1*V79)*(S$6/($I$6+$S$6+$AC$6))</f>
        <v>52.796134381914719</v>
      </c>
      <c r="U79" s="39">
        <v>38.82</v>
      </c>
      <c r="V79" s="304">
        <f>$S$1</f>
        <v>0.33</v>
      </c>
      <c r="W79" s="40" t="str">
        <f>ROUND(T79,0)&amp;" hrs @ "&amp;U79</f>
        <v>53 hrs @ 38.82</v>
      </c>
      <c r="X79" s="93"/>
      <c r="Y79" s="242"/>
      <c r="Z79" s="466"/>
      <c r="AA79" s="252"/>
      <c r="AB79" s="184" t="s">
        <v>305</v>
      </c>
      <c r="AC79" s="163">
        <f>AD79*AE79</f>
        <v>67.412796087245923</v>
      </c>
      <c r="AD79" s="42">
        <f>((AD78)*1*AF79)*(AC$6/($I$6+$S$6+$AC$6))</f>
        <v>1.7365480702536302</v>
      </c>
      <c r="AE79" s="39">
        <v>38.82</v>
      </c>
      <c r="AF79" s="304">
        <f>$S$1</f>
        <v>0.33</v>
      </c>
      <c r="AG79" s="40" t="str">
        <f>ROUND(AD79,0)&amp;" hrs @ "&amp;AE79</f>
        <v>2 hrs @ 38.82</v>
      </c>
      <c r="AH79" s="94"/>
      <c r="AI79" s="242"/>
      <c r="AJ79" s="720">
        <f t="shared" ref="AJ79:AJ80" si="41">I79+S79+AC79</f>
        <v>23059.080000000005</v>
      </c>
      <c r="AK79" s="93"/>
    </row>
    <row r="80" spans="1:37" ht="21" x14ac:dyDescent="0.4">
      <c r="A80" s="299" t="s">
        <v>4</v>
      </c>
      <c r="B80" s="218" t="str">
        <f t="shared" si="40"/>
        <v>Contact CenterBenefits</v>
      </c>
      <c r="C80" s="5" t="s">
        <v>48</v>
      </c>
      <c r="D80" s="10"/>
      <c r="E80" s="10"/>
      <c r="F80" s="10"/>
      <c r="G80" s="10"/>
      <c r="H80" s="38" t="s">
        <v>33</v>
      </c>
      <c r="I80" s="159">
        <f>I79*$O$2</f>
        <v>20646.837357339213</v>
      </c>
      <c r="J80" s="42"/>
      <c r="K80" s="39"/>
      <c r="L80" s="156"/>
      <c r="M80" s="45" t="str">
        <f>"@ "&amp;$O$2*100&amp;" %"</f>
        <v>@ 98.59 %</v>
      </c>
      <c r="N80" s="94"/>
      <c r="O80" s="242"/>
      <c r="P80" s="466"/>
      <c r="Q80" s="252"/>
      <c r="R80" s="184" t="s">
        <v>33</v>
      </c>
      <c r="S80" s="159">
        <f>S79*$O$2</f>
        <v>2020.6473389983757</v>
      </c>
      <c r="T80" s="42"/>
      <c r="U80" s="39"/>
      <c r="V80" s="156"/>
      <c r="W80" s="45" t="str">
        <f>"@ "&amp;$O$2*100&amp;" %"</f>
        <v>@ 98.59 %</v>
      </c>
      <c r="X80" s="93"/>
      <c r="Y80" s="242"/>
      <c r="Z80" s="466"/>
      <c r="AA80" s="252"/>
      <c r="AB80" s="184" t="s">
        <v>33</v>
      </c>
      <c r="AC80" s="159">
        <f>AC79*$O$2</f>
        <v>66.462275662415749</v>
      </c>
      <c r="AD80" s="42"/>
      <c r="AE80" s="39"/>
      <c r="AF80" s="156"/>
      <c r="AG80" s="45" t="str">
        <f>"@ "&amp;$O$2*100&amp;" %"</f>
        <v>@ 98.59 %</v>
      </c>
      <c r="AH80" s="94"/>
      <c r="AI80" s="242"/>
      <c r="AJ80" s="720">
        <f t="shared" si="41"/>
        <v>22733.946972000005</v>
      </c>
      <c r="AK80" s="93"/>
    </row>
    <row r="81" spans="1:37" ht="21" x14ac:dyDescent="0.4">
      <c r="A81" s="299" t="s">
        <v>4</v>
      </c>
      <c r="B81" s="218" t="str">
        <f t="shared" si="40"/>
        <v>Contact CenterTotal IS</v>
      </c>
      <c r="C81" s="124" t="s">
        <v>50</v>
      </c>
      <c r="D81" s="10"/>
      <c r="E81" s="10"/>
      <c r="F81" s="10"/>
      <c r="G81" s="10"/>
      <c r="H81" s="49" t="s">
        <v>41</v>
      </c>
      <c r="I81" s="165">
        <f>I79+I80</f>
        <v>41588.958624546038</v>
      </c>
      <c r="J81" s="68"/>
      <c r="K81" s="68"/>
      <c r="L81" s="68"/>
      <c r="M81" s="66"/>
      <c r="N81" s="420">
        <f>I81</f>
        <v>41588.958624546038</v>
      </c>
      <c r="O81" s="233">
        <f>N81/N93</f>
        <v>1.521399927645811E-2</v>
      </c>
      <c r="P81" s="466"/>
      <c r="Q81" s="252"/>
      <c r="R81" s="185" t="s">
        <v>41</v>
      </c>
      <c r="S81" s="165">
        <f>S79+S80</f>
        <v>4070.1932757043051</v>
      </c>
      <c r="T81" s="68"/>
      <c r="U81" s="68"/>
      <c r="V81" s="68"/>
      <c r="W81" s="66"/>
      <c r="X81" s="52">
        <f>S81</f>
        <v>4070.1932757043051</v>
      </c>
      <c r="Y81" s="233">
        <f>X81/X93</f>
        <v>1.5213999276458109E-2</v>
      </c>
      <c r="Z81" s="466"/>
      <c r="AA81" s="252"/>
      <c r="AB81" s="185" t="s">
        <v>41</v>
      </c>
      <c r="AC81" s="165">
        <f>AC79+AC80</f>
        <v>133.87507174966169</v>
      </c>
      <c r="AD81" s="68"/>
      <c r="AE81" s="68"/>
      <c r="AF81" s="68"/>
      <c r="AG81" s="66"/>
      <c r="AH81" s="420">
        <f>AC81</f>
        <v>133.87507174966169</v>
      </c>
      <c r="AI81" s="233">
        <f>AH81/AH93</f>
        <v>1.5213999276458112E-2</v>
      </c>
      <c r="AJ81" s="221">
        <f>I81+S81+AC81</f>
        <v>45793.026972</v>
      </c>
      <c r="AK81" s="52"/>
    </row>
    <row r="82" spans="1:37" ht="21" x14ac:dyDescent="0.4">
      <c r="A82" s="299" t="s">
        <v>4</v>
      </c>
      <c r="B82" s="218" t="str">
        <f t="shared" si="40"/>
        <v>Contact Center</v>
      </c>
      <c r="C82" s="5" t="s">
        <v>48</v>
      </c>
      <c r="D82" s="10"/>
      <c r="E82" s="10"/>
      <c r="F82" s="10"/>
      <c r="G82" s="10"/>
      <c r="H82" s="54"/>
      <c r="I82" s="166"/>
      <c r="J82" s="69"/>
      <c r="K82" s="69"/>
      <c r="L82" s="69"/>
      <c r="M82" s="70"/>
      <c r="N82" s="98"/>
      <c r="O82" s="243"/>
      <c r="P82" s="467"/>
      <c r="Q82" s="253"/>
      <c r="R82" s="179"/>
      <c r="S82" s="166"/>
      <c r="T82" s="69"/>
      <c r="U82" s="69"/>
      <c r="V82" s="69"/>
      <c r="W82" s="70"/>
      <c r="X82" s="97"/>
      <c r="Y82" s="243"/>
      <c r="Z82" s="467"/>
      <c r="AA82" s="253"/>
      <c r="AB82" s="179"/>
      <c r="AC82" s="166"/>
      <c r="AD82" s="69"/>
      <c r="AE82" s="69"/>
      <c r="AF82" s="69"/>
      <c r="AG82" s="70"/>
      <c r="AH82" s="98"/>
      <c r="AI82" s="243"/>
      <c r="AJ82" s="721"/>
      <c r="AK82" s="97"/>
    </row>
    <row r="83" spans="1:37" ht="21" x14ac:dyDescent="0.4">
      <c r="A83" s="299" t="s">
        <v>4</v>
      </c>
      <c r="B83" s="218" t="str">
        <f t="shared" si="40"/>
        <v>Contact CenterOTHER</v>
      </c>
      <c r="C83" s="124" t="s">
        <v>50</v>
      </c>
      <c r="D83" s="10"/>
      <c r="E83" s="10"/>
      <c r="F83" s="10"/>
      <c r="G83" s="10"/>
      <c r="H83" s="61" t="s">
        <v>42</v>
      </c>
      <c r="I83" s="167"/>
      <c r="J83" s="74"/>
      <c r="K83" s="74"/>
      <c r="L83" s="74"/>
      <c r="M83" s="66"/>
      <c r="N83" s="91"/>
      <c r="O83" s="227"/>
      <c r="P83" s="466"/>
      <c r="Q83" s="252"/>
      <c r="R83" s="186" t="s">
        <v>42</v>
      </c>
      <c r="S83" s="167"/>
      <c r="T83" s="74"/>
      <c r="U83" s="74"/>
      <c r="V83" s="74"/>
      <c r="W83" s="66"/>
      <c r="X83" s="90"/>
      <c r="Y83" s="227"/>
      <c r="Z83" s="466"/>
      <c r="AA83" s="252"/>
      <c r="AB83" s="186" t="s">
        <v>42</v>
      </c>
      <c r="AC83" s="167"/>
      <c r="AD83" s="74"/>
      <c r="AE83" s="74"/>
      <c r="AF83" s="74"/>
      <c r="AG83" s="66"/>
      <c r="AH83" s="91"/>
      <c r="AI83" s="227"/>
      <c r="AJ83" s="719"/>
      <c r="AK83" s="90"/>
    </row>
    <row r="84" spans="1:37" ht="21" x14ac:dyDescent="0.4">
      <c r="A84" s="299" t="s">
        <v>4</v>
      </c>
      <c r="B84" s="218" t="str">
        <f t="shared" si="40"/>
        <v>Contact CenterContract Labor- Telesource  (33%)</v>
      </c>
      <c r="C84" s="5" t="s">
        <v>48</v>
      </c>
      <c r="D84" s="10"/>
      <c r="E84" s="10"/>
      <c r="F84" s="10"/>
      <c r="G84" s="10"/>
      <c r="H84" s="38" t="s">
        <v>304</v>
      </c>
      <c r="I84" s="163">
        <f>J84*K84*L84</f>
        <v>386618.24424261268</v>
      </c>
      <c r="J84" s="306">
        <f>1*(I$6/($I$6+$S$6+$AC$6))</f>
        <v>0.90819413728591192</v>
      </c>
      <c r="K84" s="39">
        <v>1290000</v>
      </c>
      <c r="L84" s="304">
        <f>$S$1</f>
        <v>0.33</v>
      </c>
      <c r="M84" s="66"/>
      <c r="N84" s="76"/>
      <c r="O84" s="237"/>
      <c r="P84" s="462"/>
      <c r="Q84" s="252"/>
      <c r="R84" s="184" t="s">
        <v>304</v>
      </c>
      <c r="S84" s="163">
        <f>T84*U84*V84</f>
        <v>37837.229640372214</v>
      </c>
      <c r="T84" s="306">
        <f>1*(S$6/($I$6+$S$6+$AC$6))</f>
        <v>8.8882381114334538E-2</v>
      </c>
      <c r="U84" s="39">
        <v>1290000</v>
      </c>
      <c r="V84" s="304">
        <f>$S$1</f>
        <v>0.33</v>
      </c>
      <c r="W84" s="66"/>
      <c r="X84" s="75"/>
      <c r="Y84" s="237"/>
      <c r="Z84" s="462"/>
      <c r="AA84" s="252"/>
      <c r="AB84" s="184" t="s">
        <v>304</v>
      </c>
      <c r="AC84" s="163">
        <f>AD84*AE84*AF84</f>
        <v>1244.5261170151016</v>
      </c>
      <c r="AD84" s="306">
        <f>1*(AC$6/($I$6+$S$6+$AC$6))</f>
        <v>2.9234815997535861E-3</v>
      </c>
      <c r="AE84" s="39">
        <v>1290000</v>
      </c>
      <c r="AF84" s="304">
        <f>$S$1</f>
        <v>0.33</v>
      </c>
      <c r="AG84" s="40"/>
      <c r="AH84" s="91"/>
      <c r="AI84" s="227"/>
      <c r="AJ84" s="221">
        <f>I84+S84+AC84</f>
        <v>425700</v>
      </c>
      <c r="AK84" s="75"/>
    </row>
    <row r="85" spans="1:37" ht="21" x14ac:dyDescent="0.4">
      <c r="A85" s="299" t="s">
        <v>4</v>
      </c>
      <c r="B85" s="218" t="str">
        <f t="shared" si="40"/>
        <v>Contact Center</v>
      </c>
      <c r="C85" s="5" t="s">
        <v>48</v>
      </c>
      <c r="D85" s="10"/>
      <c r="E85" s="10"/>
      <c r="F85" s="10"/>
      <c r="G85" s="10"/>
      <c r="H85" s="38"/>
      <c r="I85" s="168"/>
      <c r="J85" s="42"/>
      <c r="K85" s="39"/>
      <c r="L85" s="42"/>
      <c r="M85" s="66"/>
      <c r="N85" s="91"/>
      <c r="O85" s="227"/>
      <c r="P85" s="466"/>
      <c r="Q85" s="252"/>
      <c r="R85" s="184"/>
      <c r="S85" s="168"/>
      <c r="T85" s="42"/>
      <c r="U85" s="39"/>
      <c r="V85" s="42"/>
      <c r="W85" s="66"/>
      <c r="X85" s="90"/>
      <c r="Y85" s="227"/>
      <c r="Z85" s="466"/>
      <c r="AA85" s="252"/>
      <c r="AB85" s="184"/>
      <c r="AC85" s="168"/>
      <c r="AD85" s="42"/>
      <c r="AE85" s="39"/>
      <c r="AF85" s="42"/>
      <c r="AG85" s="66"/>
      <c r="AH85" s="91"/>
      <c r="AI85" s="227"/>
      <c r="AJ85" s="719"/>
      <c r="AK85" s="90"/>
    </row>
    <row r="86" spans="1:37" ht="21" x14ac:dyDescent="0.4">
      <c r="A86" s="299" t="s">
        <v>4</v>
      </c>
      <c r="B86" s="218" t="str">
        <f t="shared" si="40"/>
        <v>Contact Center</v>
      </c>
      <c r="C86" s="5" t="s">
        <v>48</v>
      </c>
      <c r="D86" s="10"/>
      <c r="E86" s="117"/>
      <c r="F86" s="117"/>
      <c r="G86" s="117"/>
      <c r="H86" s="38"/>
      <c r="I86" s="168"/>
      <c r="J86" s="42"/>
      <c r="K86" s="39"/>
      <c r="L86" s="42"/>
      <c r="M86" s="66"/>
      <c r="N86" s="91"/>
      <c r="O86" s="227"/>
      <c r="P86" s="466"/>
      <c r="Q86" s="252"/>
      <c r="R86" s="184"/>
      <c r="S86" s="168"/>
      <c r="T86" s="42"/>
      <c r="U86" s="39"/>
      <c r="V86" s="42"/>
      <c r="W86" s="66"/>
      <c r="X86" s="90"/>
      <c r="Y86" s="227"/>
      <c r="Z86" s="466"/>
      <c r="AA86" s="252"/>
      <c r="AB86" s="184"/>
      <c r="AC86" s="168"/>
      <c r="AD86" s="42"/>
      <c r="AE86" s="39"/>
      <c r="AF86" s="42"/>
      <c r="AG86" s="66"/>
      <c r="AH86" s="91"/>
      <c r="AI86" s="227"/>
      <c r="AJ86" s="719"/>
      <c r="AK86" s="90"/>
    </row>
    <row r="87" spans="1:37" ht="21" x14ac:dyDescent="0.4">
      <c r="A87" s="299" t="s">
        <v>4</v>
      </c>
      <c r="B87" s="218" t="str">
        <f t="shared" si="40"/>
        <v>Contact Center</v>
      </c>
      <c r="C87" s="5" t="s">
        <v>48</v>
      </c>
      <c r="D87" s="10"/>
      <c r="E87" s="117"/>
      <c r="F87" s="117"/>
      <c r="G87" s="117"/>
      <c r="H87" s="38"/>
      <c r="I87" s="168"/>
      <c r="J87" s="42"/>
      <c r="K87" s="39"/>
      <c r="L87" s="42"/>
      <c r="M87" s="66"/>
      <c r="N87" s="91"/>
      <c r="O87" s="227"/>
      <c r="P87" s="466"/>
      <c r="Q87" s="252"/>
      <c r="R87" s="184"/>
      <c r="S87" s="168"/>
      <c r="T87" s="42"/>
      <c r="U87" s="39"/>
      <c r="V87" s="42"/>
      <c r="W87" s="66"/>
      <c r="X87" s="90"/>
      <c r="Y87" s="227"/>
      <c r="Z87" s="466"/>
      <c r="AA87" s="252"/>
      <c r="AB87" s="184"/>
      <c r="AC87" s="168"/>
      <c r="AD87" s="42"/>
      <c r="AE87" s="39"/>
      <c r="AF87" s="42"/>
      <c r="AG87" s="66"/>
      <c r="AH87" s="91"/>
      <c r="AI87" s="227"/>
      <c r="AJ87" s="719"/>
      <c r="AK87" s="90"/>
    </row>
    <row r="88" spans="1:37" ht="21" x14ac:dyDescent="0.4">
      <c r="A88" s="299" t="s">
        <v>4</v>
      </c>
      <c r="B88" s="218" t="str">
        <f t="shared" si="40"/>
        <v>Contact Center</v>
      </c>
      <c r="C88" s="5" t="s">
        <v>48</v>
      </c>
      <c r="D88" s="10"/>
      <c r="E88" s="117"/>
      <c r="F88" s="117"/>
      <c r="G88" s="117"/>
      <c r="H88" s="38"/>
      <c r="I88" s="168"/>
      <c r="J88" s="42"/>
      <c r="K88" s="39"/>
      <c r="L88" s="42"/>
      <c r="M88" s="66"/>
      <c r="N88" s="91"/>
      <c r="O88" s="227"/>
      <c r="P88" s="466"/>
      <c r="Q88" s="252"/>
      <c r="R88" s="184"/>
      <c r="S88" s="168"/>
      <c r="T88" s="42"/>
      <c r="U88" s="39"/>
      <c r="V88" s="42"/>
      <c r="W88" s="66"/>
      <c r="X88" s="90"/>
      <c r="Y88" s="227"/>
      <c r="Z88" s="466"/>
      <c r="AA88" s="252"/>
      <c r="AB88" s="184"/>
      <c r="AC88" s="168"/>
      <c r="AD88" s="42"/>
      <c r="AE88" s="39"/>
      <c r="AF88" s="42"/>
      <c r="AG88" s="66"/>
      <c r="AH88" s="91"/>
      <c r="AI88" s="227"/>
      <c r="AJ88" s="719"/>
      <c r="AK88" s="90"/>
    </row>
    <row r="89" spans="1:37" ht="21" x14ac:dyDescent="0.4">
      <c r="A89" s="299" t="s">
        <v>4</v>
      </c>
      <c r="B89" s="218" t="str">
        <f t="shared" si="40"/>
        <v>Contact Center</v>
      </c>
      <c r="C89" s="5" t="s">
        <v>48</v>
      </c>
      <c r="D89" s="10"/>
      <c r="E89" s="117"/>
      <c r="F89" s="117"/>
      <c r="G89" s="117"/>
      <c r="H89" s="38"/>
      <c r="I89" s="164"/>
      <c r="J89" s="67"/>
      <c r="K89" s="67"/>
      <c r="L89" s="67"/>
      <c r="M89" s="40" t="str">
        <f>J89&amp;" days @ "&amp;K89</f>
        <v xml:space="preserve"> days @ </v>
      </c>
      <c r="N89" s="94"/>
      <c r="O89" s="242"/>
      <c r="P89" s="466"/>
      <c r="Q89" s="252"/>
      <c r="R89" s="184"/>
      <c r="S89" s="164"/>
      <c r="T89" s="67"/>
      <c r="U89" s="67"/>
      <c r="V89" s="67"/>
      <c r="W89" s="40" t="str">
        <f>T89&amp;" days @ "&amp;U89</f>
        <v xml:space="preserve"> days @ </v>
      </c>
      <c r="X89" s="93"/>
      <c r="Y89" s="242"/>
      <c r="Z89" s="466"/>
      <c r="AA89" s="252"/>
      <c r="AB89" s="184"/>
      <c r="AC89" s="164"/>
      <c r="AD89" s="67"/>
      <c r="AE89" s="67"/>
      <c r="AF89" s="67"/>
      <c r="AG89" s="40" t="str">
        <f>AD89&amp;" days @ "&amp;AE89</f>
        <v xml:space="preserve"> days @ </v>
      </c>
      <c r="AH89" s="94"/>
      <c r="AI89" s="242"/>
      <c r="AJ89" s="720"/>
      <c r="AK89" s="93"/>
    </row>
    <row r="90" spans="1:37" ht="21" x14ac:dyDescent="0.4">
      <c r="A90" s="299" t="s">
        <v>4</v>
      </c>
      <c r="B90" s="218" t="str">
        <f t="shared" si="40"/>
        <v>Contact CenterTotal Other</v>
      </c>
      <c r="C90" s="124" t="s">
        <v>50</v>
      </c>
      <c r="D90" s="10"/>
      <c r="E90" s="116">
        <f>I90</f>
        <v>386618.24424261268</v>
      </c>
      <c r="F90" s="116">
        <f>S90</f>
        <v>37837.229640372214</v>
      </c>
      <c r="G90" s="116">
        <f>AC90</f>
        <v>1244.5261170151016</v>
      </c>
      <c r="H90" s="49" t="s">
        <v>45</v>
      </c>
      <c r="I90" s="165">
        <f>SUM(I84:I89)</f>
        <v>386618.24424261268</v>
      </c>
      <c r="J90" s="68"/>
      <c r="K90" s="68"/>
      <c r="L90" s="68"/>
      <c r="M90" s="66"/>
      <c r="N90" s="414">
        <f>I90</f>
        <v>386618.24424261268</v>
      </c>
      <c r="O90" s="233">
        <f>N90/N93</f>
        <v>0.14143200221178462</v>
      </c>
      <c r="P90" s="466"/>
      <c r="Q90" s="165"/>
      <c r="R90" s="185" t="s">
        <v>45</v>
      </c>
      <c r="S90" s="165">
        <f>SUM(S84:S89)</f>
        <v>37837.229640372214</v>
      </c>
      <c r="T90" s="68"/>
      <c r="U90" s="68"/>
      <c r="V90" s="68"/>
      <c r="W90" s="66"/>
      <c r="X90" s="165">
        <f>S90</f>
        <v>37837.229640372214</v>
      </c>
      <c r="Y90" s="233">
        <f>X90/X93</f>
        <v>0.14143200221178462</v>
      </c>
      <c r="Z90" s="466"/>
      <c r="AA90" s="165"/>
      <c r="AB90" s="185" t="s">
        <v>45</v>
      </c>
      <c r="AC90" s="165">
        <f>SUM(AC84:AC89)</f>
        <v>1244.5261170151016</v>
      </c>
      <c r="AD90" s="68"/>
      <c r="AE90" s="68"/>
      <c r="AF90" s="68"/>
      <c r="AG90" s="66"/>
      <c r="AH90" s="414">
        <f>AC90</f>
        <v>1244.5261170151016</v>
      </c>
      <c r="AI90" s="233">
        <f>AH90/AH93</f>
        <v>0.14143200221178465</v>
      </c>
      <c r="AJ90" s="722">
        <f>I90+S90+AC90</f>
        <v>425700</v>
      </c>
      <c r="AK90" s="165"/>
    </row>
    <row r="91" spans="1:37" ht="21.6" thickBot="1" x14ac:dyDescent="0.45">
      <c r="A91" s="299" t="s">
        <v>4</v>
      </c>
      <c r="B91" s="218" t="str">
        <f t="shared" si="40"/>
        <v>Contact Center</v>
      </c>
      <c r="C91" s="5" t="s">
        <v>48</v>
      </c>
      <c r="D91" s="10"/>
      <c r="E91" s="117"/>
      <c r="F91" s="117"/>
      <c r="G91" s="117"/>
      <c r="H91" s="100"/>
      <c r="I91" s="178"/>
      <c r="J91" s="101"/>
      <c r="K91" s="101"/>
      <c r="L91" s="101"/>
      <c r="M91" s="102"/>
      <c r="N91" s="415"/>
      <c r="O91" s="178"/>
      <c r="P91" s="178"/>
      <c r="Q91" s="178"/>
      <c r="R91" s="178"/>
      <c r="S91" s="178"/>
      <c r="T91" s="101"/>
      <c r="U91" s="101"/>
      <c r="V91" s="101"/>
      <c r="W91" s="102"/>
      <c r="X91" s="178"/>
      <c r="Y91" s="178"/>
      <c r="Z91" s="178"/>
      <c r="AA91" s="178"/>
      <c r="AB91" s="178"/>
      <c r="AC91" s="178"/>
      <c r="AD91" s="101"/>
      <c r="AE91" s="101"/>
      <c r="AF91" s="101"/>
      <c r="AG91" s="102"/>
      <c r="AH91" s="415"/>
      <c r="AI91" s="178"/>
      <c r="AJ91" s="723"/>
      <c r="AK91" s="178"/>
    </row>
    <row r="92" spans="1:37" ht="21.6" thickTop="1" x14ac:dyDescent="0.4">
      <c r="A92" s="299" t="s">
        <v>4</v>
      </c>
      <c r="B92" s="218" t="str">
        <f t="shared" si="40"/>
        <v>Contact CenterTOTALS</v>
      </c>
      <c r="C92" s="5" t="s">
        <v>48</v>
      </c>
      <c r="D92" s="10"/>
      <c r="E92" s="117"/>
      <c r="F92" s="117"/>
      <c r="G92" s="117"/>
      <c r="H92" s="61" t="s">
        <v>28</v>
      </c>
      <c r="I92" s="103"/>
      <c r="J92" s="103"/>
      <c r="K92" s="103"/>
      <c r="L92" s="103"/>
      <c r="M92" s="104"/>
      <c r="N92" s="91"/>
      <c r="O92" s="136"/>
      <c r="P92" s="466"/>
      <c r="Q92" s="252"/>
      <c r="R92" s="186" t="s">
        <v>28</v>
      </c>
      <c r="S92" s="103"/>
      <c r="T92" s="103"/>
      <c r="U92" s="103"/>
      <c r="V92" s="103"/>
      <c r="W92" s="104"/>
      <c r="X92" s="90"/>
      <c r="Y92" s="136"/>
      <c r="Z92" s="466"/>
      <c r="AA92" s="252"/>
      <c r="AB92" s="186" t="s">
        <v>28</v>
      </c>
      <c r="AC92" s="103"/>
      <c r="AD92" s="103"/>
      <c r="AE92" s="103"/>
      <c r="AF92" s="103"/>
      <c r="AG92" s="104"/>
      <c r="AH92" s="91"/>
      <c r="AI92" s="136"/>
      <c r="AJ92" s="719"/>
      <c r="AK92" s="90"/>
    </row>
    <row r="93" spans="1:37" ht="21" x14ac:dyDescent="0.4">
      <c r="A93" s="299" t="s">
        <v>4</v>
      </c>
      <c r="B93" s="218" t="str">
        <f t="shared" si="40"/>
        <v>Contact CenterPER YEAR</v>
      </c>
      <c r="C93" s="124" t="s">
        <v>50</v>
      </c>
      <c r="D93" s="10"/>
      <c r="E93" s="117"/>
      <c r="F93" s="117"/>
      <c r="G93" s="117"/>
      <c r="H93" s="105" t="s">
        <v>46</v>
      </c>
      <c r="I93" s="106">
        <f>I58+I69+I76+I81+I90</f>
        <v>2733598.0414367509</v>
      </c>
      <c r="J93" s="106"/>
      <c r="K93" s="106"/>
      <c r="L93" s="106"/>
      <c r="M93" s="107"/>
      <c r="N93" s="420">
        <f>SUM(N58:N91)</f>
        <v>2733598.0414367509</v>
      </c>
      <c r="O93" s="233">
        <f>SUM(O58:O91)</f>
        <v>0.99999999999999989</v>
      </c>
      <c r="P93" s="466"/>
      <c r="Q93" s="252"/>
      <c r="R93" s="190" t="s">
        <v>46</v>
      </c>
      <c r="S93" s="106">
        <f>S58+S69+S76+S81+S90</f>
        <v>267529.47740719659</v>
      </c>
      <c r="T93" s="106"/>
      <c r="U93" s="106"/>
      <c r="V93" s="106"/>
      <c r="W93" s="107"/>
      <c r="X93" s="52">
        <f>SUM(X58:X91)</f>
        <v>267529.47740719659</v>
      </c>
      <c r="Y93" s="233">
        <f>SUM(Y58:Y91)</f>
        <v>0.99999999999999989</v>
      </c>
      <c r="Z93" s="466"/>
      <c r="AA93" s="252"/>
      <c r="AB93" s="190" t="s">
        <v>46</v>
      </c>
      <c r="AC93" s="106">
        <f>AC58+AC69+AC76+AC81+AC90</f>
        <v>8799.4661572527966</v>
      </c>
      <c r="AD93" s="106"/>
      <c r="AE93" s="106"/>
      <c r="AF93" s="106"/>
      <c r="AG93" s="107"/>
      <c r="AH93" s="420">
        <f>SUM(AH58:AH91)</f>
        <v>8799.4661572527966</v>
      </c>
      <c r="AI93" s="233">
        <f>SUM(AI58:AI91)</f>
        <v>0.99999999999999989</v>
      </c>
      <c r="AJ93" s="221">
        <f>I93+S93+AC93</f>
        <v>3009926.9850012003</v>
      </c>
      <c r="AK93" s="52"/>
    </row>
    <row r="94" spans="1:37" ht="21" x14ac:dyDescent="0.4">
      <c r="A94" s="299" t="s">
        <v>4</v>
      </c>
      <c r="B94" s="218" t="str">
        <f t="shared" si="40"/>
        <v>Contact CenterPER PAYMENT</v>
      </c>
      <c r="C94" s="124" t="s">
        <v>50</v>
      </c>
      <c r="D94" s="10"/>
      <c r="E94" s="117"/>
      <c r="F94" s="117"/>
      <c r="G94" s="117"/>
      <c r="H94" s="49" t="s">
        <v>47</v>
      </c>
      <c r="I94" s="108">
        <f>I93/I$6</f>
        <v>0.35117796054008049</v>
      </c>
      <c r="J94" s="108"/>
      <c r="K94" s="108"/>
      <c r="L94" s="108"/>
      <c r="M94" s="109"/>
      <c r="N94" s="98"/>
      <c r="O94" s="246"/>
      <c r="P94" s="467"/>
      <c r="Q94" s="253"/>
      <c r="R94" s="185" t="s">
        <v>47</v>
      </c>
      <c r="S94" s="108">
        <f>S93/S$6</f>
        <v>0.35117796054008055</v>
      </c>
      <c r="T94" s="108"/>
      <c r="U94" s="108"/>
      <c r="V94" s="108"/>
      <c r="W94" s="109"/>
      <c r="X94" s="97"/>
      <c r="Y94" s="246"/>
      <c r="Z94" s="467"/>
      <c r="AA94" s="253"/>
      <c r="AB94" s="185" t="s">
        <v>47</v>
      </c>
      <c r="AC94" s="108">
        <f>AC93/AC$6</f>
        <v>0.35117796054008049</v>
      </c>
      <c r="AD94" s="108"/>
      <c r="AE94" s="108"/>
      <c r="AF94" s="108"/>
      <c r="AG94" s="109"/>
      <c r="AH94" s="98"/>
      <c r="AI94" s="246"/>
      <c r="AJ94" s="721">
        <f>I94+S94+AC94</f>
        <v>1.0535338816202415</v>
      </c>
      <c r="AK94" s="97"/>
    </row>
    <row r="95" spans="1:37" ht="15.6" x14ac:dyDescent="0.3">
      <c r="A95" s="299" t="s">
        <v>4</v>
      </c>
      <c r="B95" s="218"/>
      <c r="C95" s="220"/>
      <c r="D95" s="10"/>
      <c r="E95" s="10"/>
      <c r="F95" s="10"/>
      <c r="G95" s="10"/>
      <c r="H95" s="137" t="s">
        <v>585</v>
      </c>
      <c r="I95" s="659">
        <f>I58+I69+I81</f>
        <v>2188854.1041447641</v>
      </c>
      <c r="J95" s="108"/>
      <c r="K95" s="108"/>
      <c r="L95" s="108"/>
      <c r="M95" s="109"/>
      <c r="N95" s="656"/>
      <c r="O95" s="657"/>
      <c r="P95" s="92"/>
      <c r="Q95" s="37"/>
      <c r="R95" s="137" t="s">
        <v>585</v>
      </c>
      <c r="S95" s="659">
        <f>S58+S69+S81</f>
        <v>214216.93523553663</v>
      </c>
      <c r="T95" s="108"/>
      <c r="U95" s="108"/>
      <c r="V95" s="108"/>
      <c r="W95" s="109"/>
      <c r="X95" s="658"/>
      <c r="Y95" s="657"/>
      <c r="Z95" s="92"/>
      <c r="AA95" s="37"/>
      <c r="AB95" s="137" t="s">
        <v>585</v>
      </c>
      <c r="AC95" s="659">
        <f>AC58+AC69+AC81</f>
        <v>7045.9326208993371</v>
      </c>
      <c r="AD95" s="108"/>
      <c r="AE95" s="108"/>
      <c r="AF95" s="108"/>
      <c r="AG95" s="109"/>
      <c r="AH95" s="656"/>
      <c r="AI95" s="137"/>
      <c r="AJ95" s="717">
        <f>I95+S95+AC95</f>
        <v>2410116.9720012001</v>
      </c>
      <c r="AK95" s="658"/>
    </row>
    <row r="96" spans="1:37" ht="15.6" x14ac:dyDescent="0.3">
      <c r="A96" s="299" t="s">
        <v>4</v>
      </c>
      <c r="B96" s="218"/>
      <c r="C96" s="220"/>
      <c r="D96" s="10"/>
      <c r="E96" s="10"/>
      <c r="F96" s="10"/>
      <c r="G96" s="10"/>
      <c r="H96" s="137" t="s">
        <v>586</v>
      </c>
      <c r="I96" s="659">
        <f>I90+I76</f>
        <v>544743.93729198666</v>
      </c>
      <c r="J96" s="108"/>
      <c r="K96" s="659"/>
      <c r="L96" s="108"/>
      <c r="M96" s="109"/>
      <c r="N96" s="656"/>
      <c r="O96" s="657"/>
      <c r="P96" s="92"/>
      <c r="Q96" s="37"/>
      <c r="R96" s="137" t="s">
        <v>586</v>
      </c>
      <c r="S96" s="659">
        <f>S90+S76</f>
        <v>53312.542171659959</v>
      </c>
      <c r="T96" s="108"/>
      <c r="U96" s="659"/>
      <c r="V96" s="108"/>
      <c r="W96" s="109"/>
      <c r="X96" s="658"/>
      <c r="Y96" s="657"/>
      <c r="Z96" s="92"/>
      <c r="AA96" s="37"/>
      <c r="AB96" s="137" t="s">
        <v>586</v>
      </c>
      <c r="AC96" s="659">
        <f>AC90+AC76</f>
        <v>1753.5335363534593</v>
      </c>
      <c r="AD96" s="108"/>
      <c r="AE96" s="659"/>
      <c r="AF96" s="108"/>
      <c r="AG96" s="109"/>
      <c r="AH96" s="656"/>
      <c r="AI96" s="137"/>
      <c r="AJ96" s="717">
        <f>I96+S96+AC96</f>
        <v>599810.01300000015</v>
      </c>
      <c r="AK96" s="658"/>
    </row>
    <row r="97" spans="1:37" ht="15.6" x14ac:dyDescent="0.3">
      <c r="A97" s="299" t="s">
        <v>4</v>
      </c>
      <c r="B97" s="218"/>
      <c r="C97" s="220"/>
      <c r="D97" s="10"/>
      <c r="E97" s="10"/>
      <c r="F97" s="10"/>
      <c r="G97" s="10"/>
      <c r="H97" s="137" t="s">
        <v>584</v>
      </c>
      <c r="I97" s="659">
        <f>I93</f>
        <v>2733598.0414367509</v>
      </c>
      <c r="J97" s="108"/>
      <c r="K97" s="108"/>
      <c r="L97" s="108"/>
      <c r="M97" s="109"/>
      <c r="N97" s="656"/>
      <c r="O97" s="657"/>
      <c r="P97" s="92"/>
      <c r="Q97" s="37"/>
      <c r="R97" s="137" t="s">
        <v>584</v>
      </c>
      <c r="S97" s="659">
        <f>S93</f>
        <v>267529.47740719659</v>
      </c>
      <c r="T97" s="108"/>
      <c r="U97" s="108"/>
      <c r="V97" s="108"/>
      <c r="W97" s="109"/>
      <c r="X97" s="658"/>
      <c r="Y97" s="657"/>
      <c r="Z97" s="92"/>
      <c r="AA97" s="37"/>
      <c r="AB97" s="137" t="s">
        <v>584</v>
      </c>
      <c r="AC97" s="659">
        <f>AC93</f>
        <v>8799.4661572527966</v>
      </c>
      <c r="AD97" s="108"/>
      <c r="AE97" s="108"/>
      <c r="AF97" s="108"/>
      <c r="AG97" s="109"/>
      <c r="AH97" s="656"/>
      <c r="AI97" s="137"/>
      <c r="AJ97" s="717">
        <f>I97+S97+AC97</f>
        <v>3009926.9850012003</v>
      </c>
      <c r="AK97" s="658"/>
    </row>
    <row r="98" spans="1:37" ht="66.599999999999994" customHeight="1" x14ac:dyDescent="0.3">
      <c r="A98" s="299" t="s">
        <v>5</v>
      </c>
      <c r="B98" s="218" t="str">
        <f t="shared" si="40"/>
        <v>MASTLABOR: NON-SUPERVISORY</v>
      </c>
      <c r="C98" s="218" t="s">
        <v>5</v>
      </c>
      <c r="D98" s="10" t="str">
        <f>'2015Summary METER to CASH (Base'!G16</f>
        <v>* Bill exception work
* Rebills
* Bill controls</v>
      </c>
      <c r="E98" s="117">
        <f>N137</f>
        <v>0</v>
      </c>
      <c r="F98" s="117">
        <f>X137</f>
        <v>101167.92131299998</v>
      </c>
      <c r="G98" s="117">
        <f>AC137</f>
        <v>281372.08834833326</v>
      </c>
      <c r="H98" s="182" t="s">
        <v>31</v>
      </c>
      <c r="I98" s="157"/>
      <c r="J98" s="118"/>
      <c r="K98" s="118"/>
      <c r="L98" s="118"/>
      <c r="M98" s="119"/>
      <c r="N98" s="121"/>
      <c r="O98" s="135"/>
      <c r="P98" s="456"/>
      <c r="Q98" s="248"/>
      <c r="R98" s="183" t="s">
        <v>31</v>
      </c>
      <c r="S98" s="157"/>
      <c r="T98" s="118"/>
      <c r="U98" s="118"/>
      <c r="V98" s="118"/>
      <c r="W98" s="119"/>
      <c r="X98" s="120"/>
      <c r="Y98" s="135"/>
      <c r="Z98" s="456"/>
      <c r="AA98" s="248"/>
      <c r="AB98" s="183" t="s">
        <v>31</v>
      </c>
      <c r="AC98" s="157"/>
      <c r="AD98" s="118"/>
      <c r="AE98" s="118"/>
      <c r="AF98" s="118"/>
      <c r="AG98" s="119"/>
      <c r="AH98" s="121"/>
      <c r="AI98" s="135"/>
      <c r="AJ98" s="713"/>
      <c r="AK98" s="120"/>
    </row>
    <row r="99" spans="1:37" ht="20.399999999999999" x14ac:dyDescent="0.3">
      <c r="A99" s="299" t="s">
        <v>5</v>
      </c>
      <c r="B99" s="218" t="str">
        <f t="shared" si="40"/>
        <v>MASTMAST Rep (Grade 145)</v>
      </c>
      <c r="C99" s="217" t="s">
        <v>48</v>
      </c>
      <c r="D99" s="10"/>
      <c r="E99" s="126"/>
      <c r="F99" s="126"/>
      <c r="G99" s="126"/>
      <c r="H99" s="184" t="s">
        <v>246</v>
      </c>
      <c r="I99" s="158">
        <f>J99*K99</f>
        <v>0</v>
      </c>
      <c r="J99" s="289">
        <f>+ROUND('FTE Alloc OR &amp; WA'!G39*2080,0)</f>
        <v>0</v>
      </c>
      <c r="K99" s="259">
        <v>29.13</v>
      </c>
      <c r="L99" s="39"/>
      <c r="M99" s="40" t="str">
        <f>J99&amp;" hrs @ "&amp;K99</f>
        <v>0 hrs @ 29.13</v>
      </c>
      <c r="N99" s="35"/>
      <c r="O99" s="136"/>
      <c r="P99" s="457"/>
      <c r="Q99" s="249"/>
      <c r="R99" s="184" t="s">
        <v>246</v>
      </c>
      <c r="S99" s="158">
        <f>T99*U99</f>
        <v>27090.899999999998</v>
      </c>
      <c r="T99" s="289">
        <f>+ROUND('FTE Alloc OR &amp; WA'!H40*2080,0)</f>
        <v>930</v>
      </c>
      <c r="U99" s="259">
        <v>29.13</v>
      </c>
      <c r="V99" s="39"/>
      <c r="W99" s="40" t="str">
        <f>T99&amp;" hrs @ "&amp;U99</f>
        <v>930 hrs @ 29.13</v>
      </c>
      <c r="X99" s="34"/>
      <c r="Y99" s="136"/>
      <c r="Z99" s="457"/>
      <c r="AA99" s="249"/>
      <c r="AB99" s="184" t="s">
        <v>246</v>
      </c>
      <c r="AC99" s="158">
        <f>AD99*AE99</f>
        <v>80864.87999999999</v>
      </c>
      <c r="AD99" s="289">
        <f>+ROUND('FTE Alloc OR &amp; WA'!I40*2080,0)</f>
        <v>2776</v>
      </c>
      <c r="AE99" s="259">
        <v>29.13</v>
      </c>
      <c r="AF99" s="39"/>
      <c r="AG99" s="40" t="str">
        <f>AD99&amp;" hrs @ "&amp;AE99</f>
        <v>2776 hrs @ 29.13</v>
      </c>
      <c r="AH99" s="35"/>
      <c r="AI99" s="136"/>
      <c r="AJ99" s="714">
        <f t="shared" ref="AJ99:AJ104" si="42">I99+S99+AC99</f>
        <v>107955.77999999998</v>
      </c>
      <c r="AK99" s="34"/>
    </row>
    <row r="100" spans="1:37" ht="15.6" x14ac:dyDescent="0.3">
      <c r="A100" s="299" t="s">
        <v>5</v>
      </c>
      <c r="B100" s="218" t="str">
        <f t="shared" si="40"/>
        <v>MASTOp Supp 2 (Grade 125)</v>
      </c>
      <c r="C100" s="217" t="s">
        <v>48</v>
      </c>
      <c r="D100" s="10"/>
      <c r="E100" s="126"/>
      <c r="F100" s="126"/>
      <c r="G100" s="126"/>
      <c r="H100" s="184" t="s">
        <v>247</v>
      </c>
      <c r="I100" s="158">
        <f t="shared" ref="I100:I101" si="43">J100*K100</f>
        <v>0</v>
      </c>
      <c r="J100" s="289">
        <f>+ROUND('FTE Alloc OR &amp; WA'!G40*2080,0)</f>
        <v>0</v>
      </c>
      <c r="K100" s="259">
        <v>22.01</v>
      </c>
      <c r="L100" s="42"/>
      <c r="M100" s="40" t="str">
        <f t="shared" ref="M100:M102" si="44">J100&amp;" hrs @ "&amp;K100</f>
        <v>0 hrs @ 22.01</v>
      </c>
      <c r="N100" s="35"/>
      <c r="O100" s="136"/>
      <c r="P100" s="457"/>
      <c r="Q100" s="250"/>
      <c r="R100" s="184" t="s">
        <v>247</v>
      </c>
      <c r="S100" s="158">
        <f t="shared" ref="S100:S101" si="45">T100*U100</f>
        <v>2002.91</v>
      </c>
      <c r="T100" s="289">
        <f>+ROUND('FTE Alloc OR &amp; WA'!H41*2080,0)</f>
        <v>91</v>
      </c>
      <c r="U100" s="259">
        <v>22.01</v>
      </c>
      <c r="V100" s="42"/>
      <c r="W100" s="40" t="str">
        <f t="shared" ref="W100:W102" si="46">T100&amp;" hrs @ "&amp;U100</f>
        <v>91 hrs @ 22.01</v>
      </c>
      <c r="X100" s="34"/>
      <c r="Y100" s="136"/>
      <c r="Z100" s="457"/>
      <c r="AA100" s="250"/>
      <c r="AB100" s="184" t="s">
        <v>247</v>
      </c>
      <c r="AC100" s="158">
        <f t="shared" ref="AC100:AC102" si="47">AD100*AE100</f>
        <v>6889.13</v>
      </c>
      <c r="AD100" s="289">
        <f>+ROUND('FTE Alloc OR &amp; WA'!I41*2080,0)</f>
        <v>313</v>
      </c>
      <c r="AE100" s="259">
        <v>22.01</v>
      </c>
      <c r="AF100" s="42"/>
      <c r="AG100" s="40" t="str">
        <f t="shared" ref="AG100:AG102" si="48">AD100&amp;" hrs @ "&amp;AE100</f>
        <v>313 hrs @ 22.01</v>
      </c>
      <c r="AH100" s="35"/>
      <c r="AI100" s="136"/>
      <c r="AJ100" s="714">
        <f t="shared" si="42"/>
        <v>8892.0400000000009</v>
      </c>
      <c r="AK100" s="34"/>
    </row>
    <row r="101" spans="1:37" ht="15.6" x14ac:dyDescent="0.3">
      <c r="A101" s="299" t="s">
        <v>5</v>
      </c>
      <c r="B101" s="218" t="str">
        <f t="shared" si="40"/>
        <v>MASTCustomer Field Service 4</v>
      </c>
      <c r="C101" s="217" t="s">
        <v>48</v>
      </c>
      <c r="D101" s="10"/>
      <c r="E101" s="126"/>
      <c r="F101" s="126"/>
      <c r="G101" s="126"/>
      <c r="H101" s="184" t="s">
        <v>346</v>
      </c>
      <c r="I101" s="158">
        <f t="shared" si="43"/>
        <v>0</v>
      </c>
      <c r="J101" s="42"/>
      <c r="K101" s="39">
        <v>36.78</v>
      </c>
      <c r="L101" s="42"/>
      <c r="M101" s="40" t="str">
        <f t="shared" si="44"/>
        <v xml:space="preserve"> hrs @ 36.78</v>
      </c>
      <c r="N101" s="35"/>
      <c r="O101" s="136"/>
      <c r="P101" s="457"/>
      <c r="Q101" s="249"/>
      <c r="R101" s="184" t="s">
        <v>346</v>
      </c>
      <c r="S101" s="158">
        <f t="shared" si="45"/>
        <v>10739.76</v>
      </c>
      <c r="T101" s="42">
        <v>292</v>
      </c>
      <c r="U101" s="39">
        <v>36.78</v>
      </c>
      <c r="V101" s="42"/>
      <c r="W101" s="40" t="str">
        <f t="shared" si="46"/>
        <v>292 hrs @ 36.78</v>
      </c>
      <c r="X101" s="34"/>
      <c r="Y101" s="136"/>
      <c r="Z101" s="457"/>
      <c r="AA101" s="249"/>
      <c r="AB101" s="184" t="s">
        <v>346</v>
      </c>
      <c r="AC101" s="158">
        <f t="shared" si="47"/>
        <v>23097.84</v>
      </c>
      <c r="AD101" s="42">
        <v>628</v>
      </c>
      <c r="AE101" s="39">
        <v>36.78</v>
      </c>
      <c r="AF101" s="42"/>
      <c r="AG101" s="40" t="str">
        <f t="shared" si="48"/>
        <v>628 hrs @ 36.78</v>
      </c>
      <c r="AH101" s="35"/>
      <c r="AI101" s="136"/>
      <c r="AJ101" s="714">
        <f t="shared" si="42"/>
        <v>33837.599999999999</v>
      </c>
      <c r="AK101" s="34"/>
    </row>
    <row r="102" spans="1:37" ht="15.6" x14ac:dyDescent="0.3">
      <c r="A102" s="299" t="s">
        <v>5</v>
      </c>
      <c r="B102" s="218" t="str">
        <f t="shared" si="40"/>
        <v>MAST</v>
      </c>
      <c r="C102" s="217" t="s">
        <v>48</v>
      </c>
      <c r="D102" s="10"/>
      <c r="E102" s="126"/>
      <c r="F102" s="126"/>
      <c r="G102" s="126"/>
      <c r="H102" s="179"/>
      <c r="I102" s="173">
        <f>J102*K102*L102</f>
        <v>0</v>
      </c>
      <c r="J102" s="174"/>
      <c r="K102" s="175"/>
      <c r="L102" s="181">
        <v>7.0000000000000007E-2</v>
      </c>
      <c r="M102" s="176" t="str">
        <f t="shared" si="44"/>
        <v xml:space="preserve"> hrs @ </v>
      </c>
      <c r="N102" s="35"/>
      <c r="O102" s="136"/>
      <c r="P102" s="457"/>
      <c r="Q102" s="251"/>
      <c r="R102" s="179"/>
      <c r="S102" s="173">
        <f>T102*U102*V102</f>
        <v>0</v>
      </c>
      <c r="T102" s="174"/>
      <c r="U102" s="175"/>
      <c r="V102" s="181">
        <v>7.0000000000000007E-2</v>
      </c>
      <c r="W102" s="176" t="str">
        <f t="shared" si="46"/>
        <v xml:space="preserve"> hrs @ </v>
      </c>
      <c r="X102" s="34"/>
      <c r="Y102" s="136"/>
      <c r="Z102" s="457"/>
      <c r="AA102" s="251"/>
      <c r="AB102" s="179"/>
      <c r="AC102" s="173">
        <f t="shared" si="47"/>
        <v>0</v>
      </c>
      <c r="AD102" s="174"/>
      <c r="AE102" s="175"/>
      <c r="AF102" s="181"/>
      <c r="AG102" s="176" t="str">
        <f t="shared" si="48"/>
        <v xml:space="preserve"> hrs @ </v>
      </c>
      <c r="AH102" s="35"/>
      <c r="AI102" s="136"/>
      <c r="AJ102" s="714">
        <f t="shared" si="42"/>
        <v>0</v>
      </c>
      <c r="AK102" s="34"/>
    </row>
    <row r="103" spans="1:37" ht="15.6" x14ac:dyDescent="0.3">
      <c r="A103" s="299" t="s">
        <v>5</v>
      </c>
      <c r="B103" s="218" t="str">
        <f t="shared" si="40"/>
        <v>MASTTotal Wages</v>
      </c>
      <c r="C103" s="217" t="s">
        <v>48</v>
      </c>
      <c r="D103" s="10"/>
      <c r="E103" s="126"/>
      <c r="F103" s="126"/>
      <c r="G103" s="126"/>
      <c r="H103" s="38" t="s">
        <v>32</v>
      </c>
      <c r="I103" s="158">
        <f>SUM(I99:I102)</f>
        <v>0</v>
      </c>
      <c r="J103" s="42"/>
      <c r="K103" s="39"/>
      <c r="L103" s="39"/>
      <c r="M103" s="40"/>
      <c r="N103" s="35"/>
      <c r="O103" s="231"/>
      <c r="P103" s="457"/>
      <c r="Q103" s="249"/>
      <c r="R103" s="184" t="s">
        <v>32</v>
      </c>
      <c r="S103" s="158">
        <f>SUM(S99:S102)</f>
        <v>39833.57</v>
      </c>
      <c r="T103" s="42"/>
      <c r="U103" s="39"/>
      <c r="V103" s="39"/>
      <c r="W103" s="40"/>
      <c r="X103" s="34"/>
      <c r="Y103" s="231"/>
      <c r="Z103" s="457"/>
      <c r="AA103" s="249"/>
      <c r="AB103" s="184" t="s">
        <v>32</v>
      </c>
      <c r="AC103" s="158">
        <f>SUM(AC99:AC102)</f>
        <v>110851.84999999999</v>
      </c>
      <c r="AD103" s="42"/>
      <c r="AE103" s="39"/>
      <c r="AF103" s="39"/>
      <c r="AG103" s="40"/>
      <c r="AH103" s="35"/>
      <c r="AI103" s="231"/>
      <c r="AJ103" s="714">
        <f t="shared" si="42"/>
        <v>150685.41999999998</v>
      </c>
      <c r="AK103" s="34"/>
    </row>
    <row r="104" spans="1:37" ht="15.6" x14ac:dyDescent="0.3">
      <c r="A104" s="299" t="s">
        <v>5</v>
      </c>
      <c r="B104" s="218" t="str">
        <f t="shared" si="40"/>
        <v>MASTBenefits</v>
      </c>
      <c r="C104" s="217" t="s">
        <v>48</v>
      </c>
      <c r="D104" s="10"/>
      <c r="E104" s="126"/>
      <c r="F104" s="126"/>
      <c r="G104" s="126"/>
      <c r="H104" s="38" t="s">
        <v>33</v>
      </c>
      <c r="I104" s="159">
        <f>I103*$O$2</f>
        <v>0</v>
      </c>
      <c r="J104" s="42"/>
      <c r="K104" s="39"/>
      <c r="M104" s="45" t="str">
        <f>"@ "&amp;$O$2*100&amp;" %"</f>
        <v>@ 98.59 %</v>
      </c>
      <c r="N104" s="47"/>
      <c r="O104" s="232"/>
      <c r="P104" s="460"/>
      <c r="Q104" s="249"/>
      <c r="R104" s="184" t="s">
        <v>33</v>
      </c>
      <c r="S104" s="159">
        <f>S103*$O$2</f>
        <v>39271.916662999996</v>
      </c>
      <c r="T104" s="42"/>
      <c r="U104" s="39"/>
      <c r="W104" s="45" t="str">
        <f>"@ "&amp;$O$2*100&amp;" %"</f>
        <v>@ 98.59 %</v>
      </c>
      <c r="X104" s="46"/>
      <c r="Y104" s="232"/>
      <c r="Z104" s="460"/>
      <c r="AA104" s="249"/>
      <c r="AB104" s="184" t="s">
        <v>33</v>
      </c>
      <c r="AC104" s="159">
        <f>AC103*$O$2</f>
        <v>109288.83891499999</v>
      </c>
      <c r="AD104" s="42"/>
      <c r="AE104" s="39"/>
      <c r="AG104" s="45" t="str">
        <f>"@ "&amp;$O$2*100&amp;" %"</f>
        <v>@ 98.59 %</v>
      </c>
      <c r="AH104" s="47"/>
      <c r="AI104" s="232"/>
      <c r="AJ104" s="716">
        <f t="shared" si="42"/>
        <v>148560.75557799998</v>
      </c>
      <c r="AK104" s="46"/>
    </row>
    <row r="105" spans="1:37" ht="15.6" x14ac:dyDescent="0.3">
      <c r="A105" s="299" t="s">
        <v>5</v>
      </c>
      <c r="B105" s="218" t="str">
        <f t="shared" si="40"/>
        <v>MASTTotal</v>
      </c>
      <c r="C105" s="219" t="s">
        <v>50</v>
      </c>
      <c r="D105" s="10"/>
      <c r="E105" s="126"/>
      <c r="F105" s="126"/>
      <c r="G105" s="126"/>
      <c r="H105" s="49" t="s">
        <v>34</v>
      </c>
      <c r="I105" s="160">
        <f>I103+I104</f>
        <v>0</v>
      </c>
      <c r="J105" s="42"/>
      <c r="K105" s="39"/>
      <c r="L105" s="50"/>
      <c r="M105" s="51"/>
      <c r="N105" s="420">
        <f>I105</f>
        <v>0</v>
      </c>
      <c r="O105" s="233" t="e">
        <f>N105/N137</f>
        <v>#DIV/0!</v>
      </c>
      <c r="P105" s="461"/>
      <c r="Q105" s="252"/>
      <c r="R105" s="185" t="s">
        <v>34</v>
      </c>
      <c r="S105" s="160">
        <f>S103+S104</f>
        <v>79105.486662999989</v>
      </c>
      <c r="T105" s="42"/>
      <c r="U105" s="39"/>
      <c r="V105" s="50"/>
      <c r="W105" s="51"/>
      <c r="X105" s="52">
        <f>S105</f>
        <v>79105.486662999989</v>
      </c>
      <c r="Y105" s="233">
        <f>X105/X137</f>
        <v>0.78192262563405068</v>
      </c>
      <c r="Z105" s="461"/>
      <c r="AA105" s="252"/>
      <c r="AB105" s="185" t="s">
        <v>34</v>
      </c>
      <c r="AC105" s="160">
        <f>AC103+AC104</f>
        <v>220140.68891499998</v>
      </c>
      <c r="AD105" s="42"/>
      <c r="AE105" s="39"/>
      <c r="AF105" s="50"/>
      <c r="AG105" s="51"/>
      <c r="AH105" s="420">
        <f>AC105</f>
        <v>220140.68891499998</v>
      </c>
      <c r="AI105" s="233">
        <f>AH105/AH137</f>
        <v>0.78238282342515086</v>
      </c>
      <c r="AJ105" s="221">
        <f>I105+S105+AC105</f>
        <v>299246.17557799997</v>
      </c>
      <c r="AK105" s="52"/>
    </row>
    <row r="106" spans="1:37" ht="15.6" x14ac:dyDescent="0.3">
      <c r="A106" s="299" t="s">
        <v>5</v>
      </c>
      <c r="B106" s="218" t="str">
        <f t="shared" si="40"/>
        <v>MAST</v>
      </c>
      <c r="C106" s="217" t="s">
        <v>48</v>
      </c>
      <c r="D106" s="10"/>
      <c r="E106" s="126"/>
      <c r="F106" s="126"/>
      <c r="G106" s="126"/>
      <c r="H106" s="54"/>
      <c r="I106" s="166"/>
      <c r="J106" s="69"/>
      <c r="K106" s="69"/>
      <c r="L106" s="69"/>
      <c r="M106" s="70"/>
      <c r="N106" s="58"/>
      <c r="O106" s="231"/>
      <c r="P106" s="458"/>
      <c r="Q106" s="253"/>
      <c r="R106" s="179"/>
      <c r="S106" s="166"/>
      <c r="T106" s="69"/>
      <c r="U106" s="69"/>
      <c r="V106" s="69"/>
      <c r="W106" s="70"/>
      <c r="X106" s="57"/>
      <c r="Y106" s="231"/>
      <c r="Z106" s="458"/>
      <c r="AA106" s="253"/>
      <c r="AB106" s="179"/>
      <c r="AC106" s="166"/>
      <c r="AD106" s="69"/>
      <c r="AE106" s="69"/>
      <c r="AF106" s="69"/>
      <c r="AG106" s="70"/>
      <c r="AH106" s="58"/>
      <c r="AI106" s="231"/>
      <c r="AJ106" s="715"/>
      <c r="AK106" s="57"/>
    </row>
    <row r="107" spans="1:37" ht="14.4" customHeight="1" x14ac:dyDescent="0.3">
      <c r="A107" s="299" t="s">
        <v>5</v>
      </c>
      <c r="B107" s="218" t="str">
        <f t="shared" si="40"/>
        <v>MASTLABOR: SUPERVISORY</v>
      </c>
      <c r="C107" s="220" t="s">
        <v>50</v>
      </c>
      <c r="D107" s="10"/>
      <c r="E107" s="126"/>
      <c r="F107" s="126"/>
      <c r="G107" s="126"/>
      <c r="H107" s="61" t="s">
        <v>35</v>
      </c>
      <c r="I107" s="167"/>
      <c r="J107" s="74"/>
      <c r="K107" s="74"/>
      <c r="L107" s="74"/>
      <c r="M107" s="66"/>
      <c r="N107" s="26"/>
      <c r="O107" s="234"/>
      <c r="P107" s="462"/>
      <c r="Q107" s="252"/>
      <c r="R107" s="186" t="s">
        <v>35</v>
      </c>
      <c r="S107" s="167"/>
      <c r="T107" s="74"/>
      <c r="U107" s="74"/>
      <c r="V107" s="74"/>
      <c r="W107" s="66"/>
      <c r="X107" s="64"/>
      <c r="Y107" s="234"/>
      <c r="Z107" s="462"/>
      <c r="AA107" s="252"/>
      <c r="AB107" s="186" t="s">
        <v>35</v>
      </c>
      <c r="AC107" s="167"/>
      <c r="AD107" s="74"/>
      <c r="AE107" s="74"/>
      <c r="AF107" s="74"/>
      <c r="AG107" s="66"/>
      <c r="AH107" s="26"/>
      <c r="AI107" s="234"/>
      <c r="AJ107" s="714"/>
      <c r="AK107" s="64"/>
    </row>
    <row r="108" spans="1:37" ht="15.6" x14ac:dyDescent="0.3">
      <c r="A108" s="299" t="s">
        <v>5</v>
      </c>
      <c r="B108" s="218" t="str">
        <f t="shared" ref="B108:B109" si="49">A108&amp;H108</f>
        <v>MASTManager (Grade 23)</v>
      </c>
      <c r="C108" s="220"/>
      <c r="D108" s="10"/>
      <c r="E108" s="126"/>
      <c r="F108" s="126"/>
      <c r="G108" s="126"/>
      <c r="H108" s="184" t="s">
        <v>349</v>
      </c>
      <c r="I108" s="158">
        <f t="shared" ref="I108:I109" si="50">J108*K108</f>
        <v>0</v>
      </c>
      <c r="J108" s="289">
        <f>(1/6)*J110</f>
        <v>0</v>
      </c>
      <c r="K108" s="259">
        <v>55.78</v>
      </c>
      <c r="L108" s="43"/>
      <c r="M108" s="40" t="str">
        <f t="shared" ref="M108" si="51">J108&amp;" hrs @ "&amp;K108</f>
        <v>0 hrs @ 55.78</v>
      </c>
      <c r="N108" s="26"/>
      <c r="O108" s="234"/>
      <c r="P108" s="462"/>
      <c r="Q108" s="252"/>
      <c r="R108" s="184" t="s">
        <v>349</v>
      </c>
      <c r="S108" s="158">
        <f t="shared" ref="S108:S109" si="52">T108*U108</f>
        <v>557.79999999999995</v>
      </c>
      <c r="T108" s="289">
        <v>10</v>
      </c>
      <c r="U108" s="259">
        <v>55.78</v>
      </c>
      <c r="V108" s="43"/>
      <c r="W108" s="40" t="str">
        <f>ROUND(T108,0)&amp;" hrs @ "&amp;U108</f>
        <v>10 hrs @ 55.78</v>
      </c>
      <c r="X108" s="64"/>
      <c r="Y108" s="234"/>
      <c r="Z108" s="462"/>
      <c r="AA108" s="252"/>
      <c r="AB108" s="184" t="s">
        <v>349</v>
      </c>
      <c r="AC108" s="158">
        <f t="shared" ref="AC108:AC109" si="53">AD108*AE108</f>
        <v>4369.4333333333334</v>
      </c>
      <c r="AD108" s="289">
        <f>(1/6)*AD110</f>
        <v>78.333333333333329</v>
      </c>
      <c r="AE108" s="259">
        <v>55.78</v>
      </c>
      <c r="AF108" s="43"/>
      <c r="AG108" s="40" t="str">
        <f>ROUND(AD108,0)&amp;" hrs @ "&amp;AE108</f>
        <v>78 hrs @ 55.78</v>
      </c>
      <c r="AH108" s="26"/>
      <c r="AI108" s="234"/>
      <c r="AJ108" s="714">
        <f t="shared" ref="AJ108:AJ112" si="54">I108+S108+AC108</f>
        <v>4927.2333333333336</v>
      </c>
      <c r="AK108" s="64"/>
    </row>
    <row r="109" spans="1:37" ht="15.6" x14ac:dyDescent="0.3">
      <c r="A109" s="299" t="s">
        <v>5</v>
      </c>
      <c r="B109" s="218" t="str">
        <f t="shared" si="49"/>
        <v>MASTMAS Supervisor(Grade 21)</v>
      </c>
      <c r="C109" s="220"/>
      <c r="D109" s="10"/>
      <c r="E109" s="126"/>
      <c r="F109" s="126"/>
      <c r="G109" s="126"/>
      <c r="H109" s="184" t="s">
        <v>347</v>
      </c>
      <c r="I109" s="158">
        <f t="shared" si="50"/>
        <v>0</v>
      </c>
      <c r="J109" s="289">
        <f>J101/(4*1800)</f>
        <v>0</v>
      </c>
      <c r="K109" s="259">
        <v>45.18</v>
      </c>
      <c r="L109" s="43"/>
      <c r="M109" s="40" t="str">
        <f>ROUND(J109,0)&amp;" hrs @ "&amp;K109</f>
        <v>0 hrs @ 45.18</v>
      </c>
      <c r="N109" s="26"/>
      <c r="O109" s="234"/>
      <c r="P109" s="462"/>
      <c r="Q109" s="252"/>
      <c r="R109" s="184" t="s">
        <v>347</v>
      </c>
      <c r="S109" s="158">
        <f t="shared" si="52"/>
        <v>535.03159999999991</v>
      </c>
      <c r="T109" s="289">
        <f>T101*(T101/(4*1800))</f>
        <v>11.842222222222221</v>
      </c>
      <c r="U109" s="259">
        <v>45.18</v>
      </c>
      <c r="V109" s="43"/>
      <c r="W109" s="40" t="str">
        <f>ROUND(T109,0)&amp;" hrs @ "&amp;U109</f>
        <v>12 hrs @ 45.18</v>
      </c>
      <c r="X109" s="64"/>
      <c r="Y109" s="234"/>
      <c r="Z109" s="462"/>
      <c r="AA109" s="252"/>
      <c r="AB109" s="184" t="s">
        <v>347</v>
      </c>
      <c r="AC109" s="158">
        <f t="shared" si="53"/>
        <v>2474.7596000000003</v>
      </c>
      <c r="AD109" s="289">
        <f>AD101*(AD101/(4*1800))</f>
        <v>54.775555555555563</v>
      </c>
      <c r="AE109" s="259">
        <v>45.18</v>
      </c>
      <c r="AF109" s="43"/>
      <c r="AG109" s="40" t="str">
        <f>ROUND(AD109,0)&amp;" hrs @ "&amp;AE109</f>
        <v>55 hrs @ 45.18</v>
      </c>
      <c r="AH109" s="26"/>
      <c r="AI109" s="234"/>
      <c r="AJ109" s="714">
        <f t="shared" si="54"/>
        <v>3009.7912000000001</v>
      </c>
      <c r="AK109" s="64"/>
    </row>
    <row r="110" spans="1:37" ht="15.6" x14ac:dyDescent="0.3">
      <c r="A110" s="299" t="s">
        <v>5</v>
      </c>
      <c r="B110" s="218" t="str">
        <f t="shared" si="40"/>
        <v>MASTSupervisor MAST (Grade 20)</v>
      </c>
      <c r="C110" s="217" t="s">
        <v>48</v>
      </c>
      <c r="D110" s="10"/>
      <c r="E110" s="126"/>
      <c r="F110" s="126"/>
      <c r="G110" s="126"/>
      <c r="H110" s="179" t="s">
        <v>348</v>
      </c>
      <c r="I110" s="173">
        <f t="shared" ref="I110" si="55">J110*K110</f>
        <v>0</v>
      </c>
      <c r="J110" s="174">
        <v>0</v>
      </c>
      <c r="K110" s="175">
        <v>40.5</v>
      </c>
      <c r="L110" s="181"/>
      <c r="M110" s="176" t="str">
        <f t="shared" ref="M110" si="56">J110&amp;" hrs @ "&amp;K110</f>
        <v>0 hrs @ 40.5</v>
      </c>
      <c r="N110" s="26"/>
      <c r="O110" s="235"/>
      <c r="P110" s="462"/>
      <c r="Q110" s="249"/>
      <c r="R110" s="179" t="s">
        <v>348</v>
      </c>
      <c r="S110" s="173">
        <f t="shared" ref="S110" si="57">T110*U110</f>
        <v>6439.5</v>
      </c>
      <c r="T110" s="174">
        <f>+ROUND(('FTE Alloc OR &amp; WA'!H45+'FTE Alloc OR &amp; WA'!H47)*2080,0)</f>
        <v>159</v>
      </c>
      <c r="U110" s="175">
        <v>40.5</v>
      </c>
      <c r="V110" s="181"/>
      <c r="W110" s="176" t="str">
        <f t="shared" ref="W110" si="58">T110&amp;" hrs @ "&amp;U110</f>
        <v>159 hrs @ 40.5</v>
      </c>
      <c r="X110" s="64"/>
      <c r="Y110" s="235"/>
      <c r="Z110" s="462"/>
      <c r="AA110" s="249"/>
      <c r="AB110" s="179" t="s">
        <v>348</v>
      </c>
      <c r="AC110" s="173">
        <f t="shared" ref="AC110" si="59">AD110*AE110</f>
        <v>19035</v>
      </c>
      <c r="AD110" s="174">
        <f>+ROUND(('FTE Alloc OR &amp; WA'!I45+'FTE Alloc OR &amp; WA'!I47)*2080,0)</f>
        <v>470</v>
      </c>
      <c r="AE110" s="175">
        <v>40.5</v>
      </c>
      <c r="AF110" s="181"/>
      <c r="AG110" s="176" t="str">
        <f t="shared" ref="AG110" si="60">AD110&amp;" hrs @ "&amp;AE110</f>
        <v>470 hrs @ 40.5</v>
      </c>
      <c r="AH110" s="26"/>
      <c r="AI110" s="235"/>
      <c r="AJ110" s="714">
        <f t="shared" si="54"/>
        <v>25474.5</v>
      </c>
      <c r="AK110" s="64"/>
    </row>
    <row r="111" spans="1:37" ht="15.6" x14ac:dyDescent="0.3">
      <c r="A111" s="299" t="s">
        <v>5</v>
      </c>
      <c r="B111" s="218"/>
      <c r="C111" s="217"/>
      <c r="D111" s="10"/>
      <c r="E111" s="126"/>
      <c r="F111" s="126"/>
      <c r="G111" s="126"/>
      <c r="H111" s="184" t="s">
        <v>32</v>
      </c>
      <c r="I111" s="158">
        <f>SUM(I107:I110)</f>
        <v>0</v>
      </c>
      <c r="J111" s="42"/>
      <c r="K111" s="39"/>
      <c r="L111" s="39"/>
      <c r="M111" s="40"/>
      <c r="N111" s="26"/>
      <c r="O111" s="234"/>
      <c r="P111" s="462"/>
      <c r="Q111" s="249"/>
      <c r="R111" s="184" t="s">
        <v>32</v>
      </c>
      <c r="S111" s="158">
        <f>SUM(S107:S110)</f>
        <v>7532.3315999999995</v>
      </c>
      <c r="T111" s="42"/>
      <c r="U111" s="39"/>
      <c r="V111" s="39"/>
      <c r="W111" s="40"/>
      <c r="X111" s="64"/>
      <c r="Y111" s="234"/>
      <c r="Z111" s="462"/>
      <c r="AA111" s="249"/>
      <c r="AB111" s="184" t="s">
        <v>32</v>
      </c>
      <c r="AC111" s="158">
        <f>SUM(AC107:AC110)</f>
        <v>25879.192933333332</v>
      </c>
      <c r="AD111" s="42"/>
      <c r="AE111" s="39"/>
      <c r="AF111" s="39"/>
      <c r="AG111" s="40"/>
      <c r="AH111" s="26"/>
      <c r="AI111" s="234"/>
      <c r="AJ111" s="714">
        <f t="shared" si="54"/>
        <v>33411.52453333333</v>
      </c>
      <c r="AK111" s="64"/>
    </row>
    <row r="112" spans="1:37" ht="15.6" x14ac:dyDescent="0.3">
      <c r="A112" s="299" t="s">
        <v>5</v>
      </c>
      <c r="B112" s="218" t="str">
        <f t="shared" si="40"/>
        <v>MASTBenefits</v>
      </c>
      <c r="C112" s="217" t="s">
        <v>48</v>
      </c>
      <c r="D112" s="10"/>
      <c r="E112" s="126"/>
      <c r="F112" s="126"/>
      <c r="G112" s="126"/>
      <c r="H112" s="38" t="s">
        <v>33</v>
      </c>
      <c r="I112" s="159">
        <f>I110*$O$2</f>
        <v>0</v>
      </c>
      <c r="J112" s="42"/>
      <c r="K112" s="39"/>
      <c r="L112" s="156"/>
      <c r="M112" s="45" t="str">
        <f>"@ "&amp;$O$2*100&amp;" %"</f>
        <v>@ 98.59 %</v>
      </c>
      <c r="N112" s="26"/>
      <c r="O112" s="236"/>
      <c r="P112" s="462"/>
      <c r="Q112" s="249"/>
      <c r="R112" s="184" t="s">
        <v>33</v>
      </c>
      <c r="S112" s="159">
        <f>S110*$O$2</f>
        <v>6348.7030500000001</v>
      </c>
      <c r="T112" s="42"/>
      <c r="U112" s="39"/>
      <c r="V112" s="156"/>
      <c r="W112" s="45" t="str">
        <f>"@ "&amp;$O$2*100&amp;" %"</f>
        <v>@ 98.59 %</v>
      </c>
      <c r="X112" s="64"/>
      <c r="Y112" s="236"/>
      <c r="Z112" s="462"/>
      <c r="AA112" s="249"/>
      <c r="AB112" s="184" t="s">
        <v>33</v>
      </c>
      <c r="AC112" s="159">
        <f>AC110*$O$2</f>
        <v>18766.606500000002</v>
      </c>
      <c r="AD112" s="42"/>
      <c r="AE112" s="39"/>
      <c r="AF112" s="156"/>
      <c r="AG112" s="45" t="str">
        <f>"@ "&amp;$O$2*100&amp;" %"</f>
        <v>@ 98.59 %</v>
      </c>
      <c r="AH112" s="26"/>
      <c r="AI112" s="236"/>
      <c r="AJ112" s="714">
        <f t="shared" si="54"/>
        <v>25115.309550000002</v>
      </c>
      <c r="AK112" s="64"/>
    </row>
    <row r="113" spans="1:42" ht="15.6" x14ac:dyDescent="0.3">
      <c r="A113" s="299" t="s">
        <v>5</v>
      </c>
      <c r="B113" s="218" t="str">
        <f t="shared" si="40"/>
        <v>MASTTotal</v>
      </c>
      <c r="C113" s="220" t="s">
        <v>50</v>
      </c>
      <c r="D113" s="10"/>
      <c r="E113" s="126"/>
      <c r="F113" s="126"/>
      <c r="G113" s="126"/>
      <c r="H113" s="49" t="s">
        <v>34</v>
      </c>
      <c r="I113" s="165">
        <f>I112+I111</f>
        <v>0</v>
      </c>
      <c r="J113" s="68"/>
      <c r="K113" s="68"/>
      <c r="L113" s="68"/>
      <c r="M113" s="63"/>
      <c r="N113" s="420">
        <f>I113</f>
        <v>0</v>
      </c>
      <c r="O113" s="233" t="e">
        <f>N113/N137</f>
        <v>#DIV/0!</v>
      </c>
      <c r="P113" s="462"/>
      <c r="Q113" s="249"/>
      <c r="R113" s="185" t="s">
        <v>34</v>
      </c>
      <c r="S113" s="397">
        <f>S112+S111</f>
        <v>13881.03465</v>
      </c>
      <c r="T113" s="68"/>
      <c r="U113" s="68"/>
      <c r="V113" s="68"/>
      <c r="W113" s="63"/>
      <c r="X113" s="52">
        <f>S113</f>
        <v>13881.03465</v>
      </c>
      <c r="Y113" s="233">
        <f>X113/X137</f>
        <v>0.1372078665830638</v>
      </c>
      <c r="Z113" s="462"/>
      <c r="AA113" s="249"/>
      <c r="AB113" s="185" t="s">
        <v>34</v>
      </c>
      <c r="AC113" s="397">
        <f>AC112+AC111</f>
        <v>44645.799433333334</v>
      </c>
      <c r="AD113" s="68"/>
      <c r="AE113" s="68"/>
      <c r="AF113" s="68"/>
      <c r="AG113" s="63"/>
      <c r="AH113" s="420">
        <f>AC113</f>
        <v>44645.799433333334</v>
      </c>
      <c r="AI113" s="233">
        <f>AH113/AH137</f>
        <v>0.15867174208858517</v>
      </c>
      <c r="AJ113" s="221">
        <f>I113+S113+AC113</f>
        <v>58526.834083333335</v>
      </c>
      <c r="AK113" s="52"/>
    </row>
    <row r="114" spans="1:42" ht="15.6" x14ac:dyDescent="0.3">
      <c r="A114" s="299" t="s">
        <v>5</v>
      </c>
      <c r="B114" s="218" t="str">
        <f t="shared" si="40"/>
        <v>MAST</v>
      </c>
      <c r="C114" s="217" t="s">
        <v>48</v>
      </c>
      <c r="D114" s="10"/>
      <c r="E114" s="126"/>
      <c r="F114" s="126"/>
      <c r="G114" s="126"/>
      <c r="H114" s="54"/>
      <c r="I114" s="166"/>
      <c r="J114" s="69"/>
      <c r="K114" s="69"/>
      <c r="L114" s="69"/>
      <c r="M114" s="70"/>
      <c r="N114" s="72"/>
      <c r="O114" s="235"/>
      <c r="P114" s="463"/>
      <c r="Q114" s="253"/>
      <c r="R114" s="179"/>
      <c r="S114" s="166"/>
      <c r="T114" s="69"/>
      <c r="U114" s="69"/>
      <c r="V114" s="69"/>
      <c r="W114" s="70"/>
      <c r="X114" s="71"/>
      <c r="Y114" s="235"/>
      <c r="Z114" s="463"/>
      <c r="AA114" s="253"/>
      <c r="AB114" s="179"/>
      <c r="AC114" s="166"/>
      <c r="AD114" s="69"/>
      <c r="AE114" s="69"/>
      <c r="AF114" s="69"/>
      <c r="AG114" s="70"/>
      <c r="AH114" s="72"/>
      <c r="AI114" s="235"/>
      <c r="AJ114" s="715"/>
      <c r="AK114" s="71"/>
    </row>
    <row r="115" spans="1:42" ht="15.6" x14ac:dyDescent="0.3">
      <c r="A115" s="299" t="s">
        <v>5</v>
      </c>
      <c r="B115" s="218" t="str">
        <f t="shared" si="40"/>
        <v>MASTEQUIPMENT</v>
      </c>
      <c r="C115" s="220" t="s">
        <v>50</v>
      </c>
      <c r="D115" s="10"/>
      <c r="E115" s="126"/>
      <c r="F115" s="126"/>
      <c r="G115" s="126"/>
      <c r="H115" s="61" t="s">
        <v>36</v>
      </c>
      <c r="I115" s="167"/>
      <c r="J115" s="74"/>
      <c r="K115" s="74"/>
      <c r="L115" s="74"/>
      <c r="M115" s="66"/>
      <c r="N115" s="76"/>
      <c r="O115" s="237"/>
      <c r="P115" s="462"/>
      <c r="Q115" s="252"/>
      <c r="R115" s="186" t="s">
        <v>36</v>
      </c>
      <c r="S115" s="167"/>
      <c r="T115" s="74"/>
      <c r="U115" s="74"/>
      <c r="V115" s="74"/>
      <c r="W115" s="66"/>
      <c r="X115" s="75"/>
      <c r="Y115" s="237"/>
      <c r="Z115" s="462"/>
      <c r="AA115" s="252"/>
      <c r="AB115" s="186" t="s">
        <v>36</v>
      </c>
      <c r="AC115" s="167"/>
      <c r="AD115" s="74"/>
      <c r="AE115" s="74"/>
      <c r="AF115" s="74"/>
      <c r="AG115" s="66"/>
      <c r="AH115" s="76"/>
      <c r="AI115" s="237"/>
      <c r="AJ115" s="221"/>
      <c r="AK115" s="75"/>
    </row>
    <row r="116" spans="1:42" ht="15.6" x14ac:dyDescent="0.3">
      <c r="A116" s="299" t="s">
        <v>5</v>
      </c>
      <c r="B116" s="218" t="str">
        <f t="shared" si="40"/>
        <v>MAST</v>
      </c>
      <c r="C116" s="217" t="s">
        <v>48</v>
      </c>
      <c r="D116" s="10"/>
      <c r="E116" s="126"/>
      <c r="F116" s="126"/>
      <c r="G116" s="126"/>
      <c r="H116" s="77"/>
      <c r="I116" s="158">
        <f t="shared" ref="I116:I119" si="61">J116*K116</f>
        <v>0</v>
      </c>
      <c r="J116" s="42"/>
      <c r="K116" s="39"/>
      <c r="L116" s="39"/>
      <c r="M116" s="40" t="str">
        <f>J116&amp;" hrs @ "&amp;K116</f>
        <v xml:space="preserve"> hrs @ </v>
      </c>
      <c r="N116" s="76"/>
      <c r="O116" s="237"/>
      <c r="P116" s="462"/>
      <c r="Q116" s="252"/>
      <c r="R116" s="187"/>
      <c r="S116" s="158">
        <f t="shared" ref="S116:S119" si="62">T116*U116</f>
        <v>0</v>
      </c>
      <c r="T116" s="42"/>
      <c r="U116" s="39"/>
      <c r="V116" s="39"/>
      <c r="W116" s="40" t="str">
        <f>T116&amp;" hrs @ "&amp;U116</f>
        <v xml:space="preserve"> hrs @ </v>
      </c>
      <c r="X116" s="75"/>
      <c r="Y116" s="237"/>
      <c r="Z116" s="462"/>
      <c r="AA116" s="252"/>
      <c r="AB116" s="187"/>
      <c r="AC116" s="158">
        <f t="shared" ref="AC116:AC119" si="63">AD116*AE116</f>
        <v>0</v>
      </c>
      <c r="AD116" s="42"/>
      <c r="AE116" s="39"/>
      <c r="AF116" s="39"/>
      <c r="AG116" s="40" t="str">
        <f>AD116&amp;" hrs @ "&amp;AE116</f>
        <v xml:space="preserve"> hrs @ </v>
      </c>
      <c r="AH116" s="76"/>
      <c r="AI116" s="237"/>
      <c r="AJ116" s="221">
        <f t="shared" ref="AJ116:AJ120" si="64">I116+S116+AC116</f>
        <v>0</v>
      </c>
      <c r="AK116" s="75"/>
    </row>
    <row r="117" spans="1:42" ht="15.6" x14ac:dyDescent="0.3">
      <c r="A117" s="299" t="s">
        <v>5</v>
      </c>
      <c r="B117" s="218" t="str">
        <f t="shared" si="40"/>
        <v>MAST</v>
      </c>
      <c r="C117" s="217" t="s">
        <v>48</v>
      </c>
      <c r="D117" s="10"/>
      <c r="E117" s="126"/>
      <c r="F117" s="126"/>
      <c r="G117" s="126"/>
      <c r="H117" s="77"/>
      <c r="I117" s="158">
        <f t="shared" si="61"/>
        <v>0</v>
      </c>
      <c r="J117" s="42"/>
      <c r="K117" s="39"/>
      <c r="L117" s="39"/>
      <c r="M117" s="40" t="str">
        <f t="shared" ref="M117:M119" si="65">J117&amp;" hrs @ "&amp;K117</f>
        <v xml:space="preserve"> hrs @ </v>
      </c>
      <c r="N117" s="79"/>
      <c r="O117" s="238"/>
      <c r="P117" s="464"/>
      <c r="Q117" s="254"/>
      <c r="R117" s="187"/>
      <c r="S117" s="158">
        <f t="shared" si="62"/>
        <v>0</v>
      </c>
      <c r="T117" s="42"/>
      <c r="U117" s="39"/>
      <c r="V117" s="39"/>
      <c r="W117" s="40" t="str">
        <f t="shared" ref="W117:W119" si="66">T117&amp;" hrs @ "&amp;U117</f>
        <v xml:space="preserve"> hrs @ </v>
      </c>
      <c r="X117" s="78"/>
      <c r="Y117" s="238"/>
      <c r="Z117" s="464"/>
      <c r="AA117" s="254"/>
      <c r="AB117" s="187"/>
      <c r="AC117" s="158">
        <f t="shared" si="63"/>
        <v>0</v>
      </c>
      <c r="AD117" s="42"/>
      <c r="AE117" s="39"/>
      <c r="AF117" s="39"/>
      <c r="AG117" s="40" t="str">
        <f t="shared" ref="AG117:AG119" si="67">AD117&amp;" hrs @ "&amp;AE117</f>
        <v xml:space="preserve"> hrs @ </v>
      </c>
      <c r="AH117" s="79"/>
      <c r="AI117" s="238"/>
      <c r="AJ117" s="717">
        <f t="shared" si="64"/>
        <v>0</v>
      </c>
      <c r="AK117" s="78"/>
    </row>
    <row r="118" spans="1:42" ht="15.6" x14ac:dyDescent="0.3">
      <c r="A118" s="299" t="s">
        <v>5</v>
      </c>
      <c r="B118" s="218" t="str">
        <f t="shared" si="40"/>
        <v>MAST</v>
      </c>
      <c r="C118" s="217" t="s">
        <v>48</v>
      </c>
      <c r="D118" s="10"/>
      <c r="E118" s="126"/>
      <c r="F118" s="126"/>
      <c r="G118" s="126"/>
      <c r="H118" s="77"/>
      <c r="I118" s="158">
        <f t="shared" si="61"/>
        <v>0</v>
      </c>
      <c r="J118" s="42"/>
      <c r="K118" s="39"/>
      <c r="L118" s="42"/>
      <c r="M118" s="40" t="str">
        <f t="shared" si="65"/>
        <v xml:space="preserve"> hrs @ </v>
      </c>
      <c r="N118" s="79"/>
      <c r="O118" s="238"/>
      <c r="P118" s="464"/>
      <c r="Q118" s="254"/>
      <c r="R118" s="187"/>
      <c r="S118" s="158">
        <f t="shared" si="62"/>
        <v>0</v>
      </c>
      <c r="T118" s="42"/>
      <c r="U118" s="39"/>
      <c r="V118" s="42"/>
      <c r="W118" s="40" t="str">
        <f t="shared" si="66"/>
        <v xml:space="preserve"> hrs @ </v>
      </c>
      <c r="X118" s="78"/>
      <c r="Y118" s="238"/>
      <c r="Z118" s="464"/>
      <c r="AA118" s="254"/>
      <c r="AB118" s="187"/>
      <c r="AC118" s="158">
        <f t="shared" si="63"/>
        <v>0</v>
      </c>
      <c r="AD118" s="42"/>
      <c r="AE118" s="39"/>
      <c r="AF118" s="42"/>
      <c r="AG118" s="40" t="str">
        <f t="shared" si="67"/>
        <v xml:space="preserve"> hrs @ </v>
      </c>
      <c r="AH118" s="79"/>
      <c r="AI118" s="238"/>
      <c r="AJ118" s="717">
        <f t="shared" si="64"/>
        <v>0</v>
      </c>
      <c r="AK118" s="78"/>
    </row>
    <row r="119" spans="1:42" ht="15.6" x14ac:dyDescent="0.3">
      <c r="A119" s="299" t="s">
        <v>5</v>
      </c>
      <c r="B119" s="218" t="str">
        <f t="shared" si="40"/>
        <v>MAST</v>
      </c>
      <c r="C119" s="217" t="s">
        <v>48</v>
      </c>
      <c r="D119" s="10"/>
      <c r="E119" s="126"/>
      <c r="F119" s="126"/>
      <c r="G119" s="126"/>
      <c r="H119" s="77"/>
      <c r="I119" s="158">
        <f t="shared" si="61"/>
        <v>0</v>
      </c>
      <c r="J119" s="42"/>
      <c r="K119" s="39"/>
      <c r="L119" s="43"/>
      <c r="M119" s="40" t="str">
        <f t="shared" si="65"/>
        <v xml:space="preserve"> hrs @ </v>
      </c>
      <c r="N119" s="79"/>
      <c r="O119" s="239"/>
      <c r="P119" s="464"/>
      <c r="Q119" s="254"/>
      <c r="R119" s="187"/>
      <c r="S119" s="158">
        <f t="shared" si="62"/>
        <v>0</v>
      </c>
      <c r="T119" s="42"/>
      <c r="U119" s="39"/>
      <c r="V119" s="43"/>
      <c r="W119" s="40" t="str">
        <f t="shared" si="66"/>
        <v xml:space="preserve"> hrs @ </v>
      </c>
      <c r="X119" s="78"/>
      <c r="Y119" s="239"/>
      <c r="Z119" s="464"/>
      <c r="AA119" s="254"/>
      <c r="AB119" s="187"/>
      <c r="AC119" s="158">
        <f t="shared" si="63"/>
        <v>0</v>
      </c>
      <c r="AD119" s="42"/>
      <c r="AE119" s="39"/>
      <c r="AF119" s="43"/>
      <c r="AG119" s="40" t="str">
        <f t="shared" si="67"/>
        <v xml:space="preserve"> hrs @ </v>
      </c>
      <c r="AH119" s="79"/>
      <c r="AI119" s="239"/>
      <c r="AJ119" s="717">
        <f t="shared" si="64"/>
        <v>0</v>
      </c>
      <c r="AK119" s="78"/>
    </row>
    <row r="120" spans="1:42" ht="15.6" x14ac:dyDescent="0.3">
      <c r="A120" s="299" t="s">
        <v>5</v>
      </c>
      <c r="B120" s="218" t="str">
        <f t="shared" si="40"/>
        <v>MASTTotal Equipment</v>
      </c>
      <c r="C120" s="220" t="s">
        <v>50</v>
      </c>
      <c r="D120" s="10"/>
      <c r="E120" s="116">
        <f>I120</f>
        <v>0</v>
      </c>
      <c r="F120" s="116">
        <f>S120</f>
        <v>0</v>
      </c>
      <c r="G120" s="116">
        <f>AC120</f>
        <v>0</v>
      </c>
      <c r="H120" s="83" t="s">
        <v>37</v>
      </c>
      <c r="I120" s="165">
        <f>SUM(I116:I119)</f>
        <v>0</v>
      </c>
      <c r="J120" s="68"/>
      <c r="K120" s="68"/>
      <c r="L120" s="68"/>
      <c r="M120" s="66"/>
      <c r="N120" s="420">
        <f>I120</f>
        <v>0</v>
      </c>
      <c r="O120" s="240" t="e">
        <f>N120/N137</f>
        <v>#DIV/0!</v>
      </c>
      <c r="P120" s="464"/>
      <c r="Q120" s="254"/>
      <c r="R120" s="188" t="s">
        <v>37</v>
      </c>
      <c r="S120" s="165">
        <f>SUM(S116:S119)</f>
        <v>0</v>
      </c>
      <c r="T120" s="68"/>
      <c r="U120" s="68"/>
      <c r="V120" s="68"/>
      <c r="W120" s="66"/>
      <c r="X120" s="52">
        <f>S120</f>
        <v>0</v>
      </c>
      <c r="Y120" s="240">
        <f>X120/X137</f>
        <v>0</v>
      </c>
      <c r="Z120" s="464"/>
      <c r="AA120" s="254"/>
      <c r="AB120" s="188" t="s">
        <v>37</v>
      </c>
      <c r="AC120" s="165">
        <f>SUM(AC116:AC119)</f>
        <v>0</v>
      </c>
      <c r="AD120" s="68"/>
      <c r="AE120" s="68"/>
      <c r="AF120" s="68"/>
      <c r="AG120" s="66"/>
      <c r="AH120" s="420">
        <f>AC120</f>
        <v>0</v>
      </c>
      <c r="AI120" s="240">
        <f>AH120/AH137</f>
        <v>0</v>
      </c>
      <c r="AJ120" s="221">
        <f t="shared" si="64"/>
        <v>0</v>
      </c>
      <c r="AK120" s="52"/>
    </row>
    <row r="121" spans="1:42" ht="15.6" x14ac:dyDescent="0.3">
      <c r="A121" s="299" t="s">
        <v>5</v>
      </c>
      <c r="B121" s="218" t="str">
        <f t="shared" si="40"/>
        <v>MAST</v>
      </c>
      <c r="C121" s="217" t="s">
        <v>48</v>
      </c>
      <c r="D121" s="10"/>
      <c r="E121" s="126"/>
      <c r="F121" s="126"/>
      <c r="G121" s="126"/>
      <c r="H121" s="84"/>
      <c r="I121" s="166"/>
      <c r="J121" s="69"/>
      <c r="K121" s="69"/>
      <c r="L121" s="69"/>
      <c r="M121" s="70"/>
      <c r="N121" s="88"/>
      <c r="O121" s="241"/>
      <c r="P121" s="465"/>
      <c r="Q121" s="253"/>
      <c r="R121" s="189"/>
      <c r="S121" s="166"/>
      <c r="T121" s="69"/>
      <c r="U121" s="69"/>
      <c r="V121" s="69"/>
      <c r="W121" s="70"/>
      <c r="X121" s="87"/>
      <c r="Y121" s="241"/>
      <c r="Z121" s="465"/>
      <c r="AA121" s="253"/>
      <c r="AB121" s="189"/>
      <c r="AC121" s="166"/>
      <c r="AD121" s="69"/>
      <c r="AE121" s="69"/>
      <c r="AF121" s="69"/>
      <c r="AG121" s="70"/>
      <c r="AH121" s="88"/>
      <c r="AI121" s="241"/>
      <c r="AJ121" s="718"/>
      <c r="AK121" s="87"/>
    </row>
    <row r="122" spans="1:42" ht="15.6" x14ac:dyDescent="0.3">
      <c r="A122" s="299" t="s">
        <v>5</v>
      </c>
      <c r="B122" s="218" t="str">
        <f t="shared" si="40"/>
        <v>MASTIS SUPPORT</v>
      </c>
      <c r="C122" s="220" t="s">
        <v>50</v>
      </c>
      <c r="D122" s="10"/>
      <c r="E122" s="126"/>
      <c r="F122" s="126"/>
      <c r="G122" s="126"/>
      <c r="H122" s="61" t="s">
        <v>38</v>
      </c>
      <c r="I122" s="167"/>
      <c r="J122" s="74"/>
      <c r="K122" s="74"/>
      <c r="L122" s="74"/>
      <c r="M122" s="66"/>
      <c r="N122" s="91"/>
      <c r="O122" s="227"/>
      <c r="P122" s="466"/>
      <c r="Q122" s="252"/>
      <c r="R122" s="186" t="s">
        <v>38</v>
      </c>
      <c r="S122" s="167"/>
      <c r="T122" s="74"/>
      <c r="U122" s="74"/>
      <c r="V122" s="74"/>
      <c r="W122" s="66"/>
      <c r="X122" s="90"/>
      <c r="Y122" s="227"/>
      <c r="Z122" s="466"/>
      <c r="AA122" s="252"/>
      <c r="AB122" s="186" t="s">
        <v>38</v>
      </c>
      <c r="AC122" s="167"/>
      <c r="AD122" s="74"/>
      <c r="AE122" s="74"/>
      <c r="AF122" s="74"/>
      <c r="AG122" s="66"/>
      <c r="AH122" s="91"/>
      <c r="AI122" s="227"/>
      <c r="AJ122" s="719"/>
      <c r="AK122" s="90"/>
    </row>
    <row r="123" spans="1:42" ht="15.6" x14ac:dyDescent="0.3">
      <c r="A123" s="299" t="s">
        <v>5</v>
      </c>
      <c r="B123" s="218" t="str">
        <f t="shared" si="40"/>
        <v>MASTAnalyst Labor</v>
      </c>
      <c r="C123" s="217" t="s">
        <v>48</v>
      </c>
      <c r="D123" s="10"/>
      <c r="E123" s="126"/>
      <c r="F123" s="126"/>
      <c r="G123" s="126"/>
      <c r="H123" s="38" t="s">
        <v>39</v>
      </c>
      <c r="I123" s="162"/>
      <c r="J123" s="42"/>
      <c r="K123" s="39">
        <v>22.94</v>
      </c>
      <c r="L123" s="39"/>
      <c r="M123" s="40" t="str">
        <f>J123&amp;" hrs @ "&amp;K123</f>
        <v xml:space="preserve"> hrs @ 22.94</v>
      </c>
      <c r="N123" s="94"/>
      <c r="O123" s="242"/>
      <c r="P123" s="466"/>
      <c r="Q123" s="252"/>
      <c r="R123" s="184" t="s">
        <v>39</v>
      </c>
      <c r="S123" s="162">
        <f>T123*U123</f>
        <v>0</v>
      </c>
      <c r="T123" s="42"/>
      <c r="U123" s="39"/>
      <c r="V123" s="39"/>
      <c r="W123" s="40" t="str">
        <f>T123&amp;" hrs @ "&amp;U123</f>
        <v xml:space="preserve"> hrs @ </v>
      </c>
      <c r="X123" s="93"/>
      <c r="Y123" s="242"/>
      <c r="Z123" s="466"/>
      <c r="AA123" s="252"/>
      <c r="AB123" s="184" t="s">
        <v>39</v>
      </c>
      <c r="AC123" s="162">
        <f>AD123*AE123</f>
        <v>0</v>
      </c>
      <c r="AD123" s="42"/>
      <c r="AE123" s="39"/>
      <c r="AF123" s="39"/>
      <c r="AG123" s="40" t="str">
        <f>AD123&amp;" hrs @ "&amp;AE123</f>
        <v xml:space="preserve"> hrs @ </v>
      </c>
      <c r="AH123" s="94"/>
      <c r="AI123" s="242"/>
      <c r="AJ123" s="720">
        <f t="shared" ref="AJ123:AJ125" si="68">I123+S123+AC123</f>
        <v>0</v>
      </c>
      <c r="AK123" s="93"/>
    </row>
    <row r="124" spans="1:42" ht="15.6" x14ac:dyDescent="0.3">
      <c r="A124" s="299" t="s">
        <v>5</v>
      </c>
      <c r="B124" s="218" t="str">
        <f t="shared" si="40"/>
        <v>MASTAnalyst Benefits</v>
      </c>
      <c r="C124" s="217" t="s">
        <v>48</v>
      </c>
      <c r="D124" s="10"/>
      <c r="E124" s="126"/>
      <c r="F124" s="126"/>
      <c r="G124" s="126"/>
      <c r="H124" s="38" t="s">
        <v>40</v>
      </c>
      <c r="I124" s="159">
        <f>I123*$O$2</f>
        <v>0</v>
      </c>
      <c r="J124" s="42"/>
      <c r="K124" s="39"/>
      <c r="L124" s="156"/>
      <c r="M124" s="45" t="str">
        <f>"@ "&amp;$O$2*100&amp;" %"</f>
        <v>@ 98.59 %</v>
      </c>
      <c r="N124" s="94"/>
      <c r="O124" s="228"/>
      <c r="P124" s="466"/>
      <c r="Q124" s="252"/>
      <c r="R124" s="184" t="s">
        <v>40</v>
      </c>
      <c r="S124" s="159">
        <f>S123*$O$2</f>
        <v>0</v>
      </c>
      <c r="T124" s="42"/>
      <c r="U124" s="39"/>
      <c r="V124" s="156"/>
      <c r="W124" s="45" t="str">
        <f>"@ "&amp;$O$2*100&amp;" %"</f>
        <v>@ 98.59 %</v>
      </c>
      <c r="X124" s="93"/>
      <c r="Y124" s="228"/>
      <c r="Z124" s="466"/>
      <c r="AA124" s="252"/>
      <c r="AB124" s="184" t="s">
        <v>40</v>
      </c>
      <c r="AC124" s="159">
        <f>AC123*$O$2</f>
        <v>0</v>
      </c>
      <c r="AD124" s="42"/>
      <c r="AE124" s="39"/>
      <c r="AF124" s="156"/>
      <c r="AG124" s="45" t="str">
        <f>"@ "&amp;$O$2*100&amp;" %"</f>
        <v>@ 98.59 %</v>
      </c>
      <c r="AH124" s="94"/>
      <c r="AI124" s="228"/>
      <c r="AJ124" s="720">
        <f t="shared" si="68"/>
        <v>0</v>
      </c>
      <c r="AK124" s="93"/>
    </row>
    <row r="125" spans="1:42" ht="15.6" x14ac:dyDescent="0.3">
      <c r="A125" s="299" t="s">
        <v>5</v>
      </c>
      <c r="B125" s="218" t="str">
        <f t="shared" si="40"/>
        <v>MASTTotal IS</v>
      </c>
      <c r="C125" s="220" t="s">
        <v>50</v>
      </c>
      <c r="D125" s="10"/>
      <c r="E125" s="126"/>
      <c r="F125" s="126"/>
      <c r="G125" s="126"/>
      <c r="H125" s="49" t="s">
        <v>41</v>
      </c>
      <c r="I125" s="165">
        <f>I123+I124</f>
        <v>0</v>
      </c>
      <c r="J125" s="68"/>
      <c r="K125" s="68"/>
      <c r="L125" s="68"/>
      <c r="M125" s="66"/>
      <c r="N125" s="420">
        <f>I125</f>
        <v>0</v>
      </c>
      <c r="O125" s="240" t="e">
        <f>N125/N137</f>
        <v>#DIV/0!</v>
      </c>
      <c r="P125" s="466"/>
      <c r="Q125" s="252"/>
      <c r="R125" s="185" t="s">
        <v>41</v>
      </c>
      <c r="S125" s="165">
        <f>S123+S124</f>
        <v>0</v>
      </c>
      <c r="T125" s="68"/>
      <c r="U125" s="68"/>
      <c r="V125" s="68"/>
      <c r="W125" s="66"/>
      <c r="X125" s="52">
        <f>S125</f>
        <v>0</v>
      </c>
      <c r="Y125" s="240">
        <f>X125/X137</f>
        <v>0</v>
      </c>
      <c r="Z125" s="466"/>
      <c r="AA125" s="252"/>
      <c r="AB125" s="185" t="s">
        <v>41</v>
      </c>
      <c r="AC125" s="165">
        <f>AC123+AC124</f>
        <v>0</v>
      </c>
      <c r="AD125" s="68"/>
      <c r="AE125" s="68"/>
      <c r="AF125" s="68"/>
      <c r="AG125" s="66"/>
      <c r="AH125" s="420">
        <f>AC125</f>
        <v>0</v>
      </c>
      <c r="AI125" s="240">
        <f>AH125/AH137</f>
        <v>0</v>
      </c>
      <c r="AJ125" s="221">
        <f t="shared" si="68"/>
        <v>0</v>
      </c>
      <c r="AK125" s="52"/>
    </row>
    <row r="126" spans="1:42" ht="15.6" x14ac:dyDescent="0.3">
      <c r="A126" s="299" t="s">
        <v>5</v>
      </c>
      <c r="B126" s="218" t="str">
        <f t="shared" si="40"/>
        <v>MAST</v>
      </c>
      <c r="C126" s="217" t="s">
        <v>48</v>
      </c>
      <c r="D126" s="10"/>
      <c r="E126" s="126"/>
      <c r="F126" s="126"/>
      <c r="G126" s="126"/>
      <c r="H126" s="54"/>
      <c r="I126" s="166"/>
      <c r="J126" s="69"/>
      <c r="K126" s="69"/>
      <c r="L126" s="69"/>
      <c r="M126" s="70"/>
      <c r="N126" s="98"/>
      <c r="O126" s="243"/>
      <c r="P126" s="467"/>
      <c r="Q126" s="253"/>
      <c r="R126" s="179"/>
      <c r="S126" s="166"/>
      <c r="T126" s="69"/>
      <c r="U126" s="69"/>
      <c r="V126" s="69"/>
      <c r="W126" s="70"/>
      <c r="X126" s="97"/>
      <c r="Y126" s="243"/>
      <c r="Z126" s="467"/>
      <c r="AA126" s="253"/>
      <c r="AB126" s="179"/>
      <c r="AC126" s="166"/>
      <c r="AD126" s="69"/>
      <c r="AE126" s="69"/>
      <c r="AF126" s="69"/>
      <c r="AG126" s="70"/>
      <c r="AH126" s="98"/>
      <c r="AI126" s="243"/>
      <c r="AJ126" s="721"/>
      <c r="AK126" s="97"/>
    </row>
    <row r="127" spans="1:42" ht="15.6" x14ac:dyDescent="0.3">
      <c r="A127" s="299" t="s">
        <v>5</v>
      </c>
      <c r="B127" s="218" t="str">
        <f t="shared" si="40"/>
        <v>MASTOTHER</v>
      </c>
      <c r="C127" s="220" t="s">
        <v>50</v>
      </c>
      <c r="D127" s="10"/>
      <c r="E127" s="126"/>
      <c r="F127" s="126"/>
      <c r="G127" s="126"/>
      <c r="H127" s="61" t="s">
        <v>42</v>
      </c>
      <c r="I127" s="167"/>
      <c r="J127" s="74"/>
      <c r="K127" s="74"/>
      <c r="L127" s="74"/>
      <c r="M127" s="66"/>
      <c r="N127" s="91"/>
      <c r="O127" s="227"/>
      <c r="P127" s="466"/>
      <c r="Q127" s="252"/>
      <c r="R127" s="186" t="s">
        <v>42</v>
      </c>
      <c r="S127" s="167"/>
      <c r="T127" s="74"/>
      <c r="U127" s="74"/>
      <c r="V127" s="74"/>
      <c r="W127" s="66"/>
      <c r="X127" s="90"/>
      <c r="Y127" s="227"/>
      <c r="Z127" s="466"/>
      <c r="AA127" s="252"/>
      <c r="AB127" s="186" t="s">
        <v>42</v>
      </c>
      <c r="AC127" s="167"/>
      <c r="AD127" s="74"/>
      <c r="AE127" s="74"/>
      <c r="AF127" s="74"/>
      <c r="AG127" s="66"/>
      <c r="AH127" s="91"/>
      <c r="AI127" s="227"/>
      <c r="AJ127" s="719"/>
      <c r="AK127" s="90"/>
    </row>
    <row r="128" spans="1:42" ht="15.6" customHeight="1" x14ac:dyDescent="0.3">
      <c r="A128" s="299" t="s">
        <v>5</v>
      </c>
      <c r="B128" s="218" t="str">
        <f t="shared" si="40"/>
        <v>MASTManager Non Payroll</v>
      </c>
      <c r="C128" s="217" t="s">
        <v>48</v>
      </c>
      <c r="D128" s="10"/>
      <c r="E128" s="126"/>
      <c r="F128" s="126"/>
      <c r="G128" s="126"/>
      <c r="H128" s="42" t="s">
        <v>578</v>
      </c>
      <c r="I128" s="163">
        <f>ROUND((((I99+I108)*(1+$O$2))/VLOOKUP("MAJ ACCT SERV TEAMPayroll",'Base 2015 actual for Cost Cente'!$A:$F,6,FALSE))*VLOOKUP("MAJ ACCT SERV TEAMNon-Payroll",'Base 2015 actual for Cost Cente'!$A:$F,6,FALSE),0)</f>
        <v>0</v>
      </c>
      <c r="J128" s="74"/>
      <c r="K128" s="74"/>
      <c r="L128" s="74" t="s">
        <v>576</v>
      </c>
      <c r="M128" s="734" t="s">
        <v>372</v>
      </c>
      <c r="N128" s="91"/>
      <c r="O128" s="227"/>
      <c r="P128" s="466"/>
      <c r="Q128" s="252"/>
      <c r="R128" s="42" t="s">
        <v>578</v>
      </c>
      <c r="S128" s="163">
        <f>ROUND((((S99+S108)*(1+$O$2))/VLOOKUP("MAJ ACCT SERV TEAMPayroll",'Base 2015 actual for Cost Cente'!$A:$F,6,FALSE))*VLOOKUP("MAJ ACCT SERV TEAMNon-Payroll",'Base 2015 actual for Cost Cente'!$A:$F,6,FALSE),0)</f>
        <v>1655</v>
      </c>
      <c r="T128" s="74"/>
      <c r="U128" s="74"/>
      <c r="V128" s="74" t="s">
        <v>576</v>
      </c>
      <c r="W128" s="734" t="s">
        <v>372</v>
      </c>
      <c r="X128" s="90"/>
      <c r="Y128" s="227"/>
      <c r="Z128" s="466"/>
      <c r="AA128" s="252"/>
      <c r="AB128" s="42" t="s">
        <v>578</v>
      </c>
      <c r="AC128" s="163">
        <f>ROUND((((AC99+AC108)*(1+$O$2))/VLOOKUP("MAJ ACCT SERV TEAMPayroll",'Base 2015 actual for Cost Cente'!$A:$F,6,FALSE))*VLOOKUP("MAJ ACCT SERV TEAMNon-Payroll",'Base 2015 actual for Cost Cente'!$A:$F,6,FALSE),0)</f>
        <v>5103</v>
      </c>
      <c r="AD128" s="74"/>
      <c r="AE128" s="74"/>
      <c r="AF128" s="74" t="s">
        <v>576</v>
      </c>
      <c r="AG128" s="734" t="s">
        <v>372</v>
      </c>
      <c r="AH128" s="91"/>
      <c r="AI128" s="227"/>
      <c r="AJ128" s="719">
        <f t="shared" ref="AJ128:AJ134" si="69">I128+S128+AC128</f>
        <v>6758</v>
      </c>
      <c r="AK128" s="90"/>
      <c r="AP128" s="90" t="s">
        <v>282</v>
      </c>
    </row>
    <row r="129" spans="1:42" ht="15.6" x14ac:dyDescent="0.3">
      <c r="A129" s="299" t="s">
        <v>5</v>
      </c>
      <c r="B129" s="218" t="str">
        <f t="shared" si="40"/>
        <v>MASTMAS NonPayroll</v>
      </c>
      <c r="C129" s="217" t="s">
        <v>48</v>
      </c>
      <c r="D129" s="10"/>
      <c r="E129" s="126"/>
      <c r="F129" s="126"/>
      <c r="G129" s="126"/>
      <c r="H129" s="42" t="s">
        <v>579</v>
      </c>
      <c r="I129" s="163">
        <f>ROUND((((I101+I109)*(1+$O$2))/VLOOKUP("FIELD SERVICESPayroll",'Base 2015 actual for Cost Cente'!$A:$F,6,FALSE))*VLOOKUP("FIELD SERVICESNon-Payroll",'Base 2015 actual for Cost Cente'!$A:$F,6,FALSE),0)</f>
        <v>0</v>
      </c>
      <c r="J129" s="42"/>
      <c r="K129" s="39"/>
      <c r="L129" s="42" t="s">
        <v>577</v>
      </c>
      <c r="M129" s="735"/>
      <c r="N129" s="91"/>
      <c r="O129" s="227"/>
      <c r="P129" s="466"/>
      <c r="Q129" s="252"/>
      <c r="R129" s="42" t="s">
        <v>579</v>
      </c>
      <c r="S129" s="163">
        <f>ROUND((((S101+S109)*(1+$O$2))/VLOOKUP("FIELD SERVICESPayroll",'Base 2015 actual for Cost Cente'!$A:$F,6,FALSE))*VLOOKUP("FIELD SERVICESNon-Payroll",'Base 2015 actual for Cost Cente'!$A:$F,6,FALSE),0)</f>
        <v>834</v>
      </c>
      <c r="T129" s="42"/>
      <c r="U129" s="39"/>
      <c r="V129" s="42" t="s">
        <v>577</v>
      </c>
      <c r="W129" s="735"/>
      <c r="X129" s="90"/>
      <c r="Y129" s="227"/>
      <c r="Z129" s="466"/>
      <c r="AA129" s="252"/>
      <c r="AB129" s="42" t="s">
        <v>579</v>
      </c>
      <c r="AC129" s="163">
        <f>ROUND((((AC101+AC109)*(1+$O$2))/VLOOKUP("FIELD SERVICESPayroll",'Base 2015 actual for Cost Cente'!$A:$F,6,FALSE))*VLOOKUP("FIELD SERVICESNon-Payroll",'Base 2015 actual for Cost Cente'!$A:$F,6,FALSE),0)</f>
        <v>1893</v>
      </c>
      <c r="AD129" s="42"/>
      <c r="AE129" s="39"/>
      <c r="AF129" s="42" t="s">
        <v>577</v>
      </c>
      <c r="AG129" s="735"/>
      <c r="AH129" s="91"/>
      <c r="AI129" s="227"/>
      <c r="AJ129" s="719">
        <f t="shared" si="69"/>
        <v>2727</v>
      </c>
      <c r="AK129" s="90"/>
      <c r="AP129" s="90" t="s">
        <v>291</v>
      </c>
    </row>
    <row r="130" spans="1:42" ht="15.6" x14ac:dyDescent="0.3">
      <c r="A130" s="299" t="s">
        <v>5</v>
      </c>
      <c r="B130" s="218" t="str">
        <f t="shared" si="40"/>
        <v>MASTMAST Payroll</v>
      </c>
      <c r="C130" s="217" t="s">
        <v>48</v>
      </c>
      <c r="D130" s="10"/>
      <c r="E130" s="126"/>
      <c r="F130" s="126"/>
      <c r="G130" s="126"/>
      <c r="H130" s="42" t="s">
        <v>580</v>
      </c>
      <c r="I130" s="163">
        <f>ROUND((((I100+I110)*(1+$O$2))/VLOOKUP("CUST SEG SRVCPayroll",'Base 2015 actual for Cost Cente'!$A:$F,6,FALSE))*VLOOKUP("CUST SEG SRVCNon-Payroll",'Base 2015 actual for Cost Cente'!$A:$F,6,FALSE),0)</f>
        <v>0</v>
      </c>
      <c r="J130" s="42"/>
      <c r="K130" s="39"/>
      <c r="L130" s="42" t="s">
        <v>5</v>
      </c>
      <c r="M130" s="66" t="s">
        <v>574</v>
      </c>
      <c r="N130" s="91"/>
      <c r="O130" s="227"/>
      <c r="P130" s="466"/>
      <c r="Q130" s="252"/>
      <c r="R130" s="42" t="s">
        <v>580</v>
      </c>
      <c r="S130" s="163">
        <f>ROUND((((S100+S110)*(1+$O$2))/VLOOKUP("CUST SEG SRVCPayroll",'Base 2015 actual for Cost Cente'!$A:$F,6,FALSE))*VLOOKUP("CUST SEG SRVCNon-Payroll",'Base 2015 actual for Cost Cente'!$A:$F,6,FALSE),0)</f>
        <v>1169</v>
      </c>
      <c r="T130" s="42"/>
      <c r="U130" s="39"/>
      <c r="V130" s="42" t="s">
        <v>5</v>
      </c>
      <c r="W130" s="66" t="s">
        <v>574</v>
      </c>
      <c r="X130" s="90"/>
      <c r="Y130" s="227"/>
      <c r="Z130" s="466"/>
      <c r="AA130" s="252"/>
      <c r="AB130" s="42" t="s">
        <v>580</v>
      </c>
      <c r="AC130" s="163">
        <f>ROUND((((AC100+AC110)*(1+$O$2))/VLOOKUP("CUST SEG SRVCPayroll",'Base 2015 actual for Cost Cente'!$A:$F,6,FALSE))*VLOOKUP("CUST SEG SRVCNon-Payroll",'Base 2015 actual for Cost Cente'!$A:$F,6,FALSE),0)</f>
        <v>3591</v>
      </c>
      <c r="AD130" s="42"/>
      <c r="AE130" s="39"/>
      <c r="AF130" s="42" t="s">
        <v>5</v>
      </c>
      <c r="AG130" s="66" t="s">
        <v>574</v>
      </c>
      <c r="AH130" s="91"/>
      <c r="AI130" s="227"/>
      <c r="AJ130" s="719">
        <f t="shared" si="69"/>
        <v>4760</v>
      </c>
      <c r="AK130" s="90"/>
      <c r="AP130" s="90" t="s">
        <v>289</v>
      </c>
    </row>
    <row r="131" spans="1:42" ht="15.6" x14ac:dyDescent="0.3">
      <c r="A131" s="299" t="s">
        <v>5</v>
      </c>
      <c r="B131" s="218" t="str">
        <f t="shared" si="40"/>
        <v>MASTMisc</v>
      </c>
      <c r="C131" s="217" t="s">
        <v>48</v>
      </c>
      <c r="D131" s="10"/>
      <c r="E131" s="126"/>
      <c r="F131" s="126"/>
      <c r="G131" s="126"/>
      <c r="H131" s="38" t="s">
        <v>241</v>
      </c>
      <c r="I131" s="158">
        <f t="shared" ref="I131" si="70">J131*K131</f>
        <v>0</v>
      </c>
      <c r="J131" s="293"/>
      <c r="K131" s="39"/>
      <c r="L131" s="42"/>
      <c r="M131" s="66"/>
      <c r="N131" s="91"/>
      <c r="O131" s="227"/>
      <c r="P131" s="466"/>
      <c r="Q131" s="252"/>
      <c r="R131" s="184" t="s">
        <v>241</v>
      </c>
      <c r="S131" s="158">
        <f t="shared" ref="S131" si="71">T131*U131</f>
        <v>4523.3999999999996</v>
      </c>
      <c r="T131" s="293">
        <v>0.7</v>
      </c>
      <c r="U131" s="39">
        <v>6462</v>
      </c>
      <c r="V131" s="42"/>
      <c r="W131" s="66" t="s">
        <v>575</v>
      </c>
      <c r="X131" s="90"/>
      <c r="Y131" s="227"/>
      <c r="Z131" s="466"/>
      <c r="AA131" s="252"/>
      <c r="AB131" s="184" t="s">
        <v>232</v>
      </c>
      <c r="AC131" s="158">
        <f t="shared" ref="AC131:AC133" si="72">AD131*AE131</f>
        <v>2580</v>
      </c>
      <c r="AD131" s="42">
        <f>500*12</f>
        <v>6000</v>
      </c>
      <c r="AE131" s="259">
        <v>0.43</v>
      </c>
      <c r="AF131" s="42"/>
      <c r="AG131" s="66"/>
      <c r="AH131" s="91"/>
      <c r="AI131" s="227"/>
      <c r="AJ131" s="719">
        <f t="shared" si="69"/>
        <v>7103.4</v>
      </c>
      <c r="AK131" s="90"/>
      <c r="AP131" s="90" t="s">
        <v>290</v>
      </c>
    </row>
    <row r="132" spans="1:42" ht="15.6" x14ac:dyDescent="0.3">
      <c r="A132" s="299" t="s">
        <v>5</v>
      </c>
      <c r="B132" s="218" t="str">
        <f t="shared" si="40"/>
        <v xml:space="preserve">MASTNon-Payroll </v>
      </c>
      <c r="C132" s="217" t="s">
        <v>48</v>
      </c>
      <c r="D132" s="10"/>
      <c r="E132" s="126"/>
      <c r="F132" s="126"/>
      <c r="G132" s="126"/>
      <c r="H132" s="38" t="s">
        <v>337</v>
      </c>
      <c r="I132" s="163">
        <f>SUM(I128:I131)</f>
        <v>0</v>
      </c>
      <c r="J132" s="74"/>
      <c r="K132" s="74"/>
      <c r="L132" s="74"/>
      <c r="M132" s="734"/>
      <c r="N132" s="91"/>
      <c r="O132" s="227"/>
      <c r="P132" s="466"/>
      <c r="Q132" s="252"/>
      <c r="R132" s="38"/>
      <c r="S132" s="163"/>
      <c r="T132" s="74"/>
      <c r="U132" s="74"/>
      <c r="V132" s="74"/>
      <c r="W132" s="734"/>
      <c r="X132" s="90"/>
      <c r="Y132" s="227"/>
      <c r="Z132" s="466"/>
      <c r="AA132" s="252"/>
      <c r="AB132" s="184" t="s">
        <v>234</v>
      </c>
      <c r="AC132" s="158">
        <f t="shared" si="72"/>
        <v>1480</v>
      </c>
      <c r="AD132" s="293">
        <v>1</v>
      </c>
      <c r="AE132" s="39">
        <v>1480</v>
      </c>
      <c r="AF132" s="39"/>
      <c r="AG132" s="40"/>
      <c r="AH132" s="91"/>
      <c r="AI132" s="227"/>
      <c r="AJ132" s="719">
        <f t="shared" si="69"/>
        <v>1480</v>
      </c>
      <c r="AK132" s="90"/>
    </row>
    <row r="133" spans="1:42" ht="15.6" x14ac:dyDescent="0.3">
      <c r="A133" s="299" t="s">
        <v>5</v>
      </c>
      <c r="B133" s="218" t="str">
        <f t="shared" si="40"/>
        <v>MAST</v>
      </c>
      <c r="C133" s="217" t="s">
        <v>48</v>
      </c>
      <c r="D133" s="10"/>
      <c r="E133" s="126"/>
      <c r="F133" s="126"/>
      <c r="G133" s="126"/>
      <c r="H133" s="38"/>
      <c r="I133" s="168"/>
      <c r="J133" s="42"/>
      <c r="K133" s="39"/>
      <c r="L133" s="42"/>
      <c r="M133" s="735"/>
      <c r="N133" s="94"/>
      <c r="O133" s="228"/>
      <c r="P133" s="466"/>
      <c r="Q133" s="252"/>
      <c r="R133" s="38"/>
      <c r="S133" s="168"/>
      <c r="T133" s="42"/>
      <c r="U133" s="39"/>
      <c r="V133" s="42"/>
      <c r="W133" s="735"/>
      <c r="X133" s="93"/>
      <c r="Y133" s="228"/>
      <c r="Z133" s="466"/>
      <c r="AA133" s="252"/>
      <c r="AB133" s="184" t="s">
        <v>241</v>
      </c>
      <c r="AC133" s="158">
        <f t="shared" si="72"/>
        <v>1938.6</v>
      </c>
      <c r="AD133" s="293">
        <v>0.3</v>
      </c>
      <c r="AE133" s="39">
        <v>6462</v>
      </c>
      <c r="AF133" s="156"/>
      <c r="AG133" s="66" t="s">
        <v>575</v>
      </c>
      <c r="AH133" s="94"/>
      <c r="AI133" s="228"/>
      <c r="AJ133" s="720">
        <f t="shared" si="69"/>
        <v>1938.6</v>
      </c>
      <c r="AK133" s="93"/>
    </row>
    <row r="134" spans="1:42" ht="15.6" x14ac:dyDescent="0.3">
      <c r="A134" s="299" t="s">
        <v>5</v>
      </c>
      <c r="B134" s="218" t="str">
        <f t="shared" si="40"/>
        <v>MASTTotal Other</v>
      </c>
      <c r="C134" s="220" t="s">
        <v>50</v>
      </c>
      <c r="D134" s="10"/>
      <c r="E134" s="116">
        <f>I134</f>
        <v>0</v>
      </c>
      <c r="F134" s="116">
        <f>S134</f>
        <v>8181.4</v>
      </c>
      <c r="G134" s="116">
        <f>AC134</f>
        <v>16585.599999999999</v>
      </c>
      <c r="H134" s="49" t="s">
        <v>45</v>
      </c>
      <c r="I134" s="165">
        <f>SUM(I128:I133)</f>
        <v>0</v>
      </c>
      <c r="J134" s="68"/>
      <c r="K134" s="68"/>
      <c r="L134" s="68"/>
      <c r="M134" s="66"/>
      <c r="N134" s="414">
        <f>I134</f>
        <v>0</v>
      </c>
      <c r="O134" s="240" t="e">
        <f>N134/N137</f>
        <v>#DIV/0!</v>
      </c>
      <c r="P134" s="466"/>
      <c r="Q134" s="165"/>
      <c r="R134" s="185" t="s">
        <v>45</v>
      </c>
      <c r="S134" s="165">
        <f>SUM(S128:S133)</f>
        <v>8181.4</v>
      </c>
      <c r="T134" s="68"/>
      <c r="U134" s="68"/>
      <c r="V134" s="68"/>
      <c r="W134" s="66"/>
      <c r="X134" s="165">
        <f>S134</f>
        <v>8181.4</v>
      </c>
      <c r="Y134" s="240">
        <f>X134/X137</f>
        <v>8.08695077828855E-2</v>
      </c>
      <c r="Z134" s="466"/>
      <c r="AA134" s="165"/>
      <c r="AB134" s="185" t="s">
        <v>45</v>
      </c>
      <c r="AC134" s="165">
        <f>SUM(AC128:AC133)</f>
        <v>16585.599999999999</v>
      </c>
      <c r="AD134" s="68"/>
      <c r="AE134" s="68"/>
      <c r="AF134" s="68"/>
      <c r="AG134" s="66"/>
      <c r="AH134" s="414">
        <f>AC134</f>
        <v>16585.599999999999</v>
      </c>
      <c r="AI134" s="240">
        <f>AH134/AH137</f>
        <v>5.8945434486264124E-2</v>
      </c>
      <c r="AJ134" s="722">
        <f t="shared" si="69"/>
        <v>24767</v>
      </c>
      <c r="AK134" s="165"/>
    </row>
    <row r="135" spans="1:42" ht="16.2" thickBot="1" x14ac:dyDescent="0.35">
      <c r="A135" s="299" t="s">
        <v>5</v>
      </c>
      <c r="B135" s="218" t="str">
        <f t="shared" si="40"/>
        <v>MAST</v>
      </c>
      <c r="C135" s="217" t="s">
        <v>48</v>
      </c>
      <c r="D135" s="10"/>
      <c r="E135" s="126"/>
      <c r="F135" s="126"/>
      <c r="G135" s="126"/>
      <c r="H135" s="100"/>
      <c r="I135" s="178"/>
      <c r="J135" s="101"/>
      <c r="K135" s="101"/>
      <c r="L135" s="101"/>
      <c r="M135" s="102"/>
      <c r="N135" s="415"/>
      <c r="O135" s="178"/>
      <c r="P135" s="178"/>
      <c r="Q135" s="178"/>
      <c r="R135" s="178"/>
      <c r="S135" s="178"/>
      <c r="T135" s="101"/>
      <c r="U135" s="101"/>
      <c r="V135" s="101"/>
      <c r="W135" s="102"/>
      <c r="X135" s="178"/>
      <c r="Y135" s="178"/>
      <c r="Z135" s="178"/>
      <c r="AA135" s="178"/>
      <c r="AB135" s="178"/>
      <c r="AC135" s="178"/>
      <c r="AD135" s="101"/>
      <c r="AE135" s="101"/>
      <c r="AF135" s="101"/>
      <c r="AG135" s="102"/>
      <c r="AH135" s="415"/>
      <c r="AI135" s="178"/>
      <c r="AJ135" s="723"/>
      <c r="AK135" s="178"/>
    </row>
    <row r="136" spans="1:42" ht="16.2" thickTop="1" x14ac:dyDescent="0.3">
      <c r="A136" s="299" t="s">
        <v>5</v>
      </c>
      <c r="B136" s="218" t="str">
        <f t="shared" si="40"/>
        <v>MASTTOTALS</v>
      </c>
      <c r="C136" s="217" t="s">
        <v>48</v>
      </c>
      <c r="D136" s="10"/>
      <c r="E136" s="126"/>
      <c r="F136" s="126"/>
      <c r="G136" s="126"/>
      <c r="H136" s="61" t="s">
        <v>28</v>
      </c>
      <c r="I136" s="103"/>
      <c r="J136" s="103"/>
      <c r="K136" s="103"/>
      <c r="L136" s="103"/>
      <c r="M136" s="104"/>
      <c r="N136" s="91"/>
      <c r="O136" s="136"/>
      <c r="P136" s="466"/>
      <c r="Q136" s="252"/>
      <c r="R136" s="186" t="s">
        <v>28</v>
      </c>
      <c r="S136" s="103"/>
      <c r="T136" s="103"/>
      <c r="U136" s="103"/>
      <c r="V136" s="103"/>
      <c r="W136" s="104"/>
      <c r="X136" s="90"/>
      <c r="Y136" s="136"/>
      <c r="Z136" s="466"/>
      <c r="AA136" s="252"/>
      <c r="AB136" s="186" t="s">
        <v>28</v>
      </c>
      <c r="AC136" s="103"/>
      <c r="AD136" s="103"/>
      <c r="AE136" s="103"/>
      <c r="AF136" s="103"/>
      <c r="AG136" s="104"/>
      <c r="AH136" s="91"/>
      <c r="AI136" s="136"/>
      <c r="AJ136" s="719"/>
      <c r="AK136" s="90"/>
    </row>
    <row r="137" spans="1:42" ht="15.6" x14ac:dyDescent="0.3">
      <c r="A137" s="299" t="s">
        <v>5</v>
      </c>
      <c r="B137" s="218" t="str">
        <f t="shared" si="40"/>
        <v>MASTPER YEAR</v>
      </c>
      <c r="C137" s="220" t="s">
        <v>50</v>
      </c>
      <c r="D137" s="10"/>
      <c r="E137" s="116">
        <f>I137</f>
        <v>0</v>
      </c>
      <c r="F137" s="116">
        <f>S137</f>
        <v>101167.92131299998</v>
      </c>
      <c r="G137" s="116">
        <f>S137</f>
        <v>101167.92131299998</v>
      </c>
      <c r="H137" s="105" t="s">
        <v>46</v>
      </c>
      <c r="I137" s="106">
        <f>I105+I113+I120+I125+I134</f>
        <v>0</v>
      </c>
      <c r="J137" s="106"/>
      <c r="K137" s="106"/>
      <c r="L137" s="106"/>
      <c r="M137" s="107"/>
      <c r="N137" s="420">
        <f>SUM(N105:N135)</f>
        <v>0</v>
      </c>
      <c r="O137" s="233" t="e">
        <f>SUM(O105:O135)</f>
        <v>#DIV/0!</v>
      </c>
      <c r="P137" s="466"/>
      <c r="Q137" s="252"/>
      <c r="R137" s="190" t="s">
        <v>46</v>
      </c>
      <c r="S137" s="106">
        <f>S105+S113+S120+S125+S134</f>
        <v>101167.92131299998</v>
      </c>
      <c r="T137" s="106"/>
      <c r="U137" s="106"/>
      <c r="V137" s="106"/>
      <c r="W137" s="107"/>
      <c r="X137" s="52">
        <f>SUM(X105:X135)</f>
        <v>101167.92131299998</v>
      </c>
      <c r="Y137" s="233">
        <f>SUM(Y105:Y135)</f>
        <v>1</v>
      </c>
      <c r="Z137" s="466"/>
      <c r="AA137" s="252"/>
      <c r="AB137" s="190" t="s">
        <v>46</v>
      </c>
      <c r="AC137" s="106">
        <f>AC105+AC113+AC120+AC125+AC134</f>
        <v>281372.08834833326</v>
      </c>
      <c r="AD137" s="106"/>
      <c r="AE137" s="106"/>
      <c r="AF137" s="106"/>
      <c r="AG137" s="107"/>
      <c r="AH137" s="420">
        <f>SUM(AH105:AH135)</f>
        <v>281372.08834833326</v>
      </c>
      <c r="AI137" s="233">
        <f>SUM(AI105:AI135)</f>
        <v>1.0000000000000002</v>
      </c>
      <c r="AJ137" s="221">
        <f t="shared" ref="AJ137:AJ141" si="73">I137+S137+AC137</f>
        <v>382540.00966133323</v>
      </c>
      <c r="AK137" s="52"/>
    </row>
    <row r="138" spans="1:42" ht="15.6" x14ac:dyDescent="0.3">
      <c r="A138" s="299" t="s">
        <v>5</v>
      </c>
      <c r="B138" s="218" t="str">
        <f t="shared" si="40"/>
        <v>MASTPER BILL</v>
      </c>
      <c r="C138" s="220" t="s">
        <v>50</v>
      </c>
      <c r="D138" s="10"/>
      <c r="E138" s="126"/>
      <c r="F138" s="126"/>
      <c r="G138" s="126"/>
      <c r="H138" s="49" t="s">
        <v>286</v>
      </c>
      <c r="I138" s="108">
        <f>I137/I$6</f>
        <v>0</v>
      </c>
      <c r="J138" s="108"/>
      <c r="K138" s="108"/>
      <c r="L138" s="108"/>
      <c r="M138" s="109"/>
      <c r="N138" s="98"/>
      <c r="O138" s="243"/>
      <c r="P138" s="467"/>
      <c r="Q138" s="253"/>
      <c r="R138" s="185" t="s">
        <v>286</v>
      </c>
      <c r="S138" s="108">
        <f>S137/S$6</f>
        <v>0.13280011093769278</v>
      </c>
      <c r="T138" s="108"/>
      <c r="U138" s="108"/>
      <c r="V138" s="108"/>
      <c r="W138" s="109"/>
      <c r="X138" s="97"/>
      <c r="Y138" s="243"/>
      <c r="Z138" s="467"/>
      <c r="AA138" s="253"/>
      <c r="AB138" s="185" t="s">
        <v>286</v>
      </c>
      <c r="AC138" s="108">
        <f>AC137/AC$6</f>
        <v>11.229280773769137</v>
      </c>
      <c r="AD138" s="108"/>
      <c r="AE138" s="108"/>
      <c r="AF138" s="108"/>
      <c r="AG138" s="109"/>
      <c r="AH138" s="98"/>
      <c r="AI138" s="243"/>
      <c r="AJ138" s="721">
        <f t="shared" si="73"/>
        <v>11.362080884706829</v>
      </c>
      <c r="AK138" s="97"/>
    </row>
    <row r="139" spans="1:42" ht="15.6" x14ac:dyDescent="0.3">
      <c r="A139" s="299" t="s">
        <v>5</v>
      </c>
      <c r="B139" s="218"/>
      <c r="C139" s="220"/>
      <c r="D139" s="10"/>
      <c r="E139" s="10"/>
      <c r="F139" s="10"/>
      <c r="G139" s="10"/>
      <c r="H139" s="137" t="s">
        <v>585</v>
      </c>
      <c r="I139" s="659">
        <f>I105+I113</f>
        <v>0</v>
      </c>
      <c r="J139" s="108"/>
      <c r="K139" s="108"/>
      <c r="L139" s="108"/>
      <c r="M139" s="109"/>
      <c r="N139" s="656"/>
      <c r="O139" s="657"/>
      <c r="P139" s="92"/>
      <c r="Q139" s="37"/>
      <c r="R139" s="137" t="s">
        <v>585</v>
      </c>
      <c r="S139" s="659">
        <f>S105+S113</f>
        <v>92986.52131299999</v>
      </c>
      <c r="T139" s="108"/>
      <c r="U139" s="108"/>
      <c r="V139" s="108"/>
      <c r="W139" s="109"/>
      <c r="X139" s="658"/>
      <c r="Y139" s="657"/>
      <c r="Z139" s="92"/>
      <c r="AA139" s="37"/>
      <c r="AB139" s="137" t="s">
        <v>585</v>
      </c>
      <c r="AC139" s="659">
        <f>AC105+AC113</f>
        <v>264786.48834833328</v>
      </c>
      <c r="AD139" s="108"/>
      <c r="AE139" s="108"/>
      <c r="AF139" s="108"/>
      <c r="AG139" s="109"/>
      <c r="AH139" s="656"/>
      <c r="AI139" s="137"/>
      <c r="AJ139" s="717">
        <f t="shared" si="73"/>
        <v>357773.00966133329</v>
      </c>
      <c r="AK139" s="658"/>
    </row>
    <row r="140" spans="1:42" ht="15.6" x14ac:dyDescent="0.3">
      <c r="A140" s="299" t="s">
        <v>5</v>
      </c>
      <c r="B140" s="218"/>
      <c r="C140" s="220"/>
      <c r="D140" s="10"/>
      <c r="E140" s="10"/>
      <c r="F140" s="10"/>
      <c r="G140" s="10"/>
      <c r="H140" s="137" t="s">
        <v>586</v>
      </c>
      <c r="I140" s="659">
        <f>I134+I125+I120</f>
        <v>0</v>
      </c>
      <c r="J140" s="108"/>
      <c r="K140" s="659"/>
      <c r="L140" s="108"/>
      <c r="M140" s="109"/>
      <c r="N140" s="656"/>
      <c r="O140" s="657"/>
      <c r="P140" s="92"/>
      <c r="Q140" s="37"/>
      <c r="R140" s="137" t="s">
        <v>586</v>
      </c>
      <c r="S140" s="659">
        <f>S134+S125+S120</f>
        <v>8181.4</v>
      </c>
      <c r="T140" s="108"/>
      <c r="U140" s="659"/>
      <c r="V140" s="108"/>
      <c r="W140" s="109"/>
      <c r="X140" s="658"/>
      <c r="Y140" s="657"/>
      <c r="Z140" s="92"/>
      <c r="AA140" s="37"/>
      <c r="AB140" s="137" t="s">
        <v>586</v>
      </c>
      <c r="AC140" s="659">
        <f>AC134+AC125+AC120</f>
        <v>16585.599999999999</v>
      </c>
      <c r="AD140" s="108"/>
      <c r="AE140" s="659"/>
      <c r="AF140" s="108"/>
      <c r="AG140" s="109"/>
      <c r="AH140" s="656"/>
      <c r="AI140" s="137"/>
      <c r="AJ140" s="717">
        <f t="shared" si="73"/>
        <v>24767</v>
      </c>
      <c r="AK140" s="658"/>
    </row>
    <row r="141" spans="1:42" ht="15.6" x14ac:dyDescent="0.3">
      <c r="A141" s="299" t="s">
        <v>5</v>
      </c>
      <c r="B141" s="218"/>
      <c r="C141" s="220"/>
      <c r="D141" s="10"/>
      <c r="E141" s="10"/>
      <c r="F141" s="10"/>
      <c r="G141" s="10"/>
      <c r="H141" s="137" t="s">
        <v>584</v>
      </c>
      <c r="I141" s="659">
        <f>I137</f>
        <v>0</v>
      </c>
      <c r="J141" s="108"/>
      <c r="K141" s="108"/>
      <c r="L141" s="108"/>
      <c r="M141" s="109"/>
      <c r="N141" s="656"/>
      <c r="O141" s="657"/>
      <c r="P141" s="92"/>
      <c r="Q141" s="37"/>
      <c r="R141" s="137" t="s">
        <v>584</v>
      </c>
      <c r="S141" s="659">
        <f>S137</f>
        <v>101167.92131299998</v>
      </c>
      <c r="T141" s="108"/>
      <c r="U141" s="108"/>
      <c r="V141" s="108"/>
      <c r="W141" s="109"/>
      <c r="X141" s="658"/>
      <c r="Y141" s="657"/>
      <c r="Z141" s="92"/>
      <c r="AA141" s="37"/>
      <c r="AB141" s="137" t="s">
        <v>584</v>
      </c>
      <c r="AC141" s="659">
        <f>AC137</f>
        <v>281372.08834833326</v>
      </c>
      <c r="AD141" s="108"/>
      <c r="AE141" s="108"/>
      <c r="AF141" s="108"/>
      <c r="AG141" s="109"/>
      <c r="AH141" s="656"/>
      <c r="AI141" s="137"/>
      <c r="AJ141" s="717">
        <f t="shared" si="73"/>
        <v>382540.00966133323</v>
      </c>
      <c r="AK141" s="658"/>
    </row>
    <row r="142" spans="1:42" ht="62.4" x14ac:dyDescent="0.3">
      <c r="A142" s="299" t="s">
        <v>6</v>
      </c>
      <c r="B142" s="218" t="str">
        <f t="shared" ref="B142:B203" si="74">A142&amp;H142</f>
        <v>RMCLABOR: NON-SUPERVISORY</v>
      </c>
      <c r="C142" s="12" t="s">
        <v>6</v>
      </c>
      <c r="D142" s="10" t="str">
        <f>'2015Summary METER to CASH (Base'!G19</f>
        <v>* Plan &amp; assign all routes to field personnel (i.e., Turnons, turnoffs, inspections)</v>
      </c>
      <c r="E142" s="117">
        <f>N178</f>
        <v>326669.03263999999</v>
      </c>
      <c r="F142" s="117">
        <f>X178</f>
        <v>31973.400560000002</v>
      </c>
      <c r="G142" s="117">
        <f>AC178</f>
        <v>0</v>
      </c>
      <c r="H142" s="182" t="s">
        <v>31</v>
      </c>
      <c r="I142" s="157"/>
      <c r="J142" s="118"/>
      <c r="K142" s="118"/>
      <c r="L142" s="118"/>
      <c r="M142" s="119"/>
      <c r="N142" s="121"/>
      <c r="O142" s="136"/>
      <c r="P142" s="456"/>
      <c r="Q142" s="248"/>
      <c r="R142" s="183" t="s">
        <v>31</v>
      </c>
      <c r="S142" s="157"/>
      <c r="T142" s="118"/>
      <c r="U142" s="118"/>
      <c r="V142" s="118"/>
      <c r="W142" s="119"/>
      <c r="X142" s="120"/>
      <c r="Y142" s="136"/>
      <c r="Z142" s="456"/>
      <c r="AA142" s="248"/>
      <c r="AB142" s="183" t="s">
        <v>31</v>
      </c>
      <c r="AC142" s="157"/>
      <c r="AD142" s="118"/>
      <c r="AE142" s="118"/>
      <c r="AF142" s="118"/>
      <c r="AG142" s="119"/>
      <c r="AH142" s="121"/>
      <c r="AI142" s="136"/>
      <c r="AJ142" s="713"/>
      <c r="AK142" s="120"/>
    </row>
    <row r="143" spans="1:42" ht="21" x14ac:dyDescent="0.4">
      <c r="A143" s="299" t="s">
        <v>6</v>
      </c>
      <c r="B143" s="218" t="str">
        <f t="shared" si="74"/>
        <v>RMCReso Mgmt Spec (Grade 18)</v>
      </c>
      <c r="C143" s="5" t="s">
        <v>48</v>
      </c>
      <c r="D143" s="10"/>
      <c r="E143" s="116"/>
      <c r="F143" s="116"/>
      <c r="G143" s="116"/>
      <c r="H143" s="184" t="s">
        <v>315</v>
      </c>
      <c r="I143" s="163">
        <f>J143*K143</f>
        <v>145008</v>
      </c>
      <c r="J143" s="42">
        <f>ROUND(4190*(I$6/($I$6+$S$6)),0)</f>
        <v>3816</v>
      </c>
      <c r="K143" s="39">
        <v>38</v>
      </c>
      <c r="L143" s="39"/>
      <c r="M143" s="40" t="str">
        <f>J143&amp;" hrs @ "&amp;K143</f>
        <v>3816 hrs @ 38</v>
      </c>
      <c r="N143" s="35"/>
      <c r="O143" s="136"/>
      <c r="P143" s="457"/>
      <c r="Q143" s="249"/>
      <c r="R143" s="184" t="s">
        <v>315</v>
      </c>
      <c r="S143" s="163">
        <f>T143*U143</f>
        <v>14212</v>
      </c>
      <c r="T143" s="42">
        <f>ROUND(4190*(S$6/($I$6+$S$6)),AD133)</f>
        <v>374</v>
      </c>
      <c r="U143" s="39">
        <v>38</v>
      </c>
      <c r="V143" s="39"/>
      <c r="W143" s="40" t="str">
        <f>T143&amp;" hrs @ "&amp;U143</f>
        <v>374 hrs @ 38</v>
      </c>
      <c r="X143" s="34"/>
      <c r="Y143" s="136"/>
      <c r="Z143" s="457"/>
      <c r="AA143" s="249"/>
      <c r="AB143" s="184" t="s">
        <v>315</v>
      </c>
      <c r="AC143" s="163">
        <f>AD143*AE143</f>
        <v>0</v>
      </c>
      <c r="AD143" s="42"/>
      <c r="AE143" s="39">
        <v>38</v>
      </c>
      <c r="AF143" s="39"/>
      <c r="AG143" s="40" t="str">
        <f>AD143&amp;" hrs @ "&amp;AE143</f>
        <v xml:space="preserve"> hrs @ 38</v>
      </c>
      <c r="AH143" s="35"/>
      <c r="AI143" s="136"/>
      <c r="AJ143" s="714">
        <f t="shared" ref="AJ143:AJ149" si="75">I143+S143+AC143</f>
        <v>159220</v>
      </c>
      <c r="AK143" s="34"/>
    </row>
    <row r="144" spans="1:42" ht="21" x14ac:dyDescent="0.4">
      <c r="A144" s="299" t="s">
        <v>6</v>
      </c>
      <c r="B144" s="218" t="str">
        <f t="shared" si="74"/>
        <v>RMC</v>
      </c>
      <c r="C144" s="5" t="s">
        <v>48</v>
      </c>
      <c r="D144" s="10"/>
      <c r="E144" s="116"/>
      <c r="F144" s="116"/>
      <c r="G144" s="116"/>
      <c r="H144" s="38"/>
      <c r="I144" s="158"/>
      <c r="J144" s="42"/>
      <c r="K144" s="39"/>
      <c r="L144" s="42"/>
      <c r="M144" s="40" t="str">
        <f t="shared" ref="M144:M146" si="76">J144&amp;" hrs @ "&amp;K144</f>
        <v xml:space="preserve"> hrs @ </v>
      </c>
      <c r="N144" s="35"/>
      <c r="O144" s="136"/>
      <c r="P144" s="457"/>
      <c r="Q144" s="250"/>
      <c r="R144" s="184"/>
      <c r="S144" s="158"/>
      <c r="T144" s="42"/>
      <c r="U144" s="39"/>
      <c r="V144" s="42"/>
      <c r="W144" s="40" t="str">
        <f t="shared" ref="W144:W146" si="77">T144&amp;" hrs @ "&amp;U144</f>
        <v xml:space="preserve"> hrs @ </v>
      </c>
      <c r="X144" s="34"/>
      <c r="Y144" s="136"/>
      <c r="Z144" s="457"/>
      <c r="AA144" s="250"/>
      <c r="AB144" s="184"/>
      <c r="AC144" s="158"/>
      <c r="AD144" s="42"/>
      <c r="AE144" s="39"/>
      <c r="AF144" s="42"/>
      <c r="AG144" s="40" t="str">
        <f t="shared" ref="AG144:AG146" si="78">AD144&amp;" hrs @ "&amp;AE144</f>
        <v xml:space="preserve"> hrs @ </v>
      </c>
      <c r="AH144" s="35"/>
      <c r="AI144" s="136"/>
      <c r="AJ144" s="714">
        <f t="shared" si="75"/>
        <v>0</v>
      </c>
      <c r="AK144" s="34"/>
    </row>
    <row r="145" spans="1:37" ht="21" x14ac:dyDescent="0.4">
      <c r="A145" s="299" t="s">
        <v>6</v>
      </c>
      <c r="B145" s="218" t="str">
        <f t="shared" si="74"/>
        <v>RMC</v>
      </c>
      <c r="C145" s="5" t="s">
        <v>48</v>
      </c>
      <c r="D145" s="10"/>
      <c r="E145" s="116"/>
      <c r="F145" s="116"/>
      <c r="G145" s="116"/>
      <c r="H145" s="38"/>
      <c r="I145" s="158"/>
      <c r="J145" s="42"/>
      <c r="K145" s="39"/>
      <c r="L145" s="42"/>
      <c r="M145" s="40" t="str">
        <f t="shared" si="76"/>
        <v xml:space="preserve"> hrs @ </v>
      </c>
      <c r="N145" s="35"/>
      <c r="O145" s="136"/>
      <c r="P145" s="457"/>
      <c r="Q145" s="249"/>
      <c r="R145" s="184"/>
      <c r="S145" s="158"/>
      <c r="T145" s="42"/>
      <c r="U145" s="39"/>
      <c r="V145" s="42"/>
      <c r="W145" s="40" t="str">
        <f t="shared" si="77"/>
        <v xml:space="preserve"> hrs @ </v>
      </c>
      <c r="X145" s="34"/>
      <c r="Y145" s="136"/>
      <c r="Z145" s="457"/>
      <c r="AA145" s="249"/>
      <c r="AB145" s="184"/>
      <c r="AC145" s="158"/>
      <c r="AD145" s="42"/>
      <c r="AE145" s="39"/>
      <c r="AF145" s="42"/>
      <c r="AG145" s="40" t="str">
        <f t="shared" si="78"/>
        <v xml:space="preserve"> hrs @ </v>
      </c>
      <c r="AH145" s="35"/>
      <c r="AI145" s="136"/>
      <c r="AJ145" s="714">
        <f t="shared" si="75"/>
        <v>0</v>
      </c>
      <c r="AK145" s="34"/>
    </row>
    <row r="146" spans="1:37" ht="21" x14ac:dyDescent="0.4">
      <c r="A146" s="299" t="s">
        <v>6</v>
      </c>
      <c r="B146" s="218" t="str">
        <f t="shared" si="74"/>
        <v>RMC</v>
      </c>
      <c r="C146" s="5" t="s">
        <v>48</v>
      </c>
      <c r="D146" s="10"/>
      <c r="E146" s="116"/>
      <c r="F146" s="116"/>
      <c r="G146" s="116"/>
      <c r="H146" s="179"/>
      <c r="I146" s="173"/>
      <c r="J146" s="174"/>
      <c r="K146" s="175"/>
      <c r="L146" s="181">
        <v>7.0000000000000007E-2</v>
      </c>
      <c r="M146" s="176" t="str">
        <f t="shared" si="76"/>
        <v xml:space="preserve"> hrs @ </v>
      </c>
      <c r="N146" s="35"/>
      <c r="O146" s="136">
        <v>0</v>
      </c>
      <c r="P146" s="457"/>
      <c r="Q146" s="251"/>
      <c r="R146" s="179"/>
      <c r="S146" s="173"/>
      <c r="T146" s="174"/>
      <c r="U146" s="175"/>
      <c r="V146" s="181">
        <v>7.0000000000000007E-2</v>
      </c>
      <c r="W146" s="176" t="str">
        <f t="shared" si="77"/>
        <v xml:space="preserve"> hrs @ </v>
      </c>
      <c r="X146" s="34"/>
      <c r="Y146" s="136"/>
      <c r="Z146" s="457"/>
      <c r="AA146" s="251"/>
      <c r="AB146" s="179"/>
      <c r="AC146" s="173"/>
      <c r="AD146" s="174"/>
      <c r="AE146" s="175"/>
      <c r="AF146" s="181"/>
      <c r="AG146" s="176" t="str">
        <f t="shared" si="78"/>
        <v xml:space="preserve"> hrs @ </v>
      </c>
      <c r="AH146" s="35"/>
      <c r="AI146" s="136"/>
      <c r="AJ146" s="714">
        <f t="shared" si="75"/>
        <v>0</v>
      </c>
      <c r="AK146" s="34"/>
    </row>
    <row r="147" spans="1:37" ht="21" x14ac:dyDescent="0.4">
      <c r="A147" s="299" t="s">
        <v>6</v>
      </c>
      <c r="B147" s="218" t="str">
        <f t="shared" si="74"/>
        <v>RMCTotal Wages</v>
      </c>
      <c r="C147" s="5" t="s">
        <v>48</v>
      </c>
      <c r="D147" s="10"/>
      <c r="E147" s="116"/>
      <c r="F147" s="116"/>
      <c r="G147" s="116"/>
      <c r="H147" s="38" t="s">
        <v>32</v>
      </c>
      <c r="I147" s="158">
        <f>SUM(I143:I146)</f>
        <v>145008</v>
      </c>
      <c r="J147" s="42"/>
      <c r="K147" s="39"/>
      <c r="L147" s="39"/>
      <c r="M147" s="40"/>
      <c r="N147" s="35"/>
      <c r="O147" s="136"/>
      <c r="P147" s="457"/>
      <c r="Q147" s="249"/>
      <c r="R147" s="184" t="s">
        <v>32</v>
      </c>
      <c r="S147" s="158">
        <f>SUM(S143:S146)</f>
        <v>14212</v>
      </c>
      <c r="T147" s="42"/>
      <c r="U147" s="39"/>
      <c r="V147" s="39"/>
      <c r="W147" s="40"/>
      <c r="X147" s="34"/>
      <c r="Y147" s="136"/>
      <c r="Z147" s="457"/>
      <c r="AA147" s="249"/>
      <c r="AB147" s="184" t="s">
        <v>32</v>
      </c>
      <c r="AC147" s="158">
        <f>SUM(AC143:AC146)</f>
        <v>0</v>
      </c>
      <c r="AD147" s="42"/>
      <c r="AE147" s="39"/>
      <c r="AF147" s="39"/>
      <c r="AG147" s="40"/>
      <c r="AH147" s="35"/>
      <c r="AI147" s="136"/>
      <c r="AJ147" s="714">
        <f t="shared" si="75"/>
        <v>159220</v>
      </c>
      <c r="AK147" s="34"/>
    </row>
    <row r="148" spans="1:37" ht="21" x14ac:dyDescent="0.4">
      <c r="A148" s="299" t="s">
        <v>6</v>
      </c>
      <c r="B148" s="218" t="str">
        <f t="shared" si="74"/>
        <v>RMCBenefits</v>
      </c>
      <c r="C148" s="5" t="s">
        <v>48</v>
      </c>
      <c r="D148" s="10"/>
      <c r="E148" s="116"/>
      <c r="F148" s="116"/>
      <c r="G148" s="116"/>
      <c r="H148" s="38" t="s">
        <v>33</v>
      </c>
      <c r="I148" s="159">
        <f>I147*$O$2</f>
        <v>142963.3872</v>
      </c>
      <c r="J148" s="42"/>
      <c r="K148" s="39"/>
      <c r="M148" s="45" t="str">
        <f>"@ "&amp;$O$2*100&amp;" %"</f>
        <v>@ 98.59 %</v>
      </c>
      <c r="N148" s="47"/>
      <c r="O148" s="432"/>
      <c r="P148" s="460"/>
      <c r="Q148" s="249"/>
      <c r="R148" s="184" t="s">
        <v>33</v>
      </c>
      <c r="S148" s="159">
        <f>S147*$O$2</f>
        <v>14011.6108</v>
      </c>
      <c r="T148" s="42"/>
      <c r="U148" s="39"/>
      <c r="W148" s="45" t="str">
        <f>"@ "&amp;$O$2*100&amp;" %"</f>
        <v>@ 98.59 %</v>
      </c>
      <c r="X148" s="46"/>
      <c r="Y148" s="432"/>
      <c r="Z148" s="460"/>
      <c r="AA148" s="249"/>
      <c r="AB148" s="184" t="s">
        <v>33</v>
      </c>
      <c r="AC148" s="159">
        <f>AC147*$O$2</f>
        <v>0</v>
      </c>
      <c r="AD148" s="42"/>
      <c r="AE148" s="39"/>
      <c r="AG148" s="45" t="str">
        <f>"@ "&amp;$O$2*100&amp;" %"</f>
        <v>@ 98.59 %</v>
      </c>
      <c r="AH148" s="47"/>
      <c r="AI148" s="432"/>
      <c r="AJ148" s="716">
        <f t="shared" si="75"/>
        <v>156974.99799999999</v>
      </c>
      <c r="AK148" s="46"/>
    </row>
    <row r="149" spans="1:37" ht="21" x14ac:dyDescent="0.3">
      <c r="A149" s="299" t="s">
        <v>6</v>
      </c>
      <c r="B149" s="218" t="str">
        <f t="shared" si="74"/>
        <v>RMCTotal</v>
      </c>
      <c r="C149" s="125" t="s">
        <v>50</v>
      </c>
      <c r="D149" s="10"/>
      <c r="E149" s="116"/>
      <c r="F149" s="116"/>
      <c r="G149" s="116"/>
      <c r="H149" s="49" t="s">
        <v>34</v>
      </c>
      <c r="I149" s="160">
        <f>I147+I148</f>
        <v>287971.3872</v>
      </c>
      <c r="J149" s="42"/>
      <c r="K149" s="39"/>
      <c r="L149" s="50"/>
      <c r="M149" s="51"/>
      <c r="N149" s="420">
        <f>I149</f>
        <v>287971.3872</v>
      </c>
      <c r="O149" s="233">
        <f>N149/N178</f>
        <v>0.8815386780703941</v>
      </c>
      <c r="P149" s="461"/>
      <c r="Q149" s="252"/>
      <c r="R149" s="185" t="s">
        <v>34</v>
      </c>
      <c r="S149" s="160">
        <f>S147+S148</f>
        <v>28223.610800000002</v>
      </c>
      <c r="T149" s="42"/>
      <c r="U149" s="39"/>
      <c r="V149" s="50"/>
      <c r="W149" s="51"/>
      <c r="X149" s="52">
        <f>S149</f>
        <v>28223.610800000002</v>
      </c>
      <c r="Y149" s="233">
        <f>X149/X178</f>
        <v>0.88272158436937931</v>
      </c>
      <c r="Z149" s="461"/>
      <c r="AA149" s="252"/>
      <c r="AB149" s="185" t="s">
        <v>34</v>
      </c>
      <c r="AC149" s="160">
        <f>AC147+AC148</f>
        <v>0</v>
      </c>
      <c r="AD149" s="42"/>
      <c r="AE149" s="39"/>
      <c r="AF149" s="50"/>
      <c r="AG149" s="51"/>
      <c r="AH149" s="420">
        <f>AC149</f>
        <v>0</v>
      </c>
      <c r="AI149" s="233" t="e">
        <f>AH149/AH178</f>
        <v>#DIV/0!</v>
      </c>
      <c r="AJ149" s="221">
        <f t="shared" si="75"/>
        <v>316194.99800000002</v>
      </c>
      <c r="AK149" s="52"/>
    </row>
    <row r="150" spans="1:37" ht="21" x14ac:dyDescent="0.4">
      <c r="A150" s="299" t="s">
        <v>6</v>
      </c>
      <c r="B150" s="218" t="str">
        <f t="shared" si="74"/>
        <v>RMC</v>
      </c>
      <c r="C150" s="5" t="s">
        <v>48</v>
      </c>
      <c r="D150" s="10"/>
      <c r="E150" s="116"/>
      <c r="F150" s="116"/>
      <c r="G150" s="116"/>
      <c r="H150" s="54"/>
      <c r="I150" s="166"/>
      <c r="J150" s="69"/>
      <c r="K150" s="69"/>
      <c r="L150" s="69"/>
      <c r="M150" s="70"/>
      <c r="N150" s="58"/>
      <c r="O150" s="231"/>
      <c r="P150" s="458"/>
      <c r="Q150" s="253"/>
      <c r="R150" s="179"/>
      <c r="S150" s="166"/>
      <c r="T150" s="69"/>
      <c r="U150" s="69"/>
      <c r="V150" s="69"/>
      <c r="W150" s="70"/>
      <c r="X150" s="57"/>
      <c r="Y150" s="231"/>
      <c r="Z150" s="458"/>
      <c r="AA150" s="253"/>
      <c r="AB150" s="179"/>
      <c r="AC150" s="166"/>
      <c r="AD150" s="69"/>
      <c r="AE150" s="69"/>
      <c r="AF150" s="69"/>
      <c r="AG150" s="70"/>
      <c r="AH150" s="58"/>
      <c r="AI150" s="231"/>
      <c r="AJ150" s="715"/>
      <c r="AK150" s="57"/>
    </row>
    <row r="151" spans="1:37" ht="21" x14ac:dyDescent="0.4">
      <c r="A151" s="299" t="s">
        <v>6</v>
      </c>
      <c r="B151" s="218" t="str">
        <f t="shared" si="74"/>
        <v>RMCLABOR: SUPERVISORY</v>
      </c>
      <c r="C151" s="124" t="s">
        <v>50</v>
      </c>
      <c r="D151" s="10"/>
      <c r="E151" s="116"/>
      <c r="F151" s="116"/>
      <c r="G151" s="116"/>
      <c r="H151" s="61" t="s">
        <v>35</v>
      </c>
      <c r="I151" s="167"/>
      <c r="J151" s="74"/>
      <c r="K151" s="74"/>
      <c r="L151" s="74"/>
      <c r="M151" s="66"/>
      <c r="N151" s="26"/>
      <c r="O151" s="234"/>
      <c r="P151" s="462"/>
      <c r="Q151" s="252"/>
      <c r="R151" s="186" t="s">
        <v>35</v>
      </c>
      <c r="S151" s="167"/>
      <c r="T151" s="74"/>
      <c r="U151" s="74"/>
      <c r="V151" s="74"/>
      <c r="W151" s="66"/>
      <c r="X151" s="64"/>
      <c r="Y151" s="234"/>
      <c r="Z151" s="462"/>
      <c r="AA151" s="252"/>
      <c r="AB151" s="186" t="s">
        <v>35</v>
      </c>
      <c r="AC151" s="167"/>
      <c r="AD151" s="74"/>
      <c r="AE151" s="74"/>
      <c r="AF151" s="74"/>
      <c r="AG151" s="66"/>
      <c r="AH151" s="26"/>
      <c r="AI151" s="234"/>
      <c r="AJ151" s="714"/>
      <c r="AK151" s="64"/>
    </row>
    <row r="152" spans="1:37" ht="21" x14ac:dyDescent="0.4">
      <c r="A152" s="299" t="s">
        <v>6</v>
      </c>
      <c r="B152" s="218" t="str">
        <f t="shared" si="74"/>
        <v>RMCResource Mgmt Supv</v>
      </c>
      <c r="C152" s="5" t="s">
        <v>48</v>
      </c>
      <c r="D152" s="10"/>
      <c r="E152" s="116"/>
      <c r="F152" s="116"/>
      <c r="G152" s="116"/>
      <c r="H152" s="184" t="s">
        <v>314</v>
      </c>
      <c r="I152" s="163">
        <f>J152*K152</f>
        <v>12521.6</v>
      </c>
      <c r="J152" s="42">
        <f>ROUND(330*(I$6/($I$6+$S$6)),0)</f>
        <v>301</v>
      </c>
      <c r="K152" s="39">
        <v>41.6</v>
      </c>
      <c r="L152" s="43"/>
      <c r="M152" s="40" t="str">
        <f t="shared" ref="M152" si="79">J152&amp;" hrs @ "&amp;K152</f>
        <v>301 hrs @ 41.6</v>
      </c>
      <c r="N152" s="26"/>
      <c r="O152" s="234"/>
      <c r="P152" s="462"/>
      <c r="Q152" s="249"/>
      <c r="R152" s="184" t="s">
        <v>314</v>
      </c>
      <c r="S152" s="163">
        <f>T152*U152</f>
        <v>1206.4000000000001</v>
      </c>
      <c r="T152" s="42">
        <f>ROUND(330*(S$6/($I$6+$S$6)),0)</f>
        <v>29</v>
      </c>
      <c r="U152" s="39">
        <v>41.6</v>
      </c>
      <c r="V152" s="43"/>
      <c r="W152" s="40" t="str">
        <f t="shared" ref="W152" si="80">T152&amp;" hrs @ "&amp;U152</f>
        <v>29 hrs @ 41.6</v>
      </c>
      <c r="X152" s="64"/>
      <c r="Y152" s="234"/>
      <c r="Z152" s="462"/>
      <c r="AA152" s="249"/>
      <c r="AB152" s="184" t="s">
        <v>314</v>
      </c>
      <c r="AC152" s="163">
        <f>AD152*AE152</f>
        <v>0</v>
      </c>
      <c r="AD152" s="42"/>
      <c r="AE152" s="39">
        <v>41.6</v>
      </c>
      <c r="AF152" s="43"/>
      <c r="AG152" s="40" t="str">
        <f t="shared" ref="AG152" si="81">AD152&amp;" hrs @ "&amp;AE152</f>
        <v xml:space="preserve"> hrs @ 41.6</v>
      </c>
      <c r="AH152" s="26"/>
      <c r="AI152" s="234"/>
      <c r="AJ152" s="714">
        <f t="shared" ref="AJ152:AJ154" si="82">I152+S152+AC152</f>
        <v>13728</v>
      </c>
      <c r="AK152" s="64"/>
    </row>
    <row r="153" spans="1:37" ht="21" x14ac:dyDescent="0.4">
      <c r="A153" s="299" t="s">
        <v>6</v>
      </c>
      <c r="B153" s="218" t="str">
        <f t="shared" si="74"/>
        <v>RMCBenefits</v>
      </c>
      <c r="C153" s="5" t="s">
        <v>48</v>
      </c>
      <c r="D153" s="10"/>
      <c r="E153" s="116"/>
      <c r="F153" s="116"/>
      <c r="G153" s="116"/>
      <c r="H153" s="38" t="s">
        <v>33</v>
      </c>
      <c r="I153" s="159">
        <f>I152*$O$2</f>
        <v>12345.04544</v>
      </c>
      <c r="J153" s="42"/>
      <c r="K153" s="39"/>
      <c r="L153" s="156"/>
      <c r="M153" s="45" t="str">
        <f>"@ "&amp;$O$2*100&amp;" %"</f>
        <v>@ 98.59 %</v>
      </c>
      <c r="N153" s="26"/>
      <c r="O153" s="234"/>
      <c r="P153" s="462"/>
      <c r="Q153" s="249"/>
      <c r="R153" s="184" t="s">
        <v>33</v>
      </c>
      <c r="S153" s="159">
        <f>S152*$O$2</f>
        <v>1189.38976</v>
      </c>
      <c r="T153" s="42"/>
      <c r="U153" s="39"/>
      <c r="V153" s="156"/>
      <c r="W153" s="45" t="str">
        <f>"@ "&amp;$O$2*100&amp;" %"</f>
        <v>@ 98.59 %</v>
      </c>
      <c r="X153" s="64"/>
      <c r="Y153" s="234"/>
      <c r="Z153" s="462"/>
      <c r="AA153" s="249"/>
      <c r="AB153" s="184" t="s">
        <v>33</v>
      </c>
      <c r="AC153" s="159">
        <f>AC152*$O$2</f>
        <v>0</v>
      </c>
      <c r="AD153" s="42"/>
      <c r="AE153" s="39"/>
      <c r="AF153" s="156"/>
      <c r="AG153" s="45" t="str">
        <f>"@ "&amp;$O$2*100&amp;" %"</f>
        <v>@ 98.59 %</v>
      </c>
      <c r="AH153" s="26"/>
      <c r="AI153" s="234"/>
      <c r="AJ153" s="714">
        <f t="shared" si="82"/>
        <v>13534.4352</v>
      </c>
      <c r="AK153" s="64"/>
    </row>
    <row r="154" spans="1:37" ht="21" x14ac:dyDescent="0.4">
      <c r="A154" s="299" t="s">
        <v>6</v>
      </c>
      <c r="B154" s="218" t="str">
        <f t="shared" si="74"/>
        <v>RMCTotal</v>
      </c>
      <c r="C154" s="124" t="s">
        <v>50</v>
      </c>
      <c r="D154" s="10"/>
      <c r="E154" s="116"/>
      <c r="F154" s="116"/>
      <c r="G154" s="116"/>
      <c r="H154" s="49" t="s">
        <v>34</v>
      </c>
      <c r="I154" s="165">
        <f>I153+I152</f>
        <v>24866.64544</v>
      </c>
      <c r="J154" s="68"/>
      <c r="K154" s="68"/>
      <c r="L154" s="68"/>
      <c r="M154" s="63"/>
      <c r="N154" s="420">
        <f>I154</f>
        <v>24866.64544</v>
      </c>
      <c r="O154" s="233">
        <f>N154/N178</f>
        <v>7.6121832666654579E-2</v>
      </c>
      <c r="P154" s="462"/>
      <c r="Q154" s="249"/>
      <c r="R154" s="185" t="s">
        <v>34</v>
      </c>
      <c r="S154" s="165">
        <f>S153+S152</f>
        <v>2395.7897600000001</v>
      </c>
      <c r="T154" s="68"/>
      <c r="U154" s="68"/>
      <c r="V154" s="68"/>
      <c r="W154" s="63"/>
      <c r="X154" s="52">
        <f>S154</f>
        <v>2395.7897600000001</v>
      </c>
      <c r="Y154" s="233">
        <f>X154/X178</f>
        <v>7.4930714845427751E-2</v>
      </c>
      <c r="Z154" s="462"/>
      <c r="AA154" s="249"/>
      <c r="AB154" s="185" t="s">
        <v>34</v>
      </c>
      <c r="AC154" s="165">
        <f>AC153+AC152</f>
        <v>0</v>
      </c>
      <c r="AD154" s="68"/>
      <c r="AE154" s="68"/>
      <c r="AF154" s="68"/>
      <c r="AG154" s="63"/>
      <c r="AH154" s="420">
        <f>AC154</f>
        <v>0</v>
      </c>
      <c r="AI154" s="233" t="e">
        <f>AH154/AH178</f>
        <v>#DIV/0!</v>
      </c>
      <c r="AJ154" s="221">
        <f t="shared" si="82"/>
        <v>27262.4352</v>
      </c>
      <c r="AK154" s="52"/>
    </row>
    <row r="155" spans="1:37" ht="21" x14ac:dyDescent="0.4">
      <c r="A155" s="299" t="s">
        <v>6</v>
      </c>
      <c r="B155" s="218" t="str">
        <f t="shared" si="74"/>
        <v>RMC</v>
      </c>
      <c r="C155" s="5" t="s">
        <v>48</v>
      </c>
      <c r="D155" s="10"/>
      <c r="E155" s="116"/>
      <c r="F155" s="116"/>
      <c r="G155" s="116"/>
      <c r="H155" s="54"/>
      <c r="I155" s="166"/>
      <c r="J155" s="69"/>
      <c r="K155" s="69"/>
      <c r="L155" s="69"/>
      <c r="M155" s="70"/>
      <c r="N155" s="72"/>
      <c r="O155" s="235"/>
      <c r="P155" s="463"/>
      <c r="Q155" s="253"/>
      <c r="R155" s="179"/>
      <c r="S155" s="166"/>
      <c r="T155" s="69"/>
      <c r="U155" s="69"/>
      <c r="V155" s="69"/>
      <c r="W155" s="70"/>
      <c r="X155" s="71"/>
      <c r="Y155" s="235"/>
      <c r="Z155" s="463"/>
      <c r="AA155" s="253"/>
      <c r="AB155" s="179"/>
      <c r="AC155" s="166"/>
      <c r="AD155" s="69"/>
      <c r="AE155" s="69"/>
      <c r="AF155" s="69"/>
      <c r="AG155" s="70"/>
      <c r="AH155" s="72"/>
      <c r="AI155" s="235"/>
      <c r="AJ155" s="715"/>
      <c r="AK155" s="71"/>
    </row>
    <row r="156" spans="1:37" ht="21" x14ac:dyDescent="0.4">
      <c r="A156" s="299" t="s">
        <v>6</v>
      </c>
      <c r="B156" s="218" t="str">
        <f t="shared" si="74"/>
        <v>RMCEQUIPMENT</v>
      </c>
      <c r="C156" s="124" t="s">
        <v>50</v>
      </c>
      <c r="D156" s="10"/>
      <c r="E156" s="116"/>
      <c r="F156" s="116"/>
      <c r="G156" s="116"/>
      <c r="H156" s="61" t="s">
        <v>36</v>
      </c>
      <c r="I156" s="167"/>
      <c r="J156" s="74"/>
      <c r="K156" s="74"/>
      <c r="L156" s="74"/>
      <c r="M156" s="66"/>
      <c r="N156" s="76"/>
      <c r="O156" s="237"/>
      <c r="P156" s="462"/>
      <c r="Q156" s="252"/>
      <c r="R156" s="186" t="s">
        <v>36</v>
      </c>
      <c r="S156" s="167"/>
      <c r="T156" s="74"/>
      <c r="U156" s="74"/>
      <c r="V156" s="74"/>
      <c r="W156" s="66"/>
      <c r="X156" s="75"/>
      <c r="Y156" s="237"/>
      <c r="Z156" s="462"/>
      <c r="AA156" s="252"/>
      <c r="AB156" s="186" t="s">
        <v>36</v>
      </c>
      <c r="AC156" s="167"/>
      <c r="AD156" s="74"/>
      <c r="AE156" s="74"/>
      <c r="AF156" s="74"/>
      <c r="AG156" s="66"/>
      <c r="AH156" s="76"/>
      <c r="AI156" s="237"/>
      <c r="AJ156" s="221"/>
      <c r="AK156" s="75"/>
    </row>
    <row r="157" spans="1:37" ht="21" x14ac:dyDescent="0.4">
      <c r="A157" s="299" t="s">
        <v>6</v>
      </c>
      <c r="B157" s="218" t="str">
        <f t="shared" si="74"/>
        <v>RMC</v>
      </c>
      <c r="C157" s="5" t="s">
        <v>48</v>
      </c>
      <c r="D157" s="10"/>
      <c r="E157" s="116"/>
      <c r="F157" s="116"/>
      <c r="G157" s="116"/>
      <c r="H157" s="77"/>
      <c r="I157" s="163"/>
      <c r="J157" s="42"/>
      <c r="K157" s="39"/>
      <c r="L157" s="39"/>
      <c r="M157" s="40" t="str">
        <f>J157&amp;" hrs @ "&amp;K157</f>
        <v xml:space="preserve"> hrs @ </v>
      </c>
      <c r="N157" s="76"/>
      <c r="O157" s="237"/>
      <c r="P157" s="462"/>
      <c r="Q157" s="252"/>
      <c r="R157" s="187"/>
      <c r="S157" s="163"/>
      <c r="T157" s="42"/>
      <c r="U157" s="39"/>
      <c r="V157" s="39"/>
      <c r="W157" s="40" t="str">
        <f>T157&amp;" hrs @ "&amp;U157</f>
        <v xml:space="preserve"> hrs @ </v>
      </c>
      <c r="X157" s="75"/>
      <c r="Y157" s="237"/>
      <c r="Z157" s="462"/>
      <c r="AA157" s="252"/>
      <c r="AB157" s="187"/>
      <c r="AC157" s="163"/>
      <c r="AD157" s="42"/>
      <c r="AE157" s="39"/>
      <c r="AF157" s="39"/>
      <c r="AG157" s="40" t="str">
        <f>AD157&amp;" hrs @ "&amp;AE157</f>
        <v xml:space="preserve"> hrs @ </v>
      </c>
      <c r="AH157" s="76"/>
      <c r="AI157" s="237"/>
      <c r="AJ157" s="221">
        <f t="shared" ref="AJ157:AJ161" si="83">I157+S157+AC157</f>
        <v>0</v>
      </c>
      <c r="AK157" s="75"/>
    </row>
    <row r="158" spans="1:37" ht="21" x14ac:dyDescent="0.4">
      <c r="A158" s="299" t="s">
        <v>6</v>
      </c>
      <c r="B158" s="218" t="str">
        <f t="shared" si="74"/>
        <v>RMC</v>
      </c>
      <c r="C158" s="5" t="s">
        <v>48</v>
      </c>
      <c r="D158" s="10"/>
      <c r="E158" s="116"/>
      <c r="F158" s="116"/>
      <c r="G158" s="116"/>
      <c r="H158" s="77"/>
      <c r="I158" s="163"/>
      <c r="J158" s="42"/>
      <c r="K158" s="39"/>
      <c r="L158" s="39"/>
      <c r="M158" s="40" t="str">
        <f t="shared" ref="M158:M160" si="84">J158&amp;" hrs @ "&amp;K158</f>
        <v xml:space="preserve"> hrs @ </v>
      </c>
      <c r="N158" s="79"/>
      <c r="O158" s="238"/>
      <c r="P158" s="464"/>
      <c r="Q158" s="254"/>
      <c r="R158" s="187"/>
      <c r="S158" s="163"/>
      <c r="T158" s="42"/>
      <c r="U158" s="39"/>
      <c r="V158" s="39"/>
      <c r="W158" s="40" t="str">
        <f t="shared" ref="W158:W160" si="85">T158&amp;" hrs @ "&amp;U158</f>
        <v xml:space="preserve"> hrs @ </v>
      </c>
      <c r="X158" s="78"/>
      <c r="Y158" s="238"/>
      <c r="Z158" s="464"/>
      <c r="AA158" s="254"/>
      <c r="AB158" s="187"/>
      <c r="AC158" s="163"/>
      <c r="AD158" s="42"/>
      <c r="AE158" s="39"/>
      <c r="AF158" s="39"/>
      <c r="AG158" s="40" t="str">
        <f t="shared" ref="AG158:AG160" si="86">AD158&amp;" hrs @ "&amp;AE158</f>
        <v xml:space="preserve"> hrs @ </v>
      </c>
      <c r="AH158" s="79"/>
      <c r="AI158" s="238"/>
      <c r="AJ158" s="717">
        <f t="shared" si="83"/>
        <v>0</v>
      </c>
      <c r="AK158" s="78"/>
    </row>
    <row r="159" spans="1:37" ht="21" x14ac:dyDescent="0.4">
      <c r="A159" s="299" t="s">
        <v>6</v>
      </c>
      <c r="B159" s="218" t="str">
        <f t="shared" si="74"/>
        <v>RMC</v>
      </c>
      <c r="C159" s="5" t="s">
        <v>48</v>
      </c>
      <c r="D159" s="10"/>
      <c r="E159" s="116"/>
      <c r="F159" s="116"/>
      <c r="G159" s="116"/>
      <c r="H159" s="77"/>
      <c r="I159" s="168"/>
      <c r="J159" s="42"/>
      <c r="K159" s="39"/>
      <c r="L159" s="42"/>
      <c r="M159" s="40" t="str">
        <f t="shared" si="84"/>
        <v xml:space="preserve"> hrs @ </v>
      </c>
      <c r="N159" s="79"/>
      <c r="O159" s="238"/>
      <c r="P159" s="464"/>
      <c r="Q159" s="254"/>
      <c r="R159" s="187"/>
      <c r="S159" s="168"/>
      <c r="T159" s="42"/>
      <c r="U159" s="39"/>
      <c r="V159" s="42"/>
      <c r="W159" s="40" t="str">
        <f t="shared" si="85"/>
        <v xml:space="preserve"> hrs @ </v>
      </c>
      <c r="X159" s="78"/>
      <c r="Y159" s="238"/>
      <c r="Z159" s="464"/>
      <c r="AA159" s="254"/>
      <c r="AB159" s="187"/>
      <c r="AC159" s="168"/>
      <c r="AD159" s="42"/>
      <c r="AE159" s="39"/>
      <c r="AF159" s="42"/>
      <c r="AG159" s="40" t="str">
        <f t="shared" si="86"/>
        <v xml:space="preserve"> hrs @ </v>
      </c>
      <c r="AH159" s="79"/>
      <c r="AI159" s="238"/>
      <c r="AJ159" s="717">
        <f t="shared" si="83"/>
        <v>0</v>
      </c>
      <c r="AK159" s="78"/>
    </row>
    <row r="160" spans="1:37" ht="21" x14ac:dyDescent="0.4">
      <c r="A160" s="299" t="s">
        <v>6</v>
      </c>
      <c r="B160" s="218" t="str">
        <f t="shared" si="74"/>
        <v>RMC</v>
      </c>
      <c r="C160" s="5" t="s">
        <v>48</v>
      </c>
      <c r="D160" s="10"/>
      <c r="E160" s="116"/>
      <c r="F160" s="116"/>
      <c r="G160" s="116"/>
      <c r="H160" s="77"/>
      <c r="I160" s="164"/>
      <c r="J160" s="42"/>
      <c r="K160" s="39"/>
      <c r="L160" s="43"/>
      <c r="M160" s="40" t="str">
        <f t="shared" si="84"/>
        <v xml:space="preserve"> hrs @ </v>
      </c>
      <c r="N160" s="79"/>
      <c r="O160" s="238"/>
      <c r="P160" s="464"/>
      <c r="Q160" s="254"/>
      <c r="R160" s="187"/>
      <c r="S160" s="164"/>
      <c r="T160" s="42"/>
      <c r="U160" s="39"/>
      <c r="V160" s="43"/>
      <c r="W160" s="40" t="str">
        <f t="shared" si="85"/>
        <v xml:space="preserve"> hrs @ </v>
      </c>
      <c r="X160" s="78"/>
      <c r="Y160" s="238"/>
      <c r="Z160" s="464"/>
      <c r="AA160" s="254"/>
      <c r="AB160" s="187"/>
      <c r="AC160" s="164"/>
      <c r="AD160" s="42"/>
      <c r="AE160" s="39"/>
      <c r="AF160" s="43"/>
      <c r="AG160" s="40" t="str">
        <f t="shared" si="86"/>
        <v xml:space="preserve"> hrs @ </v>
      </c>
      <c r="AH160" s="79"/>
      <c r="AI160" s="238"/>
      <c r="AJ160" s="717">
        <f t="shared" si="83"/>
        <v>0</v>
      </c>
      <c r="AK160" s="78"/>
    </row>
    <row r="161" spans="1:37" ht="21" x14ac:dyDescent="0.4">
      <c r="A161" s="299" t="s">
        <v>6</v>
      </c>
      <c r="B161" s="218" t="str">
        <f t="shared" si="74"/>
        <v>RMCTotal Equipment</v>
      </c>
      <c r="C161" s="124" t="s">
        <v>50</v>
      </c>
      <c r="D161" s="10"/>
      <c r="E161" s="116">
        <f>I161</f>
        <v>0</v>
      </c>
      <c r="F161" s="116">
        <f>S161</f>
        <v>0</v>
      </c>
      <c r="G161" s="116">
        <f>AC161</f>
        <v>0</v>
      </c>
      <c r="H161" s="83" t="s">
        <v>37</v>
      </c>
      <c r="I161" s="165">
        <f>SUM(I157:I160)</f>
        <v>0</v>
      </c>
      <c r="J161" s="68"/>
      <c r="K161" s="68"/>
      <c r="L161" s="68"/>
      <c r="M161" s="66"/>
      <c r="N161" s="420">
        <f>I161</f>
        <v>0</v>
      </c>
      <c r="O161" s="233">
        <f>N161/N178</f>
        <v>0</v>
      </c>
      <c r="P161" s="464"/>
      <c r="Q161" s="254"/>
      <c r="R161" s="188" t="s">
        <v>37</v>
      </c>
      <c r="S161" s="165">
        <f>SUM(S157:S160)</f>
        <v>0</v>
      </c>
      <c r="T161" s="68"/>
      <c r="U161" s="68"/>
      <c r="V161" s="68"/>
      <c r="W161" s="66"/>
      <c r="X161" s="52">
        <f>S161</f>
        <v>0</v>
      </c>
      <c r="Y161" s="233">
        <f>X161/X178</f>
        <v>0</v>
      </c>
      <c r="Z161" s="464"/>
      <c r="AA161" s="254"/>
      <c r="AB161" s="188" t="s">
        <v>37</v>
      </c>
      <c r="AC161" s="165">
        <f>SUM(AC157:AC160)</f>
        <v>0</v>
      </c>
      <c r="AD161" s="68"/>
      <c r="AE161" s="68"/>
      <c r="AF161" s="68"/>
      <c r="AG161" s="66"/>
      <c r="AH161" s="420">
        <f>AC161</f>
        <v>0</v>
      </c>
      <c r="AI161" s="233" t="e">
        <f>AH161/AH178</f>
        <v>#DIV/0!</v>
      </c>
      <c r="AJ161" s="221">
        <f t="shared" si="83"/>
        <v>0</v>
      </c>
      <c r="AK161" s="52"/>
    </row>
    <row r="162" spans="1:37" ht="21" x14ac:dyDescent="0.4">
      <c r="A162" s="299" t="s">
        <v>6</v>
      </c>
      <c r="B162" s="218" t="str">
        <f t="shared" si="74"/>
        <v>RMC</v>
      </c>
      <c r="C162" s="5" t="s">
        <v>48</v>
      </c>
      <c r="D162" s="10"/>
      <c r="E162" s="116"/>
      <c r="F162" s="116"/>
      <c r="G162" s="116"/>
      <c r="H162" s="84"/>
      <c r="I162" s="166"/>
      <c r="J162" s="69"/>
      <c r="K162" s="69"/>
      <c r="L162" s="69"/>
      <c r="M162" s="70"/>
      <c r="N162" s="88"/>
      <c r="O162" s="241"/>
      <c r="P162" s="465"/>
      <c r="Q162" s="253"/>
      <c r="R162" s="189"/>
      <c r="S162" s="166"/>
      <c r="T162" s="69"/>
      <c r="U162" s="69"/>
      <c r="V162" s="69"/>
      <c r="W162" s="70"/>
      <c r="X162" s="87"/>
      <c r="Y162" s="241"/>
      <c r="Z162" s="465"/>
      <c r="AA162" s="253"/>
      <c r="AB162" s="189"/>
      <c r="AC162" s="166"/>
      <c r="AD162" s="69"/>
      <c r="AE162" s="69"/>
      <c r="AF162" s="69"/>
      <c r="AG162" s="70"/>
      <c r="AH162" s="88"/>
      <c r="AI162" s="241"/>
      <c r="AJ162" s="718"/>
      <c r="AK162" s="87"/>
    </row>
    <row r="163" spans="1:37" ht="21" x14ac:dyDescent="0.4">
      <c r="A163" s="299" t="s">
        <v>6</v>
      </c>
      <c r="B163" s="218" t="str">
        <f t="shared" si="74"/>
        <v>RMCIS SUPPORT</v>
      </c>
      <c r="C163" s="124" t="s">
        <v>50</v>
      </c>
      <c r="D163" s="10"/>
      <c r="E163" s="116"/>
      <c r="F163" s="116"/>
      <c r="G163" s="116"/>
      <c r="H163" s="61" t="s">
        <v>38</v>
      </c>
      <c r="I163" s="167"/>
      <c r="J163" s="74"/>
      <c r="K163" s="74"/>
      <c r="L163" s="74"/>
      <c r="M163" s="66"/>
      <c r="N163" s="91"/>
      <c r="O163" s="227"/>
      <c r="P163" s="466"/>
      <c r="Q163" s="252"/>
      <c r="R163" s="186" t="s">
        <v>38</v>
      </c>
      <c r="S163" s="167"/>
      <c r="T163" s="74"/>
      <c r="U163" s="74"/>
      <c r="V163" s="74"/>
      <c r="W163" s="66"/>
      <c r="X163" s="90"/>
      <c r="Y163" s="227"/>
      <c r="Z163" s="466"/>
      <c r="AA163" s="252"/>
      <c r="AB163" s="186" t="s">
        <v>38</v>
      </c>
      <c r="AC163" s="167"/>
      <c r="AD163" s="74"/>
      <c r="AE163" s="74"/>
      <c r="AF163" s="74"/>
      <c r="AG163" s="66"/>
      <c r="AH163" s="91"/>
      <c r="AI163" s="227"/>
      <c r="AJ163" s="719"/>
      <c r="AK163" s="90"/>
    </row>
    <row r="164" spans="1:37" ht="21" x14ac:dyDescent="0.4">
      <c r="A164" s="299" t="s">
        <v>6</v>
      </c>
      <c r="B164" s="218" t="str">
        <f t="shared" si="74"/>
        <v>RMC</v>
      </c>
      <c r="C164" s="5" t="s">
        <v>48</v>
      </c>
      <c r="D164" s="10"/>
      <c r="E164" s="116"/>
      <c r="F164" s="116"/>
      <c r="G164" s="116"/>
      <c r="H164" s="38"/>
      <c r="I164" s="162"/>
      <c r="J164" s="42"/>
      <c r="K164" s="39"/>
      <c r="L164" s="39"/>
      <c r="M164" s="40" t="str">
        <f>J164&amp;" hrs @ "&amp;K164</f>
        <v xml:space="preserve"> hrs @ </v>
      </c>
      <c r="N164" s="94"/>
      <c r="O164" s="242"/>
      <c r="P164" s="466"/>
      <c r="Q164" s="252"/>
      <c r="R164" s="184"/>
      <c r="S164" s="162"/>
      <c r="T164" s="42"/>
      <c r="U164" s="39"/>
      <c r="V164" s="39"/>
      <c r="W164" s="40" t="str">
        <f>T164&amp;" hrs @ "&amp;U164</f>
        <v xml:space="preserve"> hrs @ </v>
      </c>
      <c r="X164" s="93"/>
      <c r="Y164" s="242"/>
      <c r="Z164" s="466"/>
      <c r="AA164" s="252"/>
      <c r="AB164" s="184"/>
      <c r="AC164" s="162"/>
      <c r="AD164" s="42"/>
      <c r="AE164" s="39"/>
      <c r="AF164" s="39"/>
      <c r="AG164" s="40" t="str">
        <f>AD164&amp;" hrs @ "&amp;AE164</f>
        <v xml:space="preserve"> hrs @ </v>
      </c>
      <c r="AH164" s="94"/>
      <c r="AI164" s="242"/>
      <c r="AJ164" s="720">
        <f t="shared" ref="AJ164:AJ166" si="87">I164+S164+AC164</f>
        <v>0</v>
      </c>
      <c r="AK164" s="93"/>
    </row>
    <row r="165" spans="1:37" ht="21" x14ac:dyDescent="0.4">
      <c r="A165" s="299" t="s">
        <v>6</v>
      </c>
      <c r="B165" s="218" t="str">
        <f t="shared" si="74"/>
        <v>RMCAnalyst Benefits</v>
      </c>
      <c r="C165" s="5" t="s">
        <v>48</v>
      </c>
      <c r="D165" s="10"/>
      <c r="E165" s="116"/>
      <c r="F165" s="116"/>
      <c r="G165" s="116"/>
      <c r="H165" s="38" t="s">
        <v>40</v>
      </c>
      <c r="I165" s="159">
        <f>I164*$O$2</f>
        <v>0</v>
      </c>
      <c r="J165" s="42"/>
      <c r="K165" s="39"/>
      <c r="L165" s="156"/>
      <c r="M165" s="45" t="str">
        <f>"@ "&amp;$O$2*100&amp;" %"</f>
        <v>@ 98.59 %</v>
      </c>
      <c r="N165" s="94"/>
      <c r="O165" s="242"/>
      <c r="P165" s="466"/>
      <c r="Q165" s="252"/>
      <c r="R165" s="184" t="s">
        <v>40</v>
      </c>
      <c r="S165" s="159">
        <f>S164*$O$2</f>
        <v>0</v>
      </c>
      <c r="T165" s="42"/>
      <c r="U165" s="39"/>
      <c r="V165" s="156"/>
      <c r="W165" s="45" t="str">
        <f>"@ "&amp;$O$2*100&amp;" %"</f>
        <v>@ 98.59 %</v>
      </c>
      <c r="X165" s="93"/>
      <c r="Y165" s="242"/>
      <c r="Z165" s="466"/>
      <c r="AA165" s="252"/>
      <c r="AB165" s="184" t="s">
        <v>40</v>
      </c>
      <c r="AC165" s="159">
        <f>AC164*$O$2</f>
        <v>0</v>
      </c>
      <c r="AD165" s="42"/>
      <c r="AE165" s="39"/>
      <c r="AF165" s="156"/>
      <c r="AG165" s="45" t="str">
        <f>"@ "&amp;$O$2*100&amp;" %"</f>
        <v>@ 98.59 %</v>
      </c>
      <c r="AH165" s="94"/>
      <c r="AI165" s="242"/>
      <c r="AJ165" s="720">
        <f t="shared" si="87"/>
        <v>0</v>
      </c>
      <c r="AK165" s="93"/>
    </row>
    <row r="166" spans="1:37" ht="21" x14ac:dyDescent="0.4">
      <c r="A166" s="299" t="s">
        <v>6</v>
      </c>
      <c r="B166" s="218" t="str">
        <f t="shared" si="74"/>
        <v>RMCTotal IS</v>
      </c>
      <c r="C166" s="124" t="s">
        <v>50</v>
      </c>
      <c r="D166" s="10"/>
      <c r="E166" s="116">
        <f>I166</f>
        <v>0</v>
      </c>
      <c r="F166" s="116">
        <f>S166</f>
        <v>0</v>
      </c>
      <c r="G166" s="116">
        <f>AC166</f>
        <v>0</v>
      </c>
      <c r="H166" s="49" t="s">
        <v>41</v>
      </c>
      <c r="I166" s="165">
        <f>I164+I165</f>
        <v>0</v>
      </c>
      <c r="J166" s="68"/>
      <c r="K166" s="68"/>
      <c r="L166" s="68"/>
      <c r="M166" s="66"/>
      <c r="N166" s="420">
        <f>I166</f>
        <v>0</v>
      </c>
      <c r="O166" s="233">
        <f>N166/N178</f>
        <v>0</v>
      </c>
      <c r="P166" s="466"/>
      <c r="Q166" s="252"/>
      <c r="R166" s="185" t="s">
        <v>41</v>
      </c>
      <c r="S166" s="165">
        <f>S164+S165</f>
        <v>0</v>
      </c>
      <c r="T166" s="68"/>
      <c r="U166" s="68"/>
      <c r="V166" s="68"/>
      <c r="W166" s="66"/>
      <c r="X166" s="52">
        <f>S166</f>
        <v>0</v>
      </c>
      <c r="Y166" s="233">
        <f>X166/X178</f>
        <v>0</v>
      </c>
      <c r="Z166" s="466"/>
      <c r="AA166" s="252"/>
      <c r="AB166" s="185" t="s">
        <v>41</v>
      </c>
      <c r="AC166" s="165">
        <f>AC164+AC165</f>
        <v>0</v>
      </c>
      <c r="AD166" s="68"/>
      <c r="AE166" s="68"/>
      <c r="AF166" s="68"/>
      <c r="AG166" s="66"/>
      <c r="AH166" s="420">
        <f>AC166</f>
        <v>0</v>
      </c>
      <c r="AI166" s="233" t="e">
        <f>AH166/AH178</f>
        <v>#DIV/0!</v>
      </c>
      <c r="AJ166" s="221">
        <f t="shared" si="87"/>
        <v>0</v>
      </c>
      <c r="AK166" s="52"/>
    </row>
    <row r="167" spans="1:37" ht="21" x14ac:dyDescent="0.4">
      <c r="A167" s="299" t="s">
        <v>6</v>
      </c>
      <c r="B167" s="218" t="str">
        <f t="shared" si="74"/>
        <v>RMC</v>
      </c>
      <c r="C167" s="5" t="s">
        <v>48</v>
      </c>
      <c r="D167" s="10"/>
      <c r="E167" s="116"/>
      <c r="F167" s="116"/>
      <c r="G167" s="116"/>
      <c r="H167" s="54"/>
      <c r="I167" s="166"/>
      <c r="J167" s="69"/>
      <c r="K167" s="69"/>
      <c r="L167" s="69"/>
      <c r="M167" s="70"/>
      <c r="N167" s="98"/>
      <c r="O167" s="243"/>
      <c r="P167" s="467"/>
      <c r="Q167" s="253"/>
      <c r="R167" s="179"/>
      <c r="S167" s="166"/>
      <c r="T167" s="69"/>
      <c r="U167" s="69"/>
      <c r="V167" s="69"/>
      <c r="W167" s="70"/>
      <c r="X167" s="97"/>
      <c r="Y167" s="243"/>
      <c r="Z167" s="467"/>
      <c r="AA167" s="253"/>
      <c r="AB167" s="179"/>
      <c r="AC167" s="166"/>
      <c r="AD167" s="69"/>
      <c r="AE167" s="69"/>
      <c r="AF167" s="69"/>
      <c r="AG167" s="70"/>
      <c r="AH167" s="98"/>
      <c r="AI167" s="243"/>
      <c r="AJ167" s="721"/>
      <c r="AK167" s="97"/>
    </row>
    <row r="168" spans="1:37" ht="21" x14ac:dyDescent="0.4">
      <c r="A168" s="299" t="s">
        <v>6</v>
      </c>
      <c r="B168" s="218" t="str">
        <f t="shared" si="74"/>
        <v>RMCOTHER</v>
      </c>
      <c r="C168" s="124" t="s">
        <v>50</v>
      </c>
      <c r="D168" s="10"/>
      <c r="E168" s="116"/>
      <c r="F168" s="116"/>
      <c r="G168" s="116"/>
      <c r="H168" s="61" t="s">
        <v>42</v>
      </c>
      <c r="I168" s="167"/>
      <c r="J168" s="74"/>
      <c r="K168" s="74"/>
      <c r="L168" s="74"/>
      <c r="M168" s="66"/>
      <c r="N168" s="91"/>
      <c r="O168" s="227"/>
      <c r="P168" s="466"/>
      <c r="Q168" s="252"/>
      <c r="R168" s="186" t="s">
        <v>42</v>
      </c>
      <c r="S168" s="167"/>
      <c r="T168" s="74"/>
      <c r="U168" s="74"/>
      <c r="V168" s="74"/>
      <c r="W168" s="66"/>
      <c r="X168" s="90"/>
      <c r="Y168" s="227"/>
      <c r="Z168" s="466"/>
      <c r="AA168" s="252"/>
      <c r="AB168" s="186" t="s">
        <v>42</v>
      </c>
      <c r="AC168" s="167"/>
      <c r="AD168" s="74"/>
      <c r="AE168" s="74"/>
      <c r="AF168" s="74"/>
      <c r="AG168" s="66" t="s">
        <v>324</v>
      </c>
      <c r="AH168" s="91"/>
      <c r="AI168" s="227"/>
      <c r="AJ168" s="719"/>
      <c r="AK168" s="90"/>
    </row>
    <row r="169" spans="1:37" ht="21" x14ac:dyDescent="0.4">
      <c r="A169" s="299" t="s">
        <v>6</v>
      </c>
      <c r="B169" s="218" t="str">
        <f t="shared" si="74"/>
        <v xml:space="preserve">RMCNon-Payroll </v>
      </c>
      <c r="C169" s="5" t="s">
        <v>48</v>
      </c>
      <c r="D169" s="10"/>
      <c r="E169" s="116"/>
      <c r="F169" s="116"/>
      <c r="G169" s="116"/>
      <c r="H169" s="38" t="s">
        <v>337</v>
      </c>
      <c r="I169" s="158">
        <f>ROUND(((I149+I154+I166)/VLOOKUP("RESOURCE MGMT CTRPayroll",'Base 2015 actual for Cost Cente'!$A:$F,6,FALSE))*VLOOKUP("RESOURCE MGMT CTRNon-Payroll",'Base 2015 actual for Cost Cente'!$A:$F,6,FALSE),0)</f>
        <v>13831</v>
      </c>
      <c r="J169" s="74"/>
      <c r="K169" s="74"/>
      <c r="L169" s="74"/>
      <c r="M169" s="734" t="s">
        <v>324</v>
      </c>
      <c r="N169" s="91"/>
      <c r="O169" s="227"/>
      <c r="P169" s="466"/>
      <c r="Q169" s="252"/>
      <c r="R169" s="38" t="s">
        <v>337</v>
      </c>
      <c r="S169" s="158">
        <f>ROUND(((S149+S154+S166)/VLOOKUP("RESOURCE MGMT CTRPayroll",'Base 2015 actual for Cost Cente'!$A:$F,6,FALSE))*VLOOKUP("RESOURCE MGMT CTRNon-Payroll",'Base 2015 actual for Cost Cente'!$A:$F,6,FALSE),0)</f>
        <v>1354</v>
      </c>
      <c r="T169" s="74"/>
      <c r="U169" s="74"/>
      <c r="V169" s="74"/>
      <c r="W169" s="734" t="s">
        <v>324</v>
      </c>
      <c r="X169" s="90"/>
      <c r="Y169" s="227"/>
      <c r="Z169" s="466"/>
      <c r="AA169" s="252"/>
      <c r="AB169" s="38" t="s">
        <v>337</v>
      </c>
      <c r="AC169" s="158">
        <f>ROUND(((AC149+AC154+AC166)/VLOOKUP("RESOURCE MGMT CTRPayroll",'Base 2015 actual for Cost Cente'!$A:$F,6,FALSE))*VLOOKUP("RESOURCE MGMT CTRNon-Payroll",'Base 2015 actual for Cost Cente'!$A:$F,6,FALSE),0)</f>
        <v>0</v>
      </c>
      <c r="AD169" s="74"/>
      <c r="AE169" s="74"/>
      <c r="AF169" s="74"/>
      <c r="AG169" s="734" t="s">
        <v>324</v>
      </c>
      <c r="AH169" s="91"/>
      <c r="AI169" s="227"/>
      <c r="AJ169" s="719">
        <f>I169+S169+AC169</f>
        <v>15185</v>
      </c>
      <c r="AK169" s="90"/>
    </row>
    <row r="170" spans="1:37" ht="21" x14ac:dyDescent="0.4">
      <c r="A170" s="299" t="s">
        <v>6</v>
      </c>
      <c r="B170" s="218" t="str">
        <f t="shared" si="74"/>
        <v>RMC</v>
      </c>
      <c r="C170" s="5" t="s">
        <v>48</v>
      </c>
      <c r="D170" s="10"/>
      <c r="E170" s="116"/>
      <c r="F170" s="116"/>
      <c r="G170" s="116"/>
      <c r="H170" s="38"/>
      <c r="I170" s="168"/>
      <c r="J170" s="42"/>
      <c r="K170" s="39"/>
      <c r="L170" s="42"/>
      <c r="M170" s="735"/>
      <c r="N170" s="91"/>
      <c r="O170" s="227"/>
      <c r="P170" s="466"/>
      <c r="Q170" s="252"/>
      <c r="R170" s="38"/>
      <c r="S170" s="168"/>
      <c r="T170" s="42"/>
      <c r="U170" s="39"/>
      <c r="V170" s="42"/>
      <c r="W170" s="735"/>
      <c r="X170" s="90"/>
      <c r="Y170" s="227"/>
      <c r="Z170" s="466"/>
      <c r="AA170" s="252"/>
      <c r="AB170" s="38"/>
      <c r="AC170" s="168"/>
      <c r="AD170" s="42"/>
      <c r="AE170" s="39"/>
      <c r="AF170" s="42"/>
      <c r="AG170" s="735"/>
      <c r="AH170" s="91"/>
      <c r="AI170" s="227"/>
      <c r="AJ170" s="719"/>
      <c r="AK170" s="90"/>
    </row>
    <row r="171" spans="1:37" ht="21" x14ac:dyDescent="0.4">
      <c r="A171" s="299" t="s">
        <v>6</v>
      </c>
      <c r="B171" s="218" t="str">
        <f t="shared" si="74"/>
        <v>RMC</v>
      </c>
      <c r="C171" s="5" t="s">
        <v>48</v>
      </c>
      <c r="D171" s="10"/>
      <c r="E171" s="116"/>
      <c r="F171" s="116"/>
      <c r="G171" s="116"/>
      <c r="H171" s="38"/>
      <c r="I171" s="168"/>
      <c r="J171" s="42"/>
      <c r="K171" s="39"/>
      <c r="L171" s="42"/>
      <c r="M171" s="66"/>
      <c r="N171" s="91"/>
      <c r="O171" s="227"/>
      <c r="P171" s="466"/>
      <c r="Q171" s="252"/>
      <c r="R171" s="184"/>
      <c r="S171" s="168"/>
      <c r="T171" s="42"/>
      <c r="U171" s="39"/>
      <c r="V171" s="42"/>
      <c r="W171" s="66"/>
      <c r="X171" s="90"/>
      <c r="Y171" s="227"/>
      <c r="Z171" s="466"/>
      <c r="AA171" s="252"/>
      <c r="AB171" s="184"/>
      <c r="AC171" s="168"/>
      <c r="AD171" s="42"/>
      <c r="AE171" s="39"/>
      <c r="AF171" s="42"/>
      <c r="AG171" s="66"/>
      <c r="AH171" s="91"/>
      <c r="AI171" s="227"/>
      <c r="AJ171" s="719"/>
      <c r="AK171" s="90"/>
    </row>
    <row r="172" spans="1:37" ht="21" x14ac:dyDescent="0.4">
      <c r="A172" s="299" t="s">
        <v>6</v>
      </c>
      <c r="B172" s="218" t="str">
        <f t="shared" si="74"/>
        <v>RMC</v>
      </c>
      <c r="C172" s="5" t="s">
        <v>48</v>
      </c>
      <c r="D172" s="10"/>
      <c r="E172" s="116"/>
      <c r="F172" s="116"/>
      <c r="G172" s="116"/>
      <c r="H172" s="38"/>
      <c r="I172" s="168"/>
      <c r="J172" s="42"/>
      <c r="K172" s="39"/>
      <c r="L172" s="42"/>
      <c r="M172" s="66"/>
      <c r="N172" s="91"/>
      <c r="O172" s="227"/>
      <c r="P172" s="466"/>
      <c r="Q172" s="252"/>
      <c r="R172" s="184"/>
      <c r="S172" s="168"/>
      <c r="T172" s="42"/>
      <c r="U172" s="39"/>
      <c r="V172" s="42"/>
      <c r="W172" s="66"/>
      <c r="X172" s="90"/>
      <c r="Y172" s="227"/>
      <c r="Z172" s="466"/>
      <c r="AA172" s="252"/>
      <c r="AB172" s="184"/>
      <c r="AC172" s="168"/>
      <c r="AD172" s="42"/>
      <c r="AE172" s="39"/>
      <c r="AF172" s="42"/>
      <c r="AG172" s="66"/>
      <c r="AH172" s="91"/>
      <c r="AI172" s="227"/>
      <c r="AJ172" s="719"/>
      <c r="AK172" s="90"/>
    </row>
    <row r="173" spans="1:37" ht="21" x14ac:dyDescent="0.4">
      <c r="A173" s="299" t="s">
        <v>6</v>
      </c>
      <c r="B173" s="218" t="str">
        <f t="shared" si="74"/>
        <v>RMC</v>
      </c>
      <c r="C173" s="5" t="s">
        <v>48</v>
      </c>
      <c r="D173" s="10"/>
      <c r="E173" s="116"/>
      <c r="F173" s="116"/>
      <c r="G173" s="116"/>
      <c r="H173" s="38"/>
      <c r="I173" s="168"/>
      <c r="J173" s="42"/>
      <c r="K173" s="39"/>
      <c r="L173" s="42"/>
      <c r="M173" s="66"/>
      <c r="N173" s="91"/>
      <c r="O173" s="227"/>
      <c r="P173" s="466"/>
      <c r="Q173" s="252"/>
      <c r="R173" s="184"/>
      <c r="S173" s="168"/>
      <c r="T173" s="42"/>
      <c r="U173" s="39"/>
      <c r="V173" s="42"/>
      <c r="W173" s="66"/>
      <c r="X173" s="90"/>
      <c r="Y173" s="227"/>
      <c r="Z173" s="466"/>
      <c r="AA173" s="252"/>
      <c r="AB173" s="184"/>
      <c r="AC173" s="168"/>
      <c r="AD173" s="42"/>
      <c r="AE173" s="39"/>
      <c r="AF173" s="42"/>
      <c r="AG173" s="66"/>
      <c r="AH173" s="91"/>
      <c r="AI173" s="227"/>
      <c r="AJ173" s="719"/>
      <c r="AK173" s="90"/>
    </row>
    <row r="174" spans="1:37" ht="21" x14ac:dyDescent="0.4">
      <c r="A174" s="299" t="s">
        <v>6</v>
      </c>
      <c r="B174" s="218" t="str">
        <f t="shared" si="74"/>
        <v>RMC</v>
      </c>
      <c r="C174" s="5" t="s">
        <v>48</v>
      </c>
      <c r="D174" s="10"/>
      <c r="E174" s="116"/>
      <c r="F174" s="116"/>
      <c r="G174" s="116"/>
      <c r="H174" s="38"/>
      <c r="I174" s="164"/>
      <c r="J174" s="67"/>
      <c r="K174" s="67"/>
      <c r="L174" s="67"/>
      <c r="M174" s="40" t="str">
        <f>J174&amp;" days @ "&amp;K174</f>
        <v xml:space="preserve"> days @ </v>
      </c>
      <c r="N174" s="94"/>
      <c r="O174" s="242"/>
      <c r="P174" s="466"/>
      <c r="Q174" s="252"/>
      <c r="R174" s="184"/>
      <c r="S174" s="164"/>
      <c r="T174" s="67"/>
      <c r="U174" s="67"/>
      <c r="V174" s="67"/>
      <c r="W174" s="40" t="str">
        <f>T174&amp;" days @ "&amp;U174</f>
        <v xml:space="preserve"> days @ </v>
      </c>
      <c r="X174" s="93"/>
      <c r="Y174" s="242"/>
      <c r="Z174" s="466"/>
      <c r="AA174" s="252"/>
      <c r="AB174" s="184"/>
      <c r="AC174" s="164"/>
      <c r="AD174" s="67"/>
      <c r="AE174" s="67"/>
      <c r="AF174" s="67"/>
      <c r="AG174" s="40" t="str">
        <f>AD174&amp;" days @ "&amp;AE174</f>
        <v xml:space="preserve"> days @ </v>
      </c>
      <c r="AH174" s="94"/>
      <c r="AI174" s="242"/>
      <c r="AJ174" s="720"/>
      <c r="AK174" s="93"/>
    </row>
    <row r="175" spans="1:37" ht="21" x14ac:dyDescent="0.4">
      <c r="A175" s="299" t="s">
        <v>6</v>
      </c>
      <c r="B175" s="218" t="str">
        <f t="shared" si="74"/>
        <v>RMCTotal Other</v>
      </c>
      <c r="C175" s="124" t="s">
        <v>50</v>
      </c>
      <c r="D175" s="10"/>
      <c r="E175" s="116">
        <f>I175</f>
        <v>13831</v>
      </c>
      <c r="F175" s="116">
        <f>S175</f>
        <v>1354</v>
      </c>
      <c r="G175" s="116">
        <f>AC175</f>
        <v>0</v>
      </c>
      <c r="H175" s="49" t="s">
        <v>45</v>
      </c>
      <c r="I175" s="165">
        <f>SUM(I169:I174)</f>
        <v>13831</v>
      </c>
      <c r="J175" s="68"/>
      <c r="K175" s="68"/>
      <c r="L175" s="68"/>
      <c r="M175" s="66"/>
      <c r="N175" s="414">
        <f>I175</f>
        <v>13831</v>
      </c>
      <c r="O175" s="233">
        <f>N175/N178</f>
        <v>4.2339489262951398E-2</v>
      </c>
      <c r="P175" s="466"/>
      <c r="Q175" s="165"/>
      <c r="R175" s="185" t="s">
        <v>45</v>
      </c>
      <c r="S175" s="165">
        <f>SUM(S169:S174)</f>
        <v>1354</v>
      </c>
      <c r="T175" s="68"/>
      <c r="U175" s="68"/>
      <c r="V175" s="68"/>
      <c r="W175" s="66"/>
      <c r="X175" s="165">
        <f>S175</f>
        <v>1354</v>
      </c>
      <c r="Y175" s="233">
        <f>X175/X178</f>
        <v>4.2347700785192927E-2</v>
      </c>
      <c r="Z175" s="466"/>
      <c r="AA175" s="165"/>
      <c r="AB175" s="185" t="s">
        <v>45</v>
      </c>
      <c r="AC175" s="165">
        <f>SUM(AC169:AC174)</f>
        <v>0</v>
      </c>
      <c r="AD175" s="68"/>
      <c r="AE175" s="68"/>
      <c r="AF175" s="68"/>
      <c r="AG175" s="66"/>
      <c r="AH175" s="414">
        <f>AC175</f>
        <v>0</v>
      </c>
      <c r="AI175" s="233" t="e">
        <f>AH175/AH178</f>
        <v>#DIV/0!</v>
      </c>
      <c r="AJ175" s="722">
        <f>I175+S175+AC175</f>
        <v>15185</v>
      </c>
      <c r="AK175" s="165"/>
    </row>
    <row r="176" spans="1:37" ht="21.6" thickBot="1" x14ac:dyDescent="0.45">
      <c r="A176" s="299" t="s">
        <v>6</v>
      </c>
      <c r="B176" s="218" t="str">
        <f t="shared" si="74"/>
        <v>RMC</v>
      </c>
      <c r="C176" s="5" t="s">
        <v>48</v>
      </c>
      <c r="D176" s="10"/>
      <c r="E176" s="116"/>
      <c r="F176" s="116"/>
      <c r="G176" s="116"/>
      <c r="H176" s="100"/>
      <c r="I176" s="178"/>
      <c r="J176" s="101"/>
      <c r="K176" s="101"/>
      <c r="L176" s="101"/>
      <c r="M176" s="102"/>
      <c r="N176" s="415"/>
      <c r="O176" s="178"/>
      <c r="P176" s="178"/>
      <c r="Q176" s="178"/>
      <c r="R176" s="178"/>
      <c r="S176" s="178"/>
      <c r="T176" s="101"/>
      <c r="U176" s="101"/>
      <c r="V176" s="101"/>
      <c r="W176" s="102"/>
      <c r="X176" s="178"/>
      <c r="Y176" s="178"/>
      <c r="Z176" s="178"/>
      <c r="AA176" s="178"/>
      <c r="AB176" s="178"/>
      <c r="AC176" s="178"/>
      <c r="AD176" s="101"/>
      <c r="AE176" s="101"/>
      <c r="AF176" s="101"/>
      <c r="AG176" s="102"/>
      <c r="AH176" s="415"/>
      <c r="AI176" s="178"/>
      <c r="AJ176" s="723"/>
      <c r="AK176" s="178"/>
    </row>
    <row r="177" spans="1:45" ht="21.6" thickTop="1" x14ac:dyDescent="0.4">
      <c r="A177" s="299" t="s">
        <v>6</v>
      </c>
      <c r="B177" s="218" t="str">
        <f t="shared" si="74"/>
        <v>RMCTOTALS</v>
      </c>
      <c r="C177" s="5" t="s">
        <v>48</v>
      </c>
      <c r="D177" s="10"/>
      <c r="E177" s="116"/>
      <c r="F177" s="116"/>
      <c r="G177" s="116"/>
      <c r="H177" s="61" t="s">
        <v>28</v>
      </c>
      <c r="I177" s="103"/>
      <c r="J177" s="103"/>
      <c r="K177" s="103"/>
      <c r="L177" s="103"/>
      <c r="M177" s="104"/>
      <c r="N177" s="91"/>
      <c r="O177" s="136"/>
      <c r="P177" s="466"/>
      <c r="Q177" s="252"/>
      <c r="R177" s="186" t="s">
        <v>28</v>
      </c>
      <c r="S177" s="103"/>
      <c r="T177" s="103"/>
      <c r="U177" s="103"/>
      <c r="V177" s="103"/>
      <c r="W177" s="104"/>
      <c r="X177" s="90"/>
      <c r="Y177" s="136"/>
      <c r="Z177" s="466"/>
      <c r="AA177" s="252"/>
      <c r="AB177" s="186" t="s">
        <v>28</v>
      </c>
      <c r="AC177" s="103"/>
      <c r="AD177" s="103"/>
      <c r="AE177" s="103"/>
      <c r="AF177" s="103"/>
      <c r="AG177" s="104"/>
      <c r="AH177" s="91"/>
      <c r="AI177" s="136"/>
      <c r="AJ177" s="719"/>
      <c r="AK177" s="90"/>
    </row>
    <row r="178" spans="1:45" ht="21" x14ac:dyDescent="0.4">
      <c r="A178" s="299" t="s">
        <v>6</v>
      </c>
      <c r="B178" s="218" t="str">
        <f t="shared" si="74"/>
        <v>RMCPER YEAR</v>
      </c>
      <c r="C178" s="124" t="s">
        <v>50</v>
      </c>
      <c r="D178" s="10"/>
      <c r="E178" s="116">
        <f>I178</f>
        <v>326669.03263999999</v>
      </c>
      <c r="F178" s="116">
        <f>S178</f>
        <v>31973.400560000002</v>
      </c>
      <c r="G178" s="116">
        <f>S178</f>
        <v>31973.400560000002</v>
      </c>
      <c r="H178" s="105" t="s">
        <v>46</v>
      </c>
      <c r="I178" s="106">
        <f>I149+I154+I161+I166+I175</f>
        <v>326669.03263999999</v>
      </c>
      <c r="J178" s="106"/>
      <c r="K178" s="106"/>
      <c r="L178" s="106"/>
      <c r="M178" s="107"/>
      <c r="N178" s="420">
        <f>SUM(N149:N176)</f>
        <v>326669.03263999999</v>
      </c>
      <c r="O178" s="233">
        <v>0</v>
      </c>
      <c r="P178" s="466"/>
      <c r="Q178" s="252"/>
      <c r="R178" s="190" t="s">
        <v>46</v>
      </c>
      <c r="S178" s="106">
        <f>S149+S154+S161+S166+S175</f>
        <v>31973.400560000002</v>
      </c>
      <c r="T178" s="106"/>
      <c r="U178" s="106"/>
      <c r="V178" s="106"/>
      <c r="W178" s="107"/>
      <c r="X178" s="52">
        <f>SUM(X149:X176)</f>
        <v>31973.400560000002</v>
      </c>
      <c r="Y178" s="233">
        <v>0</v>
      </c>
      <c r="Z178" s="466"/>
      <c r="AA178" s="252"/>
      <c r="AB178" s="190" t="s">
        <v>46</v>
      </c>
      <c r="AC178" s="106">
        <f>AC149+AC154+AC161+AC166+AC175</f>
        <v>0</v>
      </c>
      <c r="AD178" s="106"/>
      <c r="AE178" s="106"/>
      <c r="AF178" s="106"/>
      <c r="AG178" s="107"/>
      <c r="AH178" s="420">
        <f>SUM(AH149:AH176)</f>
        <v>0</v>
      </c>
      <c r="AI178" s="233" t="e">
        <f>SUM(AI149:AI176)</f>
        <v>#DIV/0!</v>
      </c>
      <c r="AJ178" s="221">
        <f t="shared" ref="AJ178:AJ182" si="88">I178+S178+AC178</f>
        <v>358642.43319999997</v>
      </c>
      <c r="AK178" s="52"/>
    </row>
    <row r="179" spans="1:45" ht="21" x14ac:dyDescent="0.4">
      <c r="A179" s="299" t="s">
        <v>6</v>
      </c>
      <c r="B179" s="218" t="str">
        <f t="shared" si="74"/>
        <v>RMCPER PAYMENT</v>
      </c>
      <c r="C179" s="124" t="s">
        <v>50</v>
      </c>
      <c r="D179" s="10"/>
      <c r="E179" s="116"/>
      <c r="F179" s="116"/>
      <c r="G179" s="116"/>
      <c r="H179" s="49" t="s">
        <v>47</v>
      </c>
      <c r="I179" s="108">
        <f>I178/I$6</f>
        <v>4.196628872100782E-2</v>
      </c>
      <c r="J179" s="108"/>
      <c r="K179" s="108"/>
      <c r="L179" s="108"/>
      <c r="M179" s="109"/>
      <c r="N179" s="98"/>
      <c r="O179" s="243"/>
      <c r="P179" s="467"/>
      <c r="Q179" s="253"/>
      <c r="R179" s="185" t="s">
        <v>47</v>
      </c>
      <c r="S179" s="108">
        <f>S178/S$6</f>
        <v>4.1970528664778177E-2</v>
      </c>
      <c r="T179" s="108"/>
      <c r="U179" s="108"/>
      <c r="V179" s="108"/>
      <c r="W179" s="109"/>
      <c r="X179" s="97"/>
      <c r="Y179" s="243"/>
      <c r="Z179" s="467"/>
      <c r="AA179" s="253"/>
      <c r="AB179" s="185" t="s">
        <v>47</v>
      </c>
      <c r="AC179" s="108">
        <f>AC178/AC$6</f>
        <v>0</v>
      </c>
      <c r="AD179" s="108"/>
      <c r="AE179" s="108"/>
      <c r="AF179" s="108"/>
      <c r="AG179" s="109"/>
      <c r="AH179" s="98"/>
      <c r="AI179" s="243"/>
      <c r="AJ179" s="721">
        <f t="shared" si="88"/>
        <v>8.3936817385785997E-2</v>
      </c>
      <c r="AK179" s="97"/>
    </row>
    <row r="180" spans="1:45" ht="15.6" x14ac:dyDescent="0.3">
      <c r="A180" s="299" t="s">
        <v>6</v>
      </c>
      <c r="B180" s="218"/>
      <c r="C180" s="220"/>
      <c r="D180" s="10"/>
      <c r="E180" s="10"/>
      <c r="F180" s="10"/>
      <c r="G180" s="10"/>
      <c r="H180" s="137" t="s">
        <v>585</v>
      </c>
      <c r="I180" s="659">
        <f>I149+I154</f>
        <v>312838.03263999999</v>
      </c>
      <c r="J180" s="108"/>
      <c r="K180" s="108"/>
      <c r="L180" s="108"/>
      <c r="M180" s="109"/>
      <c r="N180" s="656"/>
      <c r="O180" s="657"/>
      <c r="P180" s="92"/>
      <c r="Q180" s="37"/>
      <c r="R180" s="137" t="s">
        <v>585</v>
      </c>
      <c r="S180" s="659">
        <f>S149+S154</f>
        <v>30619.400560000002</v>
      </c>
      <c r="T180" s="108"/>
      <c r="U180" s="108"/>
      <c r="V180" s="108"/>
      <c r="W180" s="109"/>
      <c r="X180" s="658"/>
      <c r="Y180" s="657"/>
      <c r="Z180" s="92"/>
      <c r="AA180" s="37"/>
      <c r="AB180" s="137" t="s">
        <v>585</v>
      </c>
      <c r="AC180" s="659">
        <f>AC149+AC154</f>
        <v>0</v>
      </c>
      <c r="AD180" s="108"/>
      <c r="AE180" s="108"/>
      <c r="AF180" s="108"/>
      <c r="AG180" s="109"/>
      <c r="AH180" s="656"/>
      <c r="AI180" s="137"/>
      <c r="AJ180" s="717">
        <f t="shared" si="88"/>
        <v>343457.43319999997</v>
      </c>
      <c r="AK180" s="658"/>
    </row>
    <row r="181" spans="1:45" ht="15.6" x14ac:dyDescent="0.3">
      <c r="A181" s="299" t="s">
        <v>6</v>
      </c>
      <c r="B181" s="218"/>
      <c r="C181" s="220"/>
      <c r="D181" s="10"/>
      <c r="E181" s="10"/>
      <c r="F181" s="10"/>
      <c r="G181" s="10"/>
      <c r="H181" s="137" t="s">
        <v>586</v>
      </c>
      <c r="I181" s="659">
        <f>I175+I166+I161</f>
        <v>13831</v>
      </c>
      <c r="J181" s="108"/>
      <c r="K181" s="659"/>
      <c r="L181" s="108"/>
      <c r="M181" s="109"/>
      <c r="N181" s="656"/>
      <c r="O181" s="657"/>
      <c r="P181" s="92"/>
      <c r="Q181" s="37"/>
      <c r="R181" s="137" t="s">
        <v>586</v>
      </c>
      <c r="S181" s="659">
        <f>S175+S166+S161</f>
        <v>1354</v>
      </c>
      <c r="T181" s="108"/>
      <c r="U181" s="659"/>
      <c r="V181" s="108"/>
      <c r="W181" s="109"/>
      <c r="X181" s="658"/>
      <c r="Y181" s="657"/>
      <c r="Z181" s="92"/>
      <c r="AA181" s="37"/>
      <c r="AB181" s="137" t="s">
        <v>586</v>
      </c>
      <c r="AC181" s="659">
        <f>AC175+AC166+AC161</f>
        <v>0</v>
      </c>
      <c r="AD181" s="108"/>
      <c r="AE181" s="659"/>
      <c r="AF181" s="108"/>
      <c r="AG181" s="109"/>
      <c r="AH181" s="656"/>
      <c r="AI181" s="137"/>
      <c r="AJ181" s="717">
        <f t="shared" si="88"/>
        <v>15185</v>
      </c>
      <c r="AK181" s="658"/>
    </row>
    <row r="182" spans="1:45" ht="15.6" x14ac:dyDescent="0.3">
      <c r="A182" s="299" t="s">
        <v>6</v>
      </c>
      <c r="B182" s="218"/>
      <c r="C182" s="220"/>
      <c r="D182" s="10"/>
      <c r="E182" s="10"/>
      <c r="F182" s="10"/>
      <c r="G182" s="10"/>
      <c r="H182" s="137" t="s">
        <v>584</v>
      </c>
      <c r="I182" s="659">
        <f>I178</f>
        <v>326669.03263999999</v>
      </c>
      <c r="J182" s="108"/>
      <c r="K182" s="108"/>
      <c r="L182" s="108"/>
      <c r="M182" s="109"/>
      <c r="N182" s="656"/>
      <c r="O182" s="657"/>
      <c r="P182" s="92"/>
      <c r="Q182" s="37"/>
      <c r="R182" s="137" t="s">
        <v>584</v>
      </c>
      <c r="S182" s="659">
        <f>S178</f>
        <v>31973.400560000002</v>
      </c>
      <c r="T182" s="108"/>
      <c r="U182" s="108"/>
      <c r="V182" s="108"/>
      <c r="W182" s="109"/>
      <c r="X182" s="658"/>
      <c r="Y182" s="657"/>
      <c r="Z182" s="92"/>
      <c r="AA182" s="37"/>
      <c r="AB182" s="137" t="s">
        <v>584</v>
      </c>
      <c r="AC182" s="659">
        <f>AC178</f>
        <v>0</v>
      </c>
      <c r="AD182" s="108"/>
      <c r="AE182" s="108"/>
      <c r="AF182" s="108"/>
      <c r="AG182" s="109"/>
      <c r="AH182" s="656"/>
      <c r="AI182" s="137"/>
      <c r="AJ182" s="717">
        <f t="shared" si="88"/>
        <v>358642.43319999997</v>
      </c>
      <c r="AK182" s="658"/>
    </row>
    <row r="183" spans="1:45" ht="46.8" x14ac:dyDescent="0.3">
      <c r="A183" s="299" t="s">
        <v>52</v>
      </c>
      <c r="B183" s="218" t="str">
        <f t="shared" si="74"/>
        <v>CFSLABOR: NON-SUPERVISORY</v>
      </c>
      <c r="C183" s="12" t="s">
        <v>52</v>
      </c>
      <c r="D183" s="10" t="str">
        <f>'2015Summary METER to CASH (Base'!G22</f>
        <v>* field orders” (i.e., Turnons, turnoffs, DR inspections)</v>
      </c>
      <c r="E183" s="117">
        <f>N221</f>
        <v>5278553.4671258768</v>
      </c>
      <c r="F183" s="117">
        <f>X221</f>
        <v>516616.45907612337</v>
      </c>
      <c r="G183" s="117">
        <f>AC221</f>
        <v>0</v>
      </c>
      <c r="H183" s="182" t="s">
        <v>31</v>
      </c>
      <c r="I183" s="157"/>
      <c r="J183" s="118"/>
      <c r="K183" s="118"/>
      <c r="L183" s="118"/>
      <c r="M183" s="119"/>
      <c r="N183" s="121"/>
      <c r="O183" s="135"/>
      <c r="P183" s="456"/>
      <c r="Q183" s="248"/>
      <c r="R183" s="183" t="s">
        <v>31</v>
      </c>
      <c r="S183" s="157"/>
      <c r="T183" s="118"/>
      <c r="U183" s="118"/>
      <c r="V183" s="118"/>
      <c r="W183" s="119"/>
      <c r="X183" s="120"/>
      <c r="Y183" s="135"/>
      <c r="Z183" s="456"/>
      <c r="AA183" s="248"/>
      <c r="AB183" s="183" t="s">
        <v>31</v>
      </c>
      <c r="AC183" s="157"/>
      <c r="AD183" s="118"/>
      <c r="AE183" s="118"/>
      <c r="AF183" s="118"/>
      <c r="AG183" s="119"/>
      <c r="AH183" s="121"/>
      <c r="AI183" s="135"/>
      <c r="AJ183" s="713"/>
      <c r="AK183" s="120"/>
    </row>
    <row r="184" spans="1:45" ht="21" x14ac:dyDescent="0.4">
      <c r="A184" s="299" t="s">
        <v>52</v>
      </c>
      <c r="B184" s="218" t="str">
        <f t="shared" si="74"/>
        <v>CFSCustomer Field Services 2 &amp; 3</v>
      </c>
      <c r="C184" s="5" t="s">
        <v>48</v>
      </c>
      <c r="D184" s="10"/>
      <c r="E184" s="116"/>
      <c r="F184" s="116"/>
      <c r="G184" s="116"/>
      <c r="H184" s="184" t="s">
        <v>344</v>
      </c>
      <c r="I184" s="158">
        <f>J184*K184</f>
        <v>2091276.8714292066</v>
      </c>
      <c r="J184" s="42">
        <f>70972*(I6/($I$6+$S$6))</f>
        <v>64645.343784519522</v>
      </c>
      <c r="K184" s="39">
        <v>32.35</v>
      </c>
      <c r="L184" s="39"/>
      <c r="M184" s="40" t="str">
        <f>ROUND(J184,0)&amp;" hrs @ "&amp;K184</f>
        <v>64645 hrs @ 32.35</v>
      </c>
      <c r="N184" s="35"/>
      <c r="O184" s="136"/>
      <c r="P184" s="457"/>
      <c r="Q184" s="249"/>
      <c r="R184" s="184" t="s">
        <v>344</v>
      </c>
      <c r="S184" s="158">
        <f>T184*U184</f>
        <v>204667.32857079335</v>
      </c>
      <c r="T184" s="42">
        <f>70972*(S6/($I$6+$S$6))</f>
        <v>6326.6562154804742</v>
      </c>
      <c r="U184" s="39">
        <v>32.35</v>
      </c>
      <c r="V184" s="39"/>
      <c r="W184" s="40" t="str">
        <f>ROUND(T184,0)&amp;" hrs @ "&amp;U184</f>
        <v>6327 hrs @ 32.35</v>
      </c>
      <c r="X184" s="34"/>
      <c r="Y184" s="136"/>
      <c r="Z184" s="457"/>
      <c r="AA184" s="249"/>
      <c r="AB184" s="184" t="s">
        <v>344</v>
      </c>
      <c r="AC184" s="158">
        <f>AD184*AE184</f>
        <v>0</v>
      </c>
      <c r="AD184" s="42"/>
      <c r="AE184" s="39"/>
      <c r="AF184" s="39"/>
      <c r="AG184" s="40" t="str">
        <f>ROUND(AD184,0)&amp;" hrs @ "&amp;AE184</f>
        <v xml:space="preserve">0 hrs @ </v>
      </c>
      <c r="AH184" s="35"/>
      <c r="AI184" s="136"/>
      <c r="AJ184" s="714">
        <f t="shared" ref="AJ184:AJ190" si="89">I184+S184+AC184</f>
        <v>2295944.1999999997</v>
      </c>
      <c r="AK184" s="34"/>
    </row>
    <row r="185" spans="1:45" ht="21" x14ac:dyDescent="0.4">
      <c r="A185" s="299" t="s">
        <v>52</v>
      </c>
      <c r="B185" s="218" t="str">
        <f t="shared" si="74"/>
        <v>CFS</v>
      </c>
      <c r="C185" s="5" t="s">
        <v>48</v>
      </c>
      <c r="D185" s="10"/>
      <c r="E185" s="116"/>
      <c r="F185" s="116"/>
      <c r="G185" s="116"/>
      <c r="H185" s="38"/>
      <c r="I185" s="158">
        <f t="shared" ref="I185:I186" si="90">J185*K185</f>
        <v>0</v>
      </c>
      <c r="J185" s="42"/>
      <c r="K185" s="39"/>
      <c r="L185" s="42"/>
      <c r="M185" s="40" t="str">
        <f t="shared" ref="M185:M187" si="91">J185&amp;" hrs @ "&amp;K185</f>
        <v xml:space="preserve"> hrs @ </v>
      </c>
      <c r="N185" s="35"/>
      <c r="O185" s="136"/>
      <c r="P185" s="457"/>
      <c r="Q185" s="250"/>
      <c r="R185" s="184"/>
      <c r="S185" s="158">
        <f t="shared" ref="S185:S186" si="92">T185*U185</f>
        <v>0</v>
      </c>
      <c r="T185" s="42"/>
      <c r="U185" s="39"/>
      <c r="V185" s="42"/>
      <c r="W185" s="40" t="str">
        <f t="shared" ref="W185:W187" si="93">T185&amp;" hrs @ "&amp;U185</f>
        <v xml:space="preserve"> hrs @ </v>
      </c>
      <c r="X185" s="34"/>
      <c r="Y185" s="136"/>
      <c r="Z185" s="457"/>
      <c r="AA185" s="250"/>
      <c r="AB185" s="184"/>
      <c r="AC185" s="158">
        <f t="shared" ref="AC185:AC187" si="94">AD185*AE185</f>
        <v>0</v>
      </c>
      <c r="AD185" s="42"/>
      <c r="AE185" s="39"/>
      <c r="AF185" s="42"/>
      <c r="AG185" s="40" t="str">
        <f t="shared" ref="AG185:AG187" si="95">AD185&amp;" hrs @ "&amp;AE185</f>
        <v xml:space="preserve"> hrs @ </v>
      </c>
      <c r="AH185" s="35"/>
      <c r="AI185" s="136"/>
      <c r="AJ185" s="714">
        <f t="shared" si="89"/>
        <v>0</v>
      </c>
      <c r="AK185" s="34"/>
    </row>
    <row r="186" spans="1:45" ht="21" x14ac:dyDescent="0.4">
      <c r="A186" s="299" t="s">
        <v>52</v>
      </c>
      <c r="B186" s="218" t="str">
        <f t="shared" si="74"/>
        <v>CFS</v>
      </c>
      <c r="C186" s="5" t="s">
        <v>48</v>
      </c>
      <c r="D186" s="10"/>
      <c r="E186" s="116"/>
      <c r="F186" s="116"/>
      <c r="G186" s="116"/>
      <c r="H186" s="38"/>
      <c r="I186" s="158">
        <f t="shared" si="90"/>
        <v>0</v>
      </c>
      <c r="J186" s="42"/>
      <c r="K186" s="39"/>
      <c r="L186" s="42"/>
      <c r="M186" s="40" t="str">
        <f t="shared" si="91"/>
        <v xml:space="preserve"> hrs @ </v>
      </c>
      <c r="N186" s="35"/>
      <c r="O186" s="136"/>
      <c r="P186" s="457"/>
      <c r="Q186" s="249"/>
      <c r="R186" s="184"/>
      <c r="S186" s="158">
        <f t="shared" si="92"/>
        <v>0</v>
      </c>
      <c r="T186" s="42"/>
      <c r="U186" s="39"/>
      <c r="V186" s="42"/>
      <c r="W186" s="40" t="str">
        <f t="shared" si="93"/>
        <v xml:space="preserve"> hrs @ </v>
      </c>
      <c r="X186" s="34"/>
      <c r="Y186" s="136"/>
      <c r="Z186" s="457"/>
      <c r="AA186" s="249"/>
      <c r="AB186" s="184"/>
      <c r="AC186" s="158">
        <f t="shared" si="94"/>
        <v>0</v>
      </c>
      <c r="AD186" s="42"/>
      <c r="AE186" s="39"/>
      <c r="AF186" s="42"/>
      <c r="AG186" s="40" t="str">
        <f t="shared" si="95"/>
        <v xml:space="preserve"> hrs @ </v>
      </c>
      <c r="AH186" s="35"/>
      <c r="AI186" s="136"/>
      <c r="AJ186" s="714">
        <f t="shared" si="89"/>
        <v>0</v>
      </c>
      <c r="AK186" s="34"/>
    </row>
    <row r="187" spans="1:45" ht="21" x14ac:dyDescent="0.4">
      <c r="A187" s="299" t="s">
        <v>52</v>
      </c>
      <c r="B187" s="218" t="str">
        <f t="shared" si="74"/>
        <v>CFS</v>
      </c>
      <c r="C187" s="5" t="s">
        <v>48</v>
      </c>
      <c r="D187" s="10"/>
      <c r="E187" s="116"/>
      <c r="F187" s="116"/>
      <c r="G187" s="116"/>
      <c r="H187" s="179"/>
      <c r="I187" s="173">
        <f>J187*K187*L187</f>
        <v>0</v>
      </c>
      <c r="J187" s="174"/>
      <c r="K187" s="175"/>
      <c r="L187" s="181"/>
      <c r="M187" s="176" t="str">
        <f t="shared" si="91"/>
        <v xml:space="preserve"> hrs @ </v>
      </c>
      <c r="N187" s="35"/>
      <c r="O187" s="136"/>
      <c r="P187" s="457"/>
      <c r="Q187" s="251"/>
      <c r="R187" s="179"/>
      <c r="S187" s="173">
        <f>T187*U187*V187</f>
        <v>0</v>
      </c>
      <c r="T187" s="174"/>
      <c r="U187" s="175"/>
      <c r="V187" s="181"/>
      <c r="W187" s="176" t="str">
        <f t="shared" si="93"/>
        <v xml:space="preserve"> hrs @ </v>
      </c>
      <c r="X187" s="34"/>
      <c r="Y187" s="136"/>
      <c r="Z187" s="457"/>
      <c r="AA187" s="251"/>
      <c r="AB187" s="179"/>
      <c r="AC187" s="173">
        <f t="shared" si="94"/>
        <v>0</v>
      </c>
      <c r="AD187" s="174"/>
      <c r="AE187" s="175"/>
      <c r="AF187" s="181"/>
      <c r="AG187" s="176" t="str">
        <f t="shared" si="95"/>
        <v xml:space="preserve"> hrs @ </v>
      </c>
      <c r="AH187" s="35"/>
      <c r="AI187" s="136"/>
      <c r="AJ187" s="714">
        <f t="shared" si="89"/>
        <v>0</v>
      </c>
      <c r="AK187" s="34"/>
    </row>
    <row r="188" spans="1:45" ht="21" x14ac:dyDescent="0.4">
      <c r="A188" s="299" t="s">
        <v>52</v>
      </c>
      <c r="B188" s="218" t="str">
        <f t="shared" si="74"/>
        <v>CFSTotal Wages</v>
      </c>
      <c r="C188" s="5" t="s">
        <v>48</v>
      </c>
      <c r="D188" s="10"/>
      <c r="E188" s="116"/>
      <c r="F188" s="116"/>
      <c r="G188" s="116"/>
      <c r="H188" s="38" t="s">
        <v>32</v>
      </c>
      <c r="I188" s="158">
        <f>SUM(I184:I187)</f>
        <v>2091276.8714292066</v>
      </c>
      <c r="J188" s="42"/>
      <c r="K188" s="39"/>
      <c r="L188" s="39"/>
      <c r="M188" s="40"/>
      <c r="N188" s="35"/>
      <c r="O188" s="136"/>
      <c r="P188" s="457"/>
      <c r="Q188" s="249"/>
      <c r="R188" s="184" t="s">
        <v>32</v>
      </c>
      <c r="S188" s="158">
        <f>SUM(S184:S187)</f>
        <v>204667.32857079335</v>
      </c>
      <c r="T188" s="42"/>
      <c r="U188" s="39"/>
      <c r="V188" s="39"/>
      <c r="W188" s="40"/>
      <c r="X188" s="34"/>
      <c r="Y188" s="136"/>
      <c r="Z188" s="457"/>
      <c r="AA188" s="249"/>
      <c r="AB188" s="184" t="s">
        <v>32</v>
      </c>
      <c r="AC188" s="158">
        <f>SUM(AC184:AC187)</f>
        <v>0</v>
      </c>
      <c r="AD188" s="42"/>
      <c r="AE188" s="39"/>
      <c r="AF188" s="39"/>
      <c r="AG188" s="40"/>
      <c r="AH188" s="35"/>
      <c r="AI188" s="136"/>
      <c r="AJ188" s="714">
        <f t="shared" si="89"/>
        <v>2295944.1999999997</v>
      </c>
      <c r="AK188" s="34"/>
    </row>
    <row r="189" spans="1:45" ht="21" x14ac:dyDescent="0.4">
      <c r="A189" s="299" t="s">
        <v>52</v>
      </c>
      <c r="B189" s="218" t="str">
        <f t="shared" si="74"/>
        <v>CFSBenefits</v>
      </c>
      <c r="C189" s="5" t="s">
        <v>48</v>
      </c>
      <c r="D189" s="10"/>
      <c r="E189" s="116"/>
      <c r="F189" s="116"/>
      <c r="G189" s="116"/>
      <c r="H189" s="38" t="s">
        <v>33</v>
      </c>
      <c r="I189" s="159">
        <f>I188*$O$2</f>
        <v>2061789.8675420547</v>
      </c>
      <c r="J189" s="42"/>
      <c r="K189" s="39"/>
      <c r="M189" s="45" t="str">
        <f>"@ "&amp;$O$2*100&amp;" %"</f>
        <v>@ 98.59 %</v>
      </c>
      <c r="N189" s="47"/>
      <c r="O189" s="432"/>
      <c r="P189" s="460"/>
      <c r="Q189" s="249"/>
      <c r="R189" s="184" t="s">
        <v>33</v>
      </c>
      <c r="S189" s="159">
        <f>S188*$O$2</f>
        <v>201781.51923794518</v>
      </c>
      <c r="T189" s="42"/>
      <c r="U189" s="39"/>
      <c r="W189" s="45" t="str">
        <f>"@ "&amp;$O$2*100&amp;" %"</f>
        <v>@ 98.59 %</v>
      </c>
      <c r="X189" s="46"/>
      <c r="Y189" s="432"/>
      <c r="Z189" s="460"/>
      <c r="AA189" s="249"/>
      <c r="AB189" s="184" t="s">
        <v>33</v>
      </c>
      <c r="AC189" s="159">
        <f>AC188*$O$2</f>
        <v>0</v>
      </c>
      <c r="AD189" s="42"/>
      <c r="AE189" s="39"/>
      <c r="AG189" s="45" t="str">
        <f>"@ "&amp;$O$2*100&amp;" %"</f>
        <v>@ 98.59 %</v>
      </c>
      <c r="AH189" s="47"/>
      <c r="AI189" s="432"/>
      <c r="AJ189" s="716">
        <f t="shared" si="89"/>
        <v>2263571.3867799998</v>
      </c>
      <c r="AK189" s="46"/>
    </row>
    <row r="190" spans="1:45" ht="21" x14ac:dyDescent="0.3">
      <c r="A190" s="299" t="s">
        <v>52</v>
      </c>
      <c r="B190" s="218" t="str">
        <f t="shared" si="74"/>
        <v>CFSTotal</v>
      </c>
      <c r="C190" s="125" t="s">
        <v>50</v>
      </c>
      <c r="D190" s="10"/>
      <c r="E190" s="116"/>
      <c r="F190" s="116"/>
      <c r="G190" s="116"/>
      <c r="H190" s="49" t="s">
        <v>34</v>
      </c>
      <c r="I190" s="160">
        <f>I188+I189</f>
        <v>4153066.7389712613</v>
      </c>
      <c r="J190" s="42"/>
      <c r="K190" s="39"/>
      <c r="L190" s="50"/>
      <c r="M190" s="51"/>
      <c r="N190" s="420">
        <f>I190</f>
        <v>4153066.7389712613</v>
      </c>
      <c r="O190" s="233">
        <f>N190/N221</f>
        <v>0.78678122043018117</v>
      </c>
      <c r="P190" s="461"/>
      <c r="Q190" s="252"/>
      <c r="R190" s="185" t="s">
        <v>34</v>
      </c>
      <c r="S190" s="160">
        <f>S188+S189</f>
        <v>406448.84780873853</v>
      </c>
      <c r="T190" s="42"/>
      <c r="U190" s="39"/>
      <c r="V190" s="50"/>
      <c r="W190" s="51"/>
      <c r="X190" s="52">
        <f>S190</f>
        <v>406448.84780873853</v>
      </c>
      <c r="Y190" s="233">
        <f>X190/X221</f>
        <v>0.78675164267046382</v>
      </c>
      <c r="Z190" s="461"/>
      <c r="AA190" s="252"/>
      <c r="AB190" s="185" t="s">
        <v>34</v>
      </c>
      <c r="AC190" s="160">
        <f>AC188+AC189</f>
        <v>0</v>
      </c>
      <c r="AD190" s="42"/>
      <c r="AE190" s="39"/>
      <c r="AF190" s="50"/>
      <c r="AG190" s="51"/>
      <c r="AH190" s="420">
        <f>AC190</f>
        <v>0</v>
      </c>
      <c r="AI190" s="233" t="e">
        <f>AH190/AH221</f>
        <v>#DIV/0!</v>
      </c>
      <c r="AJ190" s="221">
        <f t="shared" si="89"/>
        <v>4559515.5867799995</v>
      </c>
      <c r="AK190" s="52"/>
    </row>
    <row r="191" spans="1:45" ht="21" x14ac:dyDescent="0.4">
      <c r="A191" s="299" t="s">
        <v>52</v>
      </c>
      <c r="B191" s="218" t="str">
        <f t="shared" si="74"/>
        <v>CFS</v>
      </c>
      <c r="C191" s="5" t="s">
        <v>48</v>
      </c>
      <c r="D191" s="10"/>
      <c r="E191" s="116"/>
      <c r="F191" s="116"/>
      <c r="G191" s="116"/>
      <c r="H191" s="54"/>
      <c r="I191" s="166"/>
      <c r="J191" s="69"/>
      <c r="K191" s="69"/>
      <c r="L191" s="69"/>
      <c r="M191" s="70"/>
      <c r="N191" s="58"/>
      <c r="O191" s="231"/>
      <c r="P191" s="458"/>
      <c r="Q191" s="253"/>
      <c r="R191" s="179"/>
      <c r="S191" s="166"/>
      <c r="T191" s="69"/>
      <c r="U191" s="69"/>
      <c r="V191" s="69"/>
      <c r="W191" s="70"/>
      <c r="X191" s="57"/>
      <c r="Y191" s="231"/>
      <c r="Z191" s="458"/>
      <c r="AA191" s="253"/>
      <c r="AB191" s="179"/>
      <c r="AC191" s="166"/>
      <c r="AD191" s="69"/>
      <c r="AE191" s="69"/>
      <c r="AF191" s="69"/>
      <c r="AG191" s="70"/>
      <c r="AH191" s="58"/>
      <c r="AI191" s="231"/>
      <c r="AJ191" s="715"/>
      <c r="AK191" s="57"/>
    </row>
    <row r="192" spans="1:45" ht="21" x14ac:dyDescent="0.4">
      <c r="A192" s="299" t="s">
        <v>52</v>
      </c>
      <c r="B192" s="218" t="str">
        <f t="shared" si="74"/>
        <v>CFSLABOR: SUPERVISORY</v>
      </c>
      <c r="C192" s="124" t="s">
        <v>50</v>
      </c>
      <c r="D192" s="10"/>
      <c r="E192" s="116"/>
      <c r="F192" s="116"/>
      <c r="G192" s="116"/>
      <c r="H192" s="61" t="s">
        <v>35</v>
      </c>
      <c r="I192" s="167"/>
      <c r="J192" s="74"/>
      <c r="K192" s="74"/>
      <c r="L192" s="74"/>
      <c r="M192" s="66"/>
      <c r="N192" s="26"/>
      <c r="O192" s="234"/>
      <c r="P192" s="462"/>
      <c r="Q192" s="252"/>
      <c r="R192" s="186" t="s">
        <v>35</v>
      </c>
      <c r="S192" s="167"/>
      <c r="T192" s="74"/>
      <c r="U192" s="74"/>
      <c r="V192" s="74"/>
      <c r="W192" s="66"/>
      <c r="X192" s="64"/>
      <c r="Y192" s="234"/>
      <c r="Z192" s="462"/>
      <c r="AA192" s="252"/>
      <c r="AB192" s="186" t="s">
        <v>35</v>
      </c>
      <c r="AC192" s="167"/>
      <c r="AD192" s="74"/>
      <c r="AE192" s="74"/>
      <c r="AF192" s="74"/>
      <c r="AG192" s="66"/>
      <c r="AH192" s="26"/>
      <c r="AI192" s="234"/>
      <c r="AJ192" s="714"/>
      <c r="AK192" s="64"/>
      <c r="AO192" t="s">
        <v>389</v>
      </c>
      <c r="AQ192" t="s">
        <v>388</v>
      </c>
      <c r="AS192" t="s">
        <v>390</v>
      </c>
    </row>
    <row r="193" spans="1:48" ht="21" x14ac:dyDescent="0.4">
      <c r="A193" s="299" t="s">
        <v>52</v>
      </c>
      <c r="B193" s="218" t="str">
        <f t="shared" ref="B193" si="96">A193&amp;H193</f>
        <v>CFSManager (Grade 22)</v>
      </c>
      <c r="C193" s="124"/>
      <c r="D193" s="10"/>
      <c r="E193" s="116"/>
      <c r="F193" s="116"/>
      <c r="G193" s="116"/>
      <c r="H193" s="38" t="s">
        <v>352</v>
      </c>
      <c r="I193" s="158">
        <f t="shared" ref="I193" si="97">J193*K193</f>
        <v>25455</v>
      </c>
      <c r="J193" s="42">
        <f>AV193</f>
        <v>500</v>
      </c>
      <c r="K193" s="39">
        <v>50.91</v>
      </c>
      <c r="L193" s="43"/>
      <c r="M193" s="40" t="str">
        <f>ROUND(J193,0)&amp;" hrs @ "&amp;K193</f>
        <v>500 hrs @ 50.91</v>
      </c>
      <c r="N193" s="26"/>
      <c r="O193" s="234"/>
      <c r="P193" s="462"/>
      <c r="Q193" s="252"/>
      <c r="R193" s="184" t="s">
        <v>352</v>
      </c>
      <c r="S193" s="158">
        <f t="shared" ref="S193" si="98">T193*U193</f>
        <v>2500</v>
      </c>
      <c r="T193" s="42">
        <v>50</v>
      </c>
      <c r="U193" s="39">
        <f>AV195</f>
        <v>50</v>
      </c>
      <c r="V193" s="43"/>
      <c r="W193" s="40" t="str">
        <f>ROUND(T193,0)&amp;" hrs @ "&amp;U193</f>
        <v>50 hrs @ 50</v>
      </c>
      <c r="X193" s="64"/>
      <c r="Y193" s="234"/>
      <c r="Z193" s="462"/>
      <c r="AA193" s="252"/>
      <c r="AB193" s="184" t="s">
        <v>352</v>
      </c>
      <c r="AC193" s="158">
        <f t="shared" ref="AC193" si="99">AD193*AE193</f>
        <v>0</v>
      </c>
      <c r="AD193" s="42">
        <f>1800*((AD183/1800)/12)</f>
        <v>0</v>
      </c>
      <c r="AE193" s="39">
        <v>50.91</v>
      </c>
      <c r="AF193" s="43"/>
      <c r="AG193" s="40" t="str">
        <f>ROUND(AD193,0)&amp;" hrs @ "&amp;AE193</f>
        <v>0 hrs @ 50.91</v>
      </c>
      <c r="AH193" s="26"/>
      <c r="AI193" s="234"/>
      <c r="AJ193" s="714">
        <f t="shared" ref="AJ193:AJ197" si="100">I193+S193+AC193</f>
        <v>27955</v>
      </c>
      <c r="AK193" s="64"/>
      <c r="AO193">
        <v>10</v>
      </c>
      <c r="AP193">
        <v>1800</v>
      </c>
      <c r="AQ193">
        <f>AO193*AP193</f>
        <v>18000</v>
      </c>
      <c r="AS193">
        <f>AQ194/AQ193</f>
        <v>0.29928399900240521</v>
      </c>
      <c r="AT193">
        <v>1800</v>
      </c>
      <c r="AU193" s="485">
        <f>AS193*AT193</f>
        <v>538.71119820432932</v>
      </c>
      <c r="AV193">
        <v>500</v>
      </c>
    </row>
    <row r="194" spans="1:48" ht="21" x14ac:dyDescent="0.4">
      <c r="A194" s="299" t="s">
        <v>52</v>
      </c>
      <c r="B194" s="218" t="str">
        <f t="shared" si="74"/>
        <v>CFSGas Operations Supervisor (Grade 21)</v>
      </c>
      <c r="C194" s="5" t="s">
        <v>48</v>
      </c>
      <c r="D194" s="10"/>
      <c r="E194" s="116"/>
      <c r="F194" s="116"/>
      <c r="G194" s="116"/>
      <c r="H194" s="38" t="s">
        <v>351</v>
      </c>
      <c r="I194" s="158">
        <f t="shared" ref="I194" si="101">J194*K194</f>
        <v>243389.71934871603</v>
      </c>
      <c r="J194" s="42">
        <f>1800*((J184/1800)/12)</f>
        <v>5387.1119820432941</v>
      </c>
      <c r="K194" s="39">
        <v>45.18</v>
      </c>
      <c r="L194" s="43"/>
      <c r="M194" s="40" t="str">
        <f>ROUND(J194,0)&amp;" hrs @ "&amp;K194</f>
        <v>5387 hrs @ 45.18</v>
      </c>
      <c r="N194" s="26"/>
      <c r="O194" s="234"/>
      <c r="P194" s="462"/>
      <c r="Q194" s="249"/>
      <c r="R194" s="184" t="s">
        <v>351</v>
      </c>
      <c r="S194" s="158">
        <f t="shared" ref="S194" si="102">T194*U194</f>
        <v>23819.860651283983</v>
      </c>
      <c r="T194" s="42">
        <f>1800*((T184/1800)/12)</f>
        <v>527.22135129003948</v>
      </c>
      <c r="U194" s="39">
        <v>45.18</v>
      </c>
      <c r="V194" s="43"/>
      <c r="W194" s="40" t="str">
        <f>ROUND(T194,0)&amp;" hrs @ "&amp;U194</f>
        <v>527 hrs @ 45.18</v>
      </c>
      <c r="X194" s="64"/>
      <c r="Y194" s="234"/>
      <c r="Z194" s="462"/>
      <c r="AA194" s="249"/>
      <c r="AB194" s="184" t="s">
        <v>351</v>
      </c>
      <c r="AC194" s="158">
        <f t="shared" ref="AC194" si="103">AD194*AE194</f>
        <v>0</v>
      </c>
      <c r="AD194" s="42">
        <f>1800*((AD184/1800)/12)</f>
        <v>0</v>
      </c>
      <c r="AE194" s="39">
        <v>45.18</v>
      </c>
      <c r="AF194" s="43"/>
      <c r="AG194" s="40" t="str">
        <f>ROUND(AD194,0)&amp;" hrs @ "&amp;AE194</f>
        <v>0 hrs @ 45.18</v>
      </c>
      <c r="AH194" s="26"/>
      <c r="AI194" s="234"/>
      <c r="AJ194" s="714">
        <f t="shared" si="100"/>
        <v>267209.58</v>
      </c>
      <c r="AK194" s="64"/>
      <c r="AQ194" s="399">
        <f>J194</f>
        <v>5387.1119820432941</v>
      </c>
    </row>
    <row r="195" spans="1:48" ht="21" x14ac:dyDescent="0.4">
      <c r="A195" s="299" t="s">
        <v>52</v>
      </c>
      <c r="B195" s="218" t="str">
        <f t="shared" si="74"/>
        <v>CFS</v>
      </c>
      <c r="C195" s="5"/>
      <c r="D195" s="10"/>
      <c r="E195" s="116"/>
      <c r="F195" s="116"/>
      <c r="G195" s="116"/>
      <c r="H195" s="200"/>
      <c r="I195" s="163"/>
      <c r="J195" s="42"/>
      <c r="K195" s="39"/>
      <c r="L195" s="43"/>
      <c r="M195" s="40"/>
      <c r="N195" s="26"/>
      <c r="O195" s="234"/>
      <c r="P195" s="462"/>
      <c r="Q195" s="249"/>
      <c r="R195" s="201"/>
      <c r="S195" s="163"/>
      <c r="T195" s="42"/>
      <c r="U195" s="39"/>
      <c r="V195" s="43"/>
      <c r="W195" s="40"/>
      <c r="X195" s="64"/>
      <c r="Y195" s="234"/>
      <c r="Z195" s="462"/>
      <c r="AA195" s="249"/>
      <c r="AB195" s="201"/>
      <c r="AC195" s="163"/>
      <c r="AD195" s="42"/>
      <c r="AE195" s="39"/>
      <c r="AF195" s="43"/>
      <c r="AG195" s="40"/>
      <c r="AH195" s="26"/>
      <c r="AI195" s="234"/>
      <c r="AJ195" s="714">
        <f t="shared" si="100"/>
        <v>0</v>
      </c>
      <c r="AK195" s="64"/>
      <c r="AQ195">
        <v>537</v>
      </c>
      <c r="AS195">
        <f>AQ195/AQ193</f>
        <v>2.9833333333333333E-2</v>
      </c>
      <c r="AT195">
        <v>1800</v>
      </c>
      <c r="AU195" s="485">
        <f>AS195*AT195</f>
        <v>53.7</v>
      </c>
      <c r="AV195">
        <v>50</v>
      </c>
    </row>
    <row r="196" spans="1:48" ht="21" x14ac:dyDescent="0.4">
      <c r="A196" s="299" t="s">
        <v>52</v>
      </c>
      <c r="B196" s="218" t="str">
        <f t="shared" si="74"/>
        <v>CFSBenefits</v>
      </c>
      <c r="C196" s="5" t="s">
        <v>48</v>
      </c>
      <c r="D196" s="10"/>
      <c r="E196" s="116"/>
      <c r="F196" s="116"/>
      <c r="G196" s="116"/>
      <c r="H196" s="38" t="s">
        <v>33</v>
      </c>
      <c r="I196" s="159">
        <f>SUM(I193:I194)*$O$2</f>
        <v>265054.00880589912</v>
      </c>
      <c r="J196" s="42"/>
      <c r="K196" s="39"/>
      <c r="L196" s="156"/>
      <c r="M196" s="45" t="str">
        <f>"@ "&amp;$O$2*100&amp;" %"</f>
        <v>@ 98.59 %</v>
      </c>
      <c r="N196" s="26"/>
      <c r="O196" s="234"/>
      <c r="P196" s="462"/>
      <c r="Q196" s="249"/>
      <c r="R196" s="184" t="s">
        <v>33</v>
      </c>
      <c r="S196" s="159">
        <f>SUM(S193:S194)*$O$2</f>
        <v>25948.750616100879</v>
      </c>
      <c r="T196" s="42"/>
      <c r="U196" s="39"/>
      <c r="V196" s="156"/>
      <c r="W196" s="45" t="str">
        <f>"@ "&amp;$O$2*100&amp;" %"</f>
        <v>@ 98.59 %</v>
      </c>
      <c r="X196" s="64"/>
      <c r="Y196" s="234"/>
      <c r="Z196" s="462"/>
      <c r="AA196" s="249"/>
      <c r="AB196" s="184" t="s">
        <v>33</v>
      </c>
      <c r="AC196" s="159">
        <f>SUM(AC193:AC194)*$O$2</f>
        <v>0</v>
      </c>
      <c r="AD196" s="42"/>
      <c r="AE196" s="39"/>
      <c r="AF196" s="156"/>
      <c r="AG196" s="45" t="str">
        <f>"@ "&amp;$O$2*100&amp;" %"</f>
        <v>@ 98.59 %</v>
      </c>
      <c r="AH196" s="26"/>
      <c r="AI196" s="234"/>
      <c r="AJ196" s="714">
        <f t="shared" si="100"/>
        <v>291002.75942200003</v>
      </c>
      <c r="AK196" s="64"/>
    </row>
    <row r="197" spans="1:48" ht="21" x14ac:dyDescent="0.4">
      <c r="A197" s="299" t="s">
        <v>52</v>
      </c>
      <c r="B197" s="218" t="str">
        <f t="shared" si="74"/>
        <v>CFSTotal</v>
      </c>
      <c r="C197" s="124" t="s">
        <v>50</v>
      </c>
      <c r="D197" s="10"/>
      <c r="E197" s="116"/>
      <c r="F197" s="116"/>
      <c r="G197" s="116"/>
      <c r="H197" s="49" t="s">
        <v>34</v>
      </c>
      <c r="I197" s="165">
        <f>I193+I196+I194</f>
        <v>533898.72815461515</v>
      </c>
      <c r="J197" s="68"/>
      <c r="K197" s="68"/>
      <c r="L197" s="68"/>
      <c r="M197" s="63"/>
      <c r="N197" s="420">
        <f>I197</f>
        <v>533898.72815461515</v>
      </c>
      <c r="O197" s="233">
        <f>N197/N221</f>
        <v>0.1011448934788034</v>
      </c>
      <c r="P197" s="462"/>
      <c r="Q197" s="249"/>
      <c r="R197" s="185" t="s">
        <v>34</v>
      </c>
      <c r="S197" s="165">
        <f>S193+S196+S194</f>
        <v>52268.611267384862</v>
      </c>
      <c r="T197" s="68"/>
      <c r="U197" s="68"/>
      <c r="V197" s="68"/>
      <c r="W197" s="63"/>
      <c r="X197" s="52">
        <f>S197</f>
        <v>52268.611267384862</v>
      </c>
      <c r="Y197" s="233">
        <f>X197/X221</f>
        <v>0.10117488583476023</v>
      </c>
      <c r="Z197" s="462"/>
      <c r="AA197" s="249"/>
      <c r="AB197" s="185" t="s">
        <v>34</v>
      </c>
      <c r="AC197" s="165">
        <f>AC193+AC196+AC194</f>
        <v>0</v>
      </c>
      <c r="AD197" s="68"/>
      <c r="AE197" s="68"/>
      <c r="AF197" s="68"/>
      <c r="AG197" s="63"/>
      <c r="AH197" s="420">
        <f>AC197</f>
        <v>0</v>
      </c>
      <c r="AI197" s="233" t="e">
        <f>AH197/AH221</f>
        <v>#DIV/0!</v>
      </c>
      <c r="AJ197" s="221">
        <f t="shared" si="100"/>
        <v>586167.33942199999</v>
      </c>
      <c r="AK197" s="52"/>
    </row>
    <row r="198" spans="1:48" ht="21" x14ac:dyDescent="0.4">
      <c r="A198" s="299" t="s">
        <v>52</v>
      </c>
      <c r="B198" s="218" t="str">
        <f t="shared" si="74"/>
        <v>CFS</v>
      </c>
      <c r="C198" s="5" t="s">
        <v>48</v>
      </c>
      <c r="D198" s="10"/>
      <c r="E198" s="116"/>
      <c r="F198" s="116"/>
      <c r="G198" s="116"/>
      <c r="H198" s="54"/>
      <c r="I198" s="166"/>
      <c r="J198" s="69"/>
      <c r="K198" s="69"/>
      <c r="L198" s="69"/>
      <c r="M198" s="70"/>
      <c r="N198" s="72"/>
      <c r="O198" s="235"/>
      <c r="P198" s="463"/>
      <c r="Q198" s="253"/>
      <c r="R198" s="179"/>
      <c r="S198" s="166"/>
      <c r="T198" s="69"/>
      <c r="U198" s="69"/>
      <c r="V198" s="69"/>
      <c r="W198" s="70"/>
      <c r="X198" s="71"/>
      <c r="Y198" s="235"/>
      <c r="Z198" s="463"/>
      <c r="AA198" s="253"/>
      <c r="AB198" s="179"/>
      <c r="AC198" s="166"/>
      <c r="AD198" s="69"/>
      <c r="AE198" s="69"/>
      <c r="AF198" s="69"/>
      <c r="AG198" s="70"/>
      <c r="AH198" s="72"/>
      <c r="AI198" s="235"/>
      <c r="AJ198" s="715"/>
      <c r="AK198" s="71"/>
    </row>
    <row r="199" spans="1:48" ht="21" x14ac:dyDescent="0.4">
      <c r="A199" s="299" t="s">
        <v>52</v>
      </c>
      <c r="B199" s="218" t="str">
        <f t="shared" si="74"/>
        <v>CFSEQUIPMENT</v>
      </c>
      <c r="C199" s="124" t="s">
        <v>50</v>
      </c>
      <c r="D199" s="10"/>
      <c r="E199" s="116"/>
      <c r="F199" s="116"/>
      <c r="G199" s="116"/>
      <c r="H199" s="61" t="s">
        <v>36</v>
      </c>
      <c r="I199" s="167"/>
      <c r="J199" s="74"/>
      <c r="K199" s="74"/>
      <c r="L199" s="74"/>
      <c r="M199" s="66"/>
      <c r="N199" s="76"/>
      <c r="O199" s="237"/>
      <c r="P199" s="462"/>
      <c r="Q199" s="252"/>
      <c r="R199" s="186" t="s">
        <v>36</v>
      </c>
      <c r="S199" s="167"/>
      <c r="T199" s="74"/>
      <c r="U199" s="74"/>
      <c r="V199" s="74"/>
      <c r="W199" s="66"/>
      <c r="X199" s="75"/>
      <c r="Y199" s="237"/>
      <c r="Z199" s="462"/>
      <c r="AA199" s="252"/>
      <c r="AB199" s="186" t="s">
        <v>36</v>
      </c>
      <c r="AC199" s="167"/>
      <c r="AD199" s="74"/>
      <c r="AE199" s="74"/>
      <c r="AF199" s="74"/>
      <c r="AG199" s="66"/>
      <c r="AH199" s="76"/>
      <c r="AI199" s="237"/>
      <c r="AJ199" s="221"/>
      <c r="AK199" s="75"/>
    </row>
    <row r="200" spans="1:48" ht="21" x14ac:dyDescent="0.4">
      <c r="A200" s="299" t="s">
        <v>52</v>
      </c>
      <c r="B200" s="218" t="str">
        <f t="shared" si="74"/>
        <v>CFS</v>
      </c>
      <c r="C200" s="5" t="s">
        <v>48</v>
      </c>
      <c r="D200" s="10"/>
      <c r="E200" s="116"/>
      <c r="F200" s="116"/>
      <c r="G200" s="116"/>
      <c r="H200" s="77"/>
      <c r="I200" s="163"/>
      <c r="J200" s="42"/>
      <c r="K200" s="39"/>
      <c r="L200" s="39"/>
      <c r="M200" s="40" t="str">
        <f>J200&amp;" hrs @ "&amp;K200</f>
        <v xml:space="preserve"> hrs @ </v>
      </c>
      <c r="N200" s="76"/>
      <c r="O200" s="237"/>
      <c r="P200" s="462"/>
      <c r="Q200" s="252"/>
      <c r="R200" s="187"/>
      <c r="S200" s="163"/>
      <c r="T200" s="42"/>
      <c r="U200" s="39"/>
      <c r="V200" s="39"/>
      <c r="W200" s="40" t="str">
        <f>T200&amp;" hrs @ "&amp;U200</f>
        <v xml:space="preserve"> hrs @ </v>
      </c>
      <c r="X200" s="75"/>
      <c r="Y200" s="237"/>
      <c r="Z200" s="462"/>
      <c r="AA200" s="252"/>
      <c r="AB200" s="187"/>
      <c r="AC200" s="163"/>
      <c r="AD200" s="42"/>
      <c r="AE200" s="39"/>
      <c r="AF200" s="39"/>
      <c r="AG200" s="40" t="str">
        <f>AD200&amp;" hrs @ "&amp;AE200</f>
        <v xml:space="preserve"> hrs @ </v>
      </c>
      <c r="AH200" s="76"/>
      <c r="AI200" s="237"/>
      <c r="AJ200" s="221">
        <f t="shared" ref="AJ200:AJ204" si="104">I200+S200+AC200</f>
        <v>0</v>
      </c>
      <c r="AK200" s="75"/>
    </row>
    <row r="201" spans="1:48" ht="21" x14ac:dyDescent="0.4">
      <c r="A201" s="299" t="s">
        <v>52</v>
      </c>
      <c r="B201" s="218" t="str">
        <f t="shared" si="74"/>
        <v>CFS</v>
      </c>
      <c r="C201" s="5" t="s">
        <v>48</v>
      </c>
      <c r="D201" s="10"/>
      <c r="E201" s="116"/>
      <c r="F201" s="116"/>
      <c r="G201" s="116"/>
      <c r="H201" s="77"/>
      <c r="I201" s="163"/>
      <c r="J201" s="42"/>
      <c r="K201" s="39"/>
      <c r="L201" s="39"/>
      <c r="M201" s="40" t="str">
        <f t="shared" ref="M201:M203" si="105">J201&amp;" hrs @ "&amp;K201</f>
        <v xml:space="preserve"> hrs @ </v>
      </c>
      <c r="N201" s="79"/>
      <c r="O201" s="238"/>
      <c r="P201" s="464"/>
      <c r="Q201" s="254"/>
      <c r="R201" s="187"/>
      <c r="S201" s="163"/>
      <c r="T201" s="42"/>
      <c r="U201" s="39"/>
      <c r="V201" s="39"/>
      <c r="W201" s="40" t="str">
        <f t="shared" ref="W201:W203" si="106">T201&amp;" hrs @ "&amp;U201</f>
        <v xml:space="preserve"> hrs @ </v>
      </c>
      <c r="X201" s="78"/>
      <c r="Y201" s="238"/>
      <c r="Z201" s="464"/>
      <c r="AA201" s="254"/>
      <c r="AB201" s="187"/>
      <c r="AC201" s="163"/>
      <c r="AD201" s="42"/>
      <c r="AE201" s="39"/>
      <c r="AF201" s="39"/>
      <c r="AG201" s="40" t="str">
        <f t="shared" ref="AG201:AG203" si="107">AD201&amp;" hrs @ "&amp;AE201</f>
        <v xml:space="preserve"> hrs @ </v>
      </c>
      <c r="AH201" s="79"/>
      <c r="AI201" s="238"/>
      <c r="AJ201" s="717">
        <f t="shared" si="104"/>
        <v>0</v>
      </c>
      <c r="AK201" s="78"/>
    </row>
    <row r="202" spans="1:48" ht="21" x14ac:dyDescent="0.4">
      <c r="A202" s="299" t="s">
        <v>52</v>
      </c>
      <c r="B202" s="218" t="str">
        <f t="shared" si="74"/>
        <v>CFS</v>
      </c>
      <c r="C202" s="5" t="s">
        <v>48</v>
      </c>
      <c r="D202" s="10"/>
      <c r="E202" s="116"/>
      <c r="F202" s="116"/>
      <c r="G202" s="116"/>
      <c r="H202" s="77"/>
      <c r="I202" s="168"/>
      <c r="J202" s="42"/>
      <c r="K202" s="39"/>
      <c r="L202" s="42"/>
      <c r="M202" s="40" t="str">
        <f t="shared" si="105"/>
        <v xml:space="preserve"> hrs @ </v>
      </c>
      <c r="N202" s="79"/>
      <c r="O202" s="238"/>
      <c r="P202" s="464"/>
      <c r="Q202" s="254"/>
      <c r="R202" s="187"/>
      <c r="S202" s="168"/>
      <c r="T202" s="42"/>
      <c r="U202" s="39"/>
      <c r="V202" s="42"/>
      <c r="W202" s="40" t="str">
        <f t="shared" si="106"/>
        <v xml:space="preserve"> hrs @ </v>
      </c>
      <c r="X202" s="78"/>
      <c r="Y202" s="238"/>
      <c r="Z202" s="464"/>
      <c r="AA202" s="254"/>
      <c r="AB202" s="187"/>
      <c r="AC202" s="168"/>
      <c r="AD202" s="42"/>
      <c r="AE202" s="39"/>
      <c r="AF202" s="42"/>
      <c r="AG202" s="40" t="str">
        <f t="shared" si="107"/>
        <v xml:space="preserve"> hrs @ </v>
      </c>
      <c r="AH202" s="79"/>
      <c r="AI202" s="238"/>
      <c r="AJ202" s="717">
        <f t="shared" si="104"/>
        <v>0</v>
      </c>
      <c r="AK202" s="78"/>
    </row>
    <row r="203" spans="1:48" ht="21" x14ac:dyDescent="0.4">
      <c r="A203" s="299" t="s">
        <v>52</v>
      </c>
      <c r="B203" s="218" t="str">
        <f t="shared" si="74"/>
        <v>CFS</v>
      </c>
      <c r="C203" s="5" t="s">
        <v>48</v>
      </c>
      <c r="D203" s="10"/>
      <c r="E203" s="116"/>
      <c r="F203" s="116"/>
      <c r="G203" s="116"/>
      <c r="H203" s="77"/>
      <c r="I203" s="164"/>
      <c r="J203" s="42"/>
      <c r="K203" s="39"/>
      <c r="L203" s="43"/>
      <c r="M203" s="40" t="str">
        <f t="shared" si="105"/>
        <v xml:space="preserve"> hrs @ </v>
      </c>
      <c r="N203" s="79"/>
      <c r="O203" s="238"/>
      <c r="P203" s="464"/>
      <c r="Q203" s="254"/>
      <c r="R203" s="187"/>
      <c r="S203" s="164">
        <f>12*X$2</f>
        <v>0</v>
      </c>
      <c r="T203" s="42"/>
      <c r="U203" s="39"/>
      <c r="V203" s="43"/>
      <c r="W203" s="40" t="str">
        <f t="shared" si="106"/>
        <v xml:space="preserve"> hrs @ </v>
      </c>
      <c r="X203" s="78"/>
      <c r="Y203" s="238"/>
      <c r="Z203" s="464"/>
      <c r="AA203" s="254"/>
      <c r="AB203" s="187"/>
      <c r="AC203" s="164">
        <f>12*AH$2</f>
        <v>0</v>
      </c>
      <c r="AD203" s="42"/>
      <c r="AE203" s="39"/>
      <c r="AF203" s="43"/>
      <c r="AG203" s="40" t="str">
        <f t="shared" si="107"/>
        <v xml:space="preserve"> hrs @ </v>
      </c>
      <c r="AH203" s="79"/>
      <c r="AI203" s="238"/>
      <c r="AJ203" s="717">
        <f t="shared" si="104"/>
        <v>0</v>
      </c>
      <c r="AK203" s="78"/>
    </row>
    <row r="204" spans="1:48" ht="21" x14ac:dyDescent="0.4">
      <c r="A204" s="299" t="s">
        <v>52</v>
      </c>
      <c r="B204" s="218" t="str">
        <f t="shared" ref="B204:B262" si="108">A204&amp;H204</f>
        <v>CFSTotal Equipment</v>
      </c>
      <c r="C204" s="124" t="s">
        <v>50</v>
      </c>
      <c r="D204" s="10"/>
      <c r="E204" s="116">
        <f>I204</f>
        <v>0</v>
      </c>
      <c r="F204" s="116">
        <f>S204</f>
        <v>0</v>
      </c>
      <c r="G204" s="116">
        <f>AC204</f>
        <v>0</v>
      </c>
      <c r="H204" s="83" t="s">
        <v>37</v>
      </c>
      <c r="I204" s="165">
        <f>SUM(I200:I203)</f>
        <v>0</v>
      </c>
      <c r="J204" s="68"/>
      <c r="K204" s="68"/>
      <c r="L204" s="68"/>
      <c r="M204" s="66"/>
      <c r="N204" s="420">
        <f>I204</f>
        <v>0</v>
      </c>
      <c r="O204" s="233">
        <f>N204/N221</f>
        <v>0</v>
      </c>
      <c r="P204" s="464"/>
      <c r="Q204" s="254"/>
      <c r="R204" s="188" t="s">
        <v>37</v>
      </c>
      <c r="S204" s="165">
        <f>SUM(S200:S203)</f>
        <v>0</v>
      </c>
      <c r="T204" s="68"/>
      <c r="U204" s="68"/>
      <c r="V204" s="68"/>
      <c r="W204" s="66"/>
      <c r="X204" s="52">
        <f>S204</f>
        <v>0</v>
      </c>
      <c r="Y204" s="233">
        <f>X204/X221</f>
        <v>0</v>
      </c>
      <c r="Z204" s="464"/>
      <c r="AA204" s="254"/>
      <c r="AB204" s="188" t="s">
        <v>37</v>
      </c>
      <c r="AC204" s="165">
        <f>SUM(AC200:AC203)</f>
        <v>0</v>
      </c>
      <c r="AD204" s="68"/>
      <c r="AE204" s="68"/>
      <c r="AF204" s="68"/>
      <c r="AG204" s="66"/>
      <c r="AH204" s="420">
        <f>AC204</f>
        <v>0</v>
      </c>
      <c r="AI204" s="233" t="e">
        <f>AH204/AH221</f>
        <v>#DIV/0!</v>
      </c>
      <c r="AJ204" s="221">
        <f t="shared" si="104"/>
        <v>0</v>
      </c>
      <c r="AK204" s="52"/>
    </row>
    <row r="205" spans="1:48" ht="21" x14ac:dyDescent="0.4">
      <c r="A205" s="299" t="s">
        <v>52</v>
      </c>
      <c r="B205" s="218" t="str">
        <f t="shared" si="108"/>
        <v>CFS</v>
      </c>
      <c r="C205" s="5" t="s">
        <v>48</v>
      </c>
      <c r="D205" s="10"/>
      <c r="E205" s="116"/>
      <c r="F205" s="116"/>
      <c r="G205" s="116"/>
      <c r="H205" s="84"/>
      <c r="I205" s="166"/>
      <c r="J205" s="69"/>
      <c r="K205" s="69"/>
      <c r="L205" s="69"/>
      <c r="M205" s="70"/>
      <c r="N205" s="88"/>
      <c r="O205" s="241"/>
      <c r="P205" s="465"/>
      <c r="Q205" s="253"/>
      <c r="R205" s="189"/>
      <c r="S205" s="166"/>
      <c r="T205" s="69"/>
      <c r="U205" s="69"/>
      <c r="V205" s="69"/>
      <c r="W205" s="70"/>
      <c r="X205" s="87"/>
      <c r="Y205" s="241"/>
      <c r="Z205" s="465"/>
      <c r="AA205" s="253"/>
      <c r="AB205" s="189"/>
      <c r="AC205" s="166"/>
      <c r="AD205" s="69"/>
      <c r="AE205" s="69"/>
      <c r="AF205" s="69"/>
      <c r="AG205" s="70"/>
      <c r="AH205" s="88"/>
      <c r="AI205" s="241"/>
      <c r="AJ205" s="718"/>
      <c r="AK205" s="87"/>
    </row>
    <row r="206" spans="1:48" ht="21" x14ac:dyDescent="0.4">
      <c r="A206" s="299" t="s">
        <v>52</v>
      </c>
      <c r="B206" s="218" t="str">
        <f t="shared" si="108"/>
        <v>CFSIS SUPPORT</v>
      </c>
      <c r="C206" s="124" t="s">
        <v>50</v>
      </c>
      <c r="D206" s="10"/>
      <c r="E206" s="116"/>
      <c r="F206" s="116"/>
      <c r="G206" s="116"/>
      <c r="H206" s="61" t="s">
        <v>38</v>
      </c>
      <c r="I206" s="167"/>
      <c r="J206" s="74"/>
      <c r="K206" s="74"/>
      <c r="L206" s="74"/>
      <c r="M206" s="66"/>
      <c r="N206" s="91"/>
      <c r="O206" s="227"/>
      <c r="P206" s="466"/>
      <c r="Q206" s="252"/>
      <c r="R206" s="186" t="s">
        <v>38</v>
      </c>
      <c r="S206" s="167"/>
      <c r="T206" s="74"/>
      <c r="U206" s="74"/>
      <c r="V206" s="74"/>
      <c r="W206" s="66"/>
      <c r="X206" s="90"/>
      <c r="Y206" s="227"/>
      <c r="Z206" s="466"/>
      <c r="AA206" s="252"/>
      <c r="AB206" s="186" t="s">
        <v>38</v>
      </c>
      <c r="AC206" s="167"/>
      <c r="AD206" s="74"/>
      <c r="AE206" s="74"/>
      <c r="AF206" s="74"/>
      <c r="AG206" s="66"/>
      <c r="AH206" s="91"/>
      <c r="AI206" s="227"/>
      <c r="AJ206" s="719"/>
      <c r="AK206" s="90"/>
    </row>
    <row r="207" spans="1:48" ht="21" x14ac:dyDescent="0.4">
      <c r="A207" s="299" t="s">
        <v>52</v>
      </c>
      <c r="B207" s="218" t="str">
        <f t="shared" si="108"/>
        <v>CFS</v>
      </c>
      <c r="C207" s="5" t="s">
        <v>48</v>
      </c>
      <c r="D207" s="10"/>
      <c r="E207" s="116"/>
      <c r="F207" s="116"/>
      <c r="G207" s="116"/>
      <c r="H207" s="38"/>
      <c r="I207" s="162"/>
      <c r="J207" s="42"/>
      <c r="K207" s="39"/>
      <c r="L207" s="39"/>
      <c r="M207" s="40" t="str">
        <f>J207&amp;" hrs @ "&amp;K207</f>
        <v xml:space="preserve"> hrs @ </v>
      </c>
      <c r="N207" s="94"/>
      <c r="O207" s="242"/>
      <c r="P207" s="466"/>
      <c r="Q207" s="252"/>
      <c r="R207" s="184"/>
      <c r="S207" s="162">
        <f>T207*U207</f>
        <v>0</v>
      </c>
      <c r="T207" s="42"/>
      <c r="U207" s="39"/>
      <c r="V207" s="39"/>
      <c r="W207" s="40" t="str">
        <f>T207&amp;" hrs @ "&amp;U207</f>
        <v xml:space="preserve"> hrs @ </v>
      </c>
      <c r="X207" s="93"/>
      <c r="Y207" s="242"/>
      <c r="Z207" s="466"/>
      <c r="AA207" s="252"/>
      <c r="AB207" s="184"/>
      <c r="AC207" s="162">
        <f>AD207*AE207</f>
        <v>0</v>
      </c>
      <c r="AD207" s="42"/>
      <c r="AE207" s="39"/>
      <c r="AF207" s="39"/>
      <c r="AG207" s="40" t="str">
        <f>AD207&amp;" hrs @ "&amp;AE207</f>
        <v xml:space="preserve"> hrs @ </v>
      </c>
      <c r="AH207" s="94"/>
      <c r="AI207" s="242"/>
      <c r="AJ207" s="720">
        <f t="shared" ref="AJ207:AJ209" si="109">I207+S207+AC207</f>
        <v>0</v>
      </c>
      <c r="AK207" s="93"/>
    </row>
    <row r="208" spans="1:48" ht="21" x14ac:dyDescent="0.4">
      <c r="A208" s="299" t="s">
        <v>52</v>
      </c>
      <c r="B208" s="218" t="str">
        <f t="shared" si="108"/>
        <v>CFS</v>
      </c>
      <c r="C208" s="5" t="s">
        <v>48</v>
      </c>
      <c r="D208" s="10"/>
      <c r="E208" s="116"/>
      <c r="F208" s="116"/>
      <c r="G208" s="116"/>
      <c r="H208" s="38"/>
      <c r="I208" s="159"/>
      <c r="J208" s="42"/>
      <c r="K208" s="39"/>
      <c r="L208" s="156"/>
      <c r="M208" s="45" t="str">
        <f>"@ "&amp;$O$2*100&amp;" %"</f>
        <v>@ 98.59 %</v>
      </c>
      <c r="N208" s="94"/>
      <c r="O208" s="242"/>
      <c r="P208" s="466"/>
      <c r="Q208" s="252"/>
      <c r="R208" s="184"/>
      <c r="S208" s="159">
        <f>S207*$O$2</f>
        <v>0</v>
      </c>
      <c r="T208" s="42"/>
      <c r="U208" s="39"/>
      <c r="V208" s="156"/>
      <c r="W208" s="45" t="str">
        <f>"@ "&amp;$O$2*100&amp;" %"</f>
        <v>@ 98.59 %</v>
      </c>
      <c r="X208" s="93"/>
      <c r="Y208" s="242"/>
      <c r="Z208" s="466"/>
      <c r="AA208" s="252"/>
      <c r="AB208" s="184"/>
      <c r="AC208" s="159">
        <f>AC207*$O$2</f>
        <v>0</v>
      </c>
      <c r="AD208" s="42"/>
      <c r="AE208" s="39"/>
      <c r="AF208" s="156"/>
      <c r="AG208" s="45" t="str">
        <f>"@ "&amp;$O$2*100&amp;" %"</f>
        <v>@ 98.59 %</v>
      </c>
      <c r="AH208" s="94"/>
      <c r="AI208" s="242"/>
      <c r="AJ208" s="720">
        <f t="shared" si="109"/>
        <v>0</v>
      </c>
      <c r="AK208" s="93"/>
    </row>
    <row r="209" spans="1:37" ht="21" x14ac:dyDescent="0.4">
      <c r="A209" s="299" t="s">
        <v>52</v>
      </c>
      <c r="B209" s="218" t="str">
        <f t="shared" si="108"/>
        <v>CFSTotal IS</v>
      </c>
      <c r="C209" s="124" t="s">
        <v>50</v>
      </c>
      <c r="D209" s="10"/>
      <c r="E209" s="116"/>
      <c r="F209" s="116"/>
      <c r="G209" s="116"/>
      <c r="H209" s="49" t="s">
        <v>41</v>
      </c>
      <c r="I209" s="165">
        <f>I207+I208</f>
        <v>0</v>
      </c>
      <c r="J209" s="68"/>
      <c r="K209" s="68"/>
      <c r="L209" s="68"/>
      <c r="M209" s="66"/>
      <c r="N209" s="420">
        <f>I209</f>
        <v>0</v>
      </c>
      <c r="O209" s="233">
        <f>N209/N221</f>
        <v>0</v>
      </c>
      <c r="P209" s="466"/>
      <c r="Q209" s="252"/>
      <c r="R209" s="185" t="s">
        <v>41</v>
      </c>
      <c r="S209" s="165">
        <f>S207+S208</f>
        <v>0</v>
      </c>
      <c r="T209" s="68"/>
      <c r="U209" s="68"/>
      <c r="V209" s="68"/>
      <c r="W209" s="66"/>
      <c r="X209" s="52">
        <f>S209</f>
        <v>0</v>
      </c>
      <c r="Y209" s="233">
        <f>X209/X221</f>
        <v>0</v>
      </c>
      <c r="Z209" s="466"/>
      <c r="AA209" s="252"/>
      <c r="AB209" s="185" t="s">
        <v>41</v>
      </c>
      <c r="AC209" s="165">
        <f>AC207+AC208</f>
        <v>0</v>
      </c>
      <c r="AD209" s="68"/>
      <c r="AE209" s="68"/>
      <c r="AF209" s="68"/>
      <c r="AG209" s="66"/>
      <c r="AH209" s="420">
        <f>AC209</f>
        <v>0</v>
      </c>
      <c r="AI209" s="233" t="e">
        <f>AH209/AH221</f>
        <v>#DIV/0!</v>
      </c>
      <c r="AJ209" s="221">
        <f t="shared" si="109"/>
        <v>0</v>
      </c>
      <c r="AK209" s="52"/>
    </row>
    <row r="210" spans="1:37" ht="21" x14ac:dyDescent="0.4">
      <c r="A210" s="299" t="s">
        <v>52</v>
      </c>
      <c r="B210" s="218" t="str">
        <f t="shared" si="108"/>
        <v>CFS</v>
      </c>
      <c r="C210" s="5" t="s">
        <v>48</v>
      </c>
      <c r="D210" s="10"/>
      <c r="E210" s="116"/>
      <c r="F210" s="116"/>
      <c r="G210" s="116"/>
      <c r="H210" s="54"/>
      <c r="I210" s="166"/>
      <c r="J210" s="69"/>
      <c r="K210" s="69"/>
      <c r="L210" s="69"/>
      <c r="M210" s="70"/>
      <c r="N210" s="98"/>
      <c r="O210" s="243"/>
      <c r="P210" s="467"/>
      <c r="Q210" s="253"/>
      <c r="R210" s="179"/>
      <c r="S210" s="166"/>
      <c r="T210" s="69"/>
      <c r="U210" s="69"/>
      <c r="V210" s="69"/>
      <c r="W210" s="70"/>
      <c r="X210" s="97"/>
      <c r="Y210" s="243"/>
      <c r="Z210" s="467"/>
      <c r="AA210" s="253"/>
      <c r="AB210" s="179"/>
      <c r="AC210" s="166"/>
      <c r="AD210" s="69"/>
      <c r="AE210" s="69"/>
      <c r="AF210" s="69"/>
      <c r="AG210" s="70"/>
      <c r="AH210" s="98"/>
      <c r="AI210" s="243"/>
      <c r="AJ210" s="721"/>
      <c r="AK210" s="97"/>
    </row>
    <row r="211" spans="1:37" ht="21" x14ac:dyDescent="0.4">
      <c r="A211" s="299" t="s">
        <v>52</v>
      </c>
      <c r="B211" s="218" t="str">
        <f t="shared" si="108"/>
        <v>CFSOTHER</v>
      </c>
      <c r="C211" s="124" t="s">
        <v>50</v>
      </c>
      <c r="D211" s="10"/>
      <c r="E211" s="116"/>
      <c r="F211" s="116"/>
      <c r="G211" s="116"/>
      <c r="H211" s="61" t="s">
        <v>42</v>
      </c>
      <c r="I211" s="167"/>
      <c r="J211" s="74"/>
      <c r="K211" s="74"/>
      <c r="L211" s="74"/>
      <c r="M211" s="66"/>
      <c r="N211" s="91"/>
      <c r="O211" s="227"/>
      <c r="P211" s="466"/>
      <c r="Q211" s="252"/>
      <c r="R211" s="186" t="s">
        <v>42</v>
      </c>
      <c r="S211" s="167"/>
      <c r="T211" s="74"/>
      <c r="U211" s="74"/>
      <c r="V211" s="74"/>
      <c r="W211" s="66"/>
      <c r="X211" s="90"/>
      <c r="Y211" s="227"/>
      <c r="Z211" s="466"/>
      <c r="AA211" s="252"/>
      <c r="AB211" s="186" t="s">
        <v>42</v>
      </c>
      <c r="AC211" s="167"/>
      <c r="AD211" s="74"/>
      <c r="AE211" s="74"/>
      <c r="AF211" s="74"/>
      <c r="AG211" s="66"/>
      <c r="AH211" s="91"/>
      <c r="AI211" s="227"/>
      <c r="AJ211" s="719"/>
      <c r="AK211" s="90"/>
    </row>
    <row r="212" spans="1:37" ht="21" x14ac:dyDescent="0.4">
      <c r="A212" s="299" t="s">
        <v>52</v>
      </c>
      <c r="B212" s="218" t="str">
        <f t="shared" si="108"/>
        <v xml:space="preserve">CFSNon-Payroll </v>
      </c>
      <c r="C212" s="5" t="s">
        <v>48</v>
      </c>
      <c r="D212" s="10"/>
      <c r="E212" s="116"/>
      <c r="F212" s="116"/>
      <c r="G212" s="116"/>
      <c r="H212" s="38" t="s">
        <v>337</v>
      </c>
      <c r="I212" s="163">
        <f>ROUND(((I190+I197+I209)/VLOOKUP("CUST FIELD SERVICESPayroll",'Base 2015 actual for Cost Cente'!$A:$F,6,FALSE))*VLOOKUP("CUST FIELD SERVICESNon-Payroll",'Base 2015 actual for Cost Cente'!$A:$F,6,FALSE),0)</f>
        <v>591588</v>
      </c>
      <c r="J212" s="74"/>
      <c r="K212" s="74"/>
      <c r="L212" s="74"/>
      <c r="M212" s="734" t="s">
        <v>372</v>
      </c>
      <c r="N212" s="91"/>
      <c r="O212" s="227"/>
      <c r="P212" s="466"/>
      <c r="Q212" s="252"/>
      <c r="R212" s="184" t="s">
        <v>337</v>
      </c>
      <c r="S212" s="163">
        <f>ROUND(((S190+S197+S209)/VLOOKUP("CUST FIELD SERVICESPayroll",'Base 2015 actual for Cost Cente'!$A:$F,6,FALSE))*VLOOKUP("CUST FIELD SERVICESNon-Payroll",'Base 2015 actual for Cost Cente'!$A:$F,6,FALSE),0)</f>
        <v>57899</v>
      </c>
      <c r="T212" s="74"/>
      <c r="U212" s="74"/>
      <c r="V212" s="74"/>
      <c r="W212" s="734" t="s">
        <v>372</v>
      </c>
      <c r="X212" s="90"/>
      <c r="Y212" s="227"/>
      <c r="Z212" s="466"/>
      <c r="AA212" s="252"/>
      <c r="AB212" s="184" t="s">
        <v>337</v>
      </c>
      <c r="AC212" s="163">
        <f>ROUND(((AC190+AC197+AC209)/VLOOKUP("CUST FIELD SERVICESPayroll",'Base 2015 actual for Cost Cente'!$A:$F,6,FALSE))*VLOOKUP("CUST FIELD SERVICESNon-Payroll",'Base 2015 actual for Cost Cente'!$A:$F,6,FALSE),0)</f>
        <v>0</v>
      </c>
      <c r="AD212" s="74"/>
      <c r="AE212" s="74"/>
      <c r="AF212" s="74"/>
      <c r="AG212" s="734" t="s">
        <v>372</v>
      </c>
      <c r="AH212" s="91"/>
      <c r="AI212" s="227"/>
      <c r="AJ212" s="719">
        <f>I212+S212+AC212</f>
        <v>649487</v>
      </c>
      <c r="AK212" s="90"/>
    </row>
    <row r="213" spans="1:37" ht="21" x14ac:dyDescent="0.4">
      <c r="A213" s="299" t="s">
        <v>52</v>
      </c>
      <c r="B213" s="218" t="str">
        <f t="shared" si="108"/>
        <v>CFS</v>
      </c>
      <c r="C213" s="5" t="s">
        <v>48</v>
      </c>
      <c r="D213" s="10"/>
      <c r="E213" s="116"/>
      <c r="F213" s="116"/>
      <c r="G213" s="116"/>
      <c r="H213" s="38"/>
      <c r="I213" s="168"/>
      <c r="J213" s="42"/>
      <c r="K213" s="39"/>
      <c r="L213" s="42"/>
      <c r="M213" s="735"/>
      <c r="N213" s="91"/>
      <c r="O213" s="227"/>
      <c r="P213" s="466"/>
      <c r="Q213" s="252"/>
      <c r="R213" s="184"/>
      <c r="S213" s="168"/>
      <c r="T213" s="42"/>
      <c r="U213" s="39"/>
      <c r="V213" s="42"/>
      <c r="W213" s="735"/>
      <c r="X213" s="90"/>
      <c r="Y213" s="227"/>
      <c r="Z213" s="466"/>
      <c r="AA213" s="252"/>
      <c r="AB213" s="184"/>
      <c r="AC213" s="168"/>
      <c r="AD213" s="42"/>
      <c r="AE213" s="39"/>
      <c r="AF213" s="42"/>
      <c r="AG213" s="735"/>
      <c r="AH213" s="91"/>
      <c r="AI213" s="227"/>
      <c r="AJ213" s="719"/>
      <c r="AK213" s="90"/>
    </row>
    <row r="214" spans="1:37" ht="21" x14ac:dyDescent="0.4">
      <c r="A214" s="299" t="s">
        <v>52</v>
      </c>
      <c r="B214" s="218" t="str">
        <f t="shared" si="108"/>
        <v>CFS</v>
      </c>
      <c r="C214" s="5" t="s">
        <v>48</v>
      </c>
      <c r="D214" s="10"/>
      <c r="E214" s="116"/>
      <c r="F214" s="116"/>
      <c r="G214" s="116"/>
      <c r="H214" s="38"/>
      <c r="I214" s="168"/>
      <c r="J214" s="42"/>
      <c r="K214" s="39"/>
      <c r="L214" s="42"/>
      <c r="M214" s="66" t="s">
        <v>574</v>
      </c>
      <c r="N214" s="91"/>
      <c r="O214" s="227"/>
      <c r="P214" s="466"/>
      <c r="Q214" s="252"/>
      <c r="R214" s="184"/>
      <c r="S214" s="168"/>
      <c r="T214" s="42"/>
      <c r="U214" s="39"/>
      <c r="V214" s="42"/>
      <c r="W214" s="66" t="s">
        <v>574</v>
      </c>
      <c r="X214" s="90"/>
      <c r="Y214" s="227"/>
      <c r="Z214" s="466"/>
      <c r="AA214" s="252"/>
      <c r="AB214" s="184"/>
      <c r="AC214" s="168"/>
      <c r="AD214" s="42"/>
      <c r="AE214" s="39"/>
      <c r="AF214" s="42"/>
      <c r="AG214" s="66" t="s">
        <v>574</v>
      </c>
      <c r="AH214" s="91"/>
      <c r="AI214" s="227"/>
      <c r="AJ214" s="719"/>
      <c r="AK214" s="90"/>
    </row>
    <row r="215" spans="1:37" ht="21" x14ac:dyDescent="0.4">
      <c r="A215" s="299" t="s">
        <v>52</v>
      </c>
      <c r="B215" s="218" t="str">
        <f t="shared" si="108"/>
        <v>CFS</v>
      </c>
      <c r="C215" s="5" t="s">
        <v>48</v>
      </c>
      <c r="D215" s="10"/>
      <c r="E215" s="116"/>
      <c r="F215" s="116"/>
      <c r="G215" s="116"/>
      <c r="H215" s="38"/>
      <c r="I215" s="168"/>
      <c r="J215" s="42"/>
      <c r="K215" s="39"/>
      <c r="L215" s="42"/>
      <c r="M215" s="66"/>
      <c r="N215" s="91"/>
      <c r="O215" s="227"/>
      <c r="P215" s="466"/>
      <c r="Q215" s="252"/>
      <c r="R215" s="184"/>
      <c r="S215" s="168"/>
      <c r="T215" s="42"/>
      <c r="U215" s="39"/>
      <c r="V215" s="42"/>
      <c r="W215" s="66"/>
      <c r="X215" s="90"/>
      <c r="Y215" s="227"/>
      <c r="Z215" s="466"/>
      <c r="AA215" s="252"/>
      <c r="AB215" s="184"/>
      <c r="AC215" s="168"/>
      <c r="AD215" s="42"/>
      <c r="AE215" s="39"/>
      <c r="AF215" s="42"/>
      <c r="AG215" s="66"/>
      <c r="AH215" s="91"/>
      <c r="AI215" s="227"/>
      <c r="AJ215" s="719"/>
      <c r="AK215" s="90"/>
    </row>
    <row r="216" spans="1:37" ht="21" x14ac:dyDescent="0.4">
      <c r="A216" s="299" t="s">
        <v>52</v>
      </c>
      <c r="B216" s="218" t="str">
        <f t="shared" si="108"/>
        <v>CFS</v>
      </c>
      <c r="C216" s="5" t="s">
        <v>48</v>
      </c>
      <c r="D216" s="10"/>
      <c r="E216" s="116"/>
      <c r="F216" s="116"/>
      <c r="G216" s="116"/>
      <c r="H216" s="38"/>
      <c r="I216" s="168"/>
      <c r="J216" s="42"/>
      <c r="K216" s="39"/>
      <c r="L216" s="42"/>
      <c r="M216" s="66"/>
      <c r="N216" s="91"/>
      <c r="O216" s="227"/>
      <c r="P216" s="466"/>
      <c r="Q216" s="252"/>
      <c r="R216" s="184"/>
      <c r="S216" s="168"/>
      <c r="T216" s="42"/>
      <c r="U216" s="39"/>
      <c r="V216" s="42"/>
      <c r="W216" s="66"/>
      <c r="X216" s="90"/>
      <c r="Y216" s="227"/>
      <c r="Z216" s="466"/>
      <c r="AA216" s="252"/>
      <c r="AB216" s="184"/>
      <c r="AC216" s="168"/>
      <c r="AD216" s="42"/>
      <c r="AE216" s="39"/>
      <c r="AF216" s="42"/>
      <c r="AG216" s="66"/>
      <c r="AH216" s="91"/>
      <c r="AI216" s="227"/>
      <c r="AJ216" s="719"/>
      <c r="AK216" s="90"/>
    </row>
    <row r="217" spans="1:37" ht="21" x14ac:dyDescent="0.4">
      <c r="A217" s="299" t="s">
        <v>52</v>
      </c>
      <c r="B217" s="218" t="str">
        <f t="shared" si="108"/>
        <v>CFS</v>
      </c>
      <c r="C217" s="5" t="s">
        <v>48</v>
      </c>
      <c r="D217" s="10"/>
      <c r="E217" s="116"/>
      <c r="F217" s="116"/>
      <c r="G217" s="116"/>
      <c r="H217" s="38"/>
      <c r="I217" s="164"/>
      <c r="J217" s="67"/>
      <c r="K217" s="67"/>
      <c r="L217" s="67"/>
      <c r="M217" s="40" t="str">
        <f>J217&amp;" days @ "&amp;K217</f>
        <v xml:space="preserve"> days @ </v>
      </c>
      <c r="N217" s="94"/>
      <c r="O217" s="242"/>
      <c r="P217" s="466"/>
      <c r="Q217" s="252"/>
      <c r="R217" s="184"/>
      <c r="S217" s="164"/>
      <c r="T217" s="67"/>
      <c r="U217" s="67"/>
      <c r="V217" s="67"/>
      <c r="W217" s="40" t="str">
        <f>T217&amp;" days @ "&amp;U217</f>
        <v xml:space="preserve"> days @ </v>
      </c>
      <c r="X217" s="93"/>
      <c r="Y217" s="242"/>
      <c r="Z217" s="466"/>
      <c r="AA217" s="252"/>
      <c r="AB217" s="184"/>
      <c r="AC217" s="164"/>
      <c r="AD217" s="67"/>
      <c r="AE217" s="67"/>
      <c r="AF217" s="67"/>
      <c r="AG217" s="40" t="str">
        <f>AD217&amp;" days @ "&amp;AE217</f>
        <v xml:space="preserve"> days @ </v>
      </c>
      <c r="AH217" s="94"/>
      <c r="AI217" s="242"/>
      <c r="AJ217" s="720"/>
      <c r="AK217" s="93"/>
    </row>
    <row r="218" spans="1:37" ht="21" x14ac:dyDescent="0.4">
      <c r="A218" s="299" t="s">
        <v>52</v>
      </c>
      <c r="B218" s="218" t="str">
        <f t="shared" si="108"/>
        <v>CFSTotal Other</v>
      </c>
      <c r="C218" s="124" t="s">
        <v>50</v>
      </c>
      <c r="D218" s="10"/>
      <c r="E218" s="116">
        <f>I218</f>
        <v>591588</v>
      </c>
      <c r="F218" s="116">
        <f>S218</f>
        <v>57899</v>
      </c>
      <c r="G218" s="116">
        <f>AC218</f>
        <v>0</v>
      </c>
      <c r="H218" s="49" t="s">
        <v>45</v>
      </c>
      <c r="I218" s="165">
        <f>SUM(I212:I217)</f>
        <v>591588</v>
      </c>
      <c r="J218" s="68"/>
      <c r="K218" s="68"/>
      <c r="L218" s="68"/>
      <c r="M218" s="66"/>
      <c r="N218" s="414">
        <f>I218</f>
        <v>591588</v>
      </c>
      <c r="O218" s="233">
        <f>N218/N221</f>
        <v>0.11207388609101541</v>
      </c>
      <c r="P218" s="466"/>
      <c r="Q218" s="165"/>
      <c r="R218" s="185" t="s">
        <v>45</v>
      </c>
      <c r="S218" s="165">
        <f>SUM(S212:S217)</f>
        <v>57899</v>
      </c>
      <c r="T218" s="68"/>
      <c r="U218" s="68"/>
      <c r="V218" s="68"/>
      <c r="W218" s="66"/>
      <c r="X218" s="165">
        <f>S218</f>
        <v>57899</v>
      </c>
      <c r="Y218" s="233">
        <f>X218/X221</f>
        <v>0.11207347149477595</v>
      </c>
      <c r="Z218" s="466"/>
      <c r="AA218" s="165"/>
      <c r="AB218" s="185" t="s">
        <v>45</v>
      </c>
      <c r="AC218" s="165">
        <f>SUM(AC212:AC217)</f>
        <v>0</v>
      </c>
      <c r="AD218" s="68"/>
      <c r="AE218" s="68"/>
      <c r="AF218" s="68"/>
      <c r="AG218" s="66"/>
      <c r="AH218" s="414">
        <f>AC218</f>
        <v>0</v>
      </c>
      <c r="AI218" s="233" t="e">
        <f>AH218/AH221</f>
        <v>#DIV/0!</v>
      </c>
      <c r="AJ218" s="722">
        <f>I218+S218+AC218</f>
        <v>649487</v>
      </c>
      <c r="AK218" s="165"/>
    </row>
    <row r="219" spans="1:37" ht="21.6" thickBot="1" x14ac:dyDescent="0.45">
      <c r="A219" s="299" t="s">
        <v>52</v>
      </c>
      <c r="B219" s="218" t="str">
        <f t="shared" si="108"/>
        <v>CFS</v>
      </c>
      <c r="C219" s="5" t="s">
        <v>48</v>
      </c>
      <c r="D219" s="10"/>
      <c r="E219" s="116"/>
      <c r="F219" s="116"/>
      <c r="G219" s="116"/>
      <c r="H219" s="100"/>
      <c r="I219" s="178"/>
      <c r="J219" s="101"/>
      <c r="K219" s="101"/>
      <c r="L219" s="101"/>
      <c r="M219" s="102"/>
      <c r="N219" s="415"/>
      <c r="O219" s="178"/>
      <c r="P219" s="178"/>
      <c r="Q219" s="178"/>
      <c r="R219" s="178"/>
      <c r="S219" s="178"/>
      <c r="T219" s="101"/>
      <c r="U219" s="101"/>
      <c r="V219" s="101"/>
      <c r="W219" s="102"/>
      <c r="X219" s="178"/>
      <c r="Y219" s="178"/>
      <c r="Z219" s="178"/>
      <c r="AA219" s="178"/>
      <c r="AB219" s="178"/>
      <c r="AC219" s="178"/>
      <c r="AD219" s="101"/>
      <c r="AE219" s="101"/>
      <c r="AF219" s="101"/>
      <c r="AG219" s="102"/>
      <c r="AH219" s="415"/>
      <c r="AI219" s="178"/>
      <c r="AJ219" s="723"/>
      <c r="AK219" s="178"/>
    </row>
    <row r="220" spans="1:37" ht="21.6" thickTop="1" x14ac:dyDescent="0.4">
      <c r="A220" s="299" t="s">
        <v>52</v>
      </c>
      <c r="B220" s="218" t="str">
        <f t="shared" si="108"/>
        <v>CFSTOTALS</v>
      </c>
      <c r="C220" s="5" t="s">
        <v>48</v>
      </c>
      <c r="D220" s="10"/>
      <c r="E220" s="116"/>
      <c r="F220" s="116"/>
      <c r="G220" s="116"/>
      <c r="H220" s="61" t="s">
        <v>28</v>
      </c>
      <c r="I220" s="103"/>
      <c r="J220" s="103"/>
      <c r="K220" s="103"/>
      <c r="L220" s="103"/>
      <c r="M220" s="104"/>
      <c r="N220" s="91"/>
      <c r="O220" s="136"/>
      <c r="P220" s="466"/>
      <c r="Q220" s="252"/>
      <c r="R220" s="186" t="s">
        <v>28</v>
      </c>
      <c r="S220" s="103"/>
      <c r="T220" s="103"/>
      <c r="U220" s="103"/>
      <c r="V220" s="103"/>
      <c r="W220" s="104"/>
      <c r="X220" s="90"/>
      <c r="Y220" s="136"/>
      <c r="Z220" s="466"/>
      <c r="AA220" s="252"/>
      <c r="AB220" s="186" t="s">
        <v>28</v>
      </c>
      <c r="AC220" s="103"/>
      <c r="AD220" s="103"/>
      <c r="AE220" s="103"/>
      <c r="AF220" s="103"/>
      <c r="AG220" s="104"/>
      <c r="AH220" s="91"/>
      <c r="AI220" s="136"/>
      <c r="AJ220" s="719"/>
      <c r="AK220" s="90"/>
    </row>
    <row r="221" spans="1:37" ht="21" x14ac:dyDescent="0.4">
      <c r="A221" s="299" t="s">
        <v>52</v>
      </c>
      <c r="B221" s="218" t="str">
        <f t="shared" si="108"/>
        <v>CFSPER YEAR</v>
      </c>
      <c r="C221" s="124" t="s">
        <v>50</v>
      </c>
      <c r="D221" s="10"/>
      <c r="E221" s="116">
        <f>I221</f>
        <v>5278553.4671258768</v>
      </c>
      <c r="F221" s="116">
        <f>S221</f>
        <v>516616.45907612337</v>
      </c>
      <c r="G221" s="116">
        <f>S221</f>
        <v>516616.45907612337</v>
      </c>
      <c r="H221" s="105" t="s">
        <v>46</v>
      </c>
      <c r="I221" s="106">
        <f>I190+I197+I204+I209+I218</f>
        <v>5278553.4671258768</v>
      </c>
      <c r="J221" s="106"/>
      <c r="K221" s="106"/>
      <c r="L221" s="106"/>
      <c r="M221" s="107"/>
      <c r="N221" s="420">
        <f>SUM(N190:N219)</f>
        <v>5278553.4671258768</v>
      </c>
      <c r="O221" s="233">
        <f>SUM(O190:O219)</f>
        <v>1</v>
      </c>
      <c r="P221" s="466"/>
      <c r="Q221" s="252"/>
      <c r="R221" s="190" t="s">
        <v>46</v>
      </c>
      <c r="S221" s="106">
        <f>S190+S197+S204+S209+S218</f>
        <v>516616.45907612337</v>
      </c>
      <c r="T221" s="106"/>
      <c r="U221" s="106"/>
      <c r="V221" s="106"/>
      <c r="W221" s="107"/>
      <c r="X221" s="52">
        <f>SUM(X190:X219)</f>
        <v>516616.45907612337</v>
      </c>
      <c r="Y221" s="233">
        <f>SUM(Y190:Y219)</f>
        <v>1</v>
      </c>
      <c r="Z221" s="466"/>
      <c r="AA221" s="252"/>
      <c r="AB221" s="190" t="s">
        <v>46</v>
      </c>
      <c r="AC221" s="106">
        <f>AC190+AC197+AC204+AC209+AC218</f>
        <v>0</v>
      </c>
      <c r="AD221" s="106"/>
      <c r="AE221" s="106"/>
      <c r="AF221" s="106"/>
      <c r="AG221" s="107"/>
      <c r="AH221" s="420">
        <f>SUM(AH190:AH219)</f>
        <v>0</v>
      </c>
      <c r="AI221" s="233" t="e">
        <f>SUM(AI190:AI219)</f>
        <v>#DIV/0!</v>
      </c>
      <c r="AJ221" s="221">
        <f t="shared" ref="AJ221:AJ225" si="110">I221+S221+AC221</f>
        <v>5795169.9262020001</v>
      </c>
      <c r="AK221" s="52"/>
    </row>
    <row r="222" spans="1:37" ht="21" x14ac:dyDescent="0.4">
      <c r="A222" s="299" t="s">
        <v>52</v>
      </c>
      <c r="B222" s="218" t="str">
        <f t="shared" si="108"/>
        <v>CFSPER PAYMENT</v>
      </c>
      <c r="C222" s="124" t="s">
        <v>50</v>
      </c>
      <c r="D222" s="10"/>
      <c r="E222" s="116"/>
      <c r="F222" s="116"/>
      <c r="G222" s="116"/>
      <c r="H222" s="49" t="s">
        <v>47</v>
      </c>
      <c r="I222" s="108">
        <f>I221/I$6</f>
        <v>0.67812151350999084</v>
      </c>
      <c r="J222" s="108"/>
      <c r="K222" s="108"/>
      <c r="L222" s="108"/>
      <c r="M222" s="109"/>
      <c r="N222" s="98"/>
      <c r="O222" s="243"/>
      <c r="P222" s="467"/>
      <c r="Q222" s="253"/>
      <c r="R222" s="185" t="s">
        <v>47</v>
      </c>
      <c r="S222" s="108">
        <f>S221/S$6</f>
        <v>0.67814700734323874</v>
      </c>
      <c r="T222" s="108"/>
      <c r="U222" s="108"/>
      <c r="V222" s="108"/>
      <c r="W222" s="109"/>
      <c r="X222" s="97"/>
      <c r="Y222" s="243"/>
      <c r="Z222" s="467"/>
      <c r="AA222" s="253"/>
      <c r="AB222" s="185" t="s">
        <v>47</v>
      </c>
      <c r="AC222" s="108">
        <f>AC221/AC$6</f>
        <v>0</v>
      </c>
      <c r="AD222" s="108"/>
      <c r="AE222" s="108"/>
      <c r="AF222" s="108"/>
      <c r="AG222" s="109"/>
      <c r="AH222" s="98"/>
      <c r="AI222" s="243"/>
      <c r="AJ222" s="721">
        <f t="shared" si="110"/>
        <v>1.3562685208532295</v>
      </c>
      <c r="AK222" s="97"/>
    </row>
    <row r="223" spans="1:37" ht="15.6" x14ac:dyDescent="0.3">
      <c r="A223" s="299" t="s">
        <v>52</v>
      </c>
      <c r="B223" s="218"/>
      <c r="C223" s="220"/>
      <c r="D223" s="10"/>
      <c r="E223" s="10"/>
      <c r="F223" s="10"/>
      <c r="G223" s="10"/>
      <c r="H223" s="137" t="s">
        <v>585</v>
      </c>
      <c r="I223" s="659">
        <f>I190+I197</f>
        <v>4686965.4671258768</v>
      </c>
      <c r="J223" s="108"/>
      <c r="K223" s="108"/>
      <c r="L223" s="108"/>
      <c r="M223" s="109"/>
      <c r="N223" s="656"/>
      <c r="O223" s="657"/>
      <c r="P223" s="92"/>
      <c r="Q223" s="37"/>
      <c r="R223" s="137" t="s">
        <v>585</v>
      </c>
      <c r="S223" s="659">
        <f>S190+S197</f>
        <v>458717.45907612337</v>
      </c>
      <c r="T223" s="108"/>
      <c r="U223" s="108"/>
      <c r="V223" s="108"/>
      <c r="W223" s="109"/>
      <c r="X223" s="658"/>
      <c r="Y223" s="657"/>
      <c r="Z223" s="92"/>
      <c r="AA223" s="37"/>
      <c r="AB223" s="137" t="s">
        <v>585</v>
      </c>
      <c r="AC223" s="659">
        <f>AC190+AC197</f>
        <v>0</v>
      </c>
      <c r="AD223" s="108"/>
      <c r="AE223" s="108"/>
      <c r="AF223" s="108"/>
      <c r="AG223" s="109"/>
      <c r="AH223" s="656"/>
      <c r="AI223" s="137"/>
      <c r="AJ223" s="717">
        <f t="shared" si="110"/>
        <v>5145682.9262020001</v>
      </c>
      <c r="AK223" s="658"/>
    </row>
    <row r="224" spans="1:37" ht="15.6" x14ac:dyDescent="0.3">
      <c r="A224" s="299" t="s">
        <v>52</v>
      </c>
      <c r="B224" s="218"/>
      <c r="C224" s="220"/>
      <c r="D224" s="10"/>
      <c r="E224" s="10"/>
      <c r="F224" s="10"/>
      <c r="G224" s="10"/>
      <c r="H224" s="137" t="s">
        <v>586</v>
      </c>
      <c r="I224" s="659">
        <f>I218+I209+I204</f>
        <v>591588</v>
      </c>
      <c r="J224" s="108"/>
      <c r="K224" s="659"/>
      <c r="L224" s="108"/>
      <c r="M224" s="109"/>
      <c r="N224" s="656"/>
      <c r="O224" s="657"/>
      <c r="P224" s="92"/>
      <c r="Q224" s="37"/>
      <c r="R224" s="137" t="s">
        <v>586</v>
      </c>
      <c r="S224" s="659">
        <f>S218+S209+S204</f>
        <v>57899</v>
      </c>
      <c r="T224" s="108"/>
      <c r="U224" s="659"/>
      <c r="V224" s="108"/>
      <c r="W224" s="109"/>
      <c r="X224" s="658"/>
      <c r="Y224" s="657"/>
      <c r="Z224" s="92"/>
      <c r="AA224" s="37"/>
      <c r="AB224" s="137" t="s">
        <v>586</v>
      </c>
      <c r="AC224" s="659">
        <f>AC218+AC209+AC204</f>
        <v>0</v>
      </c>
      <c r="AD224" s="108"/>
      <c r="AE224" s="659"/>
      <c r="AF224" s="108"/>
      <c r="AG224" s="109"/>
      <c r="AH224" s="656"/>
      <c r="AI224" s="137"/>
      <c r="AJ224" s="717">
        <f t="shared" si="110"/>
        <v>649487</v>
      </c>
      <c r="AK224" s="658"/>
    </row>
    <row r="225" spans="1:37" ht="15.6" x14ac:dyDescent="0.3">
      <c r="A225" s="299" t="s">
        <v>52</v>
      </c>
      <c r="B225" s="218"/>
      <c r="C225" s="220"/>
      <c r="D225" s="10"/>
      <c r="E225" s="10"/>
      <c r="F225" s="10"/>
      <c r="G225" s="10"/>
      <c r="H225" s="137" t="s">
        <v>584</v>
      </c>
      <c r="I225" s="659">
        <f>I221</f>
        <v>5278553.4671258768</v>
      </c>
      <c r="J225" s="108"/>
      <c r="K225" s="108"/>
      <c r="L225" s="108"/>
      <c r="M225" s="109"/>
      <c r="N225" s="656"/>
      <c r="O225" s="657"/>
      <c r="P225" s="92"/>
      <c r="Q225" s="37"/>
      <c r="R225" s="137" t="s">
        <v>584</v>
      </c>
      <c r="S225" s="659">
        <f>S221</f>
        <v>516616.45907612337</v>
      </c>
      <c r="T225" s="108"/>
      <c r="U225" s="108"/>
      <c r="V225" s="108"/>
      <c r="W225" s="109"/>
      <c r="X225" s="658"/>
      <c r="Y225" s="657"/>
      <c r="Z225" s="92"/>
      <c r="AA225" s="37"/>
      <c r="AB225" s="137" t="s">
        <v>584</v>
      </c>
      <c r="AC225" s="659">
        <f>AC221</f>
        <v>0</v>
      </c>
      <c r="AD225" s="108"/>
      <c r="AE225" s="108"/>
      <c r="AF225" s="108"/>
      <c r="AG225" s="109"/>
      <c r="AH225" s="656"/>
      <c r="AI225" s="137"/>
      <c r="AJ225" s="717">
        <f t="shared" si="110"/>
        <v>5795169.9262020001</v>
      </c>
      <c r="AK225" s="658"/>
    </row>
    <row r="226" spans="1:37" ht="46.8" x14ac:dyDescent="0.3">
      <c r="A226" s="299" t="s">
        <v>7</v>
      </c>
      <c r="B226" s="218" t="str">
        <f t="shared" si="108"/>
        <v>Office ServiceLABOR: NON-SUPERVISORY</v>
      </c>
      <c r="C226" s="12" t="s">
        <v>7</v>
      </c>
      <c r="D226" s="10" t="str">
        <f>'2015Summary METER to CASH (Base'!G25</f>
        <v>* Print, insert &amp; mail bills
* Printer &amp; Inserter equipment maint</v>
      </c>
      <c r="E226" s="117">
        <f>N262</f>
        <v>310307.20874999999</v>
      </c>
      <c r="F226" s="117">
        <f>X262</f>
        <v>39050.124499999998</v>
      </c>
      <c r="G226" s="117">
        <f>AC262</f>
        <v>1379.3741</v>
      </c>
      <c r="H226" s="182" t="s">
        <v>31</v>
      </c>
      <c r="I226" s="157"/>
      <c r="J226" s="118"/>
      <c r="K226" s="118"/>
      <c r="L226" s="118"/>
      <c r="M226" s="119"/>
      <c r="N226" s="121"/>
      <c r="O226" s="135"/>
      <c r="P226" s="456"/>
      <c r="Q226" s="248"/>
      <c r="R226" s="183" t="s">
        <v>31</v>
      </c>
      <c r="S226" s="157"/>
      <c r="T226" s="118"/>
      <c r="U226" s="118"/>
      <c r="V226" s="118"/>
      <c r="W226" s="119"/>
      <c r="X226" s="120"/>
      <c r="Y226" s="135"/>
      <c r="Z226" s="456"/>
      <c r="AA226" s="248"/>
      <c r="AB226" s="183" t="s">
        <v>31</v>
      </c>
      <c r="AC226" s="157"/>
      <c r="AD226" s="118"/>
      <c r="AE226" s="118"/>
      <c r="AF226" s="118"/>
      <c r="AG226" s="119"/>
      <c r="AH226" s="121"/>
      <c r="AI226" s="135"/>
      <c r="AJ226" s="713"/>
      <c r="AK226" s="120"/>
    </row>
    <row r="227" spans="1:37" ht="21" x14ac:dyDescent="0.4">
      <c r="A227" s="299" t="s">
        <v>7</v>
      </c>
      <c r="B227" s="218" t="str">
        <f t="shared" si="108"/>
        <v>Office ServiceComputer Support 1</v>
      </c>
      <c r="C227" s="5" t="s">
        <v>48</v>
      </c>
      <c r="D227" s="10"/>
      <c r="E227" s="117"/>
      <c r="F227" s="117"/>
      <c r="G227" s="117"/>
      <c r="H227" s="38" t="s">
        <v>317</v>
      </c>
      <c r="I227" s="158">
        <f>J227*K227</f>
        <v>39469</v>
      </c>
      <c r="J227" s="42">
        <v>1450</v>
      </c>
      <c r="K227" s="39">
        <v>27.22</v>
      </c>
      <c r="L227" s="39"/>
      <c r="M227" s="40" t="str">
        <f>J227&amp;" hrs @ "&amp;K227</f>
        <v>1450 hrs @ 27.22</v>
      </c>
      <c r="N227" s="35"/>
      <c r="O227" s="136"/>
      <c r="P227" s="457"/>
      <c r="Q227" s="249"/>
      <c r="R227" s="184" t="s">
        <v>317</v>
      </c>
      <c r="S227" s="158">
        <f>T227*U227</f>
        <v>4563</v>
      </c>
      <c r="T227" s="42">
        <v>169</v>
      </c>
      <c r="U227" s="39">
        <v>27</v>
      </c>
      <c r="V227" s="39"/>
      <c r="W227" s="40" t="str">
        <f>T227&amp;" hrs @ "&amp;U227</f>
        <v>169 hrs @ 27</v>
      </c>
      <c r="X227" s="34"/>
      <c r="Y227" s="136"/>
      <c r="Z227" s="457"/>
      <c r="AA227" s="249"/>
      <c r="AB227" s="184" t="s">
        <v>317</v>
      </c>
      <c r="AC227" s="158">
        <f>AD227*AE227</f>
        <v>162</v>
      </c>
      <c r="AD227" s="42">
        <v>6</v>
      </c>
      <c r="AE227" s="39">
        <v>27</v>
      </c>
      <c r="AF227" s="39"/>
      <c r="AG227" s="40" t="str">
        <f>AD227&amp;" hrs @ "&amp;AE227</f>
        <v>6 hrs @ 27</v>
      </c>
      <c r="AH227" s="35"/>
      <c r="AI227" s="136"/>
      <c r="AJ227" s="714">
        <f t="shared" ref="AJ227:AJ233" si="111">I227+S227+AC227</f>
        <v>44194</v>
      </c>
      <c r="AK227" s="34"/>
    </row>
    <row r="228" spans="1:37" ht="21" x14ac:dyDescent="0.4">
      <c r="A228" s="299" t="s">
        <v>7</v>
      </c>
      <c r="B228" s="218" t="str">
        <f t="shared" si="108"/>
        <v>Office ServiceOffice Services 1</v>
      </c>
      <c r="C228" s="5" t="s">
        <v>48</v>
      </c>
      <c r="D228" s="10"/>
      <c r="E228" s="117"/>
      <c r="F228" s="117"/>
      <c r="G228" s="117"/>
      <c r="H228" s="38" t="s">
        <v>318</v>
      </c>
      <c r="I228" s="158">
        <f t="shared" ref="I228" si="112">J228*K228</f>
        <v>38976</v>
      </c>
      <c r="J228" s="42">
        <v>1856</v>
      </c>
      <c r="K228" s="39">
        <v>21</v>
      </c>
      <c r="L228" s="42"/>
      <c r="M228" s="40" t="str">
        <f t="shared" ref="M228:M230" si="113">J228&amp;" hrs @ "&amp;K228</f>
        <v>1856 hrs @ 21</v>
      </c>
      <c r="N228" s="35"/>
      <c r="O228" s="136"/>
      <c r="P228" s="457"/>
      <c r="Q228" s="250"/>
      <c r="R228" s="184" t="s">
        <v>318</v>
      </c>
      <c r="S228" s="158">
        <f t="shared" ref="S228" si="114">T228*U228</f>
        <v>4557</v>
      </c>
      <c r="T228" s="42">
        <v>217</v>
      </c>
      <c r="U228" s="39">
        <v>21</v>
      </c>
      <c r="V228" s="42"/>
      <c r="W228" s="40" t="str">
        <f t="shared" ref="W228:W230" si="115">T228&amp;" hrs @ "&amp;U228</f>
        <v>217 hrs @ 21</v>
      </c>
      <c r="X228" s="34"/>
      <c r="Y228" s="136"/>
      <c r="Z228" s="457"/>
      <c r="AA228" s="250"/>
      <c r="AB228" s="184" t="s">
        <v>318</v>
      </c>
      <c r="AC228" s="158">
        <f t="shared" ref="AC228" si="116">AD228*AE228</f>
        <v>147</v>
      </c>
      <c r="AD228" s="42">
        <v>7</v>
      </c>
      <c r="AE228" s="39">
        <v>21</v>
      </c>
      <c r="AF228" s="42"/>
      <c r="AG228" s="40" t="str">
        <f t="shared" ref="AG228:AG230" si="117">AD228&amp;" hrs @ "&amp;AE228</f>
        <v>7 hrs @ 21</v>
      </c>
      <c r="AH228" s="35"/>
      <c r="AI228" s="136"/>
      <c r="AJ228" s="714">
        <f t="shared" si="111"/>
        <v>43680</v>
      </c>
      <c r="AK228" s="34"/>
    </row>
    <row r="229" spans="1:37" ht="21" x14ac:dyDescent="0.4">
      <c r="A229" s="299" t="s">
        <v>7</v>
      </c>
      <c r="B229" s="218" t="str">
        <f t="shared" si="108"/>
        <v>Office Service</v>
      </c>
      <c r="C229" s="5" t="s">
        <v>48</v>
      </c>
      <c r="D229" s="10"/>
      <c r="E229" s="117"/>
      <c r="F229" s="117"/>
      <c r="G229" s="117"/>
      <c r="H229" s="38"/>
      <c r="I229" s="158"/>
      <c r="J229" s="42"/>
      <c r="K229" s="39"/>
      <c r="L229" s="42"/>
      <c r="M229" s="40" t="str">
        <f t="shared" si="113"/>
        <v xml:space="preserve"> hrs @ </v>
      </c>
      <c r="N229" s="35"/>
      <c r="O229" s="136"/>
      <c r="P229" s="457"/>
      <c r="Q229" s="249"/>
      <c r="R229" s="184"/>
      <c r="S229" s="158"/>
      <c r="T229" s="42"/>
      <c r="U229" s="39"/>
      <c r="V229" s="42"/>
      <c r="W229" s="40" t="str">
        <f t="shared" si="115"/>
        <v xml:space="preserve"> hrs @ </v>
      </c>
      <c r="X229" s="34"/>
      <c r="Y229" s="136"/>
      <c r="Z229" s="457"/>
      <c r="AA229" s="249"/>
      <c r="AB229" s="184"/>
      <c r="AC229" s="158"/>
      <c r="AD229" s="42"/>
      <c r="AE229" s="39"/>
      <c r="AF229" s="42"/>
      <c r="AG229" s="40" t="str">
        <f t="shared" si="117"/>
        <v xml:space="preserve"> hrs @ </v>
      </c>
      <c r="AH229" s="35"/>
      <c r="AI229" s="136"/>
      <c r="AJ229" s="714">
        <f t="shared" si="111"/>
        <v>0</v>
      </c>
      <c r="AK229" s="34"/>
    </row>
    <row r="230" spans="1:37" ht="21" x14ac:dyDescent="0.4">
      <c r="A230" s="299" t="s">
        <v>7</v>
      </c>
      <c r="B230" s="218" t="str">
        <f t="shared" si="108"/>
        <v>Office Service</v>
      </c>
      <c r="C230" s="5" t="s">
        <v>48</v>
      </c>
      <c r="D230" s="10"/>
      <c r="E230" s="117"/>
      <c r="F230" s="117"/>
      <c r="G230" s="117"/>
      <c r="H230" s="179"/>
      <c r="I230" s="173"/>
      <c r="J230" s="174"/>
      <c r="K230" s="175"/>
      <c r="L230" s="181"/>
      <c r="M230" s="176" t="str">
        <f t="shared" si="113"/>
        <v xml:space="preserve"> hrs @ </v>
      </c>
      <c r="N230" s="35"/>
      <c r="O230" s="136"/>
      <c r="P230" s="457"/>
      <c r="Q230" s="251"/>
      <c r="R230" s="179"/>
      <c r="S230" s="173"/>
      <c r="T230" s="174"/>
      <c r="U230" s="175"/>
      <c r="V230" s="181"/>
      <c r="W230" s="176" t="str">
        <f t="shared" si="115"/>
        <v xml:space="preserve"> hrs @ </v>
      </c>
      <c r="X230" s="34"/>
      <c r="Y230" s="136"/>
      <c r="Z230" s="457"/>
      <c r="AA230" s="251"/>
      <c r="AB230" s="179"/>
      <c r="AC230" s="173"/>
      <c r="AD230" s="174"/>
      <c r="AE230" s="175"/>
      <c r="AF230" s="181"/>
      <c r="AG230" s="176" t="str">
        <f t="shared" si="117"/>
        <v xml:space="preserve"> hrs @ </v>
      </c>
      <c r="AH230" s="35"/>
      <c r="AI230" s="136"/>
      <c r="AJ230" s="714">
        <f t="shared" si="111"/>
        <v>0</v>
      </c>
      <c r="AK230" s="34"/>
    </row>
    <row r="231" spans="1:37" ht="21" x14ac:dyDescent="0.4">
      <c r="A231" s="299" t="s">
        <v>7</v>
      </c>
      <c r="B231" s="218" t="str">
        <f t="shared" si="108"/>
        <v>Office ServiceTotal Wages</v>
      </c>
      <c r="C231" s="5" t="s">
        <v>48</v>
      </c>
      <c r="D231" s="10"/>
      <c r="E231" s="117"/>
      <c r="F231" s="117"/>
      <c r="G231" s="117"/>
      <c r="H231" s="38" t="s">
        <v>32</v>
      </c>
      <c r="I231" s="158">
        <f>SUM(I227:I230)</f>
        <v>78445</v>
      </c>
      <c r="J231" s="42"/>
      <c r="K231" s="39"/>
      <c r="L231" s="39"/>
      <c r="M231" s="40"/>
      <c r="N231" s="35"/>
      <c r="O231" s="136"/>
      <c r="P231" s="457"/>
      <c r="Q231" s="249"/>
      <c r="R231" s="184" t="s">
        <v>32</v>
      </c>
      <c r="S231" s="158">
        <f>SUM(S227:S230)</f>
        <v>9120</v>
      </c>
      <c r="T231" s="42"/>
      <c r="U231" s="39"/>
      <c r="V231" s="39"/>
      <c r="W231" s="40"/>
      <c r="X231" s="34"/>
      <c r="Y231" s="136"/>
      <c r="Z231" s="457"/>
      <c r="AA231" s="249"/>
      <c r="AB231" s="184" t="s">
        <v>32</v>
      </c>
      <c r="AC231" s="158">
        <f>SUM(AC227:AC230)</f>
        <v>309</v>
      </c>
      <c r="AD231" s="42"/>
      <c r="AE231" s="39"/>
      <c r="AF231" s="39"/>
      <c r="AG231" s="40"/>
      <c r="AH231" s="35"/>
      <c r="AI231" s="136"/>
      <c r="AJ231" s="714">
        <f t="shared" si="111"/>
        <v>87874</v>
      </c>
      <c r="AK231" s="34"/>
    </row>
    <row r="232" spans="1:37" ht="21" x14ac:dyDescent="0.4">
      <c r="A232" s="299" t="s">
        <v>7</v>
      </c>
      <c r="B232" s="218" t="str">
        <f t="shared" si="108"/>
        <v>Office ServiceBenefits</v>
      </c>
      <c r="C232" s="5" t="s">
        <v>48</v>
      </c>
      <c r="D232" s="10"/>
      <c r="E232" s="117"/>
      <c r="F232" s="117"/>
      <c r="G232" s="117"/>
      <c r="H232" s="38" t="s">
        <v>33</v>
      </c>
      <c r="I232" s="159">
        <f>I231*$O$2</f>
        <v>77338.925499999998</v>
      </c>
      <c r="J232" s="42"/>
      <c r="K232" s="39"/>
      <c r="M232" s="45" t="str">
        <f>"@ "&amp;$O$2*100&amp;" %"</f>
        <v>@ 98.59 %</v>
      </c>
      <c r="N232" s="47"/>
      <c r="O232" s="432"/>
      <c r="P232" s="460"/>
      <c r="Q232" s="249"/>
      <c r="R232" s="184" t="s">
        <v>33</v>
      </c>
      <c r="S232" s="159">
        <f>S231*$O$2</f>
        <v>8991.4079999999994</v>
      </c>
      <c r="T232" s="42"/>
      <c r="U232" s="39"/>
      <c r="W232" s="45" t="str">
        <f>"@ "&amp;$O$2*100&amp;" %"</f>
        <v>@ 98.59 %</v>
      </c>
      <c r="X232" s="46"/>
      <c r="Y232" s="432"/>
      <c r="Z232" s="460"/>
      <c r="AA232" s="249"/>
      <c r="AB232" s="184" t="s">
        <v>33</v>
      </c>
      <c r="AC232" s="159">
        <f>AC231*$O$2</f>
        <v>304.6431</v>
      </c>
      <c r="AD232" s="42"/>
      <c r="AE232" s="39"/>
      <c r="AG232" s="45" t="str">
        <f>"@ "&amp;$O$2*100&amp;" %"</f>
        <v>@ 98.59 %</v>
      </c>
      <c r="AH232" s="47"/>
      <c r="AI232" s="432"/>
      <c r="AJ232" s="716">
        <f t="shared" si="111"/>
        <v>86634.976599999995</v>
      </c>
      <c r="AK232" s="46"/>
    </row>
    <row r="233" spans="1:37" ht="21" x14ac:dyDescent="0.3">
      <c r="A233" s="299" t="s">
        <v>7</v>
      </c>
      <c r="B233" s="218" t="str">
        <f t="shared" si="108"/>
        <v>Office ServiceTotal</v>
      </c>
      <c r="C233" s="125" t="s">
        <v>50</v>
      </c>
      <c r="D233" s="10"/>
      <c r="E233" s="117"/>
      <c r="F233" s="117"/>
      <c r="G233" s="117"/>
      <c r="H233" s="49" t="s">
        <v>34</v>
      </c>
      <c r="I233" s="160">
        <f>I231+I232</f>
        <v>155783.92550000001</v>
      </c>
      <c r="J233" s="42"/>
      <c r="K233" s="39"/>
      <c r="L233" s="50"/>
      <c r="M233" s="51"/>
      <c r="N233" s="420">
        <f>I233</f>
        <v>155783.92550000001</v>
      </c>
      <c r="O233" s="233">
        <f>N233/N262</f>
        <v>0.50203128096037186</v>
      </c>
      <c r="P233" s="461"/>
      <c r="Q233" s="252"/>
      <c r="R233" s="185" t="s">
        <v>34</v>
      </c>
      <c r="S233" s="160">
        <f>S231+S232</f>
        <v>18111.407999999999</v>
      </c>
      <c r="T233" s="42"/>
      <c r="U233" s="39"/>
      <c r="V233" s="50"/>
      <c r="W233" s="51"/>
      <c r="X233" s="52">
        <f>S233</f>
        <v>18111.407999999999</v>
      </c>
      <c r="Y233" s="233">
        <f>X233/X262</f>
        <v>0.46379898225420513</v>
      </c>
      <c r="Z233" s="461"/>
      <c r="AA233" s="252"/>
      <c r="AB233" s="185" t="s">
        <v>34</v>
      </c>
      <c r="AC233" s="160">
        <f>AC231+AC232</f>
        <v>613.6431</v>
      </c>
      <c r="AD233" s="42"/>
      <c r="AE233" s="39"/>
      <c r="AF233" s="50"/>
      <c r="AG233" s="51"/>
      <c r="AH233" s="420">
        <f>AC233</f>
        <v>613.6431</v>
      </c>
      <c r="AI233" s="233">
        <f>AH233/AH262</f>
        <v>0.44487068446478734</v>
      </c>
      <c r="AJ233" s="221">
        <f t="shared" si="111"/>
        <v>174508.97659999999</v>
      </c>
      <c r="AK233" s="52"/>
    </row>
    <row r="234" spans="1:37" ht="21" x14ac:dyDescent="0.4">
      <c r="A234" s="299" t="s">
        <v>7</v>
      </c>
      <c r="B234" s="218" t="str">
        <f t="shared" si="108"/>
        <v>Office Service</v>
      </c>
      <c r="C234" s="5" t="s">
        <v>48</v>
      </c>
      <c r="D234" s="10"/>
      <c r="E234" s="117"/>
      <c r="F234" s="117"/>
      <c r="G234" s="117"/>
      <c r="H234" s="54"/>
      <c r="I234" s="166"/>
      <c r="J234" s="69"/>
      <c r="K234" s="69"/>
      <c r="L234" s="69"/>
      <c r="M234" s="70"/>
      <c r="N234" s="58"/>
      <c r="O234" s="231"/>
      <c r="P234" s="458"/>
      <c r="Q234" s="253"/>
      <c r="R234" s="179"/>
      <c r="S234" s="166"/>
      <c r="T234" s="69"/>
      <c r="U234" s="69"/>
      <c r="V234" s="69"/>
      <c r="W234" s="70"/>
      <c r="X234" s="57"/>
      <c r="Y234" s="231"/>
      <c r="Z234" s="458"/>
      <c r="AA234" s="253"/>
      <c r="AB234" s="179"/>
      <c r="AC234" s="166"/>
      <c r="AD234" s="69"/>
      <c r="AE234" s="69"/>
      <c r="AF234" s="69"/>
      <c r="AG234" s="70"/>
      <c r="AH234" s="58"/>
      <c r="AI234" s="231"/>
      <c r="AJ234" s="715"/>
      <c r="AK234" s="57"/>
    </row>
    <row r="235" spans="1:37" ht="21" x14ac:dyDescent="0.4">
      <c r="A235" s="299" t="s">
        <v>7</v>
      </c>
      <c r="B235" s="218" t="str">
        <f t="shared" si="108"/>
        <v>Office ServiceLABOR: SUPERVISORY</v>
      </c>
      <c r="C235" s="124" t="s">
        <v>50</v>
      </c>
      <c r="D235" s="10"/>
      <c r="E235" s="117"/>
      <c r="F235" s="117"/>
      <c r="G235" s="117"/>
      <c r="H235" s="61" t="s">
        <v>35</v>
      </c>
      <c r="I235" s="167"/>
      <c r="J235" s="74"/>
      <c r="K235" s="74"/>
      <c r="L235" s="74"/>
      <c r="M235" s="66"/>
      <c r="N235" s="26"/>
      <c r="O235" s="234"/>
      <c r="P235" s="462"/>
      <c r="Q235" s="252"/>
      <c r="R235" s="186" t="s">
        <v>35</v>
      </c>
      <c r="S235" s="167"/>
      <c r="T235" s="74"/>
      <c r="U235" s="74"/>
      <c r="V235" s="74"/>
      <c r="W235" s="66"/>
      <c r="X235" s="64"/>
      <c r="Y235" s="234"/>
      <c r="Z235" s="462"/>
      <c r="AA235" s="252"/>
      <c r="AB235" s="186" t="s">
        <v>35</v>
      </c>
      <c r="AC235" s="167"/>
      <c r="AD235" s="74"/>
      <c r="AE235" s="74"/>
      <c r="AF235" s="74"/>
      <c r="AG235" s="66"/>
      <c r="AH235" s="26"/>
      <c r="AI235" s="234"/>
      <c r="AJ235" s="714"/>
      <c r="AK235" s="64"/>
    </row>
    <row r="236" spans="1:37" ht="21" x14ac:dyDescent="0.4">
      <c r="A236" s="299" t="s">
        <v>7</v>
      </c>
      <c r="B236" s="218" t="str">
        <f t="shared" si="108"/>
        <v xml:space="preserve">Office ServiceSalary </v>
      </c>
      <c r="C236" s="5" t="s">
        <v>48</v>
      </c>
      <c r="D236" s="10"/>
      <c r="E236" s="117"/>
      <c r="F236" s="117"/>
      <c r="G236" s="117"/>
      <c r="H236" s="38" t="s">
        <v>319</v>
      </c>
      <c r="I236" s="158">
        <f t="shared" ref="I236" si="118">J236*K236</f>
        <v>16717.5</v>
      </c>
      <c r="J236" s="42">
        <v>371.5</v>
      </c>
      <c r="K236" s="39">
        <v>45</v>
      </c>
      <c r="L236" s="43"/>
      <c r="M236" s="40" t="str">
        <f t="shared" ref="M236" si="119">J236&amp;" hrs @ "&amp;K236</f>
        <v>371.5 hrs @ 45</v>
      </c>
      <c r="N236" s="26"/>
      <c r="O236" s="234"/>
      <c r="P236" s="462"/>
      <c r="Q236" s="249"/>
      <c r="R236" s="184" t="s">
        <v>319</v>
      </c>
      <c r="S236" s="158">
        <f t="shared" ref="S236" si="120">T236*U236</f>
        <v>1935</v>
      </c>
      <c r="T236" s="42">
        <v>43</v>
      </c>
      <c r="U236" s="39">
        <v>45</v>
      </c>
      <c r="V236" s="43"/>
      <c r="W236" s="40" t="str">
        <f t="shared" ref="W236" si="121">T236&amp;" hrs @ "&amp;U236</f>
        <v>43 hrs @ 45</v>
      </c>
      <c r="X236" s="64"/>
      <c r="Y236" s="234"/>
      <c r="Z236" s="462"/>
      <c r="AA236" s="249"/>
      <c r="AB236" s="184" t="s">
        <v>319</v>
      </c>
      <c r="AC236" s="158">
        <f t="shared" ref="AC236" si="122">AD236*AE236</f>
        <v>90</v>
      </c>
      <c r="AD236" s="42">
        <v>2</v>
      </c>
      <c r="AE236" s="39">
        <v>45</v>
      </c>
      <c r="AF236" s="43"/>
      <c r="AG236" s="40" t="str">
        <f t="shared" ref="AG236" si="123">AD236&amp;" hrs @ "&amp;AE236</f>
        <v>2 hrs @ 45</v>
      </c>
      <c r="AH236" s="26"/>
      <c r="AI236" s="234"/>
      <c r="AJ236" s="714">
        <f t="shared" ref="AJ236:AJ238" si="124">I236+S236+AC236</f>
        <v>18742.5</v>
      </c>
      <c r="AK236" s="64"/>
    </row>
    <row r="237" spans="1:37" ht="21" x14ac:dyDescent="0.4">
      <c r="A237" s="299" t="s">
        <v>7</v>
      </c>
      <c r="B237" s="218" t="str">
        <f t="shared" si="108"/>
        <v>Office ServiceBenefits</v>
      </c>
      <c r="C237" s="5" t="s">
        <v>48</v>
      </c>
      <c r="D237" s="10"/>
      <c r="E237" s="117"/>
      <c r="F237" s="117"/>
      <c r="G237" s="117"/>
      <c r="H237" s="38" t="s">
        <v>33</v>
      </c>
      <c r="I237" s="159">
        <f>I236*$O$2</f>
        <v>16481.78325</v>
      </c>
      <c r="J237" s="42"/>
      <c r="K237" s="39"/>
      <c r="L237" s="156"/>
      <c r="M237" s="45" t="str">
        <f>"@ "&amp;$O$2*100&amp;" %"</f>
        <v>@ 98.59 %</v>
      </c>
      <c r="N237" s="26"/>
      <c r="O237" s="234"/>
      <c r="P237" s="462"/>
      <c r="Q237" s="249"/>
      <c r="R237" s="184" t="s">
        <v>33</v>
      </c>
      <c r="S237" s="159">
        <f>S236*$O$2</f>
        <v>1907.7165</v>
      </c>
      <c r="T237" s="42"/>
      <c r="U237" s="39"/>
      <c r="V237" s="156"/>
      <c r="W237" s="45" t="str">
        <f>"@ "&amp;$O$2*100&amp;" %"</f>
        <v>@ 98.59 %</v>
      </c>
      <c r="X237" s="64"/>
      <c r="Y237" s="234"/>
      <c r="Z237" s="462"/>
      <c r="AA237" s="249"/>
      <c r="AB237" s="184" t="s">
        <v>33</v>
      </c>
      <c r="AC237" s="159">
        <f>AC236*$O$2</f>
        <v>88.730999999999995</v>
      </c>
      <c r="AD237" s="42"/>
      <c r="AE237" s="39"/>
      <c r="AF237" s="156"/>
      <c r="AG237" s="45" t="str">
        <f>"@ "&amp;$O$2*100&amp;" %"</f>
        <v>@ 98.59 %</v>
      </c>
      <c r="AH237" s="26"/>
      <c r="AI237" s="234"/>
      <c r="AJ237" s="714">
        <f t="shared" si="124"/>
        <v>18478.230749999999</v>
      </c>
      <c r="AK237" s="64"/>
    </row>
    <row r="238" spans="1:37" ht="21" x14ac:dyDescent="0.4">
      <c r="A238" s="299" t="s">
        <v>7</v>
      </c>
      <c r="B238" s="218" t="str">
        <f t="shared" si="108"/>
        <v>Office ServiceTotal</v>
      </c>
      <c r="C238" s="124" t="s">
        <v>50</v>
      </c>
      <c r="D238" s="10"/>
      <c r="E238" s="117"/>
      <c r="F238" s="117"/>
      <c r="G238" s="117"/>
      <c r="H238" s="49" t="s">
        <v>34</v>
      </c>
      <c r="I238" s="165">
        <f>I237+I236</f>
        <v>33199.28325</v>
      </c>
      <c r="J238" s="68"/>
      <c r="K238" s="68"/>
      <c r="L238" s="68"/>
      <c r="M238" s="63"/>
      <c r="N238" s="420">
        <f>I238</f>
        <v>33199.28325</v>
      </c>
      <c r="O238" s="233">
        <f>N238/N262</f>
        <v>0.10698843698712494</v>
      </c>
      <c r="P238" s="462"/>
      <c r="Q238" s="249"/>
      <c r="R238" s="185" t="s">
        <v>34</v>
      </c>
      <c r="S238" s="165">
        <f>S237+S236</f>
        <v>3842.7165</v>
      </c>
      <c r="T238" s="68"/>
      <c r="U238" s="68"/>
      <c r="V238" s="68"/>
      <c r="W238" s="63"/>
      <c r="X238" s="52">
        <f>S238</f>
        <v>3842.7165</v>
      </c>
      <c r="Y238" s="233">
        <f>X238/X262</f>
        <v>9.84047182743297E-2</v>
      </c>
      <c r="Z238" s="462"/>
      <c r="AA238" s="249"/>
      <c r="AB238" s="185" t="s">
        <v>34</v>
      </c>
      <c r="AC238" s="165">
        <f>AC237+AC236</f>
        <v>178.73099999999999</v>
      </c>
      <c r="AD238" s="68"/>
      <c r="AE238" s="68"/>
      <c r="AF238" s="68"/>
      <c r="AG238" s="63"/>
      <c r="AH238" s="420">
        <f>AC238</f>
        <v>178.73099999999999</v>
      </c>
      <c r="AI238" s="233">
        <f>AH238/AH262</f>
        <v>0.12957398576644291</v>
      </c>
      <c r="AJ238" s="221">
        <f t="shared" si="124"/>
        <v>37220.730750000002</v>
      </c>
      <c r="AK238" s="52"/>
    </row>
    <row r="239" spans="1:37" ht="21" x14ac:dyDescent="0.4">
      <c r="A239" s="299" t="s">
        <v>7</v>
      </c>
      <c r="B239" s="218" t="str">
        <f t="shared" si="108"/>
        <v>Office Service</v>
      </c>
      <c r="C239" s="5" t="s">
        <v>48</v>
      </c>
      <c r="D239" s="10"/>
      <c r="E239" s="117"/>
      <c r="F239" s="117"/>
      <c r="G239" s="117"/>
      <c r="H239" s="54"/>
      <c r="I239" s="166"/>
      <c r="J239" s="69"/>
      <c r="K239" s="69"/>
      <c r="L239" s="69"/>
      <c r="M239" s="70"/>
      <c r="N239" s="72"/>
      <c r="O239" s="235"/>
      <c r="P239" s="463"/>
      <c r="Q239" s="253"/>
      <c r="R239" s="179"/>
      <c r="S239" s="166"/>
      <c r="T239" s="69"/>
      <c r="U239" s="69"/>
      <c r="V239" s="69"/>
      <c r="W239" s="70"/>
      <c r="X239" s="71"/>
      <c r="Y239" s="235"/>
      <c r="Z239" s="463"/>
      <c r="AA239" s="253"/>
      <c r="AB239" s="179"/>
      <c r="AC239" s="166"/>
      <c r="AD239" s="69"/>
      <c r="AE239" s="69"/>
      <c r="AF239" s="69"/>
      <c r="AG239" s="70"/>
      <c r="AH239" s="72"/>
      <c r="AI239" s="235"/>
      <c r="AJ239" s="715"/>
      <c r="AK239" s="71"/>
    </row>
    <row r="240" spans="1:37" ht="21" x14ac:dyDescent="0.4">
      <c r="A240" s="299" t="s">
        <v>7</v>
      </c>
      <c r="B240" s="218" t="str">
        <f t="shared" si="108"/>
        <v>Office ServiceEQUIPMENT</v>
      </c>
      <c r="C240" s="124" t="s">
        <v>50</v>
      </c>
      <c r="D240" s="10"/>
      <c r="E240" s="117"/>
      <c r="F240" s="117"/>
      <c r="G240" s="117"/>
      <c r="H240" s="61" t="s">
        <v>36</v>
      </c>
      <c r="I240" s="167"/>
      <c r="J240" s="74"/>
      <c r="K240" s="74"/>
      <c r="L240" s="74"/>
      <c r="M240" s="66"/>
      <c r="N240" s="76"/>
      <c r="O240" s="237"/>
      <c r="P240" s="462"/>
      <c r="Q240" s="252"/>
      <c r="R240" s="186" t="s">
        <v>36</v>
      </c>
      <c r="S240" s="167"/>
      <c r="T240" s="74"/>
      <c r="U240" s="74"/>
      <c r="V240" s="74"/>
      <c r="W240" s="66"/>
      <c r="X240" s="75"/>
      <c r="Y240" s="237"/>
      <c r="Z240" s="462"/>
      <c r="AA240" s="252"/>
      <c r="AB240" s="186" t="s">
        <v>36</v>
      </c>
      <c r="AC240" s="167"/>
      <c r="AD240" s="74"/>
      <c r="AE240" s="74"/>
      <c r="AF240" s="74"/>
      <c r="AG240" s="66"/>
      <c r="AH240" s="76"/>
      <c r="AI240" s="237"/>
      <c r="AJ240" s="221"/>
      <c r="AK240" s="75"/>
    </row>
    <row r="241" spans="1:37" ht="21" x14ac:dyDescent="0.4">
      <c r="A241" s="299" t="s">
        <v>7</v>
      </c>
      <c r="B241" s="218" t="str">
        <f t="shared" si="108"/>
        <v>Office ServiceInserter</v>
      </c>
      <c r="C241" s="5" t="s">
        <v>48</v>
      </c>
      <c r="D241" s="10"/>
      <c r="E241" s="117"/>
      <c r="F241" s="117"/>
      <c r="G241" s="117"/>
      <c r="H241" s="77" t="s">
        <v>320</v>
      </c>
      <c r="I241" s="158">
        <f>J241*K241</f>
        <v>75086</v>
      </c>
      <c r="J241" s="42">
        <v>1</v>
      </c>
      <c r="K241" s="578">
        <v>75086</v>
      </c>
      <c r="L241" s="39"/>
      <c r="M241" s="40"/>
      <c r="N241" s="76"/>
      <c r="O241" s="237"/>
      <c r="P241" s="462"/>
      <c r="Q241" s="252"/>
      <c r="R241" s="187" t="s">
        <v>320</v>
      </c>
      <c r="S241" s="158">
        <f>T241*U241</f>
        <v>8710</v>
      </c>
      <c r="T241" s="42">
        <v>1</v>
      </c>
      <c r="U241" s="578">
        <v>8710</v>
      </c>
      <c r="V241" s="39"/>
      <c r="W241" s="40"/>
      <c r="X241" s="75"/>
      <c r="Y241" s="237"/>
      <c r="Z241" s="462"/>
      <c r="AA241" s="252"/>
      <c r="AB241" s="187" t="s">
        <v>320</v>
      </c>
      <c r="AC241" s="158">
        <f>AD241*AE241</f>
        <v>287</v>
      </c>
      <c r="AD241" s="42">
        <v>1</v>
      </c>
      <c r="AE241" s="578">
        <v>287</v>
      </c>
      <c r="AF241" s="39"/>
      <c r="AG241" s="40"/>
      <c r="AH241" s="76"/>
      <c r="AI241" s="237"/>
      <c r="AJ241" s="221">
        <f t="shared" ref="AJ241:AJ243" si="125">I241+S241+AC241</f>
        <v>84083</v>
      </c>
      <c r="AK241" s="75"/>
    </row>
    <row r="242" spans="1:37" ht="21" x14ac:dyDescent="0.4">
      <c r="A242" s="299" t="s">
        <v>7</v>
      </c>
      <c r="B242" s="218" t="str">
        <f t="shared" si="108"/>
        <v>Office ServicePrinter</v>
      </c>
      <c r="C242" s="5" t="s">
        <v>48</v>
      </c>
      <c r="D242" s="10"/>
      <c r="E242" s="117"/>
      <c r="F242" s="117"/>
      <c r="G242" s="117"/>
      <c r="H242" s="77" t="s">
        <v>321</v>
      </c>
      <c r="I242" s="158">
        <f t="shared" ref="I242:I243" si="126">J242*K242</f>
        <v>30005</v>
      </c>
      <c r="J242" s="42">
        <v>1</v>
      </c>
      <c r="K242" s="578">
        <v>30005</v>
      </c>
      <c r="L242" s="39"/>
      <c r="M242" s="40"/>
      <c r="N242" s="79"/>
      <c r="O242" s="238"/>
      <c r="P242" s="464"/>
      <c r="Q242" s="254"/>
      <c r="R242" s="187" t="s">
        <v>321</v>
      </c>
      <c r="S242" s="158">
        <f t="shared" ref="S242:S243" si="127">T242*U242</f>
        <v>3480</v>
      </c>
      <c r="T242" s="42">
        <v>1</v>
      </c>
      <c r="U242" s="578">
        <v>3480</v>
      </c>
      <c r="V242" s="39"/>
      <c r="W242" s="40"/>
      <c r="X242" s="78"/>
      <c r="Y242" s="238"/>
      <c r="Z242" s="464"/>
      <c r="AA242" s="254"/>
      <c r="AB242" s="187" t="s">
        <v>321</v>
      </c>
      <c r="AC242" s="158">
        <f t="shared" ref="AC242:AC243" si="128">AD242*AE242</f>
        <v>115</v>
      </c>
      <c r="AD242" s="42">
        <v>1</v>
      </c>
      <c r="AE242" s="578">
        <v>115</v>
      </c>
      <c r="AF242" s="39"/>
      <c r="AG242" s="40"/>
      <c r="AH242" s="79"/>
      <c r="AI242" s="238"/>
      <c r="AJ242" s="717">
        <f t="shared" si="125"/>
        <v>33600</v>
      </c>
      <c r="AK242" s="78"/>
    </row>
    <row r="243" spans="1:37" ht="21" x14ac:dyDescent="0.4">
      <c r="A243" s="299" t="s">
        <v>7</v>
      </c>
      <c r="B243" s="218" t="str">
        <f t="shared" si="108"/>
        <v>Office ServiceMeter bases</v>
      </c>
      <c r="C243" s="5" t="s">
        <v>48</v>
      </c>
      <c r="D243" s="10"/>
      <c r="E243" s="117"/>
      <c r="F243" s="117"/>
      <c r="G243" s="117"/>
      <c r="H243" s="77" t="s">
        <v>322</v>
      </c>
      <c r="I243" s="158">
        <f t="shared" si="126"/>
        <v>3033</v>
      </c>
      <c r="J243" s="42">
        <v>1</v>
      </c>
      <c r="K243" s="578">
        <v>3033</v>
      </c>
      <c r="L243" s="42"/>
      <c r="M243" s="40"/>
      <c r="N243" s="79"/>
      <c r="O243" s="238"/>
      <c r="P243" s="464"/>
      <c r="Q243" s="254"/>
      <c r="R243" s="187" t="s">
        <v>322</v>
      </c>
      <c r="S243" s="158">
        <f t="shared" si="127"/>
        <v>351</v>
      </c>
      <c r="T243" s="42">
        <v>1</v>
      </c>
      <c r="U243" s="578">
        <v>351</v>
      </c>
      <c r="V243" s="42"/>
      <c r="W243" s="40"/>
      <c r="X243" s="78"/>
      <c r="Y243" s="238"/>
      <c r="Z243" s="464"/>
      <c r="AA243" s="254"/>
      <c r="AB243" s="187" t="s">
        <v>322</v>
      </c>
      <c r="AC243" s="158">
        <f t="shared" si="128"/>
        <v>12</v>
      </c>
      <c r="AD243" s="42">
        <v>1</v>
      </c>
      <c r="AE243" s="578">
        <v>12</v>
      </c>
      <c r="AF243" s="42"/>
      <c r="AG243" s="40"/>
      <c r="AH243" s="79"/>
      <c r="AI243" s="238"/>
      <c r="AJ243" s="717">
        <f t="shared" si="125"/>
        <v>3396</v>
      </c>
      <c r="AK243" s="78"/>
    </row>
    <row r="244" spans="1:37" ht="21" x14ac:dyDescent="0.4">
      <c r="A244" s="299" t="s">
        <v>7</v>
      </c>
      <c r="B244" s="218" t="str">
        <f t="shared" si="108"/>
        <v>Office Service</v>
      </c>
      <c r="C244" s="5" t="s">
        <v>48</v>
      </c>
      <c r="D244" s="10"/>
      <c r="E244" s="117"/>
      <c r="F244" s="117"/>
      <c r="G244" s="117"/>
      <c r="H244" s="77"/>
      <c r="I244" s="158"/>
      <c r="J244" s="42"/>
      <c r="K244" s="39"/>
      <c r="L244" s="43"/>
      <c r="M244" s="40"/>
      <c r="N244" s="79"/>
      <c r="O244" s="238"/>
      <c r="P244" s="464"/>
      <c r="Q244" s="254"/>
      <c r="R244" s="187"/>
      <c r="S244" s="158"/>
      <c r="T244" s="42"/>
      <c r="U244" s="39"/>
      <c r="V244" s="43"/>
      <c r="W244" s="40"/>
      <c r="X244" s="78"/>
      <c r="Y244" s="238"/>
      <c r="Z244" s="464"/>
      <c r="AA244" s="254"/>
      <c r="AB244" s="187"/>
      <c r="AC244" s="158"/>
      <c r="AD244" s="42"/>
      <c r="AE244" s="39"/>
      <c r="AF244" s="43"/>
      <c r="AG244" s="40"/>
      <c r="AH244" s="79"/>
      <c r="AI244" s="238"/>
      <c r="AJ244" s="717"/>
      <c r="AK244" s="78"/>
    </row>
    <row r="245" spans="1:37" ht="21" x14ac:dyDescent="0.4">
      <c r="A245" s="299" t="s">
        <v>7</v>
      </c>
      <c r="B245" s="218" t="str">
        <f t="shared" si="108"/>
        <v>Office ServiceTotal Equipment</v>
      </c>
      <c r="C245" s="124" t="s">
        <v>50</v>
      </c>
      <c r="D245" s="10"/>
      <c r="E245" s="116">
        <f>I245</f>
        <v>108124</v>
      </c>
      <c r="F245" s="116">
        <f>S245</f>
        <v>12541</v>
      </c>
      <c r="G245" s="116">
        <f>AC245</f>
        <v>414</v>
      </c>
      <c r="H245" s="83" t="s">
        <v>37</v>
      </c>
      <c r="I245" s="165">
        <f>SUM(I241:I244)</f>
        <v>108124</v>
      </c>
      <c r="J245" s="68"/>
      <c r="K245" s="68"/>
      <c r="L245" s="68"/>
      <c r="M245" s="66"/>
      <c r="N245" s="420">
        <f>I245</f>
        <v>108124</v>
      </c>
      <c r="O245" s="233">
        <f>N245/N262</f>
        <v>0.34844179236296907</v>
      </c>
      <c r="P245" s="464"/>
      <c r="Q245" s="254"/>
      <c r="R245" s="188" t="s">
        <v>37</v>
      </c>
      <c r="S245" s="165">
        <f>SUM(S241:S244)</f>
        <v>12541</v>
      </c>
      <c r="T245" s="68"/>
      <c r="U245" s="68"/>
      <c r="V245" s="68"/>
      <c r="W245" s="66"/>
      <c r="X245" s="52">
        <f>S245</f>
        <v>12541</v>
      </c>
      <c r="Y245" s="233">
        <f>X245/X262</f>
        <v>0.32115134485678787</v>
      </c>
      <c r="Z245" s="464"/>
      <c r="AA245" s="254"/>
      <c r="AB245" s="188" t="s">
        <v>37</v>
      </c>
      <c r="AC245" s="165">
        <f>SUM(AC241:AC244)</f>
        <v>414</v>
      </c>
      <c r="AD245" s="68"/>
      <c r="AE245" s="68"/>
      <c r="AF245" s="68"/>
      <c r="AG245" s="66"/>
      <c r="AH245" s="420">
        <f>AC245</f>
        <v>414</v>
      </c>
      <c r="AI245" s="233">
        <f>AH245/AH262</f>
        <v>0.30013612695787167</v>
      </c>
      <c r="AJ245" s="221">
        <f>I245+S245+AC245</f>
        <v>121079</v>
      </c>
      <c r="AK245" s="52"/>
    </row>
    <row r="246" spans="1:37" ht="21" x14ac:dyDescent="0.4">
      <c r="A246" s="299" t="s">
        <v>7</v>
      </c>
      <c r="B246" s="218" t="str">
        <f t="shared" si="108"/>
        <v>Office Service</v>
      </c>
      <c r="C246" s="5" t="s">
        <v>48</v>
      </c>
      <c r="D246" s="10"/>
      <c r="E246" s="117"/>
      <c r="F246" s="117"/>
      <c r="G246" s="117"/>
      <c r="H246" s="84"/>
      <c r="I246" s="166"/>
      <c r="J246" s="69"/>
      <c r="K246" s="69"/>
      <c r="L246" s="69"/>
      <c r="M246" s="70"/>
      <c r="N246" s="88"/>
      <c r="O246" s="241"/>
      <c r="P246" s="465"/>
      <c r="Q246" s="253"/>
      <c r="R246" s="189"/>
      <c r="S246" s="166"/>
      <c r="T246" s="69"/>
      <c r="U246" s="69"/>
      <c r="V246" s="69"/>
      <c r="W246" s="70"/>
      <c r="X246" s="87"/>
      <c r="Y246" s="241"/>
      <c r="Z246" s="465"/>
      <c r="AA246" s="253"/>
      <c r="AB246" s="189"/>
      <c r="AC246" s="166"/>
      <c r="AD246" s="69"/>
      <c r="AE246" s="69"/>
      <c r="AF246" s="69"/>
      <c r="AG246" s="70"/>
      <c r="AH246" s="88"/>
      <c r="AI246" s="241"/>
      <c r="AJ246" s="718"/>
      <c r="AK246" s="87"/>
    </row>
    <row r="247" spans="1:37" ht="21" x14ac:dyDescent="0.4">
      <c r="A247" s="299" t="s">
        <v>7</v>
      </c>
      <c r="B247" s="218" t="str">
        <f t="shared" si="108"/>
        <v>Office ServiceIS SUPPORT</v>
      </c>
      <c r="C247" s="124" t="s">
        <v>50</v>
      </c>
      <c r="D247" s="10"/>
      <c r="E247" s="117"/>
      <c r="F247" s="117"/>
      <c r="G247" s="117"/>
      <c r="H247" s="61" t="s">
        <v>38</v>
      </c>
      <c r="I247" s="167"/>
      <c r="J247" s="74"/>
      <c r="K247" s="74"/>
      <c r="L247" s="74"/>
      <c r="M247" s="66"/>
      <c r="N247" s="91"/>
      <c r="O247" s="227"/>
      <c r="P247" s="466"/>
      <c r="Q247" s="252"/>
      <c r="R247" s="186" t="s">
        <v>38</v>
      </c>
      <c r="S247" s="167"/>
      <c r="T247" s="74"/>
      <c r="U247" s="74"/>
      <c r="V247" s="74"/>
      <c r="W247" s="66"/>
      <c r="X247" s="90"/>
      <c r="Y247" s="227"/>
      <c r="Z247" s="466"/>
      <c r="AA247" s="252"/>
      <c r="AB247" s="186" t="s">
        <v>38</v>
      </c>
      <c r="AC247" s="167"/>
      <c r="AD247" s="74"/>
      <c r="AE247" s="39"/>
      <c r="AF247" s="74"/>
      <c r="AG247" s="66"/>
      <c r="AH247" s="91"/>
      <c r="AI247" s="227"/>
      <c r="AJ247" s="719"/>
      <c r="AK247" s="90"/>
    </row>
    <row r="248" spans="1:37" ht="21" x14ac:dyDescent="0.4">
      <c r="A248" s="299" t="s">
        <v>7</v>
      </c>
      <c r="B248" s="218" t="str">
        <f t="shared" si="108"/>
        <v>Office Service</v>
      </c>
      <c r="C248" s="5" t="s">
        <v>48</v>
      </c>
      <c r="D248" s="10"/>
      <c r="E248" s="117"/>
      <c r="F248" s="117"/>
      <c r="G248" s="117"/>
      <c r="H248" s="38"/>
      <c r="I248" s="162">
        <f>J248*K248</f>
        <v>0</v>
      </c>
      <c r="J248" s="42"/>
      <c r="K248" s="39"/>
      <c r="L248" s="39"/>
      <c r="M248" s="40" t="str">
        <f>J248&amp;" hrs @ "&amp;K248</f>
        <v xml:space="preserve"> hrs @ </v>
      </c>
      <c r="N248" s="94"/>
      <c r="O248" s="242"/>
      <c r="P248" s="466"/>
      <c r="Q248" s="252"/>
      <c r="R248" s="184"/>
      <c r="S248" s="162">
        <f>T248*U248</f>
        <v>0</v>
      </c>
      <c r="T248" s="42"/>
      <c r="U248" s="39"/>
      <c r="V248" s="39"/>
      <c r="W248" s="40" t="str">
        <f>T248&amp;" hrs @ "&amp;U248</f>
        <v xml:space="preserve"> hrs @ </v>
      </c>
      <c r="X248" s="93"/>
      <c r="Y248" s="242"/>
      <c r="Z248" s="466"/>
      <c r="AA248" s="252"/>
      <c r="AB248" s="184"/>
      <c r="AC248" s="162">
        <f>AD248*AE248</f>
        <v>0</v>
      </c>
      <c r="AD248" s="42"/>
      <c r="AE248" s="39"/>
      <c r="AF248" s="39"/>
      <c r="AG248" s="40" t="str">
        <f>AD248&amp;" hrs @ "&amp;AE248</f>
        <v xml:space="preserve"> hrs @ </v>
      </c>
      <c r="AH248" s="94"/>
      <c r="AI248" s="242"/>
      <c r="AJ248" s="720">
        <f t="shared" ref="AJ248:AJ250" si="129">I248+S248+AC248</f>
        <v>0</v>
      </c>
      <c r="AK248" s="93"/>
    </row>
    <row r="249" spans="1:37" ht="21" x14ac:dyDescent="0.4">
      <c r="A249" s="299" t="s">
        <v>7</v>
      </c>
      <c r="B249" s="218" t="str">
        <f t="shared" si="108"/>
        <v>Office Service</v>
      </c>
      <c r="C249" s="5" t="s">
        <v>48</v>
      </c>
      <c r="D249" s="10"/>
      <c r="E249" s="117"/>
      <c r="F249" s="117"/>
      <c r="G249" s="117"/>
      <c r="H249" s="38"/>
      <c r="I249" s="159">
        <f>I248*$O$2</f>
        <v>0</v>
      </c>
      <c r="J249" s="42"/>
      <c r="K249" s="39"/>
      <c r="L249" s="156"/>
      <c r="M249" s="45" t="str">
        <f>"@ "&amp;$O$2*100&amp;" %"</f>
        <v>@ 98.59 %</v>
      </c>
      <c r="N249" s="94"/>
      <c r="O249" s="242"/>
      <c r="P249" s="466"/>
      <c r="Q249" s="252"/>
      <c r="R249" s="184"/>
      <c r="S249" s="159">
        <f>S248*$O$2</f>
        <v>0</v>
      </c>
      <c r="T249" s="42"/>
      <c r="U249" s="39"/>
      <c r="V249" s="156"/>
      <c r="W249" s="45" t="str">
        <f>"@ "&amp;$O$2*100&amp;" %"</f>
        <v>@ 98.59 %</v>
      </c>
      <c r="X249" s="93"/>
      <c r="Y249" s="242"/>
      <c r="Z249" s="466"/>
      <c r="AA249" s="252"/>
      <c r="AB249" s="184"/>
      <c r="AC249" s="159">
        <f>AC248*$O$2</f>
        <v>0</v>
      </c>
      <c r="AD249" s="42"/>
      <c r="AE249" s="39"/>
      <c r="AF249" s="156"/>
      <c r="AG249" s="45" t="str">
        <f>"@ "&amp;$O$2*100&amp;" %"</f>
        <v>@ 98.59 %</v>
      </c>
      <c r="AH249" s="94"/>
      <c r="AI249" s="242"/>
      <c r="AJ249" s="720">
        <f t="shared" si="129"/>
        <v>0</v>
      </c>
      <c r="AK249" s="93"/>
    </row>
    <row r="250" spans="1:37" ht="21" x14ac:dyDescent="0.4">
      <c r="A250" s="299" t="s">
        <v>7</v>
      </c>
      <c r="B250" s="218" t="str">
        <f t="shared" si="108"/>
        <v>Office ServiceTotal IS</v>
      </c>
      <c r="C250" s="124" t="s">
        <v>50</v>
      </c>
      <c r="D250" s="10"/>
      <c r="E250" s="117"/>
      <c r="F250" s="117"/>
      <c r="G250" s="117"/>
      <c r="H250" s="49" t="s">
        <v>41</v>
      </c>
      <c r="I250" s="165">
        <f>I248+I249</f>
        <v>0</v>
      </c>
      <c r="J250" s="68"/>
      <c r="K250" s="68"/>
      <c r="L250" s="68"/>
      <c r="M250" s="66"/>
      <c r="N250" s="420">
        <f>I250</f>
        <v>0</v>
      </c>
      <c r="O250" s="233">
        <f>N250/N262</f>
        <v>0</v>
      </c>
      <c r="P250" s="466"/>
      <c r="Q250" s="252"/>
      <c r="R250" s="185" t="s">
        <v>41</v>
      </c>
      <c r="S250" s="165">
        <f>S248+S249</f>
        <v>0</v>
      </c>
      <c r="T250" s="68"/>
      <c r="U250" s="68"/>
      <c r="V250" s="68"/>
      <c r="W250" s="66"/>
      <c r="X250" s="52">
        <f>S250</f>
        <v>0</v>
      </c>
      <c r="Y250" s="233">
        <f>X250/X262</f>
        <v>0</v>
      </c>
      <c r="Z250" s="466"/>
      <c r="AA250" s="252"/>
      <c r="AB250" s="185" t="s">
        <v>41</v>
      </c>
      <c r="AC250" s="165">
        <f>AC248+AC249</f>
        <v>0</v>
      </c>
      <c r="AD250" s="68"/>
      <c r="AE250" s="68"/>
      <c r="AF250" s="68"/>
      <c r="AG250" s="66"/>
      <c r="AH250" s="420">
        <f>AC250</f>
        <v>0</v>
      </c>
      <c r="AI250" s="233">
        <f>AH250/AH262</f>
        <v>0</v>
      </c>
      <c r="AJ250" s="221">
        <f t="shared" si="129"/>
        <v>0</v>
      </c>
      <c r="AK250" s="52"/>
    </row>
    <row r="251" spans="1:37" ht="21" x14ac:dyDescent="0.4">
      <c r="A251" s="299" t="s">
        <v>7</v>
      </c>
      <c r="B251" s="218" t="str">
        <f t="shared" si="108"/>
        <v>Office Service</v>
      </c>
      <c r="C251" s="5" t="s">
        <v>48</v>
      </c>
      <c r="D251" s="10"/>
      <c r="E251" s="117"/>
      <c r="F251" s="117"/>
      <c r="G251" s="117"/>
      <c r="H251" s="54"/>
      <c r="I251" s="166"/>
      <c r="J251" s="69"/>
      <c r="K251" s="69"/>
      <c r="L251" s="69"/>
      <c r="M251" s="70"/>
      <c r="N251" s="98"/>
      <c r="O251" s="243"/>
      <c r="P251" s="467"/>
      <c r="Q251" s="253"/>
      <c r="R251" s="179"/>
      <c r="S251" s="166"/>
      <c r="T251" s="69"/>
      <c r="U251" s="69"/>
      <c r="V251" s="69"/>
      <c r="W251" s="70"/>
      <c r="X251" s="97"/>
      <c r="Y251" s="243"/>
      <c r="Z251" s="467"/>
      <c r="AA251" s="253"/>
      <c r="AB251" s="179"/>
      <c r="AC251" s="166"/>
      <c r="AD251" s="69"/>
      <c r="AE251" s="69"/>
      <c r="AF251" s="69"/>
      <c r="AG251" s="70"/>
      <c r="AH251" s="98"/>
      <c r="AI251" s="243"/>
      <c r="AJ251" s="721"/>
      <c r="AK251" s="97"/>
    </row>
    <row r="252" spans="1:37" ht="21" x14ac:dyDescent="0.4">
      <c r="A252" s="299" t="s">
        <v>7</v>
      </c>
      <c r="B252" s="218" t="str">
        <f t="shared" si="108"/>
        <v>Office ServiceOTHER</v>
      </c>
      <c r="C252" s="124" t="s">
        <v>50</v>
      </c>
      <c r="D252" s="10"/>
      <c r="E252" s="117"/>
      <c r="F252" s="117"/>
      <c r="G252" s="117"/>
      <c r="H252" s="61" t="s">
        <v>42</v>
      </c>
      <c r="I252" s="167"/>
      <c r="J252" s="74"/>
      <c r="K252" s="74"/>
      <c r="L252" s="74"/>
      <c r="M252" s="66"/>
      <c r="N252" s="91"/>
      <c r="O252" s="227"/>
      <c r="P252" s="466"/>
      <c r="Q252" s="252"/>
      <c r="R252" s="186" t="s">
        <v>42</v>
      </c>
      <c r="S252" s="167"/>
      <c r="T252" s="74"/>
      <c r="U252" s="74"/>
      <c r="V252" s="74"/>
      <c r="W252" s="66"/>
      <c r="X252" s="90"/>
      <c r="Y252" s="227"/>
      <c r="Z252" s="466"/>
      <c r="AA252" s="252"/>
      <c r="AB252" s="186" t="s">
        <v>42</v>
      </c>
      <c r="AC252" s="167"/>
      <c r="AD252" s="74"/>
      <c r="AE252" s="74"/>
      <c r="AF252" s="74"/>
      <c r="AG252" s="66"/>
      <c r="AH252" s="91"/>
      <c r="AI252" s="227"/>
      <c r="AJ252" s="719"/>
      <c r="AK252" s="90"/>
    </row>
    <row r="253" spans="1:37" ht="21" x14ac:dyDescent="0.4">
      <c r="A253" s="299" t="s">
        <v>7</v>
      </c>
      <c r="B253" s="218" t="str">
        <f t="shared" si="108"/>
        <v>Office ServiceMeter bases</v>
      </c>
      <c r="C253" s="5" t="s">
        <v>48</v>
      </c>
      <c r="D253" s="10"/>
      <c r="E253" s="117"/>
      <c r="F253" s="117"/>
      <c r="G253" s="117"/>
      <c r="H253" s="38" t="s">
        <v>322</v>
      </c>
      <c r="I253" s="158">
        <f t="shared" ref="I253:I258" si="130">J253*K253</f>
        <v>3575</v>
      </c>
      <c r="J253" s="42">
        <v>1</v>
      </c>
      <c r="K253" s="578">
        <v>3575</v>
      </c>
      <c r="L253" s="42"/>
      <c r="M253" s="66"/>
      <c r="N253" s="91"/>
      <c r="O253" s="227"/>
      <c r="P253" s="466"/>
      <c r="Q253" s="252"/>
      <c r="R253" s="184" t="s">
        <v>322</v>
      </c>
      <c r="S253" s="158">
        <f t="shared" ref="S253:S258" si="131">T253*U253</f>
        <v>3439</v>
      </c>
      <c r="T253" s="42">
        <v>1</v>
      </c>
      <c r="U253" s="578">
        <v>3439</v>
      </c>
      <c r="V253" s="42"/>
      <c r="W253" s="66"/>
      <c r="X253" s="90"/>
      <c r="Y253" s="227"/>
      <c r="Z253" s="466"/>
      <c r="AA253" s="252"/>
      <c r="AB253" s="184" t="s">
        <v>322</v>
      </c>
      <c r="AC253" s="158">
        <f t="shared" ref="AC253:AC258" si="132">AD253*AE253</f>
        <v>136</v>
      </c>
      <c r="AD253" s="42">
        <v>1</v>
      </c>
      <c r="AE253" s="578">
        <v>136</v>
      </c>
      <c r="AF253" s="42"/>
      <c r="AG253" s="66"/>
      <c r="AH253" s="91"/>
      <c r="AI253" s="227"/>
      <c r="AJ253" s="719">
        <f t="shared" ref="AJ253:AJ259" si="133">I253+S253+AC253</f>
        <v>7150</v>
      </c>
      <c r="AK253" s="90"/>
    </row>
    <row r="254" spans="1:37" ht="21" x14ac:dyDescent="0.4">
      <c r="A254" s="299" t="s">
        <v>7</v>
      </c>
      <c r="B254" s="218" t="str">
        <f t="shared" si="108"/>
        <v>Office ServicePrinter</v>
      </c>
      <c r="C254" s="5" t="s">
        <v>48</v>
      </c>
      <c r="D254" s="10"/>
      <c r="E254" s="117"/>
      <c r="F254" s="117"/>
      <c r="G254" s="117"/>
      <c r="H254" s="38" t="s">
        <v>321</v>
      </c>
      <c r="I254" s="158">
        <f t="shared" si="130"/>
        <v>9625</v>
      </c>
      <c r="J254" s="42">
        <v>1</v>
      </c>
      <c r="K254" s="578">
        <v>9625</v>
      </c>
      <c r="L254" s="42"/>
      <c r="M254" s="66"/>
      <c r="N254" s="91"/>
      <c r="O254" s="227"/>
      <c r="P254" s="466"/>
      <c r="Q254" s="252"/>
      <c r="R254" s="184" t="s">
        <v>321</v>
      </c>
      <c r="S254" s="158">
        <f t="shared" si="131"/>
        <v>1116</v>
      </c>
      <c r="T254" s="42">
        <v>1</v>
      </c>
      <c r="U254" s="578">
        <v>1116</v>
      </c>
      <c r="V254" s="42"/>
      <c r="W254" s="66"/>
      <c r="X254" s="90"/>
      <c r="Y254" s="227"/>
      <c r="Z254" s="466"/>
      <c r="AA254" s="252"/>
      <c r="AB254" s="184" t="s">
        <v>321</v>
      </c>
      <c r="AC254" s="158">
        <f t="shared" si="132"/>
        <v>37</v>
      </c>
      <c r="AD254" s="42">
        <v>1</v>
      </c>
      <c r="AE254" s="578">
        <v>37</v>
      </c>
      <c r="AF254" s="42"/>
      <c r="AG254" s="66"/>
      <c r="AH254" s="91"/>
      <c r="AI254" s="227"/>
      <c r="AJ254" s="719">
        <f t="shared" si="133"/>
        <v>10778</v>
      </c>
      <c r="AK254" s="90"/>
    </row>
    <row r="255" spans="1:37" ht="21" x14ac:dyDescent="0.4">
      <c r="A255" s="299" t="s">
        <v>7</v>
      </c>
      <c r="B255" s="218" t="str">
        <f t="shared" si="108"/>
        <v>Office Service</v>
      </c>
      <c r="C255" s="5" t="s">
        <v>48</v>
      </c>
      <c r="D255" s="10"/>
      <c r="E255" s="117"/>
      <c r="F255" s="117"/>
      <c r="G255" s="117"/>
      <c r="H255" s="38"/>
      <c r="I255" s="158">
        <f t="shared" si="130"/>
        <v>0</v>
      </c>
      <c r="J255" s="42"/>
      <c r="K255" s="39"/>
      <c r="L255" s="42"/>
      <c r="M255" s="66"/>
      <c r="N255" s="91"/>
      <c r="O255" s="227"/>
      <c r="P255" s="466"/>
      <c r="Q255" s="252"/>
      <c r="R255" s="184"/>
      <c r="S255" s="158">
        <f t="shared" si="131"/>
        <v>0</v>
      </c>
      <c r="T255" s="42"/>
      <c r="U255" s="39"/>
      <c r="V255" s="42"/>
      <c r="W255" s="66"/>
      <c r="X255" s="90"/>
      <c r="Y255" s="227"/>
      <c r="Z255" s="466"/>
      <c r="AA255" s="252"/>
      <c r="AB255" s="184"/>
      <c r="AC255" s="158">
        <f t="shared" si="132"/>
        <v>0</v>
      </c>
      <c r="AD255" s="42"/>
      <c r="AE255" s="39"/>
      <c r="AF255" s="42"/>
      <c r="AG255" s="66"/>
      <c r="AH255" s="91"/>
      <c r="AI255" s="227"/>
      <c r="AJ255" s="719">
        <f t="shared" si="133"/>
        <v>0</v>
      </c>
      <c r="AK255" s="90"/>
    </row>
    <row r="256" spans="1:37" ht="21" x14ac:dyDescent="0.4">
      <c r="A256" s="299" t="s">
        <v>7</v>
      </c>
      <c r="B256" s="218" t="str">
        <f t="shared" si="108"/>
        <v>Office Service</v>
      </c>
      <c r="C256" s="5" t="s">
        <v>48</v>
      </c>
      <c r="D256" s="10"/>
      <c r="E256" s="117"/>
      <c r="F256" s="117"/>
      <c r="G256" s="117"/>
      <c r="H256" s="38"/>
      <c r="I256" s="158">
        <f t="shared" si="130"/>
        <v>0</v>
      </c>
      <c r="J256" s="42"/>
      <c r="K256" s="39"/>
      <c r="L256" s="42"/>
      <c r="M256" s="66"/>
      <c r="N256" s="91"/>
      <c r="O256" s="227"/>
      <c r="P256" s="466"/>
      <c r="Q256" s="252"/>
      <c r="R256" s="184"/>
      <c r="S256" s="158">
        <f t="shared" si="131"/>
        <v>0</v>
      </c>
      <c r="T256" s="42"/>
      <c r="U256" s="39"/>
      <c r="V256" s="42"/>
      <c r="W256" s="66"/>
      <c r="X256" s="90"/>
      <c r="Y256" s="227"/>
      <c r="Z256" s="466"/>
      <c r="AA256" s="252"/>
      <c r="AB256" s="184"/>
      <c r="AC256" s="158">
        <f t="shared" si="132"/>
        <v>0</v>
      </c>
      <c r="AD256" s="42"/>
      <c r="AE256" s="39"/>
      <c r="AF256" s="42"/>
      <c r="AG256" s="66"/>
      <c r="AH256" s="91"/>
      <c r="AI256" s="227"/>
      <c r="AJ256" s="719">
        <f t="shared" si="133"/>
        <v>0</v>
      </c>
      <c r="AK256" s="90"/>
    </row>
    <row r="257" spans="1:37" ht="21" x14ac:dyDescent="0.4">
      <c r="A257" s="299" t="s">
        <v>7</v>
      </c>
      <c r="B257" s="218" t="str">
        <f t="shared" si="108"/>
        <v>Office Service</v>
      </c>
      <c r="C257" s="5" t="s">
        <v>48</v>
      </c>
      <c r="D257" s="10"/>
      <c r="E257" s="117"/>
      <c r="F257" s="117"/>
      <c r="G257" s="117"/>
      <c r="H257" s="38"/>
      <c r="I257" s="158">
        <f t="shared" si="130"/>
        <v>0</v>
      </c>
      <c r="J257" s="42"/>
      <c r="K257" s="39"/>
      <c r="L257" s="42"/>
      <c r="M257" s="66"/>
      <c r="N257" s="91"/>
      <c r="O257" s="227"/>
      <c r="P257" s="466"/>
      <c r="Q257" s="252"/>
      <c r="R257" s="184"/>
      <c r="S257" s="158">
        <f t="shared" si="131"/>
        <v>0</v>
      </c>
      <c r="T257" s="42"/>
      <c r="U257" s="39"/>
      <c r="V257" s="42"/>
      <c r="W257" s="66"/>
      <c r="X257" s="90"/>
      <c r="Y257" s="227"/>
      <c r="Z257" s="466"/>
      <c r="AA257" s="252"/>
      <c r="AB257" s="184"/>
      <c r="AC257" s="158">
        <f t="shared" si="132"/>
        <v>0</v>
      </c>
      <c r="AD257" s="42"/>
      <c r="AE257" s="39"/>
      <c r="AF257" s="42"/>
      <c r="AG257" s="66"/>
      <c r="AH257" s="91"/>
      <c r="AI257" s="227"/>
      <c r="AJ257" s="719">
        <f t="shared" si="133"/>
        <v>0</v>
      </c>
      <c r="AK257" s="90"/>
    </row>
    <row r="258" spans="1:37" ht="21" x14ac:dyDescent="0.4">
      <c r="A258" s="299" t="s">
        <v>7</v>
      </c>
      <c r="B258" s="218" t="str">
        <f t="shared" si="108"/>
        <v>Office Service</v>
      </c>
      <c r="C258" s="5" t="s">
        <v>48</v>
      </c>
      <c r="D258" s="10"/>
      <c r="E258" s="117"/>
      <c r="F258" s="117"/>
      <c r="G258" s="117"/>
      <c r="H258" s="38"/>
      <c r="I258" s="158">
        <f t="shared" si="130"/>
        <v>0</v>
      </c>
      <c r="J258" s="67"/>
      <c r="K258" s="67"/>
      <c r="L258" s="67"/>
      <c r="M258" s="40"/>
      <c r="N258" s="94"/>
      <c r="O258" s="242"/>
      <c r="P258" s="466"/>
      <c r="Q258" s="252"/>
      <c r="R258" s="184"/>
      <c r="S258" s="158">
        <f t="shared" si="131"/>
        <v>0</v>
      </c>
      <c r="T258" s="67"/>
      <c r="U258" s="67"/>
      <c r="V258" s="67"/>
      <c r="W258" s="40"/>
      <c r="X258" s="93"/>
      <c r="Y258" s="242"/>
      <c r="Z258" s="466"/>
      <c r="AA258" s="252"/>
      <c r="AB258" s="184"/>
      <c r="AC258" s="158">
        <f t="shared" si="132"/>
        <v>0</v>
      </c>
      <c r="AD258" s="67"/>
      <c r="AE258" s="67"/>
      <c r="AF258" s="67"/>
      <c r="AG258" s="40"/>
      <c r="AH258" s="94"/>
      <c r="AI258" s="242"/>
      <c r="AJ258" s="720">
        <f t="shared" si="133"/>
        <v>0</v>
      </c>
      <c r="AK258" s="93"/>
    </row>
    <row r="259" spans="1:37" ht="21" x14ac:dyDescent="0.4">
      <c r="A259" s="299" t="s">
        <v>7</v>
      </c>
      <c r="B259" s="218" t="str">
        <f t="shared" si="108"/>
        <v>Office ServiceTotal Other</v>
      </c>
      <c r="C259" s="124" t="s">
        <v>50</v>
      </c>
      <c r="D259" s="10"/>
      <c r="E259" s="116">
        <f>I259</f>
        <v>13200</v>
      </c>
      <c r="F259" s="116">
        <f>S259</f>
        <v>4555</v>
      </c>
      <c r="G259" s="116">
        <f>AC259</f>
        <v>173</v>
      </c>
      <c r="H259" s="49" t="s">
        <v>45</v>
      </c>
      <c r="I259" s="165">
        <f>SUM(I253:I258)</f>
        <v>13200</v>
      </c>
      <c r="J259" s="68"/>
      <c r="K259" s="68"/>
      <c r="L259" s="68"/>
      <c r="M259" s="66"/>
      <c r="N259" s="414">
        <f>I259</f>
        <v>13200</v>
      </c>
      <c r="O259" s="233">
        <f>N259/N262</f>
        <v>4.2538489689534165E-2</v>
      </c>
      <c r="P259" s="466"/>
      <c r="Q259" s="165"/>
      <c r="R259" s="185" t="s">
        <v>45</v>
      </c>
      <c r="S259" s="165">
        <f>SUM(S253:S258)</f>
        <v>4555</v>
      </c>
      <c r="T259" s="68"/>
      <c r="U259" s="68"/>
      <c r="V259" s="68"/>
      <c r="W259" s="66"/>
      <c r="X259" s="165">
        <f>S259</f>
        <v>4555</v>
      </c>
      <c r="Y259" s="233">
        <f>X259/X262</f>
        <v>0.11664495461467736</v>
      </c>
      <c r="Z259" s="466"/>
      <c r="AA259" s="165"/>
      <c r="AB259" s="185" t="s">
        <v>45</v>
      </c>
      <c r="AC259" s="165">
        <f>SUM(AC253:AC258)</f>
        <v>173</v>
      </c>
      <c r="AD259" s="68"/>
      <c r="AE259" s="68"/>
      <c r="AF259" s="68"/>
      <c r="AG259" s="66"/>
      <c r="AH259" s="414">
        <f>AC259</f>
        <v>173</v>
      </c>
      <c r="AI259" s="233">
        <f>AH259/AH262</f>
        <v>0.12541920281089808</v>
      </c>
      <c r="AJ259" s="722">
        <f t="shared" si="133"/>
        <v>17928</v>
      </c>
      <c r="AK259" s="165"/>
    </row>
    <row r="260" spans="1:37" ht="21.6" thickBot="1" x14ac:dyDescent="0.45">
      <c r="A260" s="299" t="s">
        <v>7</v>
      </c>
      <c r="B260" s="218" t="str">
        <f t="shared" si="108"/>
        <v>Office Service</v>
      </c>
      <c r="C260" s="5" t="s">
        <v>48</v>
      </c>
      <c r="D260" s="10"/>
      <c r="E260" s="117"/>
      <c r="F260" s="117"/>
      <c r="G260" s="117"/>
      <c r="H260" s="100"/>
      <c r="I260" s="178"/>
      <c r="J260" s="101"/>
      <c r="K260" s="101"/>
      <c r="L260" s="101"/>
      <c r="M260" s="102"/>
      <c r="N260" s="415"/>
      <c r="O260" s="178"/>
      <c r="P260" s="178"/>
      <c r="Q260" s="178"/>
      <c r="R260" s="178"/>
      <c r="S260" s="178"/>
      <c r="T260" s="101"/>
      <c r="U260" s="101"/>
      <c r="V260" s="101"/>
      <c r="W260" s="102"/>
      <c r="X260" s="178"/>
      <c r="Y260" s="178"/>
      <c r="Z260" s="178"/>
      <c r="AA260" s="178"/>
      <c r="AB260" s="178"/>
      <c r="AC260" s="178"/>
      <c r="AD260" s="101"/>
      <c r="AE260" s="101"/>
      <c r="AF260" s="101"/>
      <c r="AG260" s="102"/>
      <c r="AH260" s="415"/>
      <c r="AI260" s="178"/>
      <c r="AJ260" s="723"/>
      <c r="AK260" s="178"/>
    </row>
    <row r="261" spans="1:37" ht="21.6" thickTop="1" x14ac:dyDescent="0.4">
      <c r="A261" s="299" t="s">
        <v>7</v>
      </c>
      <c r="B261" s="218" t="str">
        <f t="shared" si="108"/>
        <v>Office ServiceTOTALS</v>
      </c>
      <c r="C261" s="5" t="s">
        <v>48</v>
      </c>
      <c r="D261" s="10"/>
      <c r="E261" s="117"/>
      <c r="F261" s="117"/>
      <c r="G261" s="117"/>
      <c r="H261" s="61" t="s">
        <v>28</v>
      </c>
      <c r="I261" s="103"/>
      <c r="J261" s="103"/>
      <c r="K261" s="103"/>
      <c r="L261" s="103"/>
      <c r="M261" s="104"/>
      <c r="N261" s="91"/>
      <c r="O261" s="136"/>
      <c r="P261" s="466"/>
      <c r="Q261" s="252"/>
      <c r="R261" s="186" t="s">
        <v>28</v>
      </c>
      <c r="S261" s="103"/>
      <c r="T261" s="103"/>
      <c r="U261" s="103"/>
      <c r="V261" s="103"/>
      <c r="W261" s="104"/>
      <c r="X261" s="90"/>
      <c r="Y261" s="136"/>
      <c r="Z261" s="466"/>
      <c r="AA261" s="252"/>
      <c r="AB261" s="186" t="s">
        <v>28</v>
      </c>
      <c r="AC261" s="103"/>
      <c r="AD261" s="103"/>
      <c r="AE261" s="103"/>
      <c r="AF261" s="103"/>
      <c r="AG261" s="104"/>
      <c r="AH261" s="91"/>
      <c r="AI261" s="136"/>
      <c r="AJ261" s="719"/>
      <c r="AK261" s="90"/>
    </row>
    <row r="262" spans="1:37" ht="21" x14ac:dyDescent="0.4">
      <c r="A262" s="299" t="s">
        <v>7</v>
      </c>
      <c r="B262" s="218" t="str">
        <f t="shared" si="108"/>
        <v>Office ServicePER YEAR</v>
      </c>
      <c r="C262" s="124" t="s">
        <v>50</v>
      </c>
      <c r="D262" s="10"/>
      <c r="E262" s="117"/>
      <c r="F262" s="117"/>
      <c r="G262" s="117"/>
      <c r="H262" s="105" t="s">
        <v>46</v>
      </c>
      <c r="I262" s="106">
        <f>I233+I238+I245+I250+I259</f>
        <v>310307.20874999999</v>
      </c>
      <c r="J262" s="106"/>
      <c r="K262" s="106"/>
      <c r="L262" s="106"/>
      <c r="M262" s="107"/>
      <c r="N262" s="420">
        <f>SUM(N233:N260)</f>
        <v>310307.20874999999</v>
      </c>
      <c r="O262" s="233">
        <f>SUM(O233:O260)</f>
        <v>1</v>
      </c>
      <c r="P262" s="466"/>
      <c r="Q262" s="252"/>
      <c r="R262" s="190" t="s">
        <v>46</v>
      </c>
      <c r="S262" s="106">
        <f>S233+S238+S245+S250+S259</f>
        <v>39050.124499999998</v>
      </c>
      <c r="T262" s="106"/>
      <c r="U262" s="106"/>
      <c r="V262" s="106"/>
      <c r="W262" s="107"/>
      <c r="X262" s="52">
        <f>SUM(X233:X260)</f>
        <v>39050.124499999998</v>
      </c>
      <c r="Y262" s="233">
        <f>SUM(Y233:Y260)</f>
        <v>1</v>
      </c>
      <c r="Z262" s="466"/>
      <c r="AA262" s="252"/>
      <c r="AB262" s="190" t="s">
        <v>46</v>
      </c>
      <c r="AC262" s="106">
        <f>AC233+AC238+AC245+AC250+AC259</f>
        <v>1379.3741</v>
      </c>
      <c r="AD262" s="106"/>
      <c r="AE262" s="106"/>
      <c r="AF262" s="106"/>
      <c r="AG262" s="107"/>
      <c r="AH262" s="420">
        <f>SUM(AH233:AH260)</f>
        <v>1379.3741</v>
      </c>
      <c r="AI262" s="233">
        <f>SUM(AI233:AI260)</f>
        <v>1</v>
      </c>
      <c r="AJ262" s="221">
        <f t="shared" ref="AJ262:AJ266" si="134">I262+S262+AC262</f>
        <v>350736.70734999998</v>
      </c>
      <c r="AK262" s="252"/>
    </row>
    <row r="263" spans="1:37" ht="21" x14ac:dyDescent="0.4">
      <c r="A263" s="299" t="s">
        <v>7</v>
      </c>
      <c r="B263" s="218" t="str">
        <f t="shared" ref="B263" si="135">A263&amp;H263</f>
        <v>Office ServicePER PAYMENT</v>
      </c>
      <c r="C263" s="124" t="s">
        <v>50</v>
      </c>
      <c r="D263" s="10"/>
      <c r="E263" s="117"/>
      <c r="F263" s="117"/>
      <c r="G263" s="117"/>
      <c r="H263" s="49" t="s">
        <v>47</v>
      </c>
      <c r="I263" s="108">
        <f>I262/I$6</f>
        <v>3.9864329377568224E-2</v>
      </c>
      <c r="J263" s="108"/>
      <c r="K263" s="108"/>
      <c r="L263" s="108"/>
      <c r="M263" s="109"/>
      <c r="N263" s="98"/>
      <c r="O263" s="243"/>
      <c r="P263" s="467"/>
      <c r="Q263" s="253"/>
      <c r="R263" s="185" t="s">
        <v>47</v>
      </c>
      <c r="S263" s="108">
        <f>S262/S$6</f>
        <v>5.1259932975061887E-2</v>
      </c>
      <c r="T263" s="108"/>
      <c r="U263" s="108"/>
      <c r="V263" s="108"/>
      <c r="W263" s="109"/>
      <c r="X263" s="97"/>
      <c r="Y263" s="243"/>
      <c r="Z263" s="467"/>
      <c r="AA263" s="253"/>
      <c r="AB263" s="185" t="s">
        <v>47</v>
      </c>
      <c r="AC263" s="108">
        <f>AC262/AC$6</f>
        <v>5.5049451251147387E-2</v>
      </c>
      <c r="AD263" s="108"/>
      <c r="AE263" s="108"/>
      <c r="AF263" s="108"/>
      <c r="AG263" s="109"/>
      <c r="AH263" s="98"/>
      <c r="AI263" s="243"/>
      <c r="AJ263" s="221">
        <f t="shared" si="134"/>
        <v>0.14617371360377748</v>
      </c>
      <c r="AK263" s="253"/>
    </row>
    <row r="264" spans="1:37" ht="15.6" x14ac:dyDescent="0.3">
      <c r="A264" s="299" t="s">
        <v>7</v>
      </c>
      <c r="B264" s="218"/>
      <c r="C264" s="220"/>
      <c r="D264" s="10"/>
      <c r="E264" s="10"/>
      <c r="F264" s="10"/>
      <c r="G264" s="10"/>
      <c r="H264" s="137" t="s">
        <v>585</v>
      </c>
      <c r="I264" s="659">
        <f>I233+I238</f>
        <v>188983.20875000002</v>
      </c>
      <c r="J264" s="108"/>
      <c r="K264" s="108"/>
      <c r="L264" s="108"/>
      <c r="M264" s="109"/>
      <c r="N264" s="656"/>
      <c r="O264" s="657"/>
      <c r="P264" s="92"/>
      <c r="Q264" s="37"/>
      <c r="R264" s="137" t="s">
        <v>585</v>
      </c>
      <c r="S264" s="659">
        <f>S233+S238</f>
        <v>21954.124499999998</v>
      </c>
      <c r="T264" s="108"/>
      <c r="U264" s="108"/>
      <c r="V264" s="108"/>
      <c r="W264" s="109"/>
      <c r="X264" s="658"/>
      <c r="Y264" s="657"/>
      <c r="Z264" s="92"/>
      <c r="AA264" s="37"/>
      <c r="AB264" s="137" t="s">
        <v>585</v>
      </c>
      <c r="AC264" s="659">
        <f>AC233+AC238</f>
        <v>792.3741</v>
      </c>
      <c r="AD264" s="108"/>
      <c r="AE264" s="108"/>
      <c r="AF264" s="108"/>
      <c r="AG264" s="109"/>
      <c r="AH264" s="656"/>
      <c r="AI264" s="137"/>
      <c r="AJ264" s="221">
        <f t="shared" si="134"/>
        <v>211729.70735000001</v>
      </c>
      <c r="AK264" s="252"/>
    </row>
    <row r="265" spans="1:37" ht="15.6" x14ac:dyDescent="0.3">
      <c r="A265" s="299" t="s">
        <v>7</v>
      </c>
      <c r="B265" s="218"/>
      <c r="C265" s="220"/>
      <c r="D265" s="10"/>
      <c r="E265" s="10"/>
      <c r="F265" s="10"/>
      <c r="G265" s="10"/>
      <c r="H265" s="137" t="s">
        <v>586</v>
      </c>
      <c r="I265" s="659">
        <f>I259+I250+I245</f>
        <v>121324</v>
      </c>
      <c r="J265" s="108"/>
      <c r="K265" s="659"/>
      <c r="L265" s="108"/>
      <c r="M265" s="109"/>
      <c r="N265" s="656"/>
      <c r="O265" s="657"/>
      <c r="P265" s="92"/>
      <c r="Q265" s="37"/>
      <c r="R265" s="137" t="s">
        <v>586</v>
      </c>
      <c r="S265" s="659">
        <f>S259+S250+S245</f>
        <v>17096</v>
      </c>
      <c r="T265" s="108"/>
      <c r="U265" s="659"/>
      <c r="V265" s="108"/>
      <c r="W265" s="109"/>
      <c r="X265" s="658"/>
      <c r="Y265" s="657"/>
      <c r="Z265" s="92"/>
      <c r="AA265" s="37"/>
      <c r="AB265" s="137" t="s">
        <v>586</v>
      </c>
      <c r="AC265" s="659">
        <f>AC259+AC250+AC245</f>
        <v>587</v>
      </c>
      <c r="AD265" s="108"/>
      <c r="AE265" s="659"/>
      <c r="AF265" s="108"/>
      <c r="AG265" s="109"/>
      <c r="AH265" s="656"/>
      <c r="AI265" s="137"/>
      <c r="AJ265" s="221">
        <f t="shared" si="134"/>
        <v>139007</v>
      </c>
      <c r="AK265" s="252"/>
    </row>
    <row r="266" spans="1:37" ht="15.6" x14ac:dyDescent="0.3">
      <c r="A266" s="299" t="s">
        <v>7</v>
      </c>
      <c r="B266" s="218"/>
      <c r="C266" s="220"/>
      <c r="D266" s="10"/>
      <c r="E266" s="10"/>
      <c r="F266" s="10"/>
      <c r="G266" s="10"/>
      <c r="H266" s="137" t="s">
        <v>584</v>
      </c>
      <c r="I266" s="659">
        <f>I262</f>
        <v>310307.20874999999</v>
      </c>
      <c r="J266" s="108"/>
      <c r="K266" s="108"/>
      <c r="L266" s="108"/>
      <c r="M266" s="109"/>
      <c r="N266" s="656"/>
      <c r="O266" s="657"/>
      <c r="P266" s="92"/>
      <c r="Q266" s="37"/>
      <c r="R266" s="137" t="s">
        <v>584</v>
      </c>
      <c r="S266" s="659">
        <f>S262</f>
        <v>39050.124499999998</v>
      </c>
      <c r="T266" s="108"/>
      <c r="U266" s="108"/>
      <c r="V266" s="108"/>
      <c r="W266" s="109"/>
      <c r="X266" s="658"/>
      <c r="Y266" s="657"/>
      <c r="Z266" s="92"/>
      <c r="AA266" s="37"/>
      <c r="AB266" s="137" t="s">
        <v>584</v>
      </c>
      <c r="AC266" s="659">
        <f>AC262</f>
        <v>1379.3741</v>
      </c>
      <c r="AD266" s="108"/>
      <c r="AE266" s="108"/>
      <c r="AF266" s="108"/>
      <c r="AG266" s="109"/>
      <c r="AH266" s="656"/>
      <c r="AI266" s="137"/>
      <c r="AJ266" s="221">
        <f t="shared" si="134"/>
        <v>350736.70734999998</v>
      </c>
      <c r="AK266" s="252"/>
    </row>
    <row r="267" spans="1:37" ht="16.2" customHeight="1" x14ac:dyDescent="0.3">
      <c r="A267" s="2" t="s">
        <v>50</v>
      </c>
      <c r="D267" s="357"/>
      <c r="AJ267" s="547"/>
    </row>
    <row r="268" spans="1:37" ht="15.6" x14ac:dyDescent="0.3">
      <c r="A268" s="261"/>
      <c r="D268" s="655"/>
      <c r="E268" s="655"/>
      <c r="F268" s="655"/>
      <c r="G268" s="655"/>
      <c r="H268" s="261" t="s">
        <v>67</v>
      </c>
      <c r="I268" s="667">
        <f>I264+I223+I180+I139+I95+I47</f>
        <v>8138772.9324506409</v>
      </c>
      <c r="R268" s="261" t="s">
        <v>67</v>
      </c>
      <c r="S268" s="667">
        <f>S264+S223+S180+S139+S95+S47</f>
        <v>896049.49549966003</v>
      </c>
      <c r="AB268" s="261" t="s">
        <v>67</v>
      </c>
      <c r="AC268" s="667">
        <f>AC264+AC223+AC180+AC139+AC95+AC47</f>
        <v>272624.79506923264</v>
      </c>
      <c r="AJ268" s="667">
        <f>I268+S268+AC268</f>
        <v>9307447.2230195329</v>
      </c>
    </row>
    <row r="269" spans="1:37" ht="15.6" x14ac:dyDescent="0.3">
      <c r="A269" s="261"/>
      <c r="D269" s="655"/>
      <c r="E269" s="655"/>
      <c r="F269" s="655"/>
      <c r="G269" s="655"/>
      <c r="H269" s="261" t="s">
        <v>583</v>
      </c>
      <c r="I269" s="667">
        <f>I265+I224+I181+I140+I96+I48</f>
        <v>3952239.6242919867</v>
      </c>
      <c r="R269" s="261" t="s">
        <v>583</v>
      </c>
      <c r="S269" s="667">
        <f>S265+S224+S181+S140+S96+S48</f>
        <v>453627.72717165994</v>
      </c>
      <c r="AB269" s="261" t="s">
        <v>583</v>
      </c>
      <c r="AC269" s="667">
        <f>AC265+AC224+AC181+AC140+AC96+AC48</f>
        <v>30903.661536353458</v>
      </c>
      <c r="AJ269" s="667">
        <f>I269+S269+AC269</f>
        <v>4436771.0130000003</v>
      </c>
    </row>
    <row r="270" spans="1:37" ht="15.6" x14ac:dyDescent="0.3">
      <c r="A270" s="261"/>
      <c r="D270" s="655"/>
      <c r="E270" s="655"/>
      <c r="F270" s="655"/>
      <c r="G270" s="655"/>
      <c r="H270" s="261" t="s">
        <v>584</v>
      </c>
      <c r="I270" s="667">
        <f>I266+I225+I182+I141+I97+I49</f>
        <v>12091012.556742627</v>
      </c>
      <c r="R270" s="261" t="s">
        <v>584</v>
      </c>
      <c r="S270" s="667">
        <f>S266+S225+S182+S141+S97+S49</f>
        <v>1349677.2226713197</v>
      </c>
      <c r="AB270" s="261" t="s">
        <v>584</v>
      </c>
      <c r="AC270" s="667">
        <f>AC266+AC225+AC182+AC141+AC97+AC49</f>
        <v>303528.45660558605</v>
      </c>
      <c r="AJ270" s="667">
        <f>I270+S270+AC270</f>
        <v>13744218.236019531</v>
      </c>
    </row>
    <row r="271" spans="1:37" ht="15.6" x14ac:dyDescent="0.3">
      <c r="A271" s="261" t="s">
        <v>50</v>
      </c>
      <c r="D271" s="655"/>
      <c r="E271" s="655"/>
      <c r="F271" s="655"/>
      <c r="G271" s="655"/>
    </row>
    <row r="272" spans="1:37" ht="15.6" x14ac:dyDescent="0.3">
      <c r="A272" s="261"/>
      <c r="D272" s="655"/>
      <c r="E272" s="655"/>
      <c r="F272" s="655"/>
      <c r="G272" s="655"/>
      <c r="H272" s="261" t="s">
        <v>588</v>
      </c>
      <c r="I272" s="667">
        <f>SUM(I270,S270,AC270)</f>
        <v>13744218.236019531</v>
      </c>
    </row>
    <row r="273" spans="4:26" x14ac:dyDescent="0.3">
      <c r="D273" s="357"/>
    </row>
    <row r="275" spans="4:26" x14ac:dyDescent="0.3">
      <c r="P275" t="s">
        <v>32</v>
      </c>
      <c r="Q275">
        <v>4142</v>
      </c>
    </row>
    <row r="276" spans="4:26" x14ac:dyDescent="0.3">
      <c r="P276" t="s">
        <v>33</v>
      </c>
      <c r="Q276">
        <v>4083.5978</v>
      </c>
    </row>
    <row r="277" spans="4:26" x14ac:dyDescent="0.3">
      <c r="P277" t="s">
        <v>34</v>
      </c>
      <c r="Q277">
        <v>8225.5977999999996</v>
      </c>
    </row>
    <row r="279" spans="4:26" x14ac:dyDescent="0.3">
      <c r="P279" t="s">
        <v>35</v>
      </c>
    </row>
    <row r="280" spans="4:26" x14ac:dyDescent="0.3">
      <c r="P280" t="s">
        <v>314</v>
      </c>
      <c r="Q280">
        <v>374.40000000000003</v>
      </c>
      <c r="Z280">
        <v>0</v>
      </c>
    </row>
    <row r="285" spans="4:26" x14ac:dyDescent="0.3">
      <c r="P285" t="s">
        <v>345</v>
      </c>
      <c r="Q285">
        <v>53984.296674637422</v>
      </c>
    </row>
    <row r="286" spans="4:26" x14ac:dyDescent="0.3">
      <c r="Q286">
        <v>0</v>
      </c>
    </row>
    <row r="287" spans="4:26" x14ac:dyDescent="0.3">
      <c r="Q287">
        <v>0</v>
      </c>
    </row>
    <row r="288" spans="4:26" x14ac:dyDescent="0.3">
      <c r="Q288">
        <v>0</v>
      </c>
    </row>
    <row r="289" spans="16:17" x14ac:dyDescent="0.3">
      <c r="P289" t="s">
        <v>32</v>
      </c>
      <c r="Q289">
        <v>53984.296674637422</v>
      </c>
    </row>
    <row r="290" spans="16:17" x14ac:dyDescent="0.3">
      <c r="P290" t="s">
        <v>33</v>
      </c>
      <c r="Q290">
        <v>53223.118091525037</v>
      </c>
    </row>
    <row r="291" spans="16:17" x14ac:dyDescent="0.3">
      <c r="P291" t="s">
        <v>34</v>
      </c>
      <c r="Q291">
        <v>107207.41476616246</v>
      </c>
    </row>
    <row r="293" spans="16:17" x14ac:dyDescent="0.3">
      <c r="P293" t="s">
        <v>35</v>
      </c>
    </row>
    <row r="294" spans="16:17" x14ac:dyDescent="0.3">
      <c r="P294" t="s">
        <v>352</v>
      </c>
      <c r="Q294">
        <v>0</v>
      </c>
    </row>
    <row r="295" spans="16:17" x14ac:dyDescent="0.3">
      <c r="P295" t="s">
        <v>351</v>
      </c>
      <c r="Q295">
        <v>6958.2635049643923</v>
      </c>
    </row>
  </sheetData>
  <autoFilter ref="A6:AV271"/>
  <mergeCells count="15">
    <mergeCell ref="M128:M129"/>
    <mergeCell ref="H4:Q4"/>
    <mergeCell ref="R4:AA4"/>
    <mergeCell ref="AB4:AL4"/>
    <mergeCell ref="I5:M5"/>
    <mergeCell ref="W128:W129"/>
    <mergeCell ref="AG128:AG129"/>
    <mergeCell ref="M212:M213"/>
    <mergeCell ref="W212:W213"/>
    <mergeCell ref="AG212:AG213"/>
    <mergeCell ref="M132:M133"/>
    <mergeCell ref="W132:W133"/>
    <mergeCell ref="M169:M170"/>
    <mergeCell ref="W169:W170"/>
    <mergeCell ref="AG169:AG170"/>
  </mergeCells>
  <printOptions horizontalCentered="1"/>
  <pageMargins left="0.28999999999999998" right="0.35" top="0.51" bottom="0.35" header="0.18" footer="0.17"/>
  <pageSetup paperSize="17" scale="60" orientation="landscape" r:id="rId1"/>
  <headerFooter>
    <oddHeader>&amp;C&amp;"-,Bold"&amp;22METER TO CASH MATRIX</oddHeader>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U142"/>
  <sheetViews>
    <sheetView zoomScale="50" zoomScaleNormal="50" workbookViewId="0">
      <pane xSplit="7" ySplit="6" topLeftCell="R112" activePane="bottomRight" state="frozen"/>
      <selection pane="topRight" activeCell="H1" sqref="H1"/>
      <selection pane="bottomLeft" activeCell="A7" sqref="A7"/>
      <selection pane="bottomRight" activeCell="AO24" sqref="AO24"/>
    </sheetView>
  </sheetViews>
  <sheetFormatPr defaultRowHeight="14.4" x14ac:dyDescent="0.3"/>
  <cols>
    <col min="1" max="1" width="20.77734375" style="2" customWidth="1"/>
    <col min="2" max="2" width="11.33203125" style="214" hidden="1" customWidth="1"/>
    <col min="3" max="3" width="11.6640625" style="215" hidden="1" customWidth="1"/>
    <col min="4" max="4" width="29.77734375" style="1" customWidth="1"/>
    <col min="5" max="6" width="12.5546875" style="1" hidden="1" customWidth="1"/>
    <col min="7" max="7" width="13.6640625" style="1" hidden="1" customWidth="1"/>
    <col min="8" max="8" width="25.6640625" customWidth="1"/>
    <col min="9" max="9" width="12.109375" customWidth="1"/>
    <col min="10" max="11" width="10.6640625" customWidth="1"/>
    <col min="12" max="12" width="6.88671875" customWidth="1"/>
    <col min="13" max="13" width="12.5546875" customWidth="1"/>
    <col min="14" max="14" width="13.109375" bestFit="1" customWidth="1"/>
    <col min="15" max="15" width="7.5546875" customWidth="1"/>
    <col min="16" max="16" width="0" hidden="1" customWidth="1"/>
    <col min="17" max="17" width="25" hidden="1" customWidth="1"/>
    <col min="18" max="18" width="25.77734375" customWidth="1"/>
    <col min="19" max="19" width="12.5546875" customWidth="1"/>
    <col min="20" max="21" width="10.6640625" customWidth="1"/>
    <col min="22" max="22" width="6.88671875" customWidth="1"/>
    <col min="23" max="23" width="12.5546875" customWidth="1"/>
    <col min="24" max="24" width="15.109375" bestFit="1" customWidth="1"/>
    <col min="25" max="25" width="8.21875" customWidth="1"/>
    <col min="26" max="26" width="0" hidden="1" customWidth="1"/>
    <col min="27" max="27" width="0.109375" customWidth="1"/>
    <col min="28" max="28" width="25.88671875" customWidth="1"/>
    <col min="29" max="29" width="12.33203125" customWidth="1"/>
    <col min="30" max="31" width="10.6640625" customWidth="1"/>
    <col min="32" max="32" width="6.88671875" customWidth="1"/>
    <col min="33" max="33" width="12.5546875" customWidth="1"/>
    <col min="34" max="34" width="15.109375" bestFit="1" customWidth="1"/>
    <col min="35" max="35" width="8.6640625" customWidth="1"/>
    <col min="36" max="36" width="13.109375" customWidth="1"/>
    <col min="37" max="37" width="16.33203125" customWidth="1"/>
    <col min="38" max="38" width="0" hidden="1" customWidth="1"/>
  </cols>
  <sheetData>
    <row r="2" spans="1:47" s="2" customFormat="1" ht="18.75" customHeight="1" x14ac:dyDescent="0.4">
      <c r="B2" s="216"/>
      <c r="C2" s="217"/>
      <c r="D2" s="14"/>
      <c r="E2" s="15" t="s">
        <v>18</v>
      </c>
      <c r="F2" s="16" t="s">
        <v>19</v>
      </c>
      <c r="G2" s="21" t="s">
        <v>20</v>
      </c>
      <c r="N2" s="2" t="s">
        <v>129</v>
      </c>
      <c r="O2" s="303">
        <f>'Projection Inputs'!B33</f>
        <v>0.9859</v>
      </c>
      <c r="S2" s="303">
        <v>0.33</v>
      </c>
      <c r="T2" s="2" t="s">
        <v>391</v>
      </c>
    </row>
    <row r="3" spans="1:47" s="2" customFormat="1" ht="27.75" customHeight="1" x14ac:dyDescent="0.45">
      <c r="B3" s="216"/>
      <c r="C3" s="217"/>
      <c r="D3" s="484" t="s">
        <v>230</v>
      </c>
      <c r="E3" s="17" t="s">
        <v>18</v>
      </c>
      <c r="F3" s="18" t="s">
        <v>21</v>
      </c>
      <c r="G3" s="22" t="s">
        <v>25</v>
      </c>
      <c r="H3" s="225" t="s">
        <v>230</v>
      </c>
    </row>
    <row r="4" spans="1:47" ht="21.6" thickBot="1" x14ac:dyDescent="0.45">
      <c r="D4" s="9"/>
      <c r="E4" s="110" t="s">
        <v>22</v>
      </c>
      <c r="F4" s="111" t="s">
        <v>23</v>
      </c>
      <c r="G4" s="111" t="s">
        <v>24</v>
      </c>
      <c r="H4" s="738" t="s">
        <v>49</v>
      </c>
      <c r="I4" s="729"/>
      <c r="J4" s="729"/>
      <c r="K4" s="729"/>
      <c r="L4" s="729"/>
      <c r="M4" s="729"/>
      <c r="N4" s="729"/>
      <c r="O4" s="729"/>
      <c r="P4" s="729"/>
      <c r="Q4" s="729"/>
      <c r="R4" s="739" t="s">
        <v>224</v>
      </c>
      <c r="S4" s="729"/>
      <c r="T4" s="729"/>
      <c r="U4" s="729"/>
      <c r="V4" s="729"/>
      <c r="W4" s="729"/>
      <c r="X4" s="729"/>
      <c r="Y4" s="729"/>
      <c r="Z4" s="729"/>
      <c r="AA4" s="729"/>
      <c r="AB4" s="736" t="s">
        <v>226</v>
      </c>
      <c r="AC4" s="729"/>
      <c r="AD4" s="729"/>
      <c r="AE4" s="729"/>
      <c r="AF4" s="729"/>
      <c r="AG4" s="729"/>
      <c r="AH4" s="729"/>
      <c r="AI4" s="729"/>
      <c r="AJ4" s="729"/>
      <c r="AK4" s="729"/>
      <c r="AL4" s="729"/>
    </row>
    <row r="5" spans="1:47" ht="22.2" thickTop="1" thickBot="1" x14ac:dyDescent="0.45">
      <c r="D5" s="138" t="s">
        <v>26</v>
      </c>
      <c r="E5" s="115"/>
      <c r="F5" s="115"/>
      <c r="G5" s="115"/>
      <c r="H5" s="25"/>
      <c r="I5" s="737" t="s">
        <v>281</v>
      </c>
      <c r="J5" s="737"/>
      <c r="K5" s="737"/>
      <c r="L5" s="737"/>
      <c r="M5" s="737"/>
      <c r="N5" s="26"/>
      <c r="O5" s="26"/>
      <c r="P5" s="25"/>
      <c r="Q5" s="3"/>
    </row>
    <row r="6" spans="1:47" s="2" customFormat="1" ht="21.6" thickTop="1" x14ac:dyDescent="0.4">
      <c r="B6" s="216"/>
      <c r="C6" s="217"/>
      <c r="D6" s="112" t="s">
        <v>2</v>
      </c>
      <c r="E6" s="113"/>
      <c r="F6" s="114"/>
      <c r="G6" s="114"/>
      <c r="H6" s="202" t="s">
        <v>27</v>
      </c>
      <c r="I6" s="27">
        <f>'2015 - 2016 Customers'!J3+'2015 - 2016 Customers'!J4</f>
        <v>6883927</v>
      </c>
      <c r="J6" s="203" t="s">
        <v>127</v>
      </c>
      <c r="K6" s="203" t="s">
        <v>128</v>
      </c>
      <c r="L6" s="155" t="s">
        <v>29</v>
      </c>
      <c r="M6" s="28" t="s">
        <v>374</v>
      </c>
      <c r="N6" s="29" t="s">
        <v>28</v>
      </c>
      <c r="O6" s="230" t="s">
        <v>29</v>
      </c>
      <c r="P6" s="31"/>
      <c r="Q6" s="32" t="s">
        <v>30</v>
      </c>
      <c r="R6" s="202" t="s">
        <v>27</v>
      </c>
      <c r="S6" s="27">
        <f>'2015 - 2016 Customers'!K3+'2015 - 2016 Customers'!K4</f>
        <v>723777</v>
      </c>
      <c r="T6" s="203" t="s">
        <v>127</v>
      </c>
      <c r="U6" s="203" t="s">
        <v>128</v>
      </c>
      <c r="V6" s="27"/>
      <c r="W6" s="28" t="s">
        <v>374</v>
      </c>
      <c r="X6" s="29" t="s">
        <v>28</v>
      </c>
      <c r="Y6" s="230" t="s">
        <v>29</v>
      </c>
      <c r="Z6" s="31"/>
      <c r="AA6" s="32" t="s">
        <v>30</v>
      </c>
      <c r="AB6" s="202" t="s">
        <v>27</v>
      </c>
      <c r="AC6" s="27">
        <f>'2015 - 2016 Customers'!L3+'2015 - 2016 Customers'!L4</f>
        <v>25057</v>
      </c>
      <c r="AD6" s="203"/>
      <c r="AE6" s="203"/>
      <c r="AF6" s="27"/>
      <c r="AG6" s="28" t="s">
        <v>374</v>
      </c>
      <c r="AH6" s="29" t="s">
        <v>28</v>
      </c>
      <c r="AI6" s="230" t="s">
        <v>29</v>
      </c>
      <c r="AJ6" s="380" t="s">
        <v>589</v>
      </c>
      <c r="AK6" s="247" t="s">
        <v>30</v>
      </c>
      <c r="AU6" s="6"/>
    </row>
    <row r="7" spans="1:47" ht="108" customHeight="1" x14ac:dyDescent="0.3">
      <c r="A7" s="299" t="s">
        <v>8</v>
      </c>
      <c r="B7" s="218" t="str">
        <f>A7&amp;H7</f>
        <v>Account ServicesLABOR: NON-SUPERVISORY</v>
      </c>
      <c r="C7" s="218" t="s">
        <v>228</v>
      </c>
      <c r="D7" s="10" t="str">
        <f>'2015Summary METER to CASH (Base'!K10</f>
        <v>* Process all incoming payments
* Courier service
* Process all exception work and returned items
* Review &amp; process refunds
* Payment Controls</v>
      </c>
      <c r="E7" s="116">
        <f>N46</f>
        <v>640265.95629200002</v>
      </c>
      <c r="F7" s="117">
        <f>X46</f>
        <v>53661.471661999996</v>
      </c>
      <c r="G7" s="117">
        <f>AC46</f>
        <v>2309.9983199999997</v>
      </c>
      <c r="H7" s="183" t="s">
        <v>31</v>
      </c>
      <c r="I7" s="157"/>
      <c r="J7" s="118"/>
      <c r="K7" s="118"/>
      <c r="L7" s="118"/>
      <c r="M7" s="119"/>
      <c r="N7" s="439"/>
      <c r="O7" s="135"/>
      <c r="P7" s="122"/>
      <c r="Q7" s="123"/>
      <c r="R7" s="183" t="s">
        <v>31</v>
      </c>
      <c r="S7" s="157"/>
      <c r="T7" s="118"/>
      <c r="U7" s="118"/>
      <c r="V7" s="118"/>
      <c r="W7" s="119"/>
      <c r="X7" s="120"/>
      <c r="Y7" s="135"/>
      <c r="Z7" s="122"/>
      <c r="AA7" s="123"/>
      <c r="AB7" s="183" t="s">
        <v>31</v>
      </c>
      <c r="AC7" s="157"/>
      <c r="AD7" s="118"/>
      <c r="AE7" s="118"/>
      <c r="AF7" s="118"/>
      <c r="AG7" s="119"/>
      <c r="AH7" s="121"/>
      <c r="AI7" s="135"/>
      <c r="AJ7" s="157"/>
      <c r="AK7" s="120"/>
    </row>
    <row r="8" spans="1:47" ht="15.6" x14ac:dyDescent="0.3">
      <c r="A8" s="299" t="s">
        <v>8</v>
      </c>
      <c r="B8" s="218" t="str">
        <f t="shared" ref="B8:B47" si="0">A8&amp;H8</f>
        <v>Account ServicesAccountant (Grade 145)</v>
      </c>
      <c r="C8" s="217" t="s">
        <v>48</v>
      </c>
      <c r="D8" s="10"/>
      <c r="E8" s="10"/>
      <c r="F8" s="10"/>
      <c r="G8" s="10"/>
      <c r="H8" s="255" t="s">
        <v>242</v>
      </c>
      <c r="I8" s="158">
        <f>J8*K8</f>
        <v>2679.96</v>
      </c>
      <c r="J8" s="42">
        <f>+ROUND('FTE Alloc OR &amp; WA'!J31*2080,0)</f>
        <v>92</v>
      </c>
      <c r="K8" s="259">
        <v>29.13</v>
      </c>
      <c r="L8" s="39"/>
      <c r="M8" s="40" t="str">
        <f>J8&amp;" hrs @ "&amp;K8</f>
        <v>92 hrs @ 29.13</v>
      </c>
      <c r="N8" s="440"/>
      <c r="O8" s="136"/>
      <c r="P8" s="36"/>
      <c r="Q8" s="41"/>
      <c r="R8" s="255" t="s">
        <v>242</v>
      </c>
      <c r="S8" s="158">
        <f>T8*U8</f>
        <v>0</v>
      </c>
      <c r="T8" s="42">
        <f>+ROUND('FTE Alloc OR &amp; WA'!K30*2080,0)</f>
        <v>0</v>
      </c>
      <c r="U8" s="259">
        <v>29.13</v>
      </c>
      <c r="V8" s="39"/>
      <c r="W8" s="40" t="str">
        <f>T8&amp;" hrs @ "&amp;U8</f>
        <v>0 hrs @ 29.13</v>
      </c>
      <c r="X8" s="34"/>
      <c r="Y8" s="136"/>
      <c r="Z8" s="36"/>
      <c r="AA8" s="41"/>
      <c r="AB8" s="255" t="s">
        <v>242</v>
      </c>
      <c r="AC8" s="158">
        <f>AD8*AE8</f>
        <v>0</v>
      </c>
      <c r="AD8" s="289">
        <f>+ROUND('FTE Alloc OR &amp; WA'!L30*2080,0)</f>
        <v>0</v>
      </c>
      <c r="AE8" s="259">
        <v>29.13</v>
      </c>
      <c r="AF8" s="39"/>
      <c r="AG8" s="40" t="str">
        <f>AD8&amp;" hrs @ "&amp;AE8</f>
        <v>0 hrs @ 29.13</v>
      </c>
      <c r="AH8" s="35"/>
      <c r="AI8" s="136"/>
      <c r="AJ8" s="158">
        <f t="shared" ref="AJ8:AJ14" si="1">I8+S8+AC8</f>
        <v>2679.96</v>
      </c>
      <c r="AK8" s="34"/>
    </row>
    <row r="9" spans="1:47" ht="15.6" x14ac:dyDescent="0.3">
      <c r="A9" s="299" t="s">
        <v>8</v>
      </c>
      <c r="B9" s="218" t="str">
        <f t="shared" si="0"/>
        <v>Account ServicesSr Coll Rep (Grade 140)</v>
      </c>
      <c r="C9" s="217" t="s">
        <v>48</v>
      </c>
      <c r="D9" s="10"/>
      <c r="E9" s="10"/>
      <c r="F9" s="10"/>
      <c r="G9" s="10"/>
      <c r="H9" s="184" t="s">
        <v>243</v>
      </c>
      <c r="I9" s="158">
        <f t="shared" ref="I9:I10" si="2">J9*K9</f>
        <v>0</v>
      </c>
      <c r="J9" s="42">
        <f>+ROUND('FTE Alloc OR &amp; WA'!J37*2080,0)</f>
        <v>0</v>
      </c>
      <c r="K9" s="259">
        <v>27.22</v>
      </c>
      <c r="L9" s="42"/>
      <c r="M9" s="40" t="str">
        <f t="shared" ref="M9:M11" si="3">J9&amp;" hrs @ "&amp;K9</f>
        <v>0 hrs @ 27.22</v>
      </c>
      <c r="N9" s="440"/>
      <c r="O9" s="136"/>
      <c r="P9" s="36"/>
      <c r="Q9" s="3"/>
      <c r="R9" s="184" t="s">
        <v>243</v>
      </c>
      <c r="S9" s="158">
        <f t="shared" ref="S9:S10" si="4">T9*U9</f>
        <v>0</v>
      </c>
      <c r="T9" s="42">
        <f>+ROUND('FTE Alloc OR &amp; WA'!K36*2080,0)</f>
        <v>0</v>
      </c>
      <c r="U9" s="259">
        <v>27.22</v>
      </c>
      <c r="V9" s="42"/>
      <c r="W9" s="40" t="str">
        <f t="shared" ref="W9:W11" si="5">T9&amp;" hrs @ "&amp;U9</f>
        <v>0 hrs @ 27.22</v>
      </c>
      <c r="X9" s="34"/>
      <c r="Y9" s="136"/>
      <c r="Z9" s="36"/>
      <c r="AA9" s="3"/>
      <c r="AB9" s="184" t="s">
        <v>243</v>
      </c>
      <c r="AC9" s="158">
        <f t="shared" ref="AC9:AC10" si="6">AD9*AE9</f>
        <v>0</v>
      </c>
      <c r="AD9" s="289">
        <f>+ROUND('FTE Alloc OR &amp; WA'!L36*2080,0)</f>
        <v>0</v>
      </c>
      <c r="AE9" s="259">
        <v>27.22</v>
      </c>
      <c r="AF9" s="42"/>
      <c r="AG9" s="40" t="str">
        <f t="shared" ref="AG9:AG11" si="7">AD9&amp;" hrs @ "&amp;AE9</f>
        <v>0 hrs @ 27.22</v>
      </c>
      <c r="AH9" s="35"/>
      <c r="AI9" s="136"/>
      <c r="AJ9" s="158">
        <f t="shared" si="1"/>
        <v>0</v>
      </c>
      <c r="AK9" s="34"/>
    </row>
    <row r="10" spans="1:47" ht="15.6" customHeight="1" x14ac:dyDescent="0.3">
      <c r="A10" s="299" t="s">
        <v>8</v>
      </c>
      <c r="B10" s="218" t="str">
        <f t="shared" si="0"/>
        <v>Account ServicesSr Biller/ PP Clerk (Grade 135)</v>
      </c>
      <c r="C10" s="217" t="s">
        <v>48</v>
      </c>
      <c r="D10" s="10"/>
      <c r="E10" s="10"/>
      <c r="F10" s="10"/>
      <c r="G10" s="10"/>
      <c r="H10" s="184" t="s">
        <v>245</v>
      </c>
      <c r="I10" s="158">
        <f t="shared" si="2"/>
        <v>144829.92000000001</v>
      </c>
      <c r="J10" s="42">
        <f>+ROUND(('FTE Alloc OR &amp; WA'!J32+'FTE Alloc OR &amp; WA'!J35)*2080,0)</f>
        <v>5693</v>
      </c>
      <c r="K10" s="259">
        <v>25.44</v>
      </c>
      <c r="L10" s="42"/>
      <c r="M10" s="40" t="str">
        <f t="shared" si="3"/>
        <v>5693 hrs @ 25.44</v>
      </c>
      <c r="N10" s="440"/>
      <c r="O10" s="136"/>
      <c r="P10" s="36"/>
      <c r="Q10" s="41"/>
      <c r="R10" s="184" t="s">
        <v>245</v>
      </c>
      <c r="S10" s="158">
        <f t="shared" si="4"/>
        <v>13915.68</v>
      </c>
      <c r="T10" s="42">
        <f>+ROUND(('FTE Alloc OR &amp; WA'!K32+'FTE Alloc OR &amp; WA'!K35)*2080,0)</f>
        <v>547</v>
      </c>
      <c r="U10" s="259">
        <v>25.44</v>
      </c>
      <c r="V10" s="42"/>
      <c r="W10" s="40" t="str">
        <f t="shared" si="5"/>
        <v>547 hrs @ 25.44</v>
      </c>
      <c r="X10" s="34"/>
      <c r="Y10" s="136"/>
      <c r="Z10" s="36"/>
      <c r="AA10" s="41"/>
      <c r="AB10" s="184" t="s">
        <v>245</v>
      </c>
      <c r="AC10" s="158">
        <f t="shared" si="6"/>
        <v>1144.8</v>
      </c>
      <c r="AD10" s="289">
        <f>+ROUND(('FTE Alloc OR &amp; WA'!L32+'FTE Alloc OR &amp; WA'!L35)*2080,0)</f>
        <v>45</v>
      </c>
      <c r="AE10" s="259">
        <v>25.44</v>
      </c>
      <c r="AF10" s="42"/>
      <c r="AG10" s="40" t="str">
        <f t="shared" si="7"/>
        <v>45 hrs @ 25.44</v>
      </c>
      <c r="AH10" s="35"/>
      <c r="AI10" s="136"/>
      <c r="AJ10" s="158">
        <f t="shared" si="1"/>
        <v>159890.4</v>
      </c>
      <c r="AK10" s="34"/>
    </row>
    <row r="11" spans="1:47" ht="15.6" x14ac:dyDescent="0.3">
      <c r="A11" s="299" t="s">
        <v>8</v>
      </c>
      <c r="B11" s="218" t="str">
        <f t="shared" si="0"/>
        <v>Account ServicesBiller (Grade 125)</v>
      </c>
      <c r="C11" s="217" t="s">
        <v>48</v>
      </c>
      <c r="D11" s="10"/>
      <c r="E11" s="10"/>
      <c r="F11" s="10"/>
      <c r="G11" s="10"/>
      <c r="H11" s="179" t="s">
        <v>244</v>
      </c>
      <c r="I11" s="173">
        <f>J11*K11</f>
        <v>0</v>
      </c>
      <c r="J11" s="174">
        <f>+ROUND('FTE Alloc OR &amp; WA'!J33*2080,0)</f>
        <v>0</v>
      </c>
      <c r="K11" s="260">
        <v>22.01</v>
      </c>
      <c r="L11" s="181"/>
      <c r="M11" s="176" t="str">
        <f t="shared" si="3"/>
        <v>0 hrs @ 22.01</v>
      </c>
      <c r="N11" s="441"/>
      <c r="O11" s="231"/>
      <c r="P11" s="36"/>
      <c r="Q11" s="44"/>
      <c r="R11" s="179" t="s">
        <v>244</v>
      </c>
      <c r="S11" s="173">
        <f>T11*U11*V11</f>
        <v>0</v>
      </c>
      <c r="T11" s="174">
        <f>+ROUND('FTE Alloc OR &amp; WA'!K32*2080,0)</f>
        <v>0</v>
      </c>
      <c r="U11" s="260">
        <v>22.01</v>
      </c>
      <c r="V11" s="181"/>
      <c r="W11" s="176" t="str">
        <f t="shared" si="5"/>
        <v>0 hrs @ 22.01</v>
      </c>
      <c r="X11" s="205"/>
      <c r="Y11" s="231"/>
      <c r="Z11" s="36"/>
      <c r="AA11" s="44"/>
      <c r="AB11" s="179" t="s">
        <v>244</v>
      </c>
      <c r="AC11" s="173">
        <f>AD11*AE11*AF11</f>
        <v>0</v>
      </c>
      <c r="AD11" s="291">
        <f>+ROUND('FTE Alloc OR &amp; WA'!L32*2080,0)</f>
        <v>0</v>
      </c>
      <c r="AE11" s="260">
        <v>22.01</v>
      </c>
      <c r="AF11" s="181"/>
      <c r="AG11" s="176" t="str">
        <f t="shared" si="7"/>
        <v>0 hrs @ 22.01</v>
      </c>
      <c r="AH11" s="35"/>
      <c r="AI11" s="136"/>
      <c r="AJ11" s="173">
        <f t="shared" si="1"/>
        <v>0</v>
      </c>
      <c r="AK11" s="205"/>
    </row>
    <row r="12" spans="1:47" ht="15.6" x14ac:dyDescent="0.3">
      <c r="A12" s="299" t="s">
        <v>8</v>
      </c>
      <c r="B12" s="218" t="str">
        <f t="shared" si="0"/>
        <v>Account ServicesTotal Wages</v>
      </c>
      <c r="C12" s="217" t="s">
        <v>48</v>
      </c>
      <c r="D12" s="10"/>
      <c r="E12" s="10"/>
      <c r="F12" s="10"/>
      <c r="G12" s="10"/>
      <c r="H12" s="184" t="s">
        <v>32</v>
      </c>
      <c r="I12" s="158">
        <f>SUM(I8:I11)</f>
        <v>147509.88</v>
      </c>
      <c r="J12" s="42"/>
      <c r="K12" s="39"/>
      <c r="L12" s="39"/>
      <c r="M12" s="40"/>
      <c r="N12" s="440"/>
      <c r="O12" s="231"/>
      <c r="P12" s="36"/>
      <c r="Q12" s="41"/>
      <c r="R12" s="184" t="s">
        <v>32</v>
      </c>
      <c r="S12" s="158">
        <f>SUM(S8:S11)</f>
        <v>13915.68</v>
      </c>
      <c r="T12" s="42"/>
      <c r="U12" s="39"/>
      <c r="V12" s="39"/>
      <c r="W12" s="40"/>
      <c r="X12" s="34"/>
      <c r="Y12" s="231"/>
      <c r="Z12" s="36"/>
      <c r="AA12" s="41"/>
      <c r="AB12" s="184" t="s">
        <v>32</v>
      </c>
      <c r="AC12" s="158">
        <f>SUM(AC8:AC11)</f>
        <v>1144.8</v>
      </c>
      <c r="AD12" s="42"/>
      <c r="AE12" s="39"/>
      <c r="AF12" s="39"/>
      <c r="AG12" s="40"/>
      <c r="AH12" s="35"/>
      <c r="AI12" s="231"/>
      <c r="AJ12" s="158">
        <f t="shared" si="1"/>
        <v>162570.35999999999</v>
      </c>
      <c r="AK12" s="34"/>
    </row>
    <row r="13" spans="1:47" ht="15.6" x14ac:dyDescent="0.3">
      <c r="A13" s="299" t="s">
        <v>8</v>
      </c>
      <c r="B13" s="218" t="str">
        <f t="shared" si="0"/>
        <v>Account ServicesBenefits</v>
      </c>
      <c r="C13" s="217" t="s">
        <v>48</v>
      </c>
      <c r="D13" s="10"/>
      <c r="E13" s="10"/>
      <c r="F13" s="10"/>
      <c r="G13" s="10"/>
      <c r="H13" s="184" t="s">
        <v>33</v>
      </c>
      <c r="I13" s="159">
        <f>I12*$O$2</f>
        <v>145429.99069199999</v>
      </c>
      <c r="J13" s="42"/>
      <c r="K13" s="39"/>
      <c r="M13" s="45" t="str">
        <f>"@ "&amp;$O$2*100&amp;" %"</f>
        <v>@ 98.59 %</v>
      </c>
      <c r="N13" s="442"/>
      <c r="O13" s="232"/>
      <c r="P13" s="48"/>
      <c r="Q13" s="41"/>
      <c r="R13" s="184" t="s">
        <v>33</v>
      </c>
      <c r="S13" s="159">
        <f>S12*$O$2</f>
        <v>13719.468912</v>
      </c>
      <c r="T13" s="42"/>
      <c r="U13" s="39"/>
      <c r="W13" s="45" t="str">
        <f>"@ "&amp;$O$2*100&amp;" %"</f>
        <v>@ 98.59 %</v>
      </c>
      <c r="X13" s="46"/>
      <c r="Y13" s="232"/>
      <c r="Z13" s="48"/>
      <c r="AA13" s="41"/>
      <c r="AB13" s="184" t="s">
        <v>33</v>
      </c>
      <c r="AC13" s="159">
        <f>AC12*$O$2</f>
        <v>1128.65832</v>
      </c>
      <c r="AD13" s="42"/>
      <c r="AE13" s="39"/>
      <c r="AG13" s="45" t="str">
        <f>"@ "&amp;$O$2*100&amp;" %"</f>
        <v>@ 98.59 %</v>
      </c>
      <c r="AH13" s="47"/>
      <c r="AI13" s="232"/>
      <c r="AJ13" s="159">
        <f t="shared" si="1"/>
        <v>160278.11792399999</v>
      </c>
      <c r="AK13" s="46"/>
    </row>
    <row r="14" spans="1:47" ht="15.6" x14ac:dyDescent="0.3">
      <c r="A14" s="299" t="s">
        <v>8</v>
      </c>
      <c r="B14" s="218" t="str">
        <f t="shared" si="0"/>
        <v>Account ServicesTotal</v>
      </c>
      <c r="C14" s="219" t="s">
        <v>50</v>
      </c>
      <c r="D14" s="10"/>
      <c r="E14" s="10"/>
      <c r="F14" s="10"/>
      <c r="G14" s="10"/>
      <c r="H14" s="185" t="s">
        <v>34</v>
      </c>
      <c r="I14" s="160">
        <f>I12+I13</f>
        <v>292939.87069200003</v>
      </c>
      <c r="J14" s="42"/>
      <c r="K14" s="39"/>
      <c r="L14" s="50"/>
      <c r="M14" s="51"/>
      <c r="N14" s="443">
        <f>I14</f>
        <v>292939.87069200003</v>
      </c>
      <c r="O14" s="233">
        <f>N14/N46</f>
        <v>0.45752841895345397</v>
      </c>
      <c r="P14" s="53"/>
      <c r="Q14" s="37"/>
      <c r="R14" s="185" t="s">
        <v>34</v>
      </c>
      <c r="S14" s="160">
        <f>S12+S13</f>
        <v>27635.148912000001</v>
      </c>
      <c r="T14" s="42"/>
      <c r="U14" s="39"/>
      <c r="V14" s="50"/>
      <c r="W14" s="51"/>
      <c r="X14" s="52">
        <f>S14</f>
        <v>27635.148912000001</v>
      </c>
      <c r="Y14" s="233">
        <f>X14/X46</f>
        <v>0.5149905147228685</v>
      </c>
      <c r="Z14" s="53"/>
      <c r="AA14" s="37"/>
      <c r="AB14" s="185" t="s">
        <v>34</v>
      </c>
      <c r="AC14" s="160">
        <f>AC12+AC13</f>
        <v>2273.4583199999997</v>
      </c>
      <c r="AD14" s="42"/>
      <c r="AE14" s="39"/>
      <c r="AF14" s="50"/>
      <c r="AG14" s="51"/>
      <c r="AH14" s="420">
        <f>AC14</f>
        <v>2273.4583199999997</v>
      </c>
      <c r="AI14" s="233">
        <f>AH14/AH46</f>
        <v>0.98418180667767763</v>
      </c>
      <c r="AJ14" s="160">
        <f t="shared" si="1"/>
        <v>322848.47792400001</v>
      </c>
      <c r="AK14" s="52"/>
    </row>
    <row r="15" spans="1:47" ht="15.6" x14ac:dyDescent="0.3">
      <c r="A15" s="299" t="s">
        <v>8</v>
      </c>
      <c r="B15" s="218" t="str">
        <f t="shared" si="0"/>
        <v>Account Services</v>
      </c>
      <c r="C15" s="217" t="s">
        <v>48</v>
      </c>
      <c r="D15" s="10"/>
      <c r="E15" s="10"/>
      <c r="F15" s="10"/>
      <c r="G15" s="10"/>
      <c r="H15" s="179"/>
      <c r="I15" s="161"/>
      <c r="J15" s="55"/>
      <c r="K15" s="55"/>
      <c r="L15" s="55"/>
      <c r="M15" s="56"/>
      <c r="N15" s="441"/>
      <c r="O15" s="231"/>
      <c r="P15" s="59"/>
      <c r="Q15" s="60"/>
      <c r="R15" s="179"/>
      <c r="S15" s="161"/>
      <c r="T15" s="55"/>
      <c r="U15" s="55"/>
      <c r="V15" s="55"/>
      <c r="W15" s="56"/>
      <c r="X15" s="57"/>
      <c r="Y15" s="231"/>
      <c r="Z15" s="59"/>
      <c r="AA15" s="60"/>
      <c r="AB15" s="179"/>
      <c r="AC15" s="161"/>
      <c r="AD15" s="55"/>
      <c r="AE15" s="55"/>
      <c r="AF15" s="55"/>
      <c r="AG15" s="56"/>
      <c r="AH15" s="58"/>
      <c r="AI15" s="231"/>
      <c r="AJ15" s="161"/>
      <c r="AK15" s="57"/>
    </row>
    <row r="16" spans="1:47" ht="15.6" x14ac:dyDescent="0.3">
      <c r="A16" s="299" t="s">
        <v>8</v>
      </c>
      <c r="B16" s="218" t="str">
        <f t="shared" si="0"/>
        <v>Account ServicesLABOR: SUPERVISORY</v>
      </c>
      <c r="C16" s="220" t="s">
        <v>50</v>
      </c>
      <c r="D16" s="10"/>
      <c r="E16" s="10"/>
      <c r="F16" s="10"/>
      <c r="G16" s="10"/>
      <c r="H16" s="186" t="s">
        <v>35</v>
      </c>
      <c r="I16" s="162"/>
      <c r="J16" s="62"/>
      <c r="K16" s="62"/>
      <c r="L16" s="62"/>
      <c r="M16" s="63"/>
      <c r="N16" s="440"/>
      <c r="O16" s="234"/>
      <c r="P16" s="65"/>
      <c r="Q16" s="37"/>
      <c r="R16" s="186" t="s">
        <v>35</v>
      </c>
      <c r="S16" s="162"/>
      <c r="T16" s="62"/>
      <c r="U16" s="62"/>
      <c r="V16" s="62"/>
      <c r="W16" s="63"/>
      <c r="X16" s="64"/>
      <c r="Y16" s="234"/>
      <c r="Z16" s="65"/>
      <c r="AA16" s="37"/>
      <c r="AB16" s="186" t="s">
        <v>35</v>
      </c>
      <c r="AC16" s="162"/>
      <c r="AD16" s="62"/>
      <c r="AE16" s="62"/>
      <c r="AF16" s="62"/>
      <c r="AG16" s="63"/>
      <c r="AH16" s="26"/>
      <c r="AI16" s="234"/>
      <c r="AJ16" s="162"/>
      <c r="AK16" s="64"/>
    </row>
    <row r="17" spans="1:37" ht="15.6" x14ac:dyDescent="0.3">
      <c r="A17" s="299" t="s">
        <v>8</v>
      </c>
      <c r="B17" s="218"/>
      <c r="C17" s="220"/>
      <c r="D17" s="10"/>
      <c r="E17" s="10"/>
      <c r="F17" s="10"/>
      <c r="G17" s="10"/>
      <c r="H17" s="184" t="s">
        <v>375</v>
      </c>
      <c r="I17" s="158">
        <f t="shared" ref="I17:I18" si="8">J17*K17</f>
        <v>0</v>
      </c>
      <c r="J17" s="62"/>
      <c r="K17" s="62">
        <v>50.91</v>
      </c>
      <c r="L17" s="62"/>
      <c r="M17" s="40" t="str">
        <f t="shared" ref="M17" si="9">J17&amp;" hrs @ "&amp;K17</f>
        <v xml:space="preserve"> hrs @ 50.91</v>
      </c>
      <c r="N17" s="440"/>
      <c r="O17" s="234"/>
      <c r="P17" s="65"/>
      <c r="Q17" s="37"/>
      <c r="R17" s="38" t="s">
        <v>375</v>
      </c>
      <c r="S17" s="158">
        <f t="shared" ref="S17" si="10">T17*U17</f>
        <v>0</v>
      </c>
      <c r="T17" s="62"/>
      <c r="U17" s="62">
        <v>50.91</v>
      </c>
      <c r="V17" s="62"/>
      <c r="W17" s="40" t="str">
        <f t="shared" ref="W17" si="11">T17&amp;" hrs @ "&amp;U17</f>
        <v xml:space="preserve"> hrs @ 50.91</v>
      </c>
      <c r="X17" s="64"/>
      <c r="Y17" s="234"/>
      <c r="Z17" s="65"/>
      <c r="AA17" s="37"/>
      <c r="AB17" s="38" t="s">
        <v>375</v>
      </c>
      <c r="AC17" s="158">
        <f t="shared" ref="AC17" si="12">AD17*AE17</f>
        <v>0</v>
      </c>
      <c r="AD17" s="62"/>
      <c r="AE17" s="62">
        <v>50.91</v>
      </c>
      <c r="AF17" s="62"/>
      <c r="AG17" s="40" t="str">
        <f t="shared" ref="AG17" si="13">AD17&amp;" hrs @ "&amp;AE17</f>
        <v xml:space="preserve"> hrs @ 50.91</v>
      </c>
      <c r="AH17" s="26"/>
      <c r="AI17" s="234"/>
      <c r="AJ17" s="158">
        <f>I17+S17+AC17</f>
        <v>0</v>
      </c>
      <c r="AK17" s="64"/>
    </row>
    <row r="18" spans="1:37" ht="15.6" x14ac:dyDescent="0.3">
      <c r="A18" s="299" t="s">
        <v>8</v>
      </c>
      <c r="B18" s="218" t="str">
        <f t="shared" si="0"/>
        <v>Account ServicesSupervisor</v>
      </c>
      <c r="C18" s="217" t="s">
        <v>48</v>
      </c>
      <c r="D18" s="10"/>
      <c r="E18" s="10"/>
      <c r="F18" s="10"/>
      <c r="G18" s="10"/>
      <c r="H18" s="184" t="s">
        <v>376</v>
      </c>
      <c r="I18" s="158">
        <f t="shared" si="8"/>
        <v>50544</v>
      </c>
      <c r="J18" s="42">
        <v>1248</v>
      </c>
      <c r="K18" s="259">
        <v>40.5</v>
      </c>
      <c r="L18" s="43"/>
      <c r="M18" s="40" t="str">
        <f t="shared" ref="M18" si="14">J18&amp;" hrs @ "&amp;K18</f>
        <v>1248 hrs @ 40.5</v>
      </c>
      <c r="N18" s="440"/>
      <c r="O18" s="235"/>
      <c r="P18" s="65"/>
      <c r="Q18" s="41"/>
      <c r="R18" s="38" t="s">
        <v>376</v>
      </c>
      <c r="S18" s="158">
        <f t="shared" ref="S18" si="15">T18*U18</f>
        <v>5062.5</v>
      </c>
      <c r="T18" s="42">
        <v>125</v>
      </c>
      <c r="U18" s="259">
        <v>40.5</v>
      </c>
      <c r="V18" s="43"/>
      <c r="W18" s="40" t="str">
        <f t="shared" ref="W18" si="16">T18&amp;" hrs @ "&amp;U18</f>
        <v>125 hrs @ 40.5</v>
      </c>
      <c r="X18" s="64"/>
      <c r="Y18" s="235"/>
      <c r="Z18" s="65"/>
      <c r="AA18" s="41"/>
      <c r="AB18" s="38" t="s">
        <v>376</v>
      </c>
      <c r="AC18" s="158">
        <f t="shared" ref="AC18" si="17">AD18*AE18</f>
        <v>0</v>
      </c>
      <c r="AD18" s="289">
        <f>+ROUND('FTE Alloc OR &amp; WA'!L31*2080,0)</f>
        <v>0</v>
      </c>
      <c r="AE18" s="259">
        <v>40.5</v>
      </c>
      <c r="AF18" s="43"/>
      <c r="AG18" s="40" t="str">
        <f t="shared" ref="AG18" si="18">AD18&amp;" hrs @ "&amp;AE18</f>
        <v>0 hrs @ 40.5</v>
      </c>
      <c r="AH18" s="26"/>
      <c r="AI18" s="235"/>
      <c r="AJ18" s="158">
        <f>I18+S18+AC18</f>
        <v>55606.5</v>
      </c>
      <c r="AK18" s="64"/>
    </row>
    <row r="19" spans="1:37" ht="15.6" x14ac:dyDescent="0.3">
      <c r="A19" s="299" t="s">
        <v>8</v>
      </c>
      <c r="B19" s="218"/>
      <c r="C19" s="217"/>
      <c r="D19" s="10"/>
      <c r="E19" s="10"/>
      <c r="F19" s="10"/>
      <c r="G19" s="10"/>
      <c r="H19" s="255" t="s">
        <v>32</v>
      </c>
      <c r="I19" s="393">
        <f>SUM(I16:I18)</f>
        <v>50544</v>
      </c>
      <c r="J19" s="394"/>
      <c r="K19" s="395"/>
      <c r="L19" s="395"/>
      <c r="M19" s="396"/>
      <c r="N19" s="440"/>
      <c r="O19" s="234"/>
      <c r="P19" s="65"/>
      <c r="Q19" s="41"/>
      <c r="R19" s="255" t="s">
        <v>32</v>
      </c>
      <c r="S19" s="393">
        <f>SUM(S16:S18)</f>
        <v>5062.5</v>
      </c>
      <c r="T19" s="394"/>
      <c r="U19" s="395"/>
      <c r="V19" s="395"/>
      <c r="W19" s="396"/>
      <c r="X19" s="64"/>
      <c r="Y19" s="234"/>
      <c r="Z19" s="65"/>
      <c r="AA19" s="41"/>
      <c r="AB19" s="255" t="s">
        <v>32</v>
      </c>
      <c r="AC19" s="393">
        <f>SUM(AC16:AC18)</f>
        <v>0</v>
      </c>
      <c r="AD19" s="394"/>
      <c r="AE19" s="395"/>
      <c r="AF19" s="395"/>
      <c r="AG19" s="396"/>
      <c r="AH19" s="26"/>
      <c r="AI19" s="234"/>
      <c r="AJ19" s="393">
        <f>I19+S19+AC19</f>
        <v>55606.5</v>
      </c>
      <c r="AK19" s="64"/>
    </row>
    <row r="20" spans="1:37" ht="15.6" x14ac:dyDescent="0.3">
      <c r="A20" s="299" t="s">
        <v>8</v>
      </c>
      <c r="B20" s="218" t="str">
        <f t="shared" si="0"/>
        <v>Account ServicesBenefits</v>
      </c>
      <c r="C20" s="217" t="s">
        <v>48</v>
      </c>
      <c r="D20" s="10"/>
      <c r="E20" s="10"/>
      <c r="F20" s="10"/>
      <c r="G20" s="10"/>
      <c r="H20" s="184" t="s">
        <v>33</v>
      </c>
      <c r="I20" s="159">
        <f>I19*$O$2</f>
        <v>49831.329599999997</v>
      </c>
      <c r="J20" s="42"/>
      <c r="K20" s="39"/>
      <c r="L20" s="156"/>
      <c r="M20" s="45" t="str">
        <f>"@ "&amp;$O$2*100&amp;" %"</f>
        <v>@ 98.59 %</v>
      </c>
      <c r="N20" s="440"/>
      <c r="O20" s="236"/>
      <c r="P20" s="65"/>
      <c r="Q20" s="41"/>
      <c r="R20" s="184" t="s">
        <v>33</v>
      </c>
      <c r="S20" s="159">
        <f>S19*$O$2</f>
        <v>4991.1187499999996</v>
      </c>
      <c r="T20" s="42"/>
      <c r="U20" s="39"/>
      <c r="V20" s="156"/>
      <c r="W20" s="45" t="str">
        <f>"@ "&amp;$O$2*100&amp;" %"</f>
        <v>@ 98.59 %</v>
      </c>
      <c r="X20" s="64"/>
      <c r="Y20" s="236"/>
      <c r="Z20" s="65"/>
      <c r="AA20" s="41"/>
      <c r="AB20" s="184" t="s">
        <v>33</v>
      </c>
      <c r="AC20" s="159">
        <f>AC19*$O$2</f>
        <v>0</v>
      </c>
      <c r="AD20" s="42"/>
      <c r="AE20" s="39"/>
      <c r="AF20" s="156"/>
      <c r="AG20" s="45" t="str">
        <f>"@ "&amp;$O$2*100&amp;" %"</f>
        <v>@ 98.59 %</v>
      </c>
      <c r="AH20" s="26"/>
      <c r="AI20" s="236"/>
      <c r="AJ20" s="159">
        <f>I20+S20+AC20</f>
        <v>54822.448349999999</v>
      </c>
      <c r="AK20" s="64"/>
    </row>
    <row r="21" spans="1:37" ht="15.6" x14ac:dyDescent="0.3">
      <c r="A21" s="299" t="s">
        <v>8</v>
      </c>
      <c r="B21" s="218" t="str">
        <f t="shared" si="0"/>
        <v>Account ServicesTotal</v>
      </c>
      <c r="C21" s="220" t="s">
        <v>50</v>
      </c>
      <c r="D21" s="10"/>
      <c r="E21" s="10"/>
      <c r="F21" s="10"/>
      <c r="G21" s="10"/>
      <c r="H21" s="185" t="s">
        <v>34</v>
      </c>
      <c r="I21" s="165">
        <f>I20+I18</f>
        <v>100375.3296</v>
      </c>
      <c r="J21" s="68"/>
      <c r="K21" s="68"/>
      <c r="L21" s="68"/>
      <c r="M21" s="63"/>
      <c r="N21" s="443">
        <f>I21</f>
        <v>100375.3296</v>
      </c>
      <c r="O21" s="233">
        <f>N21/N46</f>
        <v>0.15677130513280449</v>
      </c>
      <c r="P21" s="65"/>
      <c r="Q21" s="41"/>
      <c r="R21" s="185" t="s">
        <v>34</v>
      </c>
      <c r="S21" s="165">
        <f>S20+S18</f>
        <v>10053.61875</v>
      </c>
      <c r="T21" s="68"/>
      <c r="U21" s="68"/>
      <c r="V21" s="68"/>
      <c r="W21" s="63"/>
      <c r="X21" s="52">
        <f>S21</f>
        <v>10053.61875</v>
      </c>
      <c r="Y21" s="233">
        <f>X21/X46</f>
        <v>0.18735264685480851</v>
      </c>
      <c r="Z21" s="65"/>
      <c r="AA21" s="41"/>
      <c r="AB21" s="185" t="s">
        <v>34</v>
      </c>
      <c r="AC21" s="165">
        <f>AC20+AC18</f>
        <v>0</v>
      </c>
      <c r="AD21" s="68"/>
      <c r="AE21" s="68"/>
      <c r="AF21" s="68"/>
      <c r="AG21" s="63"/>
      <c r="AH21" s="420">
        <f>AC21</f>
        <v>0</v>
      </c>
      <c r="AI21" s="233">
        <f>AH21/AH46</f>
        <v>0</v>
      </c>
      <c r="AJ21" s="165">
        <f>I21+S21+AC21</f>
        <v>110428.94834999999</v>
      </c>
      <c r="AK21" s="52"/>
    </row>
    <row r="22" spans="1:37" ht="15.6" x14ac:dyDescent="0.3">
      <c r="A22" s="299" t="s">
        <v>8</v>
      </c>
      <c r="B22" s="218" t="str">
        <f t="shared" si="0"/>
        <v>Account Services</v>
      </c>
      <c r="C22" s="217" t="s">
        <v>48</v>
      </c>
      <c r="D22" s="10"/>
      <c r="E22" s="10"/>
      <c r="F22" s="10"/>
      <c r="G22" s="10"/>
      <c r="H22" s="179"/>
      <c r="I22" s="166"/>
      <c r="J22" s="69"/>
      <c r="K22" s="69"/>
      <c r="L22" s="69"/>
      <c r="M22" s="70"/>
      <c r="N22" s="441"/>
      <c r="O22" s="235"/>
      <c r="P22" s="73"/>
      <c r="Q22" s="60"/>
      <c r="R22" s="179"/>
      <c r="S22" s="166"/>
      <c r="T22" s="69"/>
      <c r="U22" s="69"/>
      <c r="V22" s="69"/>
      <c r="W22" s="70"/>
      <c r="X22" s="71"/>
      <c r="Y22" s="235"/>
      <c r="Z22" s="73"/>
      <c r="AA22" s="60"/>
      <c r="AB22" s="179"/>
      <c r="AC22" s="166"/>
      <c r="AD22" s="69"/>
      <c r="AE22" s="69"/>
      <c r="AF22" s="69"/>
      <c r="AG22" s="70"/>
      <c r="AH22" s="72"/>
      <c r="AI22" s="235"/>
      <c r="AJ22" s="166"/>
      <c r="AK22" s="71"/>
    </row>
    <row r="23" spans="1:37" ht="15.6" x14ac:dyDescent="0.3">
      <c r="A23" s="299" t="s">
        <v>8</v>
      </c>
      <c r="B23" s="218" t="str">
        <f t="shared" si="0"/>
        <v>Account ServicesEQUIPMENT</v>
      </c>
      <c r="C23" s="220" t="s">
        <v>50</v>
      </c>
      <c r="D23" s="10"/>
      <c r="E23" s="10"/>
      <c r="F23" s="10"/>
      <c r="G23" s="10"/>
      <c r="H23" s="186" t="s">
        <v>36</v>
      </c>
      <c r="I23" s="167"/>
      <c r="J23" s="74"/>
      <c r="K23" s="74"/>
      <c r="L23" s="74"/>
      <c r="M23" s="66"/>
      <c r="N23" s="443"/>
      <c r="O23" s="237"/>
      <c r="P23" s="65"/>
      <c r="Q23" s="37"/>
      <c r="R23" s="186" t="s">
        <v>36</v>
      </c>
      <c r="S23" s="167"/>
      <c r="T23" s="74"/>
      <c r="U23" s="74"/>
      <c r="V23" s="74"/>
      <c r="W23" s="66"/>
      <c r="X23" s="75"/>
      <c r="Y23" s="237"/>
      <c r="Z23" s="65"/>
      <c r="AA23" s="37"/>
      <c r="AB23" s="186" t="s">
        <v>36</v>
      </c>
      <c r="AC23" s="167"/>
      <c r="AD23" s="74"/>
      <c r="AE23" s="74"/>
      <c r="AF23" s="74"/>
      <c r="AG23" s="66"/>
      <c r="AH23" s="76"/>
      <c r="AI23" s="237"/>
      <c r="AJ23" s="167"/>
      <c r="AK23" s="75"/>
    </row>
    <row r="24" spans="1:37" ht="15.6" x14ac:dyDescent="0.3">
      <c r="A24" s="299" t="s">
        <v>8</v>
      </c>
      <c r="B24" s="218" t="str">
        <f t="shared" si="0"/>
        <v>Account Services</v>
      </c>
      <c r="C24" s="217" t="s">
        <v>48</v>
      </c>
      <c r="D24" s="10"/>
      <c r="E24" s="10"/>
      <c r="F24" s="10"/>
      <c r="G24" s="10"/>
      <c r="H24" s="187"/>
      <c r="I24" s="158">
        <f t="shared" ref="I24:I27" si="19">J24*K24</f>
        <v>0</v>
      </c>
      <c r="J24" s="42"/>
      <c r="K24" s="39"/>
      <c r="L24" s="39"/>
      <c r="M24" s="40" t="str">
        <f>J24&amp;" hrs @ "&amp;K24</f>
        <v xml:space="preserve"> hrs @ </v>
      </c>
      <c r="N24" s="443"/>
      <c r="O24" s="237"/>
      <c r="P24" s="65"/>
      <c r="Q24" s="37"/>
      <c r="R24" s="187"/>
      <c r="S24" s="158">
        <f t="shared" ref="S24:S27" si="20">T24*U24</f>
        <v>0</v>
      </c>
      <c r="T24" s="42"/>
      <c r="U24" s="39"/>
      <c r="V24" s="39"/>
      <c r="W24" s="40" t="str">
        <f>T24&amp;" hrs @ "&amp;U24</f>
        <v xml:space="preserve"> hrs @ </v>
      </c>
      <c r="X24" s="75"/>
      <c r="Y24" s="237"/>
      <c r="Z24" s="65"/>
      <c r="AA24" s="37"/>
      <c r="AB24" s="187"/>
      <c r="AC24" s="158">
        <f t="shared" ref="AC24:AC27" si="21">AD24*AE24</f>
        <v>0</v>
      </c>
      <c r="AD24" s="42"/>
      <c r="AE24" s="39"/>
      <c r="AF24" s="39"/>
      <c r="AG24" s="40" t="str">
        <f>AD24&amp;" hrs @ "&amp;AE24</f>
        <v xml:space="preserve"> hrs @ </v>
      </c>
      <c r="AH24" s="76"/>
      <c r="AI24" s="237"/>
      <c r="AJ24" s="158"/>
      <c r="AK24" s="75"/>
    </row>
    <row r="25" spans="1:37" ht="15.6" x14ac:dyDescent="0.3">
      <c r="A25" s="299" t="s">
        <v>8</v>
      </c>
      <c r="B25" s="218" t="str">
        <f t="shared" si="0"/>
        <v>Account Services</v>
      </c>
      <c r="C25" s="217" t="s">
        <v>48</v>
      </c>
      <c r="D25" s="10"/>
      <c r="E25" s="10"/>
      <c r="F25" s="10"/>
      <c r="G25" s="10"/>
      <c r="H25" s="187"/>
      <c r="I25" s="158">
        <f t="shared" si="19"/>
        <v>0</v>
      </c>
      <c r="J25" s="42"/>
      <c r="K25" s="39"/>
      <c r="L25" s="42"/>
      <c r="M25" s="40" t="str">
        <f t="shared" ref="M25:M27" si="22">J25&amp;" hrs @ "&amp;K25</f>
        <v xml:space="preserve"> hrs @ </v>
      </c>
      <c r="N25" s="444"/>
      <c r="O25" s="238"/>
      <c r="P25" s="80"/>
      <c r="Q25" s="81"/>
      <c r="R25" s="187"/>
      <c r="S25" s="158">
        <f t="shared" si="20"/>
        <v>0</v>
      </c>
      <c r="T25" s="42"/>
      <c r="U25" s="39"/>
      <c r="V25" s="42"/>
      <c r="W25" s="40" t="str">
        <f t="shared" ref="W25:W27" si="23">T25&amp;" hrs @ "&amp;U25</f>
        <v xml:space="preserve"> hrs @ </v>
      </c>
      <c r="X25" s="78"/>
      <c r="Y25" s="238"/>
      <c r="Z25" s="80"/>
      <c r="AA25" s="81"/>
      <c r="AB25" s="187"/>
      <c r="AC25" s="158">
        <f t="shared" si="21"/>
        <v>0</v>
      </c>
      <c r="AD25" s="42"/>
      <c r="AE25" s="39"/>
      <c r="AF25" s="42"/>
      <c r="AG25" s="40" t="str">
        <f t="shared" ref="AG25:AG27" si="24">AD25&amp;" hrs @ "&amp;AE25</f>
        <v xml:space="preserve"> hrs @ </v>
      </c>
      <c r="AH25" s="79"/>
      <c r="AI25" s="238"/>
      <c r="AJ25" s="158"/>
      <c r="AK25" s="78"/>
    </row>
    <row r="26" spans="1:37" ht="15.6" x14ac:dyDescent="0.3">
      <c r="A26" s="299" t="s">
        <v>8</v>
      </c>
      <c r="B26" s="218" t="str">
        <f t="shared" si="0"/>
        <v>Account Services</v>
      </c>
      <c r="C26" s="217" t="s">
        <v>48</v>
      </c>
      <c r="D26" s="10"/>
      <c r="E26" s="10"/>
      <c r="F26" s="10"/>
      <c r="G26" s="10"/>
      <c r="H26" s="187"/>
      <c r="I26" s="158">
        <f t="shared" si="19"/>
        <v>0</v>
      </c>
      <c r="J26" s="42"/>
      <c r="K26" s="39"/>
      <c r="L26" s="42"/>
      <c r="M26" s="40" t="str">
        <f t="shared" si="22"/>
        <v xml:space="preserve"> hrs @ </v>
      </c>
      <c r="N26" s="444"/>
      <c r="O26" s="238"/>
      <c r="P26" s="80"/>
      <c r="Q26" s="81"/>
      <c r="R26" s="187"/>
      <c r="S26" s="158">
        <f t="shared" si="20"/>
        <v>0</v>
      </c>
      <c r="T26" s="42"/>
      <c r="U26" s="39"/>
      <c r="V26" s="42"/>
      <c r="W26" s="40" t="str">
        <f t="shared" si="23"/>
        <v xml:space="preserve"> hrs @ </v>
      </c>
      <c r="X26" s="78"/>
      <c r="Y26" s="238"/>
      <c r="Z26" s="80"/>
      <c r="AA26" s="81"/>
      <c r="AB26" s="187"/>
      <c r="AC26" s="158">
        <f t="shared" si="21"/>
        <v>0</v>
      </c>
      <c r="AD26" s="42"/>
      <c r="AE26" s="39"/>
      <c r="AF26" s="42"/>
      <c r="AG26" s="40" t="str">
        <f t="shared" si="24"/>
        <v xml:space="preserve"> hrs @ </v>
      </c>
      <c r="AH26" s="79"/>
      <c r="AI26" s="238"/>
      <c r="AJ26" s="158"/>
      <c r="AK26" s="78"/>
    </row>
    <row r="27" spans="1:37" ht="15.6" x14ac:dyDescent="0.3">
      <c r="A27" s="299" t="s">
        <v>8</v>
      </c>
      <c r="B27" s="218" t="str">
        <f t="shared" si="0"/>
        <v>Account Services</v>
      </c>
      <c r="C27" s="217" t="s">
        <v>48</v>
      </c>
      <c r="D27" s="10"/>
      <c r="E27" s="10"/>
      <c r="F27" s="10"/>
      <c r="G27" s="10"/>
      <c r="H27" s="187"/>
      <c r="I27" s="158">
        <f t="shared" si="19"/>
        <v>0</v>
      </c>
      <c r="J27" s="42"/>
      <c r="K27" s="39"/>
      <c r="L27" s="43"/>
      <c r="M27" s="40" t="str">
        <f t="shared" si="22"/>
        <v xml:space="preserve"> hrs @ </v>
      </c>
      <c r="N27" s="444"/>
      <c r="O27" s="239"/>
      <c r="P27" s="80"/>
      <c r="Q27" s="81"/>
      <c r="R27" s="187"/>
      <c r="S27" s="158">
        <f t="shared" si="20"/>
        <v>0</v>
      </c>
      <c r="T27" s="42"/>
      <c r="U27" s="39"/>
      <c r="V27" s="43"/>
      <c r="W27" s="40" t="str">
        <f t="shared" si="23"/>
        <v xml:space="preserve"> hrs @ </v>
      </c>
      <c r="X27" s="78"/>
      <c r="Y27" s="239"/>
      <c r="Z27" s="80"/>
      <c r="AA27" s="81"/>
      <c r="AB27" s="187"/>
      <c r="AC27" s="158">
        <f t="shared" si="21"/>
        <v>0</v>
      </c>
      <c r="AD27" s="42"/>
      <c r="AE27" s="39"/>
      <c r="AF27" s="43"/>
      <c r="AG27" s="40" t="str">
        <f t="shared" si="24"/>
        <v xml:space="preserve"> hrs @ </v>
      </c>
      <c r="AH27" s="79"/>
      <c r="AI27" s="239"/>
      <c r="AJ27" s="158"/>
      <c r="AK27" s="78"/>
    </row>
    <row r="28" spans="1:37" ht="15.6" x14ac:dyDescent="0.3">
      <c r="A28" s="299" t="s">
        <v>8</v>
      </c>
      <c r="B28" s="218" t="str">
        <f t="shared" si="0"/>
        <v>Account ServicesTotal Equipment</v>
      </c>
      <c r="C28" s="220" t="s">
        <v>50</v>
      </c>
      <c r="D28" s="10"/>
      <c r="E28" s="116">
        <f>I28</f>
        <v>0</v>
      </c>
      <c r="F28" s="116">
        <f>S28</f>
        <v>0</v>
      </c>
      <c r="G28" s="116">
        <f>AC28</f>
        <v>0</v>
      </c>
      <c r="H28" s="188" t="s">
        <v>37</v>
      </c>
      <c r="I28" s="165">
        <f>SUM(I24:I27)</f>
        <v>0</v>
      </c>
      <c r="J28" s="68"/>
      <c r="K28" s="68"/>
      <c r="L28" s="68"/>
      <c r="M28" s="66"/>
      <c r="N28" s="443">
        <f>I28</f>
        <v>0</v>
      </c>
      <c r="O28" s="240">
        <f>N28/N46</f>
        <v>0</v>
      </c>
      <c r="P28" s="80"/>
      <c r="Q28" s="81"/>
      <c r="R28" s="188" t="s">
        <v>37</v>
      </c>
      <c r="S28" s="165">
        <f>SUM(S24:S27)</f>
        <v>0</v>
      </c>
      <c r="T28" s="68"/>
      <c r="U28" s="68"/>
      <c r="V28" s="68"/>
      <c r="W28" s="66"/>
      <c r="X28" s="52">
        <f>S28</f>
        <v>0</v>
      </c>
      <c r="Y28" s="240">
        <f>X28/X46</f>
        <v>0</v>
      </c>
      <c r="Z28" s="80"/>
      <c r="AA28" s="81"/>
      <c r="AB28" s="188" t="s">
        <v>37</v>
      </c>
      <c r="AC28" s="165">
        <f>SUM(AC24:AC27)</f>
        <v>0</v>
      </c>
      <c r="AD28" s="68"/>
      <c r="AE28" s="68"/>
      <c r="AF28" s="68"/>
      <c r="AG28" s="66"/>
      <c r="AH28" s="420">
        <f>AC28</f>
        <v>0</v>
      </c>
      <c r="AI28" s="240">
        <f>AH28/AH46</f>
        <v>0</v>
      </c>
      <c r="AJ28" s="165">
        <f>I28+S28+AC28</f>
        <v>0</v>
      </c>
      <c r="AK28" s="52"/>
    </row>
    <row r="29" spans="1:37" ht="15.6" x14ac:dyDescent="0.3">
      <c r="A29" s="299" t="s">
        <v>8</v>
      </c>
      <c r="B29" s="218" t="str">
        <f t="shared" si="0"/>
        <v>Account Services</v>
      </c>
      <c r="C29" s="217" t="s">
        <v>48</v>
      </c>
      <c r="D29" s="10"/>
      <c r="E29" s="10"/>
      <c r="F29" s="10"/>
      <c r="G29" s="10"/>
      <c r="H29" s="189"/>
      <c r="I29" s="169"/>
      <c r="J29" s="85"/>
      <c r="K29" s="85"/>
      <c r="L29" s="85"/>
      <c r="M29" s="86"/>
      <c r="N29" s="445"/>
      <c r="O29" s="241"/>
      <c r="P29" s="89"/>
      <c r="Q29" s="60"/>
      <c r="R29" s="189"/>
      <c r="S29" s="169"/>
      <c r="T29" s="85"/>
      <c r="U29" s="85"/>
      <c r="V29" s="85"/>
      <c r="W29" s="86"/>
      <c r="X29" s="87"/>
      <c r="Y29" s="241"/>
      <c r="Z29" s="89"/>
      <c r="AA29" s="60"/>
      <c r="AB29" s="189"/>
      <c r="AC29" s="169"/>
      <c r="AD29" s="85"/>
      <c r="AE29" s="85"/>
      <c r="AF29" s="85"/>
      <c r="AG29" s="86"/>
      <c r="AH29" s="88"/>
      <c r="AI29" s="241"/>
      <c r="AJ29" s="169"/>
      <c r="AK29" s="87"/>
    </row>
    <row r="30" spans="1:37" ht="15.6" x14ac:dyDescent="0.3">
      <c r="A30" s="299" t="s">
        <v>8</v>
      </c>
      <c r="B30" s="218" t="str">
        <f t="shared" si="0"/>
        <v>Account ServicesIS SUPPORT</v>
      </c>
      <c r="C30" s="220" t="s">
        <v>50</v>
      </c>
      <c r="D30" s="10"/>
      <c r="E30" s="10"/>
      <c r="F30" s="10"/>
      <c r="G30" s="10"/>
      <c r="H30" s="186" t="s">
        <v>38</v>
      </c>
      <c r="I30" s="167"/>
      <c r="J30" s="74"/>
      <c r="K30" s="74"/>
      <c r="L30" s="74"/>
      <c r="M30" s="66"/>
      <c r="N30" s="446"/>
      <c r="O30" s="227"/>
      <c r="P30" s="92"/>
      <c r="Q30" s="37"/>
      <c r="R30" s="186" t="s">
        <v>38</v>
      </c>
      <c r="S30" s="167"/>
      <c r="T30" s="74"/>
      <c r="U30" s="74"/>
      <c r="V30" s="74"/>
      <c r="W30" s="66"/>
      <c r="X30" s="90"/>
      <c r="Y30" s="227"/>
      <c r="Z30" s="92"/>
      <c r="AA30" s="37"/>
      <c r="AB30" s="186" t="s">
        <v>38</v>
      </c>
      <c r="AC30" s="167"/>
      <c r="AD30" s="74"/>
      <c r="AE30" s="74"/>
      <c r="AF30" s="74"/>
      <c r="AG30" s="66"/>
      <c r="AH30" s="91"/>
      <c r="AI30" s="227"/>
      <c r="AJ30" s="167"/>
      <c r="AK30" s="90"/>
    </row>
    <row r="31" spans="1:37" ht="15.6" x14ac:dyDescent="0.3">
      <c r="A31" s="299" t="s">
        <v>8</v>
      </c>
      <c r="B31" s="218" t="str">
        <f t="shared" si="0"/>
        <v>Account ServicesAnalyst Labor</v>
      </c>
      <c r="C31" s="217" t="s">
        <v>48</v>
      </c>
      <c r="D31" s="10"/>
      <c r="E31" s="10"/>
      <c r="F31" s="10"/>
      <c r="G31" s="10"/>
      <c r="H31" s="184" t="s">
        <v>39</v>
      </c>
      <c r="I31" s="162">
        <f>J31*K31</f>
        <v>0</v>
      </c>
      <c r="J31" s="42"/>
      <c r="K31" s="39"/>
      <c r="L31" s="39"/>
      <c r="M31" s="40" t="str">
        <f>J31&amp;" hrs @ "&amp;K31</f>
        <v xml:space="preserve"> hrs @ </v>
      </c>
      <c r="N31" s="447"/>
      <c r="O31" s="242"/>
      <c r="P31" s="92"/>
      <c r="Q31" s="37"/>
      <c r="R31" s="184" t="s">
        <v>39</v>
      </c>
      <c r="S31" s="162">
        <f>T31*U31</f>
        <v>0</v>
      </c>
      <c r="T31" s="42"/>
      <c r="U31" s="39"/>
      <c r="V31" s="39"/>
      <c r="W31" s="40" t="str">
        <f>T31&amp;" hrs @ "&amp;U31</f>
        <v xml:space="preserve"> hrs @ </v>
      </c>
      <c r="X31" s="93"/>
      <c r="Y31" s="242"/>
      <c r="Z31" s="92"/>
      <c r="AA31" s="37"/>
      <c r="AB31" s="184" t="s">
        <v>39</v>
      </c>
      <c r="AC31" s="162">
        <f>AD31*AE31</f>
        <v>0</v>
      </c>
      <c r="AD31" s="42"/>
      <c r="AE31" s="39"/>
      <c r="AF31" s="39"/>
      <c r="AG31" s="40" t="str">
        <f>AD31&amp;" hrs @ "&amp;AE31</f>
        <v xml:space="preserve"> hrs @ </v>
      </c>
      <c r="AH31" s="94"/>
      <c r="AI31" s="242"/>
      <c r="AJ31" s="162">
        <f>I31+S31+AC31</f>
        <v>0</v>
      </c>
      <c r="AK31" s="93"/>
    </row>
    <row r="32" spans="1:37" ht="15.6" x14ac:dyDescent="0.3">
      <c r="A32" s="299" t="s">
        <v>8</v>
      </c>
      <c r="B32" s="218" t="str">
        <f t="shared" si="0"/>
        <v>Account ServicesAnalyst Benefits</v>
      </c>
      <c r="C32" s="217" t="s">
        <v>48</v>
      </c>
      <c r="D32" s="10"/>
      <c r="E32" s="10"/>
      <c r="F32" s="10"/>
      <c r="G32" s="10"/>
      <c r="H32" s="184" t="s">
        <v>40</v>
      </c>
      <c r="I32" s="159">
        <f>I31*$O$2</f>
        <v>0</v>
      </c>
      <c r="J32" s="42"/>
      <c r="K32" s="39"/>
      <c r="L32" s="156"/>
      <c r="M32" s="45" t="str">
        <f>"@ "&amp;$O$2*100&amp;" %"</f>
        <v>@ 98.59 %</v>
      </c>
      <c r="N32" s="447"/>
      <c r="O32" s="228"/>
      <c r="P32" s="92"/>
      <c r="Q32" s="37"/>
      <c r="R32" s="184" t="s">
        <v>40</v>
      </c>
      <c r="S32" s="159">
        <f>S31*$O$2</f>
        <v>0</v>
      </c>
      <c r="T32" s="42"/>
      <c r="U32" s="39"/>
      <c r="V32" s="156"/>
      <c r="W32" s="45" t="str">
        <f>"@ "&amp;$O$2*100&amp;" %"</f>
        <v>@ 98.59 %</v>
      </c>
      <c r="X32" s="93"/>
      <c r="Y32" s="228"/>
      <c r="Z32" s="92"/>
      <c r="AA32" s="37"/>
      <c r="AB32" s="184" t="s">
        <v>40</v>
      </c>
      <c r="AC32" s="159">
        <f>AC31*$O$2</f>
        <v>0</v>
      </c>
      <c r="AD32" s="42"/>
      <c r="AE32" s="39"/>
      <c r="AF32" s="156"/>
      <c r="AG32" s="45" t="str">
        <f>"@ "&amp;$O$2*100&amp;" %"</f>
        <v>@ 98.59 %</v>
      </c>
      <c r="AH32" s="94"/>
      <c r="AI32" s="228"/>
      <c r="AJ32" s="159">
        <f>I32+S32+AC32</f>
        <v>0</v>
      </c>
      <c r="AK32" s="93"/>
    </row>
    <row r="33" spans="1:37" ht="15.6" x14ac:dyDescent="0.3">
      <c r="A33" s="299" t="s">
        <v>8</v>
      </c>
      <c r="B33" s="218" t="str">
        <f t="shared" si="0"/>
        <v>Account ServicesTotal IS</v>
      </c>
      <c r="C33" s="220" t="s">
        <v>50</v>
      </c>
      <c r="D33" s="10"/>
      <c r="E33" s="10"/>
      <c r="F33" s="10"/>
      <c r="G33" s="10"/>
      <c r="H33" s="185" t="s">
        <v>41</v>
      </c>
      <c r="I33" s="165">
        <f>I31+I32</f>
        <v>0</v>
      </c>
      <c r="J33" s="68"/>
      <c r="K33" s="68"/>
      <c r="L33" s="68"/>
      <c r="M33" s="66"/>
      <c r="N33" s="443">
        <f>I33</f>
        <v>0</v>
      </c>
      <c r="O33" s="240">
        <f>N33/N46</f>
        <v>0</v>
      </c>
      <c r="P33" s="92"/>
      <c r="Q33" s="37"/>
      <c r="R33" s="185" t="s">
        <v>41</v>
      </c>
      <c r="S33" s="165">
        <f>S31+S32</f>
        <v>0</v>
      </c>
      <c r="T33" s="68"/>
      <c r="U33" s="68"/>
      <c r="V33" s="68"/>
      <c r="W33" s="66"/>
      <c r="X33" s="52">
        <f>S33</f>
        <v>0</v>
      </c>
      <c r="Y33" s="240">
        <f>X33/X46</f>
        <v>0</v>
      </c>
      <c r="Z33" s="92"/>
      <c r="AA33" s="37"/>
      <c r="AB33" s="185" t="s">
        <v>41</v>
      </c>
      <c r="AC33" s="165">
        <f>AC31+AC32</f>
        <v>0</v>
      </c>
      <c r="AD33" s="68"/>
      <c r="AE33" s="68"/>
      <c r="AF33" s="68"/>
      <c r="AG33" s="66"/>
      <c r="AH33" s="420">
        <f>AC33</f>
        <v>0</v>
      </c>
      <c r="AI33" s="240">
        <f>AH33/AH46</f>
        <v>0</v>
      </c>
      <c r="AJ33" s="165">
        <f>I33+S33+AC33</f>
        <v>0</v>
      </c>
      <c r="AK33" s="52"/>
    </row>
    <row r="34" spans="1:37" ht="15.6" x14ac:dyDescent="0.3">
      <c r="A34" s="299" t="s">
        <v>8</v>
      </c>
      <c r="B34" s="218" t="str">
        <f t="shared" si="0"/>
        <v>Account Services</v>
      </c>
      <c r="C34" s="217" t="s">
        <v>48</v>
      </c>
      <c r="D34" s="10"/>
      <c r="E34" s="10"/>
      <c r="F34" s="10"/>
      <c r="G34" s="10"/>
      <c r="H34" s="179"/>
      <c r="I34" s="170"/>
      <c r="J34" s="95"/>
      <c r="K34" s="95"/>
      <c r="L34" s="95"/>
      <c r="M34" s="96"/>
      <c r="N34" s="448"/>
      <c r="O34" s="243"/>
      <c r="P34" s="99"/>
      <c r="Q34" s="60"/>
      <c r="R34" s="179"/>
      <c r="S34" s="170"/>
      <c r="T34" s="95"/>
      <c r="U34" s="95"/>
      <c r="V34" s="95"/>
      <c r="W34" s="96"/>
      <c r="X34" s="97"/>
      <c r="Y34" s="243"/>
      <c r="Z34" s="99"/>
      <c r="AA34" s="60"/>
      <c r="AB34" s="179"/>
      <c r="AC34" s="170"/>
      <c r="AD34" s="95"/>
      <c r="AE34" s="95"/>
      <c r="AF34" s="95"/>
      <c r="AG34" s="96"/>
      <c r="AH34" s="98"/>
      <c r="AI34" s="243"/>
      <c r="AJ34" s="170"/>
      <c r="AK34" s="97"/>
    </row>
    <row r="35" spans="1:37" ht="15.6" x14ac:dyDescent="0.3">
      <c r="A35" s="299" t="s">
        <v>8</v>
      </c>
      <c r="B35" s="218" t="str">
        <f t="shared" si="0"/>
        <v>Account ServicesOTHER</v>
      </c>
      <c r="C35" s="220" t="s">
        <v>50</v>
      </c>
      <c r="D35" s="10"/>
      <c r="E35" s="10"/>
      <c r="F35" s="10"/>
      <c r="G35" s="10"/>
      <c r="H35" s="186" t="s">
        <v>42</v>
      </c>
      <c r="I35" s="167"/>
      <c r="J35" s="74"/>
      <c r="K35" s="74"/>
      <c r="L35" s="74"/>
      <c r="M35" s="66"/>
      <c r="N35" s="446"/>
      <c r="O35" s="227"/>
      <c r="P35" s="92"/>
      <c r="Q35" s="37"/>
      <c r="R35" s="186" t="s">
        <v>42</v>
      </c>
      <c r="S35" s="167"/>
      <c r="T35" s="74"/>
      <c r="U35" s="74"/>
      <c r="V35" s="74"/>
      <c r="W35" s="66"/>
      <c r="X35" s="90"/>
      <c r="Y35" s="227"/>
      <c r="Z35" s="92"/>
      <c r="AA35" s="37"/>
      <c r="AB35" s="186" t="s">
        <v>42</v>
      </c>
      <c r="AC35" s="167"/>
      <c r="AD35" s="74"/>
      <c r="AE35" s="74"/>
      <c r="AF35" s="74"/>
      <c r="AG35" s="66"/>
      <c r="AH35" s="91"/>
      <c r="AI35" s="227"/>
      <c r="AJ35" s="167"/>
      <c r="AK35" s="90"/>
    </row>
    <row r="36" spans="1:37" ht="15.6" x14ac:dyDescent="0.3">
      <c r="A36" s="299" t="s">
        <v>8</v>
      </c>
      <c r="B36" s="218" t="str">
        <f t="shared" si="0"/>
        <v>Account ServicesPay Station Fees</v>
      </c>
      <c r="C36" s="217" t="s">
        <v>48</v>
      </c>
      <c r="D36" s="10"/>
      <c r="E36" s="10"/>
      <c r="F36" s="10"/>
      <c r="G36" s="10"/>
      <c r="H36" s="184" t="s">
        <v>235</v>
      </c>
      <c r="I36" s="163">
        <f>J36*K36</f>
        <v>51323.483999999997</v>
      </c>
      <c r="J36" s="293">
        <v>0.97799999999999998</v>
      </c>
      <c r="K36" s="483">
        <v>52478</v>
      </c>
      <c r="L36" s="42"/>
      <c r="M36" s="66"/>
      <c r="N36" s="446"/>
      <c r="O36" s="227"/>
      <c r="P36" s="92"/>
      <c r="Q36" s="37"/>
      <c r="R36" s="38" t="s">
        <v>235</v>
      </c>
      <c r="S36" s="163">
        <f>T36*U36</f>
        <v>1154.5159999999998</v>
      </c>
      <c r="T36" s="293">
        <v>2.1999999999999999E-2</v>
      </c>
      <c r="U36" s="483">
        <v>52478</v>
      </c>
      <c r="V36" s="42"/>
      <c r="W36" s="66"/>
      <c r="X36" s="90"/>
      <c r="Y36" s="227"/>
      <c r="Z36" s="92"/>
      <c r="AA36" s="37"/>
      <c r="AB36" s="38" t="s">
        <v>235</v>
      </c>
      <c r="AC36" s="163">
        <f>AD36*AE36</f>
        <v>0</v>
      </c>
      <c r="AD36" s="42">
        <v>0</v>
      </c>
      <c r="AE36" s="483">
        <v>52478</v>
      </c>
      <c r="AF36" s="42"/>
      <c r="AG36" s="66"/>
      <c r="AH36" s="91"/>
      <c r="AI36" s="227"/>
      <c r="AJ36" s="163">
        <f t="shared" ref="AJ36:AJ42" si="25">I36+S36+AC36</f>
        <v>52478</v>
      </c>
      <c r="AK36" s="90"/>
    </row>
    <row r="37" spans="1:37" ht="15.6" x14ac:dyDescent="0.3">
      <c r="A37" s="299" t="s">
        <v>8</v>
      </c>
      <c r="B37" s="218" t="str">
        <f t="shared" si="0"/>
        <v>Account ServicesBankcard Fees</v>
      </c>
      <c r="C37" s="217" t="s">
        <v>48</v>
      </c>
      <c r="D37" s="10"/>
      <c r="E37" s="10"/>
      <c r="F37" s="10"/>
      <c r="G37" s="10"/>
      <c r="H37" s="184" t="s">
        <v>236</v>
      </c>
      <c r="I37" s="163">
        <f t="shared" ref="I37:I40" si="26">J37*K37</f>
        <v>176053.867</v>
      </c>
      <c r="J37" s="293">
        <v>0.93700000000000006</v>
      </c>
      <c r="K37" s="483">
        <v>187891</v>
      </c>
      <c r="L37" s="42"/>
      <c r="M37" s="66"/>
      <c r="N37" s="446"/>
      <c r="O37" s="227"/>
      <c r="P37" s="92"/>
      <c r="Q37" s="37"/>
      <c r="R37" s="38" t="s">
        <v>236</v>
      </c>
      <c r="S37" s="163">
        <f t="shared" ref="S37:S40" si="27">T37*U37</f>
        <v>11837.133</v>
      </c>
      <c r="T37" s="293">
        <v>6.3E-2</v>
      </c>
      <c r="U37" s="483">
        <v>187891</v>
      </c>
      <c r="V37" s="42"/>
      <c r="W37" s="66"/>
      <c r="X37" s="90"/>
      <c r="Y37" s="227"/>
      <c r="Z37" s="92"/>
      <c r="AA37" s="37"/>
      <c r="AB37" s="38" t="s">
        <v>236</v>
      </c>
      <c r="AC37" s="163">
        <f t="shared" ref="AC37:AC40" si="28">AD37*AE37</f>
        <v>0</v>
      </c>
      <c r="AD37" s="42">
        <v>0</v>
      </c>
      <c r="AE37" s="483">
        <v>187891</v>
      </c>
      <c r="AF37" s="42"/>
      <c r="AG37" s="66"/>
      <c r="AH37" s="91"/>
      <c r="AI37" s="227"/>
      <c r="AJ37" s="163">
        <f t="shared" si="25"/>
        <v>187891</v>
      </c>
      <c r="AK37" s="90"/>
    </row>
    <row r="38" spans="1:37" ht="15.6" x14ac:dyDescent="0.3">
      <c r="A38" s="299" t="s">
        <v>8</v>
      </c>
      <c r="B38" s="218" t="str">
        <f t="shared" si="0"/>
        <v>Account ServicesLockbox PO Box Fee</v>
      </c>
      <c r="C38" s="217" t="s">
        <v>48</v>
      </c>
      <c r="D38" s="10"/>
      <c r="E38" s="10"/>
      <c r="F38" s="10"/>
      <c r="G38" s="10"/>
      <c r="H38" s="184" t="s">
        <v>237</v>
      </c>
      <c r="I38" s="163">
        <f t="shared" si="26"/>
        <v>950.04000000000008</v>
      </c>
      <c r="J38" s="293">
        <v>0.78</v>
      </c>
      <c r="K38" s="483">
        <v>1218</v>
      </c>
      <c r="L38" s="42"/>
      <c r="M38" s="66"/>
      <c r="N38" s="446"/>
      <c r="O38" s="227"/>
      <c r="P38" s="92"/>
      <c r="Q38" s="37"/>
      <c r="R38" s="38" t="s">
        <v>237</v>
      </c>
      <c r="S38" s="163">
        <f t="shared" si="27"/>
        <v>231.42000000000002</v>
      </c>
      <c r="T38" s="293">
        <v>0.19</v>
      </c>
      <c r="U38" s="483">
        <v>1218</v>
      </c>
      <c r="V38" s="42"/>
      <c r="W38" s="66"/>
      <c r="X38" s="90"/>
      <c r="Y38" s="227"/>
      <c r="Z38" s="92"/>
      <c r="AA38" s="37"/>
      <c r="AB38" s="38" t="s">
        <v>237</v>
      </c>
      <c r="AC38" s="163">
        <f t="shared" si="28"/>
        <v>36.54</v>
      </c>
      <c r="AD38" s="293">
        <v>0.03</v>
      </c>
      <c r="AE38" s="483">
        <v>1218</v>
      </c>
      <c r="AF38" s="42"/>
      <c r="AG38" s="66"/>
      <c r="AH38" s="91"/>
      <c r="AI38" s="227"/>
      <c r="AJ38" s="163">
        <f t="shared" si="25"/>
        <v>1218</v>
      </c>
      <c r="AK38" s="90"/>
    </row>
    <row r="39" spans="1:37" ht="15.6" x14ac:dyDescent="0.3">
      <c r="A39" s="299" t="s">
        <v>8</v>
      </c>
      <c r="B39" s="218" t="str">
        <f t="shared" si="0"/>
        <v>Account ServicesArmored Car Service</v>
      </c>
      <c r="C39" s="217" t="s">
        <v>48</v>
      </c>
      <c r="D39" s="10"/>
      <c r="E39" s="10"/>
      <c r="F39" s="10"/>
      <c r="G39" s="10"/>
      <c r="H39" s="184" t="s">
        <v>238</v>
      </c>
      <c r="I39" s="163">
        <f t="shared" si="26"/>
        <v>15094.38</v>
      </c>
      <c r="J39" s="293">
        <v>0.86599999999999999</v>
      </c>
      <c r="K39" s="483">
        <v>17430</v>
      </c>
      <c r="L39" s="42"/>
      <c r="M39" s="66"/>
      <c r="N39" s="446"/>
      <c r="O39" s="227"/>
      <c r="P39" s="92"/>
      <c r="Q39" s="37"/>
      <c r="R39" s="38" t="s">
        <v>238</v>
      </c>
      <c r="S39" s="163">
        <f t="shared" si="27"/>
        <v>2335.6200000000003</v>
      </c>
      <c r="T39" s="293">
        <v>0.13400000000000001</v>
      </c>
      <c r="U39" s="483">
        <v>17430</v>
      </c>
      <c r="V39" s="42"/>
      <c r="W39" s="66"/>
      <c r="X39" s="90"/>
      <c r="Y39" s="227"/>
      <c r="Z39" s="92"/>
      <c r="AA39" s="37"/>
      <c r="AB39" s="38" t="s">
        <v>238</v>
      </c>
      <c r="AC39" s="163">
        <f t="shared" si="28"/>
        <v>0</v>
      </c>
      <c r="AD39" s="42">
        <v>0</v>
      </c>
      <c r="AE39" s="483">
        <v>17430</v>
      </c>
      <c r="AF39" s="42"/>
      <c r="AG39" s="66"/>
      <c r="AH39" s="91"/>
      <c r="AI39" s="227"/>
      <c r="AJ39" s="163">
        <f t="shared" si="25"/>
        <v>17430</v>
      </c>
      <c r="AK39" s="90"/>
    </row>
    <row r="40" spans="1:37" ht="15.6" x14ac:dyDescent="0.3">
      <c r="A40" s="299" t="s">
        <v>8</v>
      </c>
      <c r="B40" s="218" t="str">
        <f t="shared" si="0"/>
        <v>Account ServicesMisc</v>
      </c>
      <c r="C40" s="217" t="s">
        <v>48</v>
      </c>
      <c r="D40" s="10"/>
      <c r="E40" s="10"/>
      <c r="F40" s="10"/>
      <c r="G40" s="10"/>
      <c r="H40" s="184" t="s">
        <v>241</v>
      </c>
      <c r="I40" s="163">
        <f t="shared" si="26"/>
        <v>3528.9850000000001</v>
      </c>
      <c r="J40" s="293">
        <v>0.89500000000000002</v>
      </c>
      <c r="K40" s="483">
        <v>3943</v>
      </c>
      <c r="L40" s="42"/>
      <c r="M40" s="66"/>
      <c r="N40" s="446"/>
      <c r="O40" s="227"/>
      <c r="P40" s="92"/>
      <c r="Q40" s="37"/>
      <c r="R40" s="38" t="s">
        <v>241</v>
      </c>
      <c r="S40" s="163">
        <f t="shared" si="27"/>
        <v>414.01499999999999</v>
      </c>
      <c r="T40" s="293">
        <v>0.105</v>
      </c>
      <c r="U40" s="483">
        <v>3943</v>
      </c>
      <c r="V40" s="42"/>
      <c r="W40" s="66"/>
      <c r="X40" s="90"/>
      <c r="Y40" s="227"/>
      <c r="Z40" s="92"/>
      <c r="AA40" s="37"/>
      <c r="AB40" s="38" t="s">
        <v>241</v>
      </c>
      <c r="AC40" s="163">
        <f t="shared" si="28"/>
        <v>0</v>
      </c>
      <c r="AD40" s="42">
        <v>0</v>
      </c>
      <c r="AE40" s="483">
        <v>3943</v>
      </c>
      <c r="AF40" s="42"/>
      <c r="AG40" s="66"/>
      <c r="AH40" s="91"/>
      <c r="AI40" s="227"/>
      <c r="AJ40" s="163">
        <f t="shared" si="25"/>
        <v>3943</v>
      </c>
      <c r="AK40" s="90"/>
    </row>
    <row r="41" spans="1:37" ht="15.6" x14ac:dyDescent="0.3">
      <c r="A41" s="299" t="s">
        <v>8</v>
      </c>
      <c r="B41" s="218" t="str">
        <f t="shared" si="0"/>
        <v>Account Services</v>
      </c>
      <c r="C41" s="217" t="s">
        <v>48</v>
      </c>
      <c r="D41" s="10"/>
      <c r="E41" s="10"/>
      <c r="F41" s="10"/>
      <c r="G41" s="10"/>
      <c r="H41" s="184"/>
      <c r="I41" s="163"/>
      <c r="J41" s="82"/>
      <c r="K41" s="82"/>
      <c r="L41" s="67"/>
      <c r="M41" s="177"/>
      <c r="N41" s="447"/>
      <c r="O41" s="228"/>
      <c r="P41" s="92"/>
      <c r="Q41" s="37"/>
      <c r="R41" s="38"/>
      <c r="S41" s="163"/>
      <c r="T41" s="82"/>
      <c r="U41" s="82"/>
      <c r="V41" s="67"/>
      <c r="W41" s="177"/>
      <c r="X41" s="93"/>
      <c r="Y41" s="228"/>
      <c r="Z41" s="92"/>
      <c r="AA41" s="37"/>
      <c r="AB41" s="38"/>
      <c r="AC41" s="163"/>
      <c r="AD41" s="82"/>
      <c r="AE41" s="82"/>
      <c r="AF41" s="67"/>
      <c r="AG41" s="177"/>
      <c r="AH41" s="94"/>
      <c r="AI41" s="228"/>
      <c r="AJ41" s="163">
        <f t="shared" si="25"/>
        <v>0</v>
      </c>
      <c r="AK41" s="93"/>
    </row>
    <row r="42" spans="1:37" ht="15.6" x14ac:dyDescent="0.3">
      <c r="A42" s="299" t="s">
        <v>8</v>
      </c>
      <c r="B42" s="218" t="str">
        <f t="shared" si="0"/>
        <v>Account ServicesTotal Other</v>
      </c>
      <c r="C42" s="220" t="s">
        <v>50</v>
      </c>
      <c r="D42" s="10"/>
      <c r="E42" s="116">
        <f>I42</f>
        <v>246950.75599999999</v>
      </c>
      <c r="F42" s="116">
        <f>S42</f>
        <v>15972.704</v>
      </c>
      <c r="G42" s="116">
        <f>AC42</f>
        <v>36.54</v>
      </c>
      <c r="H42" s="185" t="s">
        <v>45</v>
      </c>
      <c r="I42" s="165">
        <f>SUM(I36:I41)</f>
        <v>246950.75599999999</v>
      </c>
      <c r="J42" s="68"/>
      <c r="K42" s="68"/>
      <c r="L42" s="68"/>
      <c r="M42" s="66"/>
      <c r="N42" s="449">
        <f>I42</f>
        <v>246950.75599999999</v>
      </c>
      <c r="O42" s="240">
        <f>N42/N46</f>
        <v>0.38570027591374156</v>
      </c>
      <c r="P42" s="92"/>
      <c r="Q42" s="68"/>
      <c r="R42" s="49" t="s">
        <v>45</v>
      </c>
      <c r="S42" s="165">
        <f>SUM(S36:S41)</f>
        <v>15972.704</v>
      </c>
      <c r="T42" s="68"/>
      <c r="U42" s="68"/>
      <c r="V42" s="68"/>
      <c r="W42" s="66"/>
      <c r="X42" s="165">
        <f>S42</f>
        <v>15972.704</v>
      </c>
      <c r="Y42" s="240">
        <f>X42/X46</f>
        <v>0.29765683842232304</v>
      </c>
      <c r="Z42" s="92"/>
      <c r="AA42" s="68"/>
      <c r="AB42" s="49" t="s">
        <v>45</v>
      </c>
      <c r="AC42" s="165">
        <f>SUM(AC36:AC41)</f>
        <v>36.54</v>
      </c>
      <c r="AD42" s="68"/>
      <c r="AE42" s="68"/>
      <c r="AF42" s="68"/>
      <c r="AG42" s="66"/>
      <c r="AH42" s="414">
        <f>AC42</f>
        <v>36.54</v>
      </c>
      <c r="AI42" s="240">
        <f>AH42/AH46</f>
        <v>1.5818193322322417E-2</v>
      </c>
      <c r="AJ42" s="165">
        <f t="shared" si="25"/>
        <v>262960</v>
      </c>
      <c r="AK42" s="165"/>
    </row>
    <row r="43" spans="1:37" ht="16.2" thickBot="1" x14ac:dyDescent="0.35">
      <c r="A43" s="299" t="s">
        <v>8</v>
      </c>
      <c r="B43" s="218" t="str">
        <f t="shared" si="0"/>
        <v>Account Services</v>
      </c>
      <c r="C43" s="217" t="s">
        <v>48</v>
      </c>
      <c r="D43" s="10"/>
      <c r="E43" s="126"/>
      <c r="F43" s="126"/>
      <c r="G43" s="126"/>
      <c r="H43" s="178"/>
      <c r="I43" s="178"/>
      <c r="J43" s="101"/>
      <c r="K43" s="101"/>
      <c r="L43" s="101"/>
      <c r="M43" s="102"/>
      <c r="N43" s="450"/>
      <c r="O43" s="178"/>
      <c r="P43" s="101"/>
      <c r="Q43" s="101"/>
      <c r="R43" s="100"/>
      <c r="S43" s="178"/>
      <c r="T43" s="101"/>
      <c r="U43" s="101"/>
      <c r="V43" s="101"/>
      <c r="W43" s="102"/>
      <c r="X43" s="178"/>
      <c r="Y43" s="178"/>
      <c r="Z43" s="101"/>
      <c r="AA43" s="101"/>
      <c r="AB43" s="100"/>
      <c r="AC43" s="178"/>
      <c r="AD43" s="101"/>
      <c r="AE43" s="101"/>
      <c r="AF43" s="101"/>
      <c r="AG43" s="102"/>
      <c r="AH43" s="415"/>
      <c r="AI43" s="178"/>
      <c r="AJ43" s="178"/>
      <c r="AK43" s="178"/>
    </row>
    <row r="44" spans="1:37" ht="16.2" thickTop="1" x14ac:dyDescent="0.3">
      <c r="A44" s="299" t="s">
        <v>8</v>
      </c>
      <c r="B44" s="218" t="str">
        <f t="shared" si="0"/>
        <v>Account ServicesTOTALS</v>
      </c>
      <c r="C44" s="217" t="s">
        <v>48</v>
      </c>
      <c r="D44" s="10"/>
      <c r="E44" s="126"/>
      <c r="F44" s="126"/>
      <c r="G44" s="126"/>
      <c r="H44" s="186" t="s">
        <v>28</v>
      </c>
      <c r="I44" s="418"/>
      <c r="J44" s="103"/>
      <c r="K44" s="103"/>
      <c r="L44" s="103"/>
      <c r="M44" s="104"/>
      <c r="N44" s="446"/>
      <c r="O44" s="136"/>
      <c r="P44" s="92"/>
      <c r="Q44" s="37"/>
      <c r="R44" s="61" t="s">
        <v>28</v>
      </c>
      <c r="S44" s="418"/>
      <c r="T44" s="103"/>
      <c r="U44" s="103"/>
      <c r="V44" s="103"/>
      <c r="W44" s="104"/>
      <c r="X44" s="90"/>
      <c r="Y44" s="136"/>
      <c r="Z44" s="92"/>
      <c r="AA44" s="37"/>
      <c r="AB44" s="61" t="s">
        <v>28</v>
      </c>
      <c r="AC44" s="418"/>
      <c r="AD44" s="103"/>
      <c r="AE44" s="103"/>
      <c r="AF44" s="103"/>
      <c r="AG44" s="104"/>
      <c r="AH44" s="91"/>
      <c r="AI44" s="136"/>
      <c r="AJ44" s="418"/>
      <c r="AK44" s="90"/>
    </row>
    <row r="45" spans="1:37" ht="15.6" x14ac:dyDescent="0.3">
      <c r="A45" s="299" t="s">
        <v>8</v>
      </c>
      <c r="B45" s="218"/>
      <c r="C45" s="217"/>
      <c r="D45" s="10"/>
      <c r="E45" s="10"/>
      <c r="F45" s="10"/>
      <c r="G45" s="10"/>
      <c r="H45" s="136"/>
      <c r="I45" s="172"/>
      <c r="J45" s="42"/>
      <c r="K45" s="39"/>
      <c r="L45" s="154"/>
      <c r="M45" s="33"/>
      <c r="N45" s="446"/>
      <c r="O45" s="136"/>
      <c r="P45" s="92"/>
      <c r="Q45" s="37"/>
      <c r="R45" s="136"/>
      <c r="S45" s="172"/>
      <c r="T45" s="42"/>
      <c r="U45" s="39"/>
      <c r="V45" s="154"/>
      <c r="W45" s="33"/>
      <c r="X45" s="90"/>
      <c r="Y45" s="136"/>
      <c r="Z45" s="92"/>
      <c r="AA45" s="37"/>
      <c r="AB45" s="136"/>
      <c r="AC45" s="172"/>
      <c r="AD45" s="42"/>
      <c r="AE45" s="39"/>
      <c r="AF45" s="154"/>
      <c r="AG45" s="33"/>
      <c r="AH45" s="91"/>
      <c r="AI45" s="136"/>
      <c r="AJ45" s="172"/>
      <c r="AK45" s="90"/>
    </row>
    <row r="46" spans="1:37" ht="15.6" x14ac:dyDescent="0.3">
      <c r="A46" s="299" t="s">
        <v>8</v>
      </c>
      <c r="B46" s="218" t="str">
        <f t="shared" si="0"/>
        <v>Account ServicesPER YEAR</v>
      </c>
      <c r="C46" s="220" t="s">
        <v>50</v>
      </c>
      <c r="D46" s="10"/>
      <c r="E46" s="116">
        <f>I46</f>
        <v>640265.95629200002</v>
      </c>
      <c r="F46" s="116">
        <f>S46</f>
        <v>53661.471661999996</v>
      </c>
      <c r="G46" s="116">
        <f>S46</f>
        <v>53661.471661999996</v>
      </c>
      <c r="H46" s="190" t="s">
        <v>46</v>
      </c>
      <c r="I46" s="417">
        <f>I14+I21+I28+I33+I42</f>
        <v>640265.95629200002</v>
      </c>
      <c r="J46" s="106"/>
      <c r="K46" s="106"/>
      <c r="L46" s="106"/>
      <c r="M46" s="107"/>
      <c r="N46" s="443">
        <f>SUM(N14:N43)</f>
        <v>640265.95629200002</v>
      </c>
      <c r="O46" s="233">
        <f>SUM(O14:O43)</f>
        <v>1</v>
      </c>
      <c r="P46" s="92"/>
      <c r="Q46" s="37"/>
      <c r="R46" s="190" t="s">
        <v>46</v>
      </c>
      <c r="S46" s="417">
        <f>S14+S21+S28+S33+S42</f>
        <v>53661.471661999996</v>
      </c>
      <c r="T46" s="106"/>
      <c r="U46" s="106"/>
      <c r="V46" s="106"/>
      <c r="W46" s="107"/>
      <c r="X46" s="221">
        <f>SUM(X14:X43)</f>
        <v>53661.471661999996</v>
      </c>
      <c r="Y46" s="233">
        <f>SUM(Y14:Y43)</f>
        <v>1</v>
      </c>
      <c r="Z46" s="92"/>
      <c r="AA46" s="37"/>
      <c r="AB46" s="190" t="s">
        <v>46</v>
      </c>
      <c r="AC46" s="417">
        <f>AC14+AC21+AC28+AC33+AC42</f>
        <v>2309.9983199999997</v>
      </c>
      <c r="AD46" s="106"/>
      <c r="AE46" s="106"/>
      <c r="AF46" s="106"/>
      <c r="AG46" s="107"/>
      <c r="AH46" s="452">
        <f>SUM(AH14:AH43)</f>
        <v>2309.9983199999997</v>
      </c>
      <c r="AI46" s="233">
        <f>SUM(AI14:AI43)</f>
        <v>1</v>
      </c>
      <c r="AJ46" s="417">
        <f>I46+S46+AC46</f>
        <v>696237.42627399997</v>
      </c>
      <c r="AK46" s="221"/>
    </row>
    <row r="47" spans="1:37" ht="15.6" x14ac:dyDescent="0.3">
      <c r="A47" s="299" t="s">
        <v>8</v>
      </c>
      <c r="B47" s="218" t="str">
        <f t="shared" si="0"/>
        <v>Account ServicesPER PAYMENT</v>
      </c>
      <c r="C47" s="220" t="s">
        <v>50</v>
      </c>
      <c r="D47" s="10"/>
      <c r="E47" s="10"/>
      <c r="F47" s="10"/>
      <c r="G47" s="10"/>
      <c r="H47" s="185" t="s">
        <v>47</v>
      </c>
      <c r="I47" s="419">
        <f>I46/I$6</f>
        <v>9.3008824220826278E-2</v>
      </c>
      <c r="J47" s="108"/>
      <c r="K47" s="108"/>
      <c r="L47" s="108"/>
      <c r="M47" s="109"/>
      <c r="N47" s="448"/>
      <c r="O47" s="245"/>
      <c r="P47" s="99"/>
      <c r="Q47" s="60"/>
      <c r="R47" s="185" t="s">
        <v>47</v>
      </c>
      <c r="S47" s="419">
        <f>S46/S$6</f>
        <v>7.4140890995430905E-2</v>
      </c>
      <c r="T47" s="108"/>
      <c r="U47" s="108"/>
      <c r="V47" s="108"/>
      <c r="W47" s="109"/>
      <c r="X47" s="97"/>
      <c r="Y47" s="245"/>
      <c r="Z47" s="99"/>
      <c r="AA47" s="60"/>
      <c r="AB47" s="185" t="s">
        <v>47</v>
      </c>
      <c r="AC47" s="419">
        <f>AC46/AC$6</f>
        <v>9.2189740192361397E-2</v>
      </c>
      <c r="AD47" s="108"/>
      <c r="AE47" s="108"/>
      <c r="AF47" s="108"/>
      <c r="AG47" s="109"/>
      <c r="AH47" s="98"/>
      <c r="AI47" s="245"/>
      <c r="AJ47" s="419">
        <f>I47+S47+AC47</f>
        <v>0.25933945540861858</v>
      </c>
      <c r="AK47" s="97"/>
    </row>
    <row r="48" spans="1:37" ht="15.6" x14ac:dyDescent="0.3">
      <c r="A48" s="301" t="s">
        <v>8</v>
      </c>
      <c r="B48" s="218"/>
      <c r="C48" s="220"/>
      <c r="D48" s="10"/>
      <c r="E48" s="10"/>
      <c r="F48" s="10"/>
      <c r="G48" s="10"/>
      <c r="H48" s="137" t="s">
        <v>585</v>
      </c>
      <c r="I48" s="659">
        <f>I14+I21</f>
        <v>393315.20029200002</v>
      </c>
      <c r="J48" s="108"/>
      <c r="K48" s="108"/>
      <c r="L48" s="108"/>
      <c r="M48" s="109"/>
      <c r="N48" s="656"/>
      <c r="O48" s="657"/>
      <c r="P48" s="92"/>
      <c r="Q48" s="37"/>
      <c r="R48" s="137" t="s">
        <v>585</v>
      </c>
      <c r="S48" s="659">
        <f>S14+S21</f>
        <v>37688.767661999998</v>
      </c>
      <c r="T48" s="108"/>
      <c r="U48" s="108"/>
      <c r="V48" s="108"/>
      <c r="W48" s="109"/>
      <c r="X48" s="658"/>
      <c r="Y48" s="657"/>
      <c r="Z48" s="92"/>
      <c r="AA48" s="37"/>
      <c r="AB48" s="137" t="s">
        <v>585</v>
      </c>
      <c r="AC48" s="659">
        <f>AC14+AC21</f>
        <v>2273.4583199999997</v>
      </c>
      <c r="AD48" s="108"/>
      <c r="AE48" s="108"/>
      <c r="AF48" s="108"/>
      <c r="AG48" s="109"/>
      <c r="AH48" s="656"/>
      <c r="AI48" s="137"/>
      <c r="AJ48" s="659">
        <f>I48+S48+AC48</f>
        <v>433277.42627399997</v>
      </c>
      <c r="AK48" s="658"/>
    </row>
    <row r="49" spans="1:37" ht="15.6" x14ac:dyDescent="0.3">
      <c r="A49" s="301" t="s">
        <v>8</v>
      </c>
      <c r="B49" s="218"/>
      <c r="C49" s="220"/>
      <c r="D49" s="10"/>
      <c r="E49" s="10"/>
      <c r="F49" s="10"/>
      <c r="G49" s="10"/>
      <c r="H49" s="137" t="s">
        <v>586</v>
      </c>
      <c r="I49" s="659">
        <f>I42+I33+I28</f>
        <v>246950.75599999999</v>
      </c>
      <c r="J49" s="108"/>
      <c r="K49" s="659"/>
      <c r="L49" s="108"/>
      <c r="M49" s="109"/>
      <c r="N49" s="656"/>
      <c r="O49" s="657"/>
      <c r="P49" s="92"/>
      <c r="Q49" s="37"/>
      <c r="R49" s="137" t="s">
        <v>586</v>
      </c>
      <c r="S49" s="659">
        <f>S42+S33+S28</f>
        <v>15972.704</v>
      </c>
      <c r="T49" s="108"/>
      <c r="U49" s="659"/>
      <c r="V49" s="108"/>
      <c r="W49" s="109"/>
      <c r="X49" s="658"/>
      <c r="Y49" s="657"/>
      <c r="Z49" s="92"/>
      <c r="AA49" s="37"/>
      <c r="AB49" s="137" t="s">
        <v>586</v>
      </c>
      <c r="AC49" s="659">
        <f>AC42+AC33+AC28</f>
        <v>36.54</v>
      </c>
      <c r="AD49" s="108"/>
      <c r="AE49" s="659"/>
      <c r="AF49" s="108"/>
      <c r="AG49" s="109"/>
      <c r="AH49" s="656"/>
      <c r="AI49" s="137"/>
      <c r="AJ49" s="659">
        <f>I49+S49+AC49</f>
        <v>262960</v>
      </c>
      <c r="AK49" s="658"/>
    </row>
    <row r="50" spans="1:37" ht="15.6" x14ac:dyDescent="0.3">
      <c r="A50" s="301" t="s">
        <v>8</v>
      </c>
      <c r="B50" s="218"/>
      <c r="C50" s="220"/>
      <c r="D50" s="10"/>
      <c r="E50" s="10"/>
      <c r="F50" s="10"/>
      <c r="G50" s="10"/>
      <c r="H50" s="137" t="s">
        <v>584</v>
      </c>
      <c r="I50" s="659">
        <f>I46</f>
        <v>640265.95629200002</v>
      </c>
      <c r="J50" s="108"/>
      <c r="K50" s="108"/>
      <c r="L50" s="108"/>
      <c r="M50" s="109"/>
      <c r="N50" s="656"/>
      <c r="O50" s="657"/>
      <c r="P50" s="92"/>
      <c r="Q50" s="37"/>
      <c r="R50" s="137" t="s">
        <v>584</v>
      </c>
      <c r="S50" s="659">
        <f>S46</f>
        <v>53661.471661999996</v>
      </c>
      <c r="T50" s="108"/>
      <c r="U50" s="108"/>
      <c r="V50" s="108"/>
      <c r="W50" s="109"/>
      <c r="X50" s="658"/>
      <c r="Y50" s="657"/>
      <c r="Z50" s="92"/>
      <c r="AA50" s="37"/>
      <c r="AB50" s="137" t="s">
        <v>584</v>
      </c>
      <c r="AC50" s="659">
        <f>AC46</f>
        <v>2309.9983199999997</v>
      </c>
      <c r="AD50" s="108"/>
      <c r="AE50" s="108"/>
      <c r="AF50" s="108"/>
      <c r="AG50" s="109"/>
      <c r="AH50" s="656"/>
      <c r="AI50" s="137"/>
      <c r="AJ50" s="659">
        <f>I50+S50+AC50</f>
        <v>696237.42627399997</v>
      </c>
      <c r="AK50" s="658"/>
    </row>
    <row r="51" spans="1:37" ht="85.2" customHeight="1" x14ac:dyDescent="0.3">
      <c r="A51" s="299" t="s">
        <v>5</v>
      </c>
      <c r="B51" s="218" t="str">
        <f t="shared" ref="B51:B92" si="29">A51&amp;H51</f>
        <v>MASTLABOR: NON-SUPERVISORY</v>
      </c>
      <c r="C51" s="218" t="s">
        <v>5</v>
      </c>
      <c r="D51" s="10" t="str">
        <f>'2015Summary METER to CASH (Base'!K16</f>
        <v xml:space="preserve">* Review delinquent notices batches
* Plan arrangements with customers
</v>
      </c>
      <c r="E51" s="117">
        <f>N91</f>
        <v>8743.7062330000008</v>
      </c>
      <c r="F51" s="117">
        <f>X91</f>
        <v>2150.6443140000001</v>
      </c>
      <c r="G51" s="117">
        <f>AC91</f>
        <v>0</v>
      </c>
      <c r="H51" s="183" t="s">
        <v>31</v>
      </c>
      <c r="I51" s="157"/>
      <c r="J51" s="118"/>
      <c r="K51" s="118"/>
      <c r="L51" s="118"/>
      <c r="M51" s="119"/>
      <c r="N51" s="439"/>
      <c r="O51" s="135"/>
      <c r="P51" s="122"/>
      <c r="Q51" s="123"/>
      <c r="R51" s="183" t="s">
        <v>31</v>
      </c>
      <c r="S51" s="157"/>
      <c r="T51" s="118"/>
      <c r="U51" s="118"/>
      <c r="V51" s="118"/>
      <c r="W51" s="119"/>
      <c r="X51" s="120"/>
      <c r="Y51" s="135"/>
      <c r="Z51" s="122"/>
      <c r="AA51" s="123"/>
      <c r="AB51" s="183" t="s">
        <v>31</v>
      </c>
      <c r="AC51" s="157"/>
      <c r="AD51" s="118"/>
      <c r="AE51" s="118"/>
      <c r="AF51" s="118"/>
      <c r="AG51" s="119"/>
      <c r="AH51" s="121"/>
      <c r="AI51" s="135"/>
      <c r="AJ51" s="157"/>
      <c r="AK51" s="120"/>
    </row>
    <row r="52" spans="1:37" ht="15.6" x14ac:dyDescent="0.3">
      <c r="A52" s="299" t="s">
        <v>5</v>
      </c>
      <c r="B52" s="218" t="str">
        <f t="shared" si="29"/>
        <v>MASTMAST Rep (Grade 145)</v>
      </c>
      <c r="C52" s="217" t="s">
        <v>48</v>
      </c>
      <c r="D52" s="10"/>
      <c r="E52" s="126"/>
      <c r="F52" s="126"/>
      <c r="G52" s="126"/>
      <c r="H52" s="184" t="s">
        <v>246</v>
      </c>
      <c r="I52" s="158">
        <f>J52*K52</f>
        <v>0</v>
      </c>
      <c r="J52" s="42">
        <f>+ROUND('FTE Alloc OR &amp; WA'!J39*2080,0)</f>
        <v>0</v>
      </c>
      <c r="K52" s="259">
        <v>29.13</v>
      </c>
      <c r="L52" s="39"/>
      <c r="M52" s="40" t="str">
        <f>J52&amp;" hrs @ "&amp;K52</f>
        <v>0 hrs @ 29.13</v>
      </c>
      <c r="N52" s="440"/>
      <c r="O52" s="136"/>
      <c r="P52" s="36"/>
      <c r="Q52" s="41"/>
      <c r="R52" s="184" t="s">
        <v>246</v>
      </c>
      <c r="S52" s="158">
        <f>T52*U52</f>
        <v>0</v>
      </c>
      <c r="T52" s="42">
        <f>+ROUND('FTE Alloc OR &amp; WA'!K39*2080,0)</f>
        <v>0</v>
      </c>
      <c r="U52" s="259">
        <v>29.13</v>
      </c>
      <c r="V52" s="39"/>
      <c r="W52" s="40" t="str">
        <f>T52&amp;" hrs @ "&amp;U52</f>
        <v>0 hrs @ 29.13</v>
      </c>
      <c r="X52" s="34"/>
      <c r="Y52" s="136"/>
      <c r="Z52" s="36"/>
      <c r="AA52" s="41"/>
      <c r="AB52" s="184" t="s">
        <v>246</v>
      </c>
      <c r="AC52" s="158">
        <f>AD52*AE52</f>
        <v>0</v>
      </c>
      <c r="AD52" s="289">
        <f>+ROUND('FTE Alloc OR &amp; WA'!L39*2080,0)</f>
        <v>0</v>
      </c>
      <c r="AE52" s="259">
        <v>29.13</v>
      </c>
      <c r="AF52" s="39"/>
      <c r="AG52" s="40" t="str">
        <f>AD52&amp;" hrs @ "&amp;AE52</f>
        <v>0 hrs @ 29.13</v>
      </c>
      <c r="AH52" s="35"/>
      <c r="AI52" s="136"/>
      <c r="AJ52" s="158">
        <f t="shared" ref="AJ52:AJ58" si="30">I52+S52+AC52</f>
        <v>0</v>
      </c>
      <c r="AK52" s="34"/>
    </row>
    <row r="53" spans="1:37" ht="15.6" x14ac:dyDescent="0.3">
      <c r="A53" s="299" t="s">
        <v>5</v>
      </c>
      <c r="B53" s="218" t="str">
        <f t="shared" si="29"/>
        <v>MASTOp Supp 2 (Grade 125)</v>
      </c>
      <c r="C53" s="217" t="s">
        <v>48</v>
      </c>
      <c r="D53" s="10"/>
      <c r="E53" s="126"/>
      <c r="F53" s="126"/>
      <c r="G53" s="126"/>
      <c r="H53" s="184" t="s">
        <v>247</v>
      </c>
      <c r="I53" s="158">
        <f t="shared" ref="I53:I54" si="31">J53*K53</f>
        <v>4115.87</v>
      </c>
      <c r="J53" s="42">
        <v>187</v>
      </c>
      <c r="K53" s="259">
        <v>22.01</v>
      </c>
      <c r="L53" s="42"/>
      <c r="M53" s="40" t="str">
        <f t="shared" ref="M53:M55" si="32">J53&amp;" hrs @ "&amp;K53</f>
        <v>187 hrs @ 22.01</v>
      </c>
      <c r="N53" s="440"/>
      <c r="O53" s="136"/>
      <c r="P53" s="36"/>
      <c r="Q53" s="3"/>
      <c r="R53" s="184" t="s">
        <v>247</v>
      </c>
      <c r="S53" s="158">
        <f t="shared" ref="S53:S54" si="33">T53*U53</f>
        <v>1012.46</v>
      </c>
      <c r="T53" s="42">
        <f>+ROUND('FTE Alloc OR &amp; WA'!K41*2080,0)</f>
        <v>46</v>
      </c>
      <c r="U53" s="259">
        <v>22.01</v>
      </c>
      <c r="V53" s="42"/>
      <c r="W53" s="40" t="str">
        <f t="shared" ref="W53:W55" si="34">T53&amp;" hrs @ "&amp;U53</f>
        <v>46 hrs @ 22.01</v>
      </c>
      <c r="X53" s="34"/>
      <c r="Y53" s="136"/>
      <c r="Z53" s="36"/>
      <c r="AA53" s="3"/>
      <c r="AB53" s="184" t="s">
        <v>247</v>
      </c>
      <c r="AC53" s="158">
        <f t="shared" ref="AC53:AC55" si="35">AD53*AE53</f>
        <v>0</v>
      </c>
      <c r="AD53" s="289">
        <f>+ROUND('FTE Alloc OR &amp; WA'!L40*2080,0)</f>
        <v>0</v>
      </c>
      <c r="AE53" s="259">
        <v>22.01</v>
      </c>
      <c r="AF53" s="42"/>
      <c r="AG53" s="40" t="str">
        <f t="shared" ref="AG53:AG55" si="36">AD53&amp;" hrs @ "&amp;AE53</f>
        <v>0 hrs @ 22.01</v>
      </c>
      <c r="AH53" s="35"/>
      <c r="AI53" s="136"/>
      <c r="AJ53" s="158">
        <f t="shared" si="30"/>
        <v>5128.33</v>
      </c>
      <c r="AK53" s="34"/>
    </row>
    <row r="54" spans="1:37" ht="15.6" x14ac:dyDescent="0.3">
      <c r="A54" s="299" t="s">
        <v>5</v>
      </c>
      <c r="B54" s="218" t="str">
        <f t="shared" si="29"/>
        <v>MASTCustomer Field Service 4</v>
      </c>
      <c r="C54" s="217" t="s">
        <v>48</v>
      </c>
      <c r="D54" s="10"/>
      <c r="E54" s="126"/>
      <c r="F54" s="126"/>
      <c r="G54" s="126"/>
      <c r="H54" s="184" t="s">
        <v>346</v>
      </c>
      <c r="I54" s="158">
        <f t="shared" si="31"/>
        <v>0</v>
      </c>
      <c r="J54" s="42"/>
      <c r="K54" s="39"/>
      <c r="L54" s="42"/>
      <c r="M54" s="40" t="str">
        <f t="shared" si="32"/>
        <v xml:space="preserve"> hrs @ </v>
      </c>
      <c r="N54" s="440"/>
      <c r="O54" s="136"/>
      <c r="P54" s="36"/>
      <c r="Q54" s="41"/>
      <c r="R54" s="184" t="s">
        <v>346</v>
      </c>
      <c r="S54" s="158">
        <f t="shared" si="33"/>
        <v>0</v>
      </c>
      <c r="T54" s="42"/>
      <c r="U54" s="39"/>
      <c r="V54" s="42"/>
      <c r="W54" s="40" t="str">
        <f t="shared" si="34"/>
        <v xml:space="preserve"> hrs @ </v>
      </c>
      <c r="X54" s="34"/>
      <c r="Y54" s="136"/>
      <c r="Z54" s="36"/>
      <c r="AA54" s="41"/>
      <c r="AB54" s="184" t="s">
        <v>346</v>
      </c>
      <c r="AC54" s="158">
        <f t="shared" si="35"/>
        <v>0</v>
      </c>
      <c r="AD54" s="42"/>
      <c r="AE54" s="39"/>
      <c r="AF54" s="42"/>
      <c r="AG54" s="40" t="str">
        <f t="shared" si="36"/>
        <v xml:space="preserve"> hrs @ </v>
      </c>
      <c r="AH54" s="35"/>
      <c r="AI54" s="136"/>
      <c r="AJ54" s="158">
        <f t="shared" si="30"/>
        <v>0</v>
      </c>
      <c r="AK54" s="34"/>
    </row>
    <row r="55" spans="1:37" ht="15.6" x14ac:dyDescent="0.3">
      <c r="A55" s="299" t="s">
        <v>5</v>
      </c>
      <c r="B55" s="218" t="str">
        <f t="shared" si="29"/>
        <v>MAST</v>
      </c>
      <c r="C55" s="217" t="s">
        <v>48</v>
      </c>
      <c r="D55" s="10"/>
      <c r="E55" s="126"/>
      <c r="F55" s="126"/>
      <c r="G55" s="126"/>
      <c r="H55" s="179"/>
      <c r="I55" s="173">
        <f>J55*K55*L55</f>
        <v>0</v>
      </c>
      <c r="J55" s="174"/>
      <c r="K55" s="175"/>
      <c r="L55" s="181">
        <v>7.0000000000000007E-2</v>
      </c>
      <c r="M55" s="176" t="str">
        <f t="shared" si="32"/>
        <v xml:space="preserve"> hrs @ </v>
      </c>
      <c r="N55" s="440"/>
      <c r="O55" s="136"/>
      <c r="P55" s="36"/>
      <c r="Q55" s="44"/>
      <c r="R55" s="179"/>
      <c r="S55" s="173">
        <f>T55*U55*V55</f>
        <v>0</v>
      </c>
      <c r="T55" s="174"/>
      <c r="U55" s="175"/>
      <c r="V55" s="181">
        <v>7.0000000000000007E-2</v>
      </c>
      <c r="W55" s="176" t="str">
        <f t="shared" si="34"/>
        <v xml:space="preserve"> hrs @ </v>
      </c>
      <c r="X55" s="34"/>
      <c r="Y55" s="136"/>
      <c r="Z55" s="36"/>
      <c r="AA55" s="44"/>
      <c r="AB55" s="179"/>
      <c r="AC55" s="173">
        <f t="shared" si="35"/>
        <v>0</v>
      </c>
      <c r="AD55" s="174"/>
      <c r="AE55" s="175"/>
      <c r="AF55" s="181"/>
      <c r="AG55" s="176" t="str">
        <f t="shared" si="36"/>
        <v xml:space="preserve"> hrs @ </v>
      </c>
      <c r="AH55" s="35"/>
      <c r="AI55" s="136"/>
      <c r="AJ55" s="173">
        <f t="shared" si="30"/>
        <v>0</v>
      </c>
      <c r="AK55" s="34"/>
    </row>
    <row r="56" spans="1:37" ht="15.6" x14ac:dyDescent="0.3">
      <c r="A56" s="299" t="s">
        <v>5</v>
      </c>
      <c r="B56" s="218" t="str">
        <f t="shared" si="29"/>
        <v>MASTTotal Wages</v>
      </c>
      <c r="C56" s="217" t="s">
        <v>48</v>
      </c>
      <c r="D56" s="10"/>
      <c r="E56" s="126"/>
      <c r="F56" s="126"/>
      <c r="G56" s="126"/>
      <c r="H56" s="184" t="s">
        <v>32</v>
      </c>
      <c r="I56" s="158">
        <f>SUM(I52:I55)</f>
        <v>4115.87</v>
      </c>
      <c r="J56" s="42"/>
      <c r="K56" s="39"/>
      <c r="L56" s="39"/>
      <c r="M56" s="40"/>
      <c r="N56" s="440"/>
      <c r="O56" s="231"/>
      <c r="P56" s="36"/>
      <c r="Q56" s="41"/>
      <c r="R56" s="38" t="s">
        <v>32</v>
      </c>
      <c r="S56" s="158">
        <f>SUM(S52:S55)</f>
        <v>1012.46</v>
      </c>
      <c r="T56" s="42"/>
      <c r="U56" s="39"/>
      <c r="V56" s="39"/>
      <c r="W56" s="40"/>
      <c r="X56" s="34"/>
      <c r="Y56" s="231"/>
      <c r="Z56" s="36"/>
      <c r="AA56" s="41"/>
      <c r="AB56" s="38" t="s">
        <v>32</v>
      </c>
      <c r="AC56" s="158">
        <f>SUM(AC52:AC55)</f>
        <v>0</v>
      </c>
      <c r="AD56" s="42"/>
      <c r="AE56" s="39"/>
      <c r="AF56" s="39"/>
      <c r="AG56" s="40"/>
      <c r="AH56" s="35"/>
      <c r="AI56" s="231"/>
      <c r="AJ56" s="158">
        <f t="shared" si="30"/>
        <v>5128.33</v>
      </c>
      <c r="AK56" s="34"/>
    </row>
    <row r="57" spans="1:37" ht="15.6" x14ac:dyDescent="0.3">
      <c r="A57" s="299" t="s">
        <v>5</v>
      </c>
      <c r="B57" s="218" t="str">
        <f t="shared" si="29"/>
        <v>MASTBenefits</v>
      </c>
      <c r="C57" s="217" t="s">
        <v>48</v>
      </c>
      <c r="D57" s="10"/>
      <c r="E57" s="126"/>
      <c r="F57" s="126"/>
      <c r="G57" s="126"/>
      <c r="H57" s="184" t="s">
        <v>33</v>
      </c>
      <c r="I57" s="159">
        <f>I56*$O$2</f>
        <v>4057.836233</v>
      </c>
      <c r="J57" s="42"/>
      <c r="K57" s="39"/>
      <c r="M57" s="45" t="str">
        <f>"@ "&amp;$O$2*100&amp;" %"</f>
        <v>@ 98.59 %</v>
      </c>
      <c r="N57" s="442"/>
      <c r="O57" s="232"/>
      <c r="P57" s="48"/>
      <c r="Q57" s="41"/>
      <c r="R57" s="38" t="s">
        <v>33</v>
      </c>
      <c r="S57" s="159">
        <f>S56*$O$2</f>
        <v>998.18431400000009</v>
      </c>
      <c r="T57" s="42"/>
      <c r="U57" s="39"/>
      <c r="W57" s="45" t="str">
        <f>"@ "&amp;$O$2*100&amp;" %"</f>
        <v>@ 98.59 %</v>
      </c>
      <c r="X57" s="46"/>
      <c r="Y57" s="232"/>
      <c r="Z57" s="48"/>
      <c r="AA57" s="41"/>
      <c r="AB57" s="38" t="s">
        <v>33</v>
      </c>
      <c r="AC57" s="159">
        <f>AC56*$O$2</f>
        <v>0</v>
      </c>
      <c r="AD57" s="42"/>
      <c r="AE57" s="39"/>
      <c r="AG57" s="45" t="str">
        <f>"@ "&amp;$O$2*100&amp;" %"</f>
        <v>@ 98.59 %</v>
      </c>
      <c r="AH57" s="47"/>
      <c r="AI57" s="232"/>
      <c r="AJ57" s="159">
        <f t="shared" si="30"/>
        <v>5056.0205470000001</v>
      </c>
      <c r="AK57" s="46"/>
    </row>
    <row r="58" spans="1:37" ht="15.6" x14ac:dyDescent="0.3">
      <c r="A58" s="299" t="s">
        <v>5</v>
      </c>
      <c r="B58" s="218" t="str">
        <f t="shared" si="29"/>
        <v>MASTTotal</v>
      </c>
      <c r="C58" s="219" t="s">
        <v>50</v>
      </c>
      <c r="D58" s="10"/>
      <c r="E58" s="126"/>
      <c r="F58" s="126"/>
      <c r="G58" s="126"/>
      <c r="H58" s="185" t="s">
        <v>34</v>
      </c>
      <c r="I58" s="160">
        <f>I56+I57</f>
        <v>8173.7062329999999</v>
      </c>
      <c r="J58" s="42"/>
      <c r="K58" s="39"/>
      <c r="L58" s="50"/>
      <c r="M58" s="51"/>
      <c r="N58" s="443">
        <f>I58</f>
        <v>8173.7062329999999</v>
      </c>
      <c r="O58" s="233">
        <f>N58/N91</f>
        <v>0.93481025267652074</v>
      </c>
      <c r="P58" s="53"/>
      <c r="Q58" s="37"/>
      <c r="R58" s="49" t="s">
        <v>34</v>
      </c>
      <c r="S58" s="160">
        <f>S56+S57</f>
        <v>2010.6443140000001</v>
      </c>
      <c r="T58" s="42"/>
      <c r="U58" s="39"/>
      <c r="V58" s="50"/>
      <c r="W58" s="51"/>
      <c r="X58" s="52">
        <f>S58</f>
        <v>2010.6443140000001</v>
      </c>
      <c r="Y58" s="233">
        <f>X58/X91</f>
        <v>0.93490322919106372</v>
      </c>
      <c r="Z58" s="53"/>
      <c r="AA58" s="37"/>
      <c r="AB58" s="49" t="s">
        <v>34</v>
      </c>
      <c r="AC58" s="160">
        <f>AC56+AC57</f>
        <v>0</v>
      </c>
      <c r="AD58" s="42"/>
      <c r="AE58" s="39"/>
      <c r="AF58" s="50"/>
      <c r="AG58" s="51"/>
      <c r="AH58" s="420">
        <f>AC58</f>
        <v>0</v>
      </c>
      <c r="AI58" s="233" t="e">
        <f>AH58/AH91</f>
        <v>#DIV/0!</v>
      </c>
      <c r="AJ58" s="160">
        <f t="shared" si="30"/>
        <v>10184.350547</v>
      </c>
      <c r="AK58" s="52"/>
    </row>
    <row r="59" spans="1:37" ht="15.6" x14ac:dyDescent="0.3">
      <c r="A59" s="299" t="s">
        <v>5</v>
      </c>
      <c r="B59" s="218" t="str">
        <f t="shared" si="29"/>
        <v>MAST</v>
      </c>
      <c r="C59" s="217" t="s">
        <v>48</v>
      </c>
      <c r="D59" s="10"/>
      <c r="E59" s="126"/>
      <c r="F59" s="126"/>
      <c r="G59" s="126"/>
      <c r="H59" s="179"/>
      <c r="I59" s="166"/>
      <c r="J59" s="69"/>
      <c r="K59" s="69"/>
      <c r="L59" s="69"/>
      <c r="M59" s="70"/>
      <c r="N59" s="441"/>
      <c r="O59" s="231"/>
      <c r="P59" s="59"/>
      <c r="Q59" s="60"/>
      <c r="R59" s="54"/>
      <c r="S59" s="166"/>
      <c r="T59" s="69"/>
      <c r="U59" s="69"/>
      <c r="V59" s="69"/>
      <c r="W59" s="70"/>
      <c r="X59" s="57"/>
      <c r="Y59" s="231"/>
      <c r="Z59" s="59"/>
      <c r="AA59" s="60"/>
      <c r="AB59" s="54"/>
      <c r="AC59" s="166"/>
      <c r="AD59" s="69"/>
      <c r="AE59" s="69"/>
      <c r="AF59" s="69"/>
      <c r="AG59" s="70"/>
      <c r="AH59" s="58"/>
      <c r="AI59" s="231"/>
      <c r="AJ59" s="166"/>
      <c r="AK59" s="57"/>
    </row>
    <row r="60" spans="1:37" ht="15.6" x14ac:dyDescent="0.3">
      <c r="A60" s="299" t="s">
        <v>5</v>
      </c>
      <c r="B60" s="218" t="str">
        <f t="shared" si="29"/>
        <v>MASTLABOR: SUPERVISORY</v>
      </c>
      <c r="C60" s="220" t="s">
        <v>50</v>
      </c>
      <c r="D60" s="10"/>
      <c r="E60" s="126"/>
      <c r="F60" s="126"/>
      <c r="G60" s="126"/>
      <c r="H60" s="186" t="s">
        <v>35</v>
      </c>
      <c r="I60" s="167"/>
      <c r="J60" s="74"/>
      <c r="K60" s="74"/>
      <c r="L60" s="74"/>
      <c r="M60" s="66"/>
      <c r="N60" s="440"/>
      <c r="O60" s="234"/>
      <c r="P60" s="65"/>
      <c r="Q60" s="37"/>
      <c r="R60" s="61" t="s">
        <v>35</v>
      </c>
      <c r="S60" s="167"/>
      <c r="T60" s="74"/>
      <c r="U60" s="74"/>
      <c r="V60" s="74"/>
      <c r="W60" s="66"/>
      <c r="X60" s="64"/>
      <c r="Y60" s="234"/>
      <c r="Z60" s="65"/>
      <c r="AA60" s="37"/>
      <c r="AB60" s="61" t="s">
        <v>35</v>
      </c>
      <c r="AC60" s="167"/>
      <c r="AD60" s="74"/>
      <c r="AE60" s="74"/>
      <c r="AF60" s="74"/>
      <c r="AG60" s="66"/>
      <c r="AH60" s="26"/>
      <c r="AI60" s="234"/>
      <c r="AJ60" s="167"/>
      <c r="AK60" s="64"/>
    </row>
    <row r="61" spans="1:37" ht="15.6" x14ac:dyDescent="0.3">
      <c r="A61" s="299" t="s">
        <v>5</v>
      </c>
      <c r="B61" s="218" t="str">
        <f t="shared" ref="B61:B62" si="37">A61&amp;H61</f>
        <v>MASTManager (Grade 23)</v>
      </c>
      <c r="C61" s="220"/>
      <c r="D61" s="10"/>
      <c r="E61" s="126"/>
      <c r="F61" s="126"/>
      <c r="G61" s="126"/>
      <c r="H61" s="184" t="s">
        <v>349</v>
      </c>
      <c r="I61" s="158">
        <f t="shared" ref="I61:I62" si="38">J61*K61</f>
        <v>0</v>
      </c>
      <c r="J61" s="42">
        <f>(1/6)*J63</f>
        <v>0</v>
      </c>
      <c r="K61" s="259">
        <v>55.78</v>
      </c>
      <c r="L61" s="43"/>
      <c r="M61" s="40" t="str">
        <f>ROUND(J61,0)&amp;" hrs @ "&amp;K61</f>
        <v>0 hrs @ 55.78</v>
      </c>
      <c r="N61" s="440"/>
      <c r="O61" s="234"/>
      <c r="P61" s="65"/>
      <c r="Q61" s="37"/>
      <c r="R61" s="38" t="s">
        <v>349</v>
      </c>
      <c r="S61" s="158">
        <f t="shared" ref="S61:S62" si="39">T61*U61</f>
        <v>0</v>
      </c>
      <c r="T61" s="42">
        <f>(1/6)*T63</f>
        <v>0</v>
      </c>
      <c r="U61" s="259">
        <v>55.78</v>
      </c>
      <c r="V61" s="43"/>
      <c r="W61" s="40" t="str">
        <f>ROUND(T61,0)&amp;" hrs @ "&amp;U61</f>
        <v>0 hrs @ 55.78</v>
      </c>
      <c r="X61" s="64"/>
      <c r="Y61" s="234"/>
      <c r="Z61" s="65"/>
      <c r="AA61" s="37"/>
      <c r="AB61" s="38" t="s">
        <v>349</v>
      </c>
      <c r="AC61" s="158">
        <f t="shared" ref="AC61:AC62" si="40">AD61*AE61</f>
        <v>0</v>
      </c>
      <c r="AD61" s="289">
        <f>(1/6)*AD63</f>
        <v>0</v>
      </c>
      <c r="AE61" s="259">
        <v>55.78</v>
      </c>
      <c r="AF61" s="43"/>
      <c r="AG61" s="40" t="str">
        <f>ROUND(AD61,0)&amp;" hrs @ "&amp;AE61</f>
        <v>0 hrs @ 55.78</v>
      </c>
      <c r="AH61" s="26"/>
      <c r="AI61" s="234"/>
      <c r="AJ61" s="158">
        <f>I61+S61+AC61</f>
        <v>0</v>
      </c>
      <c r="AK61" s="64"/>
    </row>
    <row r="62" spans="1:37" ht="15.6" x14ac:dyDescent="0.3">
      <c r="A62" s="299" t="s">
        <v>5</v>
      </c>
      <c r="B62" s="218" t="str">
        <f t="shared" si="37"/>
        <v>MASTMAS Supervisor(Grade 21)</v>
      </c>
      <c r="C62" s="220"/>
      <c r="D62" s="10"/>
      <c r="E62" s="126"/>
      <c r="F62" s="126"/>
      <c r="G62" s="126"/>
      <c r="H62" s="184" t="s">
        <v>347</v>
      </c>
      <c r="I62" s="158">
        <f t="shared" si="38"/>
        <v>0</v>
      </c>
      <c r="J62" s="42">
        <f>(1/6)*J65</f>
        <v>0</v>
      </c>
      <c r="K62" s="259">
        <v>45.18</v>
      </c>
      <c r="L62" s="43"/>
      <c r="M62" s="40" t="str">
        <f t="shared" ref="M62" si="41">J62&amp;" hrs @ "&amp;K62</f>
        <v>0 hrs @ 45.18</v>
      </c>
      <c r="N62" s="440"/>
      <c r="O62" s="234"/>
      <c r="P62" s="65"/>
      <c r="Q62" s="37"/>
      <c r="R62" s="38" t="s">
        <v>347</v>
      </c>
      <c r="S62" s="158">
        <f t="shared" si="39"/>
        <v>0</v>
      </c>
      <c r="T62" s="42">
        <f>T54*(T54/(4*1800))</f>
        <v>0</v>
      </c>
      <c r="U62" s="259">
        <v>45.18</v>
      </c>
      <c r="V62" s="43"/>
      <c r="W62" s="40" t="str">
        <f>ROUND(T62,0)&amp;" hrs @ "&amp;U62</f>
        <v>0 hrs @ 45.18</v>
      </c>
      <c r="X62" s="64"/>
      <c r="Y62" s="234"/>
      <c r="Z62" s="65"/>
      <c r="AA62" s="37"/>
      <c r="AB62" s="38" t="s">
        <v>347</v>
      </c>
      <c r="AC62" s="158">
        <f t="shared" si="40"/>
        <v>0</v>
      </c>
      <c r="AD62" s="289">
        <f>AD54*(AD54/(4*1800))</f>
        <v>0</v>
      </c>
      <c r="AE62" s="259">
        <v>45.18</v>
      </c>
      <c r="AF62" s="43"/>
      <c r="AG62" s="40" t="str">
        <f>ROUND(AD62,0)&amp;" hrs @ "&amp;AE62</f>
        <v>0 hrs @ 45.18</v>
      </c>
      <c r="AH62" s="26"/>
      <c r="AI62" s="234"/>
      <c r="AJ62" s="158">
        <f>I62+S62+AC62</f>
        <v>0</v>
      </c>
      <c r="AK62" s="64"/>
    </row>
    <row r="63" spans="1:37" ht="15.6" x14ac:dyDescent="0.3">
      <c r="A63" s="299" t="s">
        <v>5</v>
      </c>
      <c r="B63" s="218" t="str">
        <f t="shared" si="29"/>
        <v>MASTSupervisor MAST (Grade 20)</v>
      </c>
      <c r="C63" s="217" t="s">
        <v>48</v>
      </c>
      <c r="D63" s="10"/>
      <c r="E63" s="126"/>
      <c r="F63" s="126"/>
      <c r="G63" s="126"/>
      <c r="H63" s="179" t="s">
        <v>348</v>
      </c>
      <c r="I63" s="173">
        <f t="shared" ref="I63" si="42">J63*K63</f>
        <v>0</v>
      </c>
      <c r="J63" s="174">
        <f>+ROUND(('FTE Alloc OR &amp; WA'!J45+'FTE Alloc OR &amp; WA'!J47)*2080,0)</f>
        <v>0</v>
      </c>
      <c r="K63" s="175">
        <v>40.5</v>
      </c>
      <c r="L63" s="181"/>
      <c r="M63" s="176" t="str">
        <f t="shared" ref="M63" si="43">J63&amp;" hrs @ "&amp;K63</f>
        <v>0 hrs @ 40.5</v>
      </c>
      <c r="N63" s="440"/>
      <c r="O63" s="235"/>
      <c r="P63" s="65"/>
      <c r="Q63" s="41"/>
      <c r="R63" s="179" t="s">
        <v>348</v>
      </c>
      <c r="S63" s="173">
        <f t="shared" ref="S63" si="44">T63*U63</f>
        <v>0</v>
      </c>
      <c r="T63" s="174">
        <f>+ROUND('FTE Alloc OR &amp; WA'!K32*2080,0)</f>
        <v>0</v>
      </c>
      <c r="U63" s="175">
        <v>40.5</v>
      </c>
      <c r="V63" s="181"/>
      <c r="W63" s="176" t="str">
        <f t="shared" ref="W63" si="45">T63&amp;" hrs @ "&amp;U63</f>
        <v>0 hrs @ 40.5</v>
      </c>
      <c r="X63" s="64"/>
      <c r="Y63" s="235"/>
      <c r="Z63" s="65"/>
      <c r="AA63" s="41"/>
      <c r="AB63" s="179" t="s">
        <v>348</v>
      </c>
      <c r="AC63" s="173">
        <f t="shared" ref="AC63" si="46">AD63*AE63</f>
        <v>0</v>
      </c>
      <c r="AD63" s="174">
        <f>+ROUND('FTE Alloc OR &amp; WA'!L32*2080,0)</f>
        <v>0</v>
      </c>
      <c r="AE63" s="175">
        <v>40.5</v>
      </c>
      <c r="AF63" s="181"/>
      <c r="AG63" s="176" t="str">
        <f t="shared" ref="AG63" si="47">AD63&amp;" hrs @ "&amp;AE63</f>
        <v>0 hrs @ 40.5</v>
      </c>
      <c r="AH63" s="26"/>
      <c r="AI63" s="235"/>
      <c r="AJ63" s="173">
        <f>I63+S63+AC63</f>
        <v>0</v>
      </c>
      <c r="AK63" s="64"/>
    </row>
    <row r="64" spans="1:37" ht="15.6" x14ac:dyDescent="0.3">
      <c r="A64" s="299" t="s">
        <v>5</v>
      </c>
      <c r="B64" s="218"/>
      <c r="C64" s="217"/>
      <c r="D64" s="10"/>
      <c r="E64" s="126"/>
      <c r="F64" s="126"/>
      <c r="G64" s="126"/>
      <c r="H64" s="184" t="s">
        <v>32</v>
      </c>
      <c r="I64" s="158">
        <f>SUM(I60:I63)</f>
        <v>0</v>
      </c>
      <c r="J64" s="42"/>
      <c r="K64" s="39"/>
      <c r="L64" s="39"/>
      <c r="M64" s="40"/>
      <c r="N64" s="440"/>
      <c r="O64" s="234"/>
      <c r="P64" s="65"/>
      <c r="Q64" s="41"/>
      <c r="R64" s="184" t="s">
        <v>32</v>
      </c>
      <c r="S64" s="158">
        <f>SUM(S60:S63)</f>
        <v>0</v>
      </c>
      <c r="T64" s="42"/>
      <c r="U64" s="39"/>
      <c r="V64" s="39"/>
      <c r="W64" s="40"/>
      <c r="X64" s="64"/>
      <c r="Y64" s="234"/>
      <c r="Z64" s="65"/>
      <c r="AA64" s="41"/>
      <c r="AB64" s="184" t="s">
        <v>32</v>
      </c>
      <c r="AC64" s="158">
        <f>SUM(AC60:AC63)</f>
        <v>0</v>
      </c>
      <c r="AD64" s="42"/>
      <c r="AE64" s="39"/>
      <c r="AF64" s="39"/>
      <c r="AG64" s="40"/>
      <c r="AH64" s="26"/>
      <c r="AI64" s="234"/>
      <c r="AJ64" s="158">
        <f>I64+S64+AC64</f>
        <v>0</v>
      </c>
      <c r="AK64" s="64"/>
    </row>
    <row r="65" spans="1:37" ht="21" x14ac:dyDescent="0.4">
      <c r="A65" s="299"/>
      <c r="B65" s="218" t="str">
        <f t="shared" si="29"/>
        <v/>
      </c>
      <c r="C65" s="5"/>
      <c r="D65" s="10"/>
      <c r="E65" s="126"/>
      <c r="F65" s="126"/>
      <c r="G65" s="126"/>
      <c r="H65" s="201"/>
      <c r="I65" s="163"/>
      <c r="J65" s="42"/>
      <c r="K65" s="39"/>
      <c r="L65" s="43"/>
      <c r="M65" s="40"/>
      <c r="N65" s="440"/>
      <c r="O65" s="234"/>
      <c r="P65" s="65"/>
      <c r="Q65" s="41"/>
      <c r="R65" s="200"/>
      <c r="S65" s="163"/>
      <c r="T65" s="42"/>
      <c r="U65" s="39"/>
      <c r="V65" s="43"/>
      <c r="W65" s="40"/>
      <c r="X65" s="64"/>
      <c r="Y65" s="234"/>
      <c r="Z65" s="65"/>
      <c r="AA65" s="41"/>
      <c r="AB65" s="200"/>
      <c r="AC65" s="163"/>
      <c r="AD65" s="42"/>
      <c r="AE65" s="39"/>
      <c r="AF65" s="43"/>
      <c r="AG65" s="40"/>
      <c r="AH65" s="26"/>
      <c r="AI65" s="234"/>
      <c r="AJ65" s="163"/>
      <c r="AK65" s="64"/>
    </row>
    <row r="66" spans="1:37" ht="15.6" x14ac:dyDescent="0.3">
      <c r="A66" s="299" t="s">
        <v>5</v>
      </c>
      <c r="B66" s="218" t="str">
        <f t="shared" si="29"/>
        <v>MASTBenefits</v>
      </c>
      <c r="C66" s="217" t="s">
        <v>48</v>
      </c>
      <c r="D66" s="10"/>
      <c r="E66" s="126"/>
      <c r="F66" s="126"/>
      <c r="G66" s="126"/>
      <c r="H66" s="184" t="s">
        <v>33</v>
      </c>
      <c r="I66" s="159">
        <f>I63*$O$2</f>
        <v>0</v>
      </c>
      <c r="J66" s="42"/>
      <c r="K66" s="39"/>
      <c r="L66" s="156"/>
      <c r="M66" s="45" t="str">
        <f>"@ "&amp;$O$2*100&amp;" %"</f>
        <v>@ 98.59 %</v>
      </c>
      <c r="N66" s="440"/>
      <c r="O66" s="236"/>
      <c r="P66" s="65"/>
      <c r="Q66" s="41"/>
      <c r="R66" s="38" t="s">
        <v>33</v>
      </c>
      <c r="S66" s="159">
        <f>S63*$O$2</f>
        <v>0</v>
      </c>
      <c r="T66" s="42"/>
      <c r="U66" s="39"/>
      <c r="V66" s="156"/>
      <c r="W66" s="45" t="str">
        <f>"@ "&amp;$O$2*100&amp;" %"</f>
        <v>@ 98.59 %</v>
      </c>
      <c r="X66" s="64"/>
      <c r="Y66" s="236"/>
      <c r="Z66" s="65"/>
      <c r="AA66" s="41"/>
      <c r="AB66" s="38" t="s">
        <v>33</v>
      </c>
      <c r="AC66" s="159">
        <f>AC63*$O$2</f>
        <v>0</v>
      </c>
      <c r="AD66" s="42"/>
      <c r="AE66" s="39"/>
      <c r="AF66" s="156"/>
      <c r="AG66" s="45" t="str">
        <f>"@ "&amp;$O$2*100&amp;" %"</f>
        <v>@ 98.59 %</v>
      </c>
      <c r="AH66" s="26"/>
      <c r="AI66" s="236"/>
      <c r="AJ66" s="159">
        <f>I66+S66+AC66</f>
        <v>0</v>
      </c>
      <c r="AK66" s="64"/>
    </row>
    <row r="67" spans="1:37" ht="15.6" x14ac:dyDescent="0.3">
      <c r="A67" s="299" t="s">
        <v>5</v>
      </c>
      <c r="B67" s="218" t="str">
        <f t="shared" si="29"/>
        <v>MASTTotal</v>
      </c>
      <c r="C67" s="220" t="s">
        <v>50</v>
      </c>
      <c r="D67" s="10"/>
      <c r="E67" s="126"/>
      <c r="F67" s="126"/>
      <c r="G67" s="126"/>
      <c r="H67" s="185" t="s">
        <v>34</v>
      </c>
      <c r="I67" s="165">
        <f>I66+I64</f>
        <v>0</v>
      </c>
      <c r="J67" s="68"/>
      <c r="K67" s="68"/>
      <c r="L67" s="68"/>
      <c r="M67" s="63"/>
      <c r="N67" s="443">
        <f>I67</f>
        <v>0</v>
      </c>
      <c r="O67" s="233">
        <f>N67/N91</f>
        <v>0</v>
      </c>
      <c r="P67" s="65"/>
      <c r="Q67" s="41"/>
      <c r="R67" s="49" t="s">
        <v>34</v>
      </c>
      <c r="S67" s="165">
        <f>S66+S64</f>
        <v>0</v>
      </c>
      <c r="T67" s="68"/>
      <c r="U67" s="68"/>
      <c r="V67" s="68"/>
      <c r="W67" s="63"/>
      <c r="X67" s="52">
        <f>S67</f>
        <v>0</v>
      </c>
      <c r="Y67" s="233">
        <f>X67/X91</f>
        <v>0</v>
      </c>
      <c r="Z67" s="65"/>
      <c r="AA67" s="41"/>
      <c r="AB67" s="49" t="s">
        <v>34</v>
      </c>
      <c r="AC67" s="165">
        <f>AC66+AC64</f>
        <v>0</v>
      </c>
      <c r="AD67" s="68"/>
      <c r="AE67" s="68"/>
      <c r="AF67" s="68"/>
      <c r="AG67" s="63"/>
      <c r="AH67" s="420">
        <f>AC67</f>
        <v>0</v>
      </c>
      <c r="AI67" s="233" t="e">
        <f>AH67/AH91</f>
        <v>#DIV/0!</v>
      </c>
      <c r="AJ67" s="165">
        <f>I67+S67+AC67</f>
        <v>0</v>
      </c>
      <c r="AK67" s="52"/>
    </row>
    <row r="68" spans="1:37" ht="15.6" x14ac:dyDescent="0.3">
      <c r="A68" s="299" t="s">
        <v>5</v>
      </c>
      <c r="B68" s="218" t="str">
        <f t="shared" si="29"/>
        <v>MAST</v>
      </c>
      <c r="C68" s="217" t="s">
        <v>48</v>
      </c>
      <c r="D68" s="10"/>
      <c r="E68" s="126"/>
      <c r="F68" s="126"/>
      <c r="G68" s="126"/>
      <c r="H68" s="179"/>
      <c r="I68" s="166"/>
      <c r="J68" s="69"/>
      <c r="K68" s="69"/>
      <c r="L68" s="69"/>
      <c r="M68" s="70"/>
      <c r="N68" s="441"/>
      <c r="O68" s="235"/>
      <c r="P68" s="73"/>
      <c r="Q68" s="60"/>
      <c r="R68" s="54"/>
      <c r="S68" s="166"/>
      <c r="T68" s="69"/>
      <c r="U68" s="69"/>
      <c r="V68" s="69"/>
      <c r="W68" s="70"/>
      <c r="X68" s="71"/>
      <c r="Y68" s="235"/>
      <c r="Z68" s="73"/>
      <c r="AA68" s="60"/>
      <c r="AB68" s="54"/>
      <c r="AC68" s="166"/>
      <c r="AD68" s="69"/>
      <c r="AE68" s="69"/>
      <c r="AF68" s="69"/>
      <c r="AG68" s="70"/>
      <c r="AH68" s="72"/>
      <c r="AI68" s="235"/>
      <c r="AJ68" s="166"/>
      <c r="AK68" s="71"/>
    </row>
    <row r="69" spans="1:37" ht="15.6" x14ac:dyDescent="0.3">
      <c r="A69" s="299" t="s">
        <v>5</v>
      </c>
      <c r="B69" s="218" t="str">
        <f t="shared" si="29"/>
        <v>MASTEQUIPMENT</v>
      </c>
      <c r="C69" s="220" t="s">
        <v>50</v>
      </c>
      <c r="D69" s="10"/>
      <c r="E69" s="126"/>
      <c r="F69" s="126"/>
      <c r="G69" s="126"/>
      <c r="H69" s="186" t="s">
        <v>36</v>
      </c>
      <c r="I69" s="167"/>
      <c r="J69" s="74"/>
      <c r="K69" s="74"/>
      <c r="L69" s="74"/>
      <c r="M69" s="66"/>
      <c r="N69" s="443"/>
      <c r="O69" s="237"/>
      <c r="P69" s="65"/>
      <c r="Q69" s="37"/>
      <c r="R69" s="61" t="s">
        <v>36</v>
      </c>
      <c r="S69" s="167"/>
      <c r="T69" s="74"/>
      <c r="U69" s="74"/>
      <c r="V69" s="74"/>
      <c r="W69" s="66"/>
      <c r="X69" s="75"/>
      <c r="Y69" s="237"/>
      <c r="Z69" s="65"/>
      <c r="AA69" s="37"/>
      <c r="AB69" s="61" t="s">
        <v>36</v>
      </c>
      <c r="AC69" s="167"/>
      <c r="AD69" s="74"/>
      <c r="AE69" s="74"/>
      <c r="AF69" s="74"/>
      <c r="AG69" s="66"/>
      <c r="AH69" s="76"/>
      <c r="AI69" s="237"/>
      <c r="AJ69" s="167"/>
      <c r="AK69" s="75"/>
    </row>
    <row r="70" spans="1:37" ht="15.6" x14ac:dyDescent="0.3">
      <c r="A70" s="299" t="s">
        <v>5</v>
      </c>
      <c r="B70" s="218" t="str">
        <f t="shared" si="29"/>
        <v>MAST</v>
      </c>
      <c r="C70" s="217" t="s">
        <v>48</v>
      </c>
      <c r="D70" s="10"/>
      <c r="E70" s="126"/>
      <c r="F70" s="126"/>
      <c r="G70" s="126"/>
      <c r="H70" s="187"/>
      <c r="I70" s="158">
        <f t="shared" ref="I70:I73" si="48">J70*K70</f>
        <v>0</v>
      </c>
      <c r="J70" s="42"/>
      <c r="K70" s="39"/>
      <c r="L70" s="39"/>
      <c r="M70" s="40" t="str">
        <f>J70&amp;" hrs @ "&amp;K70</f>
        <v xml:space="preserve"> hrs @ </v>
      </c>
      <c r="N70" s="443"/>
      <c r="O70" s="237"/>
      <c r="P70" s="65"/>
      <c r="Q70" s="37"/>
      <c r="R70" s="77"/>
      <c r="S70" s="158">
        <f t="shared" ref="S70:S73" si="49">T70*U70</f>
        <v>0</v>
      </c>
      <c r="T70" s="42"/>
      <c r="U70" s="39"/>
      <c r="V70" s="39"/>
      <c r="W70" s="40" t="str">
        <f>T70&amp;" hrs @ "&amp;U70</f>
        <v xml:space="preserve"> hrs @ </v>
      </c>
      <c r="X70" s="75"/>
      <c r="Y70" s="237"/>
      <c r="Z70" s="65"/>
      <c r="AA70" s="37"/>
      <c r="AB70" s="77"/>
      <c r="AC70" s="158">
        <f t="shared" ref="AC70:AC73" si="50">AD70*AE70</f>
        <v>0</v>
      </c>
      <c r="AD70" s="42"/>
      <c r="AE70" s="39"/>
      <c r="AF70" s="39"/>
      <c r="AG70" s="40" t="str">
        <f>AD70&amp;" hrs @ "&amp;AE70</f>
        <v xml:space="preserve"> hrs @ </v>
      </c>
      <c r="AH70" s="76"/>
      <c r="AI70" s="237"/>
      <c r="AJ70" s="158"/>
      <c r="AK70" s="75"/>
    </row>
    <row r="71" spans="1:37" ht="15.6" x14ac:dyDescent="0.3">
      <c r="A71" s="299" t="s">
        <v>5</v>
      </c>
      <c r="B71" s="218" t="str">
        <f t="shared" si="29"/>
        <v>MAST</v>
      </c>
      <c r="C71" s="217" t="s">
        <v>48</v>
      </c>
      <c r="D71" s="10"/>
      <c r="E71" s="126"/>
      <c r="F71" s="126"/>
      <c r="G71" s="126"/>
      <c r="H71" s="187"/>
      <c r="I71" s="158">
        <f t="shared" si="48"/>
        <v>0</v>
      </c>
      <c r="J71" s="42"/>
      <c r="K71" s="39"/>
      <c r="L71" s="39"/>
      <c r="M71" s="40" t="str">
        <f t="shared" ref="M71:M73" si="51">J71&amp;" hrs @ "&amp;K71</f>
        <v xml:space="preserve"> hrs @ </v>
      </c>
      <c r="N71" s="444"/>
      <c r="O71" s="238"/>
      <c r="P71" s="80"/>
      <c r="Q71" s="81"/>
      <c r="R71" s="77"/>
      <c r="S71" s="158">
        <f t="shared" si="49"/>
        <v>0</v>
      </c>
      <c r="T71" s="42"/>
      <c r="U71" s="39"/>
      <c r="V71" s="39"/>
      <c r="W71" s="40" t="str">
        <f t="shared" ref="W71:W73" si="52">T71&amp;" hrs @ "&amp;U71</f>
        <v xml:space="preserve"> hrs @ </v>
      </c>
      <c r="X71" s="78"/>
      <c r="Y71" s="238"/>
      <c r="Z71" s="80"/>
      <c r="AA71" s="81"/>
      <c r="AB71" s="77"/>
      <c r="AC71" s="158">
        <f t="shared" si="50"/>
        <v>0</v>
      </c>
      <c r="AD71" s="42"/>
      <c r="AE71" s="39"/>
      <c r="AF71" s="39"/>
      <c r="AG71" s="40" t="str">
        <f t="shared" ref="AG71:AG73" si="53">AD71&amp;" hrs @ "&amp;AE71</f>
        <v xml:space="preserve"> hrs @ </v>
      </c>
      <c r="AH71" s="79"/>
      <c r="AI71" s="238"/>
      <c r="AJ71" s="158"/>
      <c r="AK71" s="78"/>
    </row>
    <row r="72" spans="1:37" ht="15.6" x14ac:dyDescent="0.3">
      <c r="A72" s="299" t="s">
        <v>5</v>
      </c>
      <c r="B72" s="218" t="str">
        <f t="shared" si="29"/>
        <v>MAST</v>
      </c>
      <c r="C72" s="217" t="s">
        <v>48</v>
      </c>
      <c r="D72" s="10"/>
      <c r="E72" s="126"/>
      <c r="F72" s="126"/>
      <c r="G72" s="126"/>
      <c r="H72" s="187"/>
      <c r="I72" s="158">
        <f t="shared" si="48"/>
        <v>0</v>
      </c>
      <c r="J72" s="42"/>
      <c r="K72" s="39"/>
      <c r="L72" s="42"/>
      <c r="M72" s="40" t="str">
        <f t="shared" si="51"/>
        <v xml:space="preserve"> hrs @ </v>
      </c>
      <c r="N72" s="444"/>
      <c r="O72" s="238"/>
      <c r="P72" s="80"/>
      <c r="Q72" s="81"/>
      <c r="R72" s="77"/>
      <c r="S72" s="158">
        <f t="shared" si="49"/>
        <v>0</v>
      </c>
      <c r="T72" s="42"/>
      <c r="U72" s="39"/>
      <c r="V72" s="42"/>
      <c r="W72" s="40" t="str">
        <f t="shared" si="52"/>
        <v xml:space="preserve"> hrs @ </v>
      </c>
      <c r="X72" s="78"/>
      <c r="Y72" s="238"/>
      <c r="Z72" s="80"/>
      <c r="AA72" s="81"/>
      <c r="AB72" s="77"/>
      <c r="AC72" s="158">
        <f t="shared" si="50"/>
        <v>0</v>
      </c>
      <c r="AD72" s="42"/>
      <c r="AE72" s="39"/>
      <c r="AF72" s="42"/>
      <c r="AG72" s="40" t="str">
        <f t="shared" si="53"/>
        <v xml:space="preserve"> hrs @ </v>
      </c>
      <c r="AH72" s="79"/>
      <c r="AI72" s="238"/>
      <c r="AJ72" s="158"/>
      <c r="AK72" s="78"/>
    </row>
    <row r="73" spans="1:37" ht="15.6" x14ac:dyDescent="0.3">
      <c r="A73" s="299" t="s">
        <v>5</v>
      </c>
      <c r="B73" s="218" t="str">
        <f t="shared" si="29"/>
        <v>MAST</v>
      </c>
      <c r="C73" s="217" t="s">
        <v>48</v>
      </c>
      <c r="D73" s="10"/>
      <c r="E73" s="126"/>
      <c r="F73" s="126"/>
      <c r="G73" s="126"/>
      <c r="H73" s="187"/>
      <c r="I73" s="158">
        <f t="shared" si="48"/>
        <v>0</v>
      </c>
      <c r="J73" s="42"/>
      <c r="K73" s="39"/>
      <c r="L73" s="43"/>
      <c r="M73" s="40" t="str">
        <f t="shared" si="51"/>
        <v xml:space="preserve"> hrs @ </v>
      </c>
      <c r="N73" s="444"/>
      <c r="O73" s="239"/>
      <c r="P73" s="80"/>
      <c r="Q73" s="81"/>
      <c r="R73" s="77"/>
      <c r="S73" s="158">
        <f t="shared" si="49"/>
        <v>0</v>
      </c>
      <c r="T73" s="42"/>
      <c r="U73" s="39"/>
      <c r="V73" s="43"/>
      <c r="W73" s="40" t="str">
        <f t="shared" si="52"/>
        <v xml:space="preserve"> hrs @ </v>
      </c>
      <c r="X73" s="78"/>
      <c r="Y73" s="239"/>
      <c r="Z73" s="80"/>
      <c r="AA73" s="81"/>
      <c r="AB73" s="77"/>
      <c r="AC73" s="158">
        <f t="shared" si="50"/>
        <v>0</v>
      </c>
      <c r="AD73" s="42"/>
      <c r="AE73" s="39"/>
      <c r="AF73" s="43"/>
      <c r="AG73" s="40" t="str">
        <f t="shared" si="53"/>
        <v xml:space="preserve"> hrs @ </v>
      </c>
      <c r="AH73" s="79"/>
      <c r="AI73" s="239"/>
      <c r="AJ73" s="158"/>
      <c r="AK73" s="78"/>
    </row>
    <row r="74" spans="1:37" ht="15.6" x14ac:dyDescent="0.3">
      <c r="A74" s="299" t="s">
        <v>5</v>
      </c>
      <c r="B74" s="218" t="str">
        <f t="shared" si="29"/>
        <v>MASTTotal Equipment</v>
      </c>
      <c r="C74" s="220" t="s">
        <v>50</v>
      </c>
      <c r="D74" s="10"/>
      <c r="E74" s="116">
        <f>I74</f>
        <v>0</v>
      </c>
      <c r="F74" s="116">
        <f>S74</f>
        <v>0</v>
      </c>
      <c r="G74" s="116">
        <f>AC74</f>
        <v>0</v>
      </c>
      <c r="H74" s="188" t="s">
        <v>37</v>
      </c>
      <c r="I74" s="165">
        <f>SUM(I70:I73)</f>
        <v>0</v>
      </c>
      <c r="J74" s="68"/>
      <c r="K74" s="68"/>
      <c r="L74" s="68"/>
      <c r="M74" s="66"/>
      <c r="N74" s="443">
        <f>I74</f>
        <v>0</v>
      </c>
      <c r="O74" s="240">
        <f>N74/N91</f>
        <v>0</v>
      </c>
      <c r="P74" s="80"/>
      <c r="Q74" s="81"/>
      <c r="R74" s="83" t="s">
        <v>37</v>
      </c>
      <c r="S74" s="165">
        <f>SUM(S70:S73)</f>
        <v>0</v>
      </c>
      <c r="T74" s="68"/>
      <c r="U74" s="68"/>
      <c r="V74" s="68"/>
      <c r="W74" s="66"/>
      <c r="X74" s="52">
        <f>S74</f>
        <v>0</v>
      </c>
      <c r="Y74" s="240">
        <f>X74/X91</f>
        <v>0</v>
      </c>
      <c r="Z74" s="80"/>
      <c r="AA74" s="81"/>
      <c r="AB74" s="83" t="s">
        <v>37</v>
      </c>
      <c r="AC74" s="165">
        <f>SUM(AC70:AC73)</f>
        <v>0</v>
      </c>
      <c r="AD74" s="68"/>
      <c r="AE74" s="68"/>
      <c r="AF74" s="68"/>
      <c r="AG74" s="66"/>
      <c r="AH74" s="420">
        <f>AC74</f>
        <v>0</v>
      </c>
      <c r="AI74" s="240" t="e">
        <f>AH74/AH91</f>
        <v>#DIV/0!</v>
      </c>
      <c r="AJ74" s="165">
        <f>I74+S74+AC74</f>
        <v>0</v>
      </c>
      <c r="AK74" s="52"/>
    </row>
    <row r="75" spans="1:37" ht="15.6" x14ac:dyDescent="0.3">
      <c r="A75" s="299" t="s">
        <v>5</v>
      </c>
      <c r="B75" s="218" t="str">
        <f t="shared" si="29"/>
        <v>MAST</v>
      </c>
      <c r="C75" s="217" t="s">
        <v>48</v>
      </c>
      <c r="D75" s="10"/>
      <c r="E75" s="126"/>
      <c r="F75" s="126"/>
      <c r="G75" s="126"/>
      <c r="H75" s="189"/>
      <c r="I75" s="166"/>
      <c r="J75" s="69"/>
      <c r="K75" s="69"/>
      <c r="L75" s="69"/>
      <c r="M75" s="70"/>
      <c r="N75" s="445"/>
      <c r="O75" s="241"/>
      <c r="P75" s="89"/>
      <c r="Q75" s="60"/>
      <c r="R75" s="84"/>
      <c r="S75" s="166"/>
      <c r="T75" s="69"/>
      <c r="U75" s="69"/>
      <c r="V75" s="69"/>
      <c r="W75" s="70"/>
      <c r="X75" s="87"/>
      <c r="Y75" s="241"/>
      <c r="Z75" s="89"/>
      <c r="AA75" s="60"/>
      <c r="AB75" s="84"/>
      <c r="AC75" s="166"/>
      <c r="AD75" s="69"/>
      <c r="AE75" s="69"/>
      <c r="AF75" s="69"/>
      <c r="AG75" s="70"/>
      <c r="AH75" s="88"/>
      <c r="AI75" s="241"/>
      <c r="AJ75" s="166"/>
      <c r="AK75" s="87"/>
    </row>
    <row r="76" spans="1:37" ht="15.6" x14ac:dyDescent="0.3">
      <c r="A76" s="299" t="s">
        <v>5</v>
      </c>
      <c r="B76" s="218" t="str">
        <f t="shared" si="29"/>
        <v>MASTIS SUPPORT</v>
      </c>
      <c r="C76" s="220" t="s">
        <v>50</v>
      </c>
      <c r="D76" s="10"/>
      <c r="E76" s="126"/>
      <c r="F76" s="126"/>
      <c r="G76" s="126"/>
      <c r="H76" s="186" t="s">
        <v>38</v>
      </c>
      <c r="I76" s="167"/>
      <c r="J76" s="74"/>
      <c r="K76" s="74"/>
      <c r="L76" s="74"/>
      <c r="M76" s="66"/>
      <c r="N76" s="446"/>
      <c r="O76" s="227"/>
      <c r="P76" s="92"/>
      <c r="Q76" s="37"/>
      <c r="R76" s="61" t="s">
        <v>38</v>
      </c>
      <c r="S76" s="167"/>
      <c r="T76" s="74"/>
      <c r="U76" s="74"/>
      <c r="V76" s="74"/>
      <c r="W76" s="66"/>
      <c r="X76" s="90"/>
      <c r="Y76" s="227"/>
      <c r="Z76" s="92"/>
      <c r="AA76" s="37"/>
      <c r="AB76" s="61" t="s">
        <v>38</v>
      </c>
      <c r="AC76" s="167"/>
      <c r="AD76" s="74"/>
      <c r="AE76" s="74"/>
      <c r="AF76" s="74"/>
      <c r="AG76" s="66"/>
      <c r="AH76" s="91"/>
      <c r="AI76" s="227"/>
      <c r="AJ76" s="167"/>
      <c r="AK76" s="90"/>
    </row>
    <row r="77" spans="1:37" ht="15.6" x14ac:dyDescent="0.3">
      <c r="A77" s="299" t="s">
        <v>5</v>
      </c>
      <c r="B77" s="218" t="str">
        <f t="shared" si="29"/>
        <v>MASTAnalyst Labor</v>
      </c>
      <c r="C77" s="217" t="s">
        <v>48</v>
      </c>
      <c r="D77" s="10"/>
      <c r="E77" s="126"/>
      <c r="F77" s="126"/>
      <c r="G77" s="126"/>
      <c r="H77" s="184" t="s">
        <v>39</v>
      </c>
      <c r="I77" s="162">
        <f>J77*K77</f>
        <v>0</v>
      </c>
      <c r="J77" s="42"/>
      <c r="K77" s="39"/>
      <c r="L77" s="39"/>
      <c r="M77" s="40" t="str">
        <f>J77&amp;" hrs @ "&amp;K77</f>
        <v xml:space="preserve"> hrs @ </v>
      </c>
      <c r="N77" s="447"/>
      <c r="O77" s="242"/>
      <c r="P77" s="92"/>
      <c r="Q77" s="37"/>
      <c r="R77" s="38" t="s">
        <v>39</v>
      </c>
      <c r="S77" s="162">
        <f>T77*U77</f>
        <v>0</v>
      </c>
      <c r="T77" s="42"/>
      <c r="U77" s="39"/>
      <c r="V77" s="39"/>
      <c r="W77" s="40" t="str">
        <f>T77&amp;" hrs @ "&amp;U77</f>
        <v xml:space="preserve"> hrs @ </v>
      </c>
      <c r="X77" s="93"/>
      <c r="Y77" s="242"/>
      <c r="Z77" s="92"/>
      <c r="AA77" s="37"/>
      <c r="AB77" s="38" t="s">
        <v>39</v>
      </c>
      <c r="AC77" s="162">
        <f>AD77*AE77</f>
        <v>0</v>
      </c>
      <c r="AD77" s="42"/>
      <c r="AE77" s="39"/>
      <c r="AF77" s="39"/>
      <c r="AG77" s="40" t="str">
        <f>AD77&amp;" hrs @ "&amp;AE77</f>
        <v xml:space="preserve"> hrs @ </v>
      </c>
      <c r="AH77" s="94"/>
      <c r="AI77" s="242"/>
      <c r="AJ77" s="162"/>
      <c r="AK77" s="93"/>
    </row>
    <row r="78" spans="1:37" ht="15.6" x14ac:dyDescent="0.3">
      <c r="A78" s="299" t="s">
        <v>5</v>
      </c>
      <c r="B78" s="218" t="str">
        <f t="shared" si="29"/>
        <v>MASTAnalyst Benefits</v>
      </c>
      <c r="C78" s="217" t="s">
        <v>48</v>
      </c>
      <c r="D78" s="10"/>
      <c r="E78" s="126"/>
      <c r="F78" s="126"/>
      <c r="G78" s="126"/>
      <c r="H78" s="184" t="s">
        <v>40</v>
      </c>
      <c r="I78" s="159">
        <f>I77*$O$2</f>
        <v>0</v>
      </c>
      <c r="J78" s="42"/>
      <c r="K78" s="39"/>
      <c r="L78" s="156"/>
      <c r="M78" s="45" t="str">
        <f>"@ "&amp;$O$2*100&amp;" %"</f>
        <v>@ 98.59 %</v>
      </c>
      <c r="N78" s="447"/>
      <c r="O78" s="228"/>
      <c r="P78" s="92"/>
      <c r="Q78" s="37"/>
      <c r="R78" s="38" t="s">
        <v>40</v>
      </c>
      <c r="S78" s="159">
        <f>S77*$O$2</f>
        <v>0</v>
      </c>
      <c r="T78" s="42"/>
      <c r="U78" s="39"/>
      <c r="V78" s="156"/>
      <c r="W78" s="45" t="str">
        <f>"@ "&amp;$O$2*100&amp;" %"</f>
        <v>@ 98.59 %</v>
      </c>
      <c r="X78" s="93"/>
      <c r="Y78" s="228"/>
      <c r="Z78" s="92"/>
      <c r="AA78" s="37"/>
      <c r="AB78" s="38" t="s">
        <v>40</v>
      </c>
      <c r="AC78" s="159">
        <f>AC77*$O$2</f>
        <v>0</v>
      </c>
      <c r="AD78" s="42"/>
      <c r="AE78" s="39"/>
      <c r="AF78" s="156"/>
      <c r="AG78" s="45" t="str">
        <f>"@ "&amp;$O$2*100&amp;" %"</f>
        <v>@ 98.59 %</v>
      </c>
      <c r="AH78" s="94"/>
      <c r="AI78" s="228"/>
      <c r="AJ78" s="159"/>
      <c r="AK78" s="93"/>
    </row>
    <row r="79" spans="1:37" ht="15.6" x14ac:dyDescent="0.3">
      <c r="A79" s="299" t="s">
        <v>5</v>
      </c>
      <c r="B79" s="218" t="str">
        <f t="shared" si="29"/>
        <v>MASTTotal IS</v>
      </c>
      <c r="C79" s="220" t="s">
        <v>50</v>
      </c>
      <c r="D79" s="10"/>
      <c r="E79" s="126"/>
      <c r="F79" s="126"/>
      <c r="G79" s="126"/>
      <c r="H79" s="185" t="s">
        <v>41</v>
      </c>
      <c r="I79" s="165">
        <f>I77+I78</f>
        <v>0</v>
      </c>
      <c r="J79" s="68"/>
      <c r="K79" s="68"/>
      <c r="L79" s="68"/>
      <c r="M79" s="66"/>
      <c r="N79" s="443">
        <f>I79</f>
        <v>0</v>
      </c>
      <c r="O79" s="240">
        <f>N79/N91</f>
        <v>0</v>
      </c>
      <c r="P79" s="92"/>
      <c r="Q79" s="37"/>
      <c r="R79" s="49" t="s">
        <v>41</v>
      </c>
      <c r="S79" s="165">
        <f>S77+S78</f>
        <v>0</v>
      </c>
      <c r="T79" s="68"/>
      <c r="U79" s="68"/>
      <c r="V79" s="68"/>
      <c r="W79" s="66"/>
      <c r="X79" s="52">
        <f>S79</f>
        <v>0</v>
      </c>
      <c r="Y79" s="240">
        <f>X79/X91</f>
        <v>0</v>
      </c>
      <c r="Z79" s="92"/>
      <c r="AA79" s="37"/>
      <c r="AB79" s="49" t="s">
        <v>41</v>
      </c>
      <c r="AC79" s="165">
        <f>AC77+AC78</f>
        <v>0</v>
      </c>
      <c r="AD79" s="68"/>
      <c r="AE79" s="68"/>
      <c r="AF79" s="68"/>
      <c r="AG79" s="66"/>
      <c r="AH79" s="420">
        <f>AC79</f>
        <v>0</v>
      </c>
      <c r="AI79" s="240" t="e">
        <f>AH79/AH91</f>
        <v>#DIV/0!</v>
      </c>
      <c r="AJ79" s="165">
        <f>I79+S79+AC79</f>
        <v>0</v>
      </c>
      <c r="AK79" s="52"/>
    </row>
    <row r="80" spans="1:37" ht="15.6" x14ac:dyDescent="0.3">
      <c r="A80" s="299" t="s">
        <v>5</v>
      </c>
      <c r="B80" s="218" t="str">
        <f t="shared" si="29"/>
        <v>MAST</v>
      </c>
      <c r="C80" s="217" t="s">
        <v>48</v>
      </c>
      <c r="D80" s="10"/>
      <c r="E80" s="126"/>
      <c r="F80" s="126"/>
      <c r="G80" s="126"/>
      <c r="H80" s="179"/>
      <c r="I80" s="166"/>
      <c r="J80" s="69"/>
      <c r="K80" s="69"/>
      <c r="L80" s="69"/>
      <c r="M80" s="70"/>
      <c r="N80" s="448"/>
      <c r="O80" s="243"/>
      <c r="P80" s="99"/>
      <c r="Q80" s="60"/>
      <c r="R80" s="54"/>
      <c r="S80" s="166"/>
      <c r="T80" s="69"/>
      <c r="U80" s="69"/>
      <c r="V80" s="69"/>
      <c r="W80" s="70"/>
      <c r="X80" s="97"/>
      <c r="Y80" s="243"/>
      <c r="Z80" s="99"/>
      <c r="AA80" s="60"/>
      <c r="AB80" s="54"/>
      <c r="AC80" s="166"/>
      <c r="AD80" s="69"/>
      <c r="AE80" s="69"/>
      <c r="AF80" s="69"/>
      <c r="AG80" s="70"/>
      <c r="AH80" s="98"/>
      <c r="AI80" s="243"/>
      <c r="AJ80" s="166"/>
      <c r="AK80" s="97"/>
    </row>
    <row r="81" spans="1:37" ht="15.6" x14ac:dyDescent="0.3">
      <c r="A81" s="299" t="s">
        <v>5</v>
      </c>
      <c r="B81" s="218" t="str">
        <f t="shared" si="29"/>
        <v>MASTOTHER</v>
      </c>
      <c r="C81" s="220" t="s">
        <v>50</v>
      </c>
      <c r="D81" s="10"/>
      <c r="E81" s="126"/>
      <c r="F81" s="126"/>
      <c r="G81" s="126"/>
      <c r="H81" s="186" t="s">
        <v>42</v>
      </c>
      <c r="I81" s="167"/>
      <c r="J81" s="74"/>
      <c r="K81" s="74"/>
      <c r="L81" s="74"/>
      <c r="M81" s="66"/>
      <c r="N81" s="446"/>
      <c r="O81" s="227"/>
      <c r="P81" s="92"/>
      <c r="Q81" s="37"/>
      <c r="R81" s="61" t="s">
        <v>42</v>
      </c>
      <c r="S81" s="167"/>
      <c r="T81" s="74"/>
      <c r="U81" s="74"/>
      <c r="V81" s="74"/>
      <c r="W81" s="66"/>
      <c r="X81" s="90"/>
      <c r="Y81" s="227"/>
      <c r="Z81" s="92"/>
      <c r="AA81" s="37"/>
      <c r="AB81" s="61" t="s">
        <v>42</v>
      </c>
      <c r="AC81" s="167"/>
      <c r="AD81" s="74"/>
      <c r="AE81" s="74"/>
      <c r="AF81" s="74"/>
      <c r="AG81" s="66"/>
      <c r="AH81" s="91"/>
      <c r="AI81" s="227"/>
      <c r="AJ81" s="167"/>
      <c r="AK81" s="90"/>
    </row>
    <row r="82" spans="1:37" ht="15.6" customHeight="1" x14ac:dyDescent="0.3">
      <c r="A82" s="299" t="s">
        <v>5</v>
      </c>
      <c r="B82" s="218" t="str">
        <f t="shared" si="29"/>
        <v>MASTManager Non Payroll</v>
      </c>
      <c r="C82" s="217" t="s">
        <v>48</v>
      </c>
      <c r="D82" s="10"/>
      <c r="E82" s="126"/>
      <c r="F82" s="126"/>
      <c r="G82" s="126"/>
      <c r="H82" s="42" t="s">
        <v>578</v>
      </c>
      <c r="I82" s="163">
        <f>ROUND((((I52+I61)*(1+$O$2))/VLOOKUP("MAJ ACCT SERV TEAMPayroll",'Base 2015 actual for Cost Cente'!$A:$F,6,FALSE))*VLOOKUP("MAJ ACCT SERV TEAMNon-Payroll",'Base 2015 actual for Cost Cente'!$A:$F,6,FALSE),0)</f>
        <v>0</v>
      </c>
      <c r="J82" s="74"/>
      <c r="K82" s="74"/>
      <c r="L82" s="74" t="s">
        <v>576</v>
      </c>
      <c r="M82" s="734" t="s">
        <v>372</v>
      </c>
      <c r="N82" s="446"/>
      <c r="O82" s="227"/>
      <c r="P82" s="92"/>
      <c r="Q82" s="37"/>
      <c r="R82" s="42" t="s">
        <v>578</v>
      </c>
      <c r="S82" s="163">
        <f>ROUND((((S52+S61)*(1+$O$2))/VLOOKUP("MAJ ACCT SERV TEAMPayroll",'Base 2015 actual for Cost Cente'!$A:$F,6,FALSE))*VLOOKUP("MAJ ACCT SERV TEAMNon-Payroll",'Base 2015 actual for Cost Cente'!$A:$F,6,FALSE),0)</f>
        <v>0</v>
      </c>
      <c r="T82" s="74"/>
      <c r="U82" s="74"/>
      <c r="V82" s="74" t="s">
        <v>576</v>
      </c>
      <c r="W82" s="734" t="s">
        <v>372</v>
      </c>
      <c r="X82" s="90"/>
      <c r="Y82" s="227"/>
      <c r="Z82" s="92"/>
      <c r="AA82" s="37"/>
      <c r="AB82" s="42" t="s">
        <v>578</v>
      </c>
      <c r="AC82" s="163">
        <f>ROUND((((AC52+AC61)*(1+$O$2))/VLOOKUP("MAJ ACCT SERV TEAMPayroll",'Base 2015 actual for Cost Cente'!$A:$F,6,FALSE))*VLOOKUP("MAJ ACCT SERV TEAMNon-Payroll",'Base 2015 actual for Cost Cente'!$A:$F,6,FALSE),0)</f>
        <v>0</v>
      </c>
      <c r="AD82" s="74"/>
      <c r="AE82" s="74"/>
      <c r="AF82" s="74" t="s">
        <v>576</v>
      </c>
      <c r="AG82" s="734" t="s">
        <v>372</v>
      </c>
      <c r="AH82" s="91"/>
      <c r="AI82" s="227"/>
      <c r="AJ82" s="163">
        <f>I82+S82+AC82</f>
        <v>0</v>
      </c>
      <c r="AK82" s="90"/>
    </row>
    <row r="83" spans="1:37" ht="15.6" x14ac:dyDescent="0.3">
      <c r="A83" s="299" t="s">
        <v>5</v>
      </c>
      <c r="B83" s="218" t="str">
        <f t="shared" si="29"/>
        <v>MASTMAS NonPayroll</v>
      </c>
      <c r="C83" s="217" t="s">
        <v>48</v>
      </c>
      <c r="D83" s="10"/>
      <c r="E83" s="126"/>
      <c r="F83" s="126"/>
      <c r="G83" s="126"/>
      <c r="H83" s="42" t="s">
        <v>579</v>
      </c>
      <c r="I83" s="163">
        <f>ROUND((((I54+I62)*(1+$O$2))/VLOOKUP("FIELD SERVICESPayroll",'Base 2015 actual for Cost Cente'!$A:$F,6,FALSE))*VLOOKUP("FIELD SERVICESNon-Payroll",'Base 2015 actual for Cost Cente'!$A:$F,6,FALSE),0)</f>
        <v>0</v>
      </c>
      <c r="J83" s="42"/>
      <c r="K83" s="39"/>
      <c r="L83" s="42" t="s">
        <v>577</v>
      </c>
      <c r="M83" s="735"/>
      <c r="N83" s="446"/>
      <c r="O83" s="227"/>
      <c r="P83" s="92"/>
      <c r="Q83" s="37"/>
      <c r="R83" s="42" t="s">
        <v>579</v>
      </c>
      <c r="S83" s="163">
        <f>ROUND((((S54+S62)*(1+$O$2))/VLOOKUP("FIELD SERVICESPayroll",'Base 2015 actual for Cost Cente'!$A:$F,6,FALSE))*VLOOKUP("FIELD SERVICESNon-Payroll",'Base 2015 actual for Cost Cente'!$A:$F,6,FALSE),0)</f>
        <v>0</v>
      </c>
      <c r="T83" s="42"/>
      <c r="U83" s="39"/>
      <c r="V83" s="42" t="s">
        <v>577</v>
      </c>
      <c r="W83" s="735"/>
      <c r="X83" s="90"/>
      <c r="Y83" s="227"/>
      <c r="Z83" s="92"/>
      <c r="AA83" s="37"/>
      <c r="AB83" s="42" t="s">
        <v>579</v>
      </c>
      <c r="AC83" s="163">
        <f>ROUND((((AC54+AC62)*(1+$O$2))/VLOOKUP("FIELD SERVICESPayroll",'Base 2015 actual for Cost Cente'!$A:$F,6,FALSE))*VLOOKUP("FIELD SERVICESNon-Payroll",'Base 2015 actual for Cost Cente'!$A:$F,6,FALSE),0)</f>
        <v>0</v>
      </c>
      <c r="AD83" s="42"/>
      <c r="AE83" s="39"/>
      <c r="AF83" s="42" t="s">
        <v>577</v>
      </c>
      <c r="AG83" s="735"/>
      <c r="AH83" s="91"/>
      <c r="AI83" s="227"/>
      <c r="AJ83" s="163">
        <f>I83+S83+AC83</f>
        <v>0</v>
      </c>
      <c r="AK83" s="90"/>
    </row>
    <row r="84" spans="1:37" ht="15.6" x14ac:dyDescent="0.3">
      <c r="A84" s="299" t="s">
        <v>5</v>
      </c>
      <c r="B84" s="218" t="str">
        <f t="shared" si="29"/>
        <v>MASTMAST Payroll</v>
      </c>
      <c r="C84" s="217" t="s">
        <v>48</v>
      </c>
      <c r="D84" s="10"/>
      <c r="E84" s="126"/>
      <c r="F84" s="126"/>
      <c r="G84" s="126"/>
      <c r="H84" s="42" t="s">
        <v>580</v>
      </c>
      <c r="I84" s="163">
        <f>ROUND((((I53+I63)*(1+$O$2))/VLOOKUP("CUST SEG SRVCPayroll",'Base 2015 actual for Cost Cente'!$A:$F,6,FALSE))*VLOOKUP("CUST SEG SRVCNon-Payroll",'Base 2015 actual for Cost Cente'!$A:$F,6,FALSE),0)</f>
        <v>570</v>
      </c>
      <c r="J84" s="42"/>
      <c r="K84" s="39"/>
      <c r="L84" s="42" t="s">
        <v>5</v>
      </c>
      <c r="M84" s="66" t="s">
        <v>574</v>
      </c>
      <c r="N84" s="446"/>
      <c r="O84" s="227"/>
      <c r="P84" s="92"/>
      <c r="Q84" s="37"/>
      <c r="R84" s="42" t="s">
        <v>580</v>
      </c>
      <c r="S84" s="163">
        <f>ROUND((((S53+S63)*(1+$O$2))/VLOOKUP("CUST SEG SRVCPayroll",'Base 2015 actual for Cost Cente'!$A:$F,6,FALSE))*VLOOKUP("CUST SEG SRVCNon-Payroll",'Base 2015 actual for Cost Cente'!$A:$F,6,FALSE),0)</f>
        <v>140</v>
      </c>
      <c r="T84" s="42"/>
      <c r="U84" s="39"/>
      <c r="V84" s="42" t="s">
        <v>5</v>
      </c>
      <c r="W84" s="66" t="s">
        <v>574</v>
      </c>
      <c r="X84" s="90"/>
      <c r="Y84" s="227"/>
      <c r="Z84" s="92"/>
      <c r="AA84" s="37"/>
      <c r="AB84" s="42" t="s">
        <v>580</v>
      </c>
      <c r="AC84" s="163">
        <f>ROUND((((AC53+AC63)*(1+$O$2))/VLOOKUP("CUST SEG SRVCPayroll",'Base 2015 actual for Cost Cente'!$A:$F,6,FALSE))*VLOOKUP("CUST SEG SRVCNon-Payroll",'Base 2015 actual for Cost Cente'!$A:$F,6,FALSE),0)</f>
        <v>0</v>
      </c>
      <c r="AD84" s="42"/>
      <c r="AE84" s="39"/>
      <c r="AF84" s="42" t="s">
        <v>5</v>
      </c>
      <c r="AG84" s="66" t="s">
        <v>574</v>
      </c>
      <c r="AH84" s="91"/>
      <c r="AI84" s="227"/>
      <c r="AJ84" s="163">
        <f>I84+S84+AC84</f>
        <v>710</v>
      </c>
      <c r="AK84" s="90"/>
    </row>
    <row r="85" spans="1:37" ht="15.6" x14ac:dyDescent="0.3">
      <c r="A85" s="299" t="s">
        <v>5</v>
      </c>
      <c r="B85" s="218" t="str">
        <f t="shared" si="29"/>
        <v>MAST</v>
      </c>
      <c r="C85" s="217" t="s">
        <v>48</v>
      </c>
      <c r="D85" s="10"/>
      <c r="E85" s="126"/>
      <c r="F85" s="126"/>
      <c r="G85" s="126"/>
      <c r="H85" s="184"/>
      <c r="I85" s="158">
        <f t="shared" ref="I85:I87" si="54">J85*K85</f>
        <v>0</v>
      </c>
      <c r="J85" s="42"/>
      <c r="K85" s="39"/>
      <c r="L85" s="42"/>
      <c r="M85" s="66"/>
      <c r="N85" s="446"/>
      <c r="O85" s="227"/>
      <c r="P85" s="92"/>
      <c r="Q85" s="37"/>
      <c r="R85" s="38"/>
      <c r="S85" s="158">
        <f t="shared" ref="S85:S87" si="55">T85*U85</f>
        <v>0</v>
      </c>
      <c r="T85" s="42"/>
      <c r="U85" s="39"/>
      <c r="V85" s="42"/>
      <c r="W85" s="66"/>
      <c r="X85" s="90"/>
      <c r="Y85" s="227"/>
      <c r="Z85" s="92"/>
      <c r="AA85" s="37"/>
      <c r="AB85" s="38"/>
      <c r="AC85" s="158">
        <f t="shared" ref="AC85:AC87" si="56">AD85*AE85</f>
        <v>0</v>
      </c>
      <c r="AD85" s="42"/>
      <c r="AE85" s="39"/>
      <c r="AF85" s="42"/>
      <c r="AG85" s="66"/>
      <c r="AH85" s="91"/>
      <c r="AI85" s="227"/>
      <c r="AJ85" s="158"/>
      <c r="AK85" s="90"/>
    </row>
    <row r="86" spans="1:37" ht="15.6" x14ac:dyDescent="0.3">
      <c r="A86" s="299" t="s">
        <v>5</v>
      </c>
      <c r="B86" s="218" t="str">
        <f t="shared" si="29"/>
        <v>MAST</v>
      </c>
      <c r="C86" s="217" t="s">
        <v>48</v>
      </c>
      <c r="D86" s="10"/>
      <c r="E86" s="126"/>
      <c r="F86" s="126"/>
      <c r="G86" s="126"/>
      <c r="H86" s="184"/>
      <c r="I86" s="158">
        <f t="shared" si="54"/>
        <v>0</v>
      </c>
      <c r="J86" s="42"/>
      <c r="K86" s="39"/>
      <c r="L86" s="42"/>
      <c r="M86" s="66"/>
      <c r="N86" s="446"/>
      <c r="O86" s="227"/>
      <c r="P86" s="92"/>
      <c r="Q86" s="37"/>
      <c r="R86" s="38"/>
      <c r="S86" s="158">
        <f t="shared" si="55"/>
        <v>0</v>
      </c>
      <c r="T86" s="42"/>
      <c r="U86" s="39"/>
      <c r="V86" s="42"/>
      <c r="W86" s="66"/>
      <c r="X86" s="90"/>
      <c r="Y86" s="227"/>
      <c r="Z86" s="92"/>
      <c r="AA86" s="37"/>
      <c r="AB86" s="38"/>
      <c r="AC86" s="158">
        <f t="shared" si="56"/>
        <v>0</v>
      </c>
      <c r="AD86" s="42"/>
      <c r="AE86" s="39"/>
      <c r="AF86" s="42"/>
      <c r="AG86" s="66"/>
      <c r="AH86" s="91"/>
      <c r="AI86" s="227"/>
      <c r="AJ86" s="158"/>
      <c r="AK86" s="90"/>
    </row>
    <row r="87" spans="1:37" ht="15.6" x14ac:dyDescent="0.3">
      <c r="A87" s="299" t="s">
        <v>5</v>
      </c>
      <c r="B87" s="218" t="str">
        <f t="shared" si="29"/>
        <v>MAST</v>
      </c>
      <c r="C87" s="217" t="s">
        <v>48</v>
      </c>
      <c r="D87" s="10"/>
      <c r="E87" s="126"/>
      <c r="F87" s="126"/>
      <c r="G87" s="126"/>
      <c r="H87" s="184"/>
      <c r="I87" s="158">
        <f t="shared" si="54"/>
        <v>0</v>
      </c>
      <c r="J87" s="82"/>
      <c r="K87" s="82"/>
      <c r="L87" s="67"/>
      <c r="M87" s="40"/>
      <c r="N87" s="447"/>
      <c r="O87" s="228"/>
      <c r="P87" s="92"/>
      <c r="Q87" s="37"/>
      <c r="R87" s="38"/>
      <c r="S87" s="158">
        <f t="shared" si="55"/>
        <v>0</v>
      </c>
      <c r="T87" s="82"/>
      <c r="U87" s="82"/>
      <c r="V87" s="67"/>
      <c r="W87" s="40"/>
      <c r="X87" s="93"/>
      <c r="Y87" s="228"/>
      <c r="Z87" s="92"/>
      <c r="AA87" s="37"/>
      <c r="AB87" s="38"/>
      <c r="AC87" s="158">
        <f t="shared" si="56"/>
        <v>0</v>
      </c>
      <c r="AD87" s="82"/>
      <c r="AE87" s="82"/>
      <c r="AF87" s="67"/>
      <c r="AG87" s="40"/>
      <c r="AH87" s="94"/>
      <c r="AI87" s="228"/>
      <c r="AJ87" s="158"/>
      <c r="AK87" s="93"/>
    </row>
    <row r="88" spans="1:37" ht="15.6" x14ac:dyDescent="0.3">
      <c r="A88" s="299" t="s">
        <v>5</v>
      </c>
      <c r="B88" s="218" t="str">
        <f t="shared" si="29"/>
        <v>MASTTotal Other</v>
      </c>
      <c r="C88" s="220" t="s">
        <v>50</v>
      </c>
      <c r="D88" s="10"/>
      <c r="E88" s="116">
        <f>I88</f>
        <v>570</v>
      </c>
      <c r="F88" s="116">
        <f>S88</f>
        <v>140</v>
      </c>
      <c r="G88" s="116">
        <f>AC88</f>
        <v>0</v>
      </c>
      <c r="H88" s="185" t="s">
        <v>45</v>
      </c>
      <c r="I88" s="165">
        <f>SUM(I82:I87)</f>
        <v>570</v>
      </c>
      <c r="J88" s="68"/>
      <c r="K88" s="68"/>
      <c r="L88" s="68"/>
      <c r="M88" s="66"/>
      <c r="N88" s="449">
        <f>I88</f>
        <v>570</v>
      </c>
      <c r="O88" s="240">
        <f>N88/N91</f>
        <v>6.518974732347918E-2</v>
      </c>
      <c r="P88" s="92"/>
      <c r="Q88" s="68"/>
      <c r="R88" s="49" t="s">
        <v>45</v>
      </c>
      <c r="S88" s="165">
        <f>SUM(S82:S87)</f>
        <v>140</v>
      </c>
      <c r="T88" s="68"/>
      <c r="U88" s="68"/>
      <c r="V88" s="68"/>
      <c r="W88" s="66"/>
      <c r="X88" s="165">
        <f>S88</f>
        <v>140</v>
      </c>
      <c r="Y88" s="240">
        <f>X88/X91</f>
        <v>6.5096770808936277E-2</v>
      </c>
      <c r="Z88" s="92"/>
      <c r="AA88" s="68"/>
      <c r="AB88" s="49" t="s">
        <v>45</v>
      </c>
      <c r="AC88" s="165">
        <f>SUM(AC82:AC87)</f>
        <v>0</v>
      </c>
      <c r="AD88" s="68"/>
      <c r="AE88" s="68"/>
      <c r="AF88" s="68"/>
      <c r="AG88" s="66"/>
      <c r="AH88" s="414">
        <f>AC88</f>
        <v>0</v>
      </c>
      <c r="AI88" s="240" t="e">
        <f>AH88/AH91</f>
        <v>#DIV/0!</v>
      </c>
      <c r="AJ88" s="165">
        <f>I88+S88+AC88</f>
        <v>710</v>
      </c>
      <c r="AK88" s="165"/>
    </row>
    <row r="89" spans="1:37" ht="16.2" thickBot="1" x14ac:dyDescent="0.35">
      <c r="A89" s="299" t="s">
        <v>5</v>
      </c>
      <c r="B89" s="218" t="str">
        <f t="shared" si="29"/>
        <v>MAST</v>
      </c>
      <c r="C89" s="217" t="s">
        <v>48</v>
      </c>
      <c r="D89" s="10"/>
      <c r="E89" s="126"/>
      <c r="F89" s="126"/>
      <c r="G89" s="126"/>
      <c r="H89" s="178"/>
      <c r="I89" s="178"/>
      <c r="J89" s="101"/>
      <c r="K89" s="101"/>
      <c r="L89" s="101"/>
      <c r="M89" s="102"/>
      <c r="N89" s="450"/>
      <c r="O89" s="178"/>
      <c r="P89" s="101"/>
      <c r="Q89" s="101"/>
      <c r="R89" s="100"/>
      <c r="S89" s="178"/>
      <c r="T89" s="101"/>
      <c r="U89" s="101"/>
      <c r="V89" s="101"/>
      <c r="W89" s="102"/>
      <c r="X89" s="178"/>
      <c r="Y89" s="178"/>
      <c r="Z89" s="101"/>
      <c r="AA89" s="101"/>
      <c r="AB89" s="100"/>
      <c r="AC89" s="178"/>
      <c r="AD89" s="101"/>
      <c r="AE89" s="101"/>
      <c r="AF89" s="101"/>
      <c r="AG89" s="102"/>
      <c r="AH89" s="415"/>
      <c r="AI89" s="178"/>
      <c r="AJ89" s="178"/>
      <c r="AK89" s="178"/>
    </row>
    <row r="90" spans="1:37" ht="16.2" thickTop="1" x14ac:dyDescent="0.3">
      <c r="A90" s="299" t="s">
        <v>5</v>
      </c>
      <c r="B90" s="218" t="str">
        <f t="shared" si="29"/>
        <v>MASTTOTALS</v>
      </c>
      <c r="C90" s="217" t="s">
        <v>48</v>
      </c>
      <c r="D90" s="10"/>
      <c r="E90" s="126"/>
      <c r="F90" s="126"/>
      <c r="G90" s="126"/>
      <c r="H90" s="186" t="s">
        <v>28</v>
      </c>
      <c r="I90" s="418"/>
      <c r="J90" s="103"/>
      <c r="K90" s="103"/>
      <c r="L90" s="103"/>
      <c r="M90" s="104"/>
      <c r="N90" s="446"/>
      <c r="O90" s="136"/>
      <c r="P90" s="92"/>
      <c r="Q90" s="37"/>
      <c r="R90" s="61" t="s">
        <v>28</v>
      </c>
      <c r="S90" s="418"/>
      <c r="T90" s="103"/>
      <c r="U90" s="103"/>
      <c r="V90" s="103"/>
      <c r="W90" s="104"/>
      <c r="X90" s="90"/>
      <c r="Y90" s="136"/>
      <c r="Z90" s="92"/>
      <c r="AA90" s="37"/>
      <c r="AB90" s="61" t="s">
        <v>28</v>
      </c>
      <c r="AC90" s="418"/>
      <c r="AD90" s="103"/>
      <c r="AE90" s="103"/>
      <c r="AF90" s="103"/>
      <c r="AG90" s="104"/>
      <c r="AH90" s="91"/>
      <c r="AI90" s="136"/>
      <c r="AJ90" s="418"/>
      <c r="AK90" s="90"/>
    </row>
    <row r="91" spans="1:37" ht="15.6" x14ac:dyDescent="0.3">
      <c r="A91" s="299" t="s">
        <v>5</v>
      </c>
      <c r="B91" s="218" t="str">
        <f t="shared" si="29"/>
        <v>MASTPER YEAR</v>
      </c>
      <c r="C91" s="220" t="s">
        <v>50</v>
      </c>
      <c r="D91" s="10"/>
      <c r="E91" s="116">
        <f>I91</f>
        <v>8743.7062330000008</v>
      </c>
      <c r="F91" s="116">
        <f>S91</f>
        <v>2150.6443140000001</v>
      </c>
      <c r="G91" s="116">
        <f>S91</f>
        <v>2150.6443140000001</v>
      </c>
      <c r="H91" s="190" t="s">
        <v>46</v>
      </c>
      <c r="I91" s="417">
        <f>I58+I67+I74+I79+I88</f>
        <v>8743.7062330000008</v>
      </c>
      <c r="J91" s="106"/>
      <c r="K91" s="106"/>
      <c r="L91" s="106"/>
      <c r="M91" s="107"/>
      <c r="N91" s="443">
        <f>SUM(N58:N89)</f>
        <v>8743.7062330000008</v>
      </c>
      <c r="O91" s="233">
        <f>SUM(O58:O89)</f>
        <v>0.99999999999999989</v>
      </c>
      <c r="P91" s="92"/>
      <c r="Q91" s="37"/>
      <c r="R91" s="105" t="s">
        <v>46</v>
      </c>
      <c r="S91" s="417">
        <f>S58+S67+S74+S79+S88</f>
        <v>2150.6443140000001</v>
      </c>
      <c r="T91" s="106"/>
      <c r="U91" s="106"/>
      <c r="V91" s="106"/>
      <c r="W91" s="107"/>
      <c r="X91" s="52">
        <f>SUM(X58:X89)</f>
        <v>2150.6443140000001</v>
      </c>
      <c r="Y91" s="233">
        <f>SUM(Y58:Y89)</f>
        <v>1</v>
      </c>
      <c r="Z91" s="92"/>
      <c r="AA91" s="37"/>
      <c r="AB91" s="105" t="s">
        <v>46</v>
      </c>
      <c r="AC91" s="417">
        <f>AC58+AC67+AC74+AC79+AC88</f>
        <v>0</v>
      </c>
      <c r="AD91" s="106"/>
      <c r="AE91" s="106"/>
      <c r="AF91" s="106"/>
      <c r="AG91" s="107"/>
      <c r="AH91" s="420">
        <f>SUM(AH58:AH89)</f>
        <v>0</v>
      </c>
      <c r="AI91" s="233" t="e">
        <f>SUM(AI58:AI89)</f>
        <v>#DIV/0!</v>
      </c>
      <c r="AJ91" s="417">
        <f>I91+S91+AC91</f>
        <v>10894.350547000002</v>
      </c>
      <c r="AK91" s="52"/>
    </row>
    <row r="92" spans="1:37" ht="15.6" x14ac:dyDescent="0.3">
      <c r="A92" s="299" t="s">
        <v>5</v>
      </c>
      <c r="B92" s="218" t="str">
        <f t="shared" si="29"/>
        <v>MASTPER PAYMENT</v>
      </c>
      <c r="C92" s="220" t="s">
        <v>50</v>
      </c>
      <c r="D92" s="10"/>
      <c r="E92" s="126"/>
      <c r="F92" s="126"/>
      <c r="G92" s="126"/>
      <c r="H92" s="185" t="s">
        <v>47</v>
      </c>
      <c r="I92" s="419">
        <f>I91/I$6</f>
        <v>1.2701625442861323E-3</v>
      </c>
      <c r="J92" s="108"/>
      <c r="K92" s="108"/>
      <c r="L92" s="108"/>
      <c r="M92" s="109"/>
      <c r="N92" s="448"/>
      <c r="O92" s="243"/>
      <c r="P92" s="99"/>
      <c r="Q92" s="60"/>
      <c r="R92" s="49" t="s">
        <v>47</v>
      </c>
      <c r="S92" s="419">
        <f>S91/S$6</f>
        <v>2.9714184258411089E-3</v>
      </c>
      <c r="T92" s="108"/>
      <c r="U92" s="108"/>
      <c r="V92" s="108"/>
      <c r="W92" s="109"/>
      <c r="X92" s="97"/>
      <c r="Y92" s="243"/>
      <c r="Z92" s="99"/>
      <c r="AA92" s="60"/>
      <c r="AB92" s="49" t="s">
        <v>47</v>
      </c>
      <c r="AC92" s="419">
        <f>AC91/AC$6</f>
        <v>0</v>
      </c>
      <c r="AD92" s="108"/>
      <c r="AE92" s="108"/>
      <c r="AF92" s="108"/>
      <c r="AG92" s="109"/>
      <c r="AH92" s="98"/>
      <c r="AI92" s="243"/>
      <c r="AJ92" s="419">
        <f>I92+S92+AC92</f>
        <v>4.2415809701272407E-3</v>
      </c>
      <c r="AK92" s="97"/>
    </row>
    <row r="93" spans="1:37" ht="15.6" x14ac:dyDescent="0.3">
      <c r="A93" s="299" t="s">
        <v>5</v>
      </c>
      <c r="B93" s="218"/>
      <c r="C93" s="220"/>
      <c r="D93" s="10"/>
      <c r="E93" s="10"/>
      <c r="F93" s="10"/>
      <c r="G93" s="10"/>
      <c r="H93" s="137" t="s">
        <v>585</v>
      </c>
      <c r="I93" s="659">
        <f>I58+I67</f>
        <v>8173.7062329999999</v>
      </c>
      <c r="J93" s="108"/>
      <c r="K93" s="108"/>
      <c r="L93" s="108"/>
      <c r="M93" s="109"/>
      <c r="N93" s="656"/>
      <c r="O93" s="657"/>
      <c r="P93" s="92"/>
      <c r="Q93" s="37"/>
      <c r="R93" s="137" t="s">
        <v>585</v>
      </c>
      <c r="S93" s="659">
        <f>S58+S67</f>
        <v>2010.6443140000001</v>
      </c>
      <c r="T93" s="108"/>
      <c r="U93" s="108"/>
      <c r="V93" s="108"/>
      <c r="W93" s="109"/>
      <c r="X93" s="658"/>
      <c r="Y93" s="657"/>
      <c r="Z93" s="92"/>
      <c r="AA93" s="37"/>
      <c r="AB93" s="137" t="s">
        <v>585</v>
      </c>
      <c r="AC93" s="659">
        <f>AC58+AC67</f>
        <v>0</v>
      </c>
      <c r="AD93" s="108"/>
      <c r="AE93" s="108"/>
      <c r="AF93" s="108"/>
      <c r="AG93" s="109"/>
      <c r="AH93" s="656"/>
      <c r="AI93" s="137"/>
      <c r="AJ93" s="659">
        <f>I93+S93+AC93</f>
        <v>10184.350547</v>
      </c>
      <c r="AK93" s="658"/>
    </row>
    <row r="94" spans="1:37" ht="15.6" x14ac:dyDescent="0.3">
      <c r="A94" s="299" t="s">
        <v>5</v>
      </c>
      <c r="B94" s="218"/>
      <c r="C94" s="220"/>
      <c r="D94" s="10"/>
      <c r="E94" s="10"/>
      <c r="F94" s="10"/>
      <c r="G94" s="10"/>
      <c r="H94" s="137" t="s">
        <v>586</v>
      </c>
      <c r="I94" s="659">
        <f>I88+I79+I74</f>
        <v>570</v>
      </c>
      <c r="J94" s="108"/>
      <c r="K94" s="659"/>
      <c r="L94" s="108"/>
      <c r="M94" s="109"/>
      <c r="N94" s="656"/>
      <c r="O94" s="657"/>
      <c r="P94" s="92"/>
      <c r="Q94" s="37"/>
      <c r="R94" s="137" t="s">
        <v>586</v>
      </c>
      <c r="S94" s="659">
        <f>S88+S79+S74</f>
        <v>140</v>
      </c>
      <c r="T94" s="108"/>
      <c r="U94" s="659"/>
      <c r="V94" s="108"/>
      <c r="W94" s="109"/>
      <c r="X94" s="658"/>
      <c r="Y94" s="657"/>
      <c r="Z94" s="92"/>
      <c r="AA94" s="37"/>
      <c r="AB94" s="137" t="s">
        <v>586</v>
      </c>
      <c r="AC94" s="659">
        <f>AC88+AC79+AC74</f>
        <v>0</v>
      </c>
      <c r="AD94" s="108"/>
      <c r="AE94" s="659"/>
      <c r="AF94" s="108"/>
      <c r="AG94" s="109"/>
      <c r="AH94" s="656"/>
      <c r="AI94" s="137"/>
      <c r="AJ94" s="659">
        <f>I94+S94+AC94</f>
        <v>710</v>
      </c>
      <c r="AK94" s="658"/>
    </row>
    <row r="95" spans="1:37" ht="15.6" x14ac:dyDescent="0.3">
      <c r="A95" s="299" t="s">
        <v>5</v>
      </c>
      <c r="B95" s="218"/>
      <c r="C95" s="220"/>
      <c r="D95" s="10"/>
      <c r="E95" s="10"/>
      <c r="F95" s="10"/>
      <c r="G95" s="10"/>
      <c r="H95" s="137" t="s">
        <v>584</v>
      </c>
      <c r="I95" s="659">
        <f>I91</f>
        <v>8743.7062330000008</v>
      </c>
      <c r="J95" s="108"/>
      <c r="K95" s="108"/>
      <c r="L95" s="108"/>
      <c r="M95" s="109"/>
      <c r="N95" s="656"/>
      <c r="O95" s="657"/>
      <c r="P95" s="92"/>
      <c r="Q95" s="37"/>
      <c r="R95" s="137" t="s">
        <v>584</v>
      </c>
      <c r="S95" s="659">
        <f>S91</f>
        <v>2150.6443140000001</v>
      </c>
      <c r="T95" s="108"/>
      <c r="U95" s="108"/>
      <c r="V95" s="108"/>
      <c r="W95" s="109"/>
      <c r="X95" s="658"/>
      <c r="Y95" s="657"/>
      <c r="Z95" s="92"/>
      <c r="AA95" s="37"/>
      <c r="AB95" s="137" t="s">
        <v>584</v>
      </c>
      <c r="AC95" s="659">
        <f>AC91</f>
        <v>0</v>
      </c>
      <c r="AD95" s="108"/>
      <c r="AE95" s="108"/>
      <c r="AF95" s="108"/>
      <c r="AG95" s="109"/>
      <c r="AH95" s="656"/>
      <c r="AI95" s="137"/>
      <c r="AJ95" s="659">
        <f>I95+S95+AC95</f>
        <v>10894.350547000002</v>
      </c>
      <c r="AK95" s="658"/>
    </row>
    <row r="96" spans="1:37" ht="46.8" x14ac:dyDescent="0.3">
      <c r="A96" s="300" t="s">
        <v>10</v>
      </c>
      <c r="B96" s="218" t="str">
        <f t="shared" ref="B96:B113" si="57">A96&amp;H96</f>
        <v>TreasuryLABOR: NON-SUPERVISORY</v>
      </c>
      <c r="C96" s="13" t="s">
        <v>10</v>
      </c>
      <c r="D96" s="10" t="str">
        <f>'2015Summary METER to CASH (Base'!K28</f>
        <v>* Payment Process Management
* Bank Fees</v>
      </c>
      <c r="E96" s="117">
        <f>N132</f>
        <v>1377057.4526405602</v>
      </c>
      <c r="F96" s="117">
        <f>X132</f>
        <v>146365.73124380747</v>
      </c>
      <c r="G96" s="117">
        <f>AC132</f>
        <v>6773.5265776322876</v>
      </c>
      <c r="H96" s="183" t="s">
        <v>31</v>
      </c>
      <c r="I96" s="157"/>
      <c r="J96" s="302">
        <v>1800</v>
      </c>
      <c r="K96" s="302" t="s">
        <v>298</v>
      </c>
      <c r="L96" s="118"/>
      <c r="M96" s="119"/>
      <c r="N96" s="439"/>
      <c r="O96" s="135"/>
      <c r="P96" s="122"/>
      <c r="Q96" s="123"/>
      <c r="R96" s="183" t="s">
        <v>31</v>
      </c>
      <c r="S96" s="157"/>
      <c r="T96" s="302">
        <v>1800</v>
      </c>
      <c r="U96" s="302" t="s">
        <v>298</v>
      </c>
      <c r="V96" s="118"/>
      <c r="W96" s="119"/>
      <c r="X96" s="120"/>
      <c r="Y96" s="135"/>
      <c r="Z96" s="122"/>
      <c r="AA96" s="123"/>
      <c r="AB96" s="183" t="s">
        <v>31</v>
      </c>
      <c r="AC96" s="157"/>
      <c r="AD96" s="302">
        <v>1800</v>
      </c>
      <c r="AE96" s="302" t="s">
        <v>298</v>
      </c>
      <c r="AF96" s="118"/>
      <c r="AG96" s="119"/>
      <c r="AH96" s="121"/>
      <c r="AI96" s="135"/>
      <c r="AJ96" s="157"/>
      <c r="AK96" s="120"/>
    </row>
    <row r="97" spans="1:37" ht="21" x14ac:dyDescent="0.4">
      <c r="A97" s="300" t="s">
        <v>10</v>
      </c>
      <c r="B97" s="218" t="str">
        <f t="shared" si="57"/>
        <v>TreasuryCredit/Collections 3(Grade 20?)</v>
      </c>
      <c r="C97" s="5" t="s">
        <v>48</v>
      </c>
      <c r="D97" s="10"/>
      <c r="E97" s="117"/>
      <c r="F97" s="117"/>
      <c r="G97" s="117"/>
      <c r="H97" s="184" t="s">
        <v>316</v>
      </c>
      <c r="I97" s="158">
        <f>J97*K97</f>
        <v>778.5</v>
      </c>
      <c r="J97" s="42">
        <v>17.3</v>
      </c>
      <c r="K97" s="39">
        <v>45</v>
      </c>
      <c r="L97" s="39"/>
      <c r="M97" s="40" t="str">
        <f>J97&amp;" hrs @ "&amp;K97</f>
        <v>17.3 hrs @ 45</v>
      </c>
      <c r="N97" s="440"/>
      <c r="O97" s="136"/>
      <c r="P97" s="36"/>
      <c r="Q97" s="41"/>
      <c r="R97" s="38" t="s">
        <v>316</v>
      </c>
      <c r="S97" s="158">
        <f>T97*U97</f>
        <v>778.5</v>
      </c>
      <c r="T97" s="42">
        <v>17.3</v>
      </c>
      <c r="U97" s="39">
        <v>45</v>
      </c>
      <c r="V97" s="39"/>
      <c r="W97" s="40" t="str">
        <f>T97&amp;" hrs @ "&amp;U97</f>
        <v>17.3 hrs @ 45</v>
      </c>
      <c r="X97" s="34"/>
      <c r="Y97" s="136"/>
      <c r="Z97" s="36"/>
      <c r="AA97" s="41"/>
      <c r="AB97" s="38" t="s">
        <v>316</v>
      </c>
      <c r="AC97" s="158">
        <f>AD97*AE97</f>
        <v>778.5</v>
      </c>
      <c r="AD97" s="42">
        <v>17.3</v>
      </c>
      <c r="AE97" s="39">
        <v>45</v>
      </c>
      <c r="AF97" s="39"/>
      <c r="AG97" s="40" t="str">
        <f>AD97&amp;" hrs @ "&amp;AE97</f>
        <v>17.3 hrs @ 45</v>
      </c>
      <c r="AH97" s="35"/>
      <c r="AI97" s="136"/>
      <c r="AJ97" s="158">
        <f>I97+S97+AC97</f>
        <v>2335.5</v>
      </c>
      <c r="AK97" s="34"/>
    </row>
    <row r="98" spans="1:37" ht="21" x14ac:dyDescent="0.4">
      <c r="A98" s="300" t="s">
        <v>10</v>
      </c>
      <c r="B98" s="218" t="str">
        <f t="shared" si="57"/>
        <v>Treasury</v>
      </c>
      <c r="C98" s="5" t="s">
        <v>48</v>
      </c>
      <c r="D98" s="10"/>
      <c r="E98" s="117"/>
      <c r="F98" s="117"/>
      <c r="G98" s="117"/>
      <c r="H98" s="184"/>
      <c r="I98" s="158"/>
      <c r="J98" s="42"/>
      <c r="K98" s="39"/>
      <c r="L98" s="42"/>
      <c r="M98" s="40" t="str">
        <f t="shared" ref="M98:M100" si="58">J98&amp;" hrs @ "&amp;K98</f>
        <v xml:space="preserve"> hrs @ </v>
      </c>
      <c r="N98" s="440"/>
      <c r="O98" s="136"/>
      <c r="P98" s="36"/>
      <c r="Q98" s="3"/>
      <c r="R98" s="38"/>
      <c r="S98" s="158"/>
      <c r="T98" s="42"/>
      <c r="U98" s="39"/>
      <c r="V98" s="42"/>
      <c r="W98" s="40" t="str">
        <f t="shared" ref="W98:W100" si="59">T98&amp;" hrs @ "&amp;U98</f>
        <v xml:space="preserve"> hrs @ </v>
      </c>
      <c r="X98" s="34"/>
      <c r="Y98" s="136"/>
      <c r="Z98" s="36"/>
      <c r="AA98" s="3"/>
      <c r="AB98" s="38"/>
      <c r="AC98" s="158"/>
      <c r="AD98" s="42"/>
      <c r="AE98" s="39"/>
      <c r="AF98" s="42"/>
      <c r="AG98" s="40" t="str">
        <f t="shared" ref="AG98:AG100" si="60">AD98&amp;" hrs @ "&amp;AE98</f>
        <v xml:space="preserve"> hrs @ </v>
      </c>
      <c r="AH98" s="35"/>
      <c r="AI98" s="136"/>
      <c r="AJ98" s="158"/>
      <c r="AK98" s="34"/>
    </row>
    <row r="99" spans="1:37" ht="21" x14ac:dyDescent="0.4">
      <c r="A99" s="300" t="s">
        <v>10</v>
      </c>
      <c r="B99" s="218" t="str">
        <f t="shared" si="57"/>
        <v>Treasury</v>
      </c>
      <c r="C99" s="5" t="s">
        <v>48</v>
      </c>
      <c r="D99" s="10"/>
      <c r="E99" s="117"/>
      <c r="F99" s="117"/>
      <c r="G99" s="117"/>
      <c r="H99" s="184"/>
      <c r="I99" s="158"/>
      <c r="J99" s="42"/>
      <c r="K99" s="39"/>
      <c r="L99" s="42"/>
      <c r="M99" s="40" t="str">
        <f t="shared" si="58"/>
        <v xml:space="preserve"> hrs @ </v>
      </c>
      <c r="N99" s="440"/>
      <c r="O99" s="136"/>
      <c r="P99" s="36"/>
      <c r="Q99" s="41"/>
      <c r="R99" s="38"/>
      <c r="S99" s="158"/>
      <c r="T99" s="42"/>
      <c r="U99" s="39"/>
      <c r="V99" s="42"/>
      <c r="W99" s="40" t="str">
        <f t="shared" si="59"/>
        <v xml:space="preserve"> hrs @ </v>
      </c>
      <c r="X99" s="34"/>
      <c r="Y99" s="136"/>
      <c r="Z99" s="36"/>
      <c r="AA99" s="41"/>
      <c r="AB99" s="38"/>
      <c r="AC99" s="158"/>
      <c r="AD99" s="42"/>
      <c r="AE99" s="39"/>
      <c r="AF99" s="42"/>
      <c r="AG99" s="40" t="str">
        <f t="shared" si="60"/>
        <v xml:space="preserve"> hrs @ </v>
      </c>
      <c r="AH99" s="35"/>
      <c r="AI99" s="136"/>
      <c r="AJ99" s="158"/>
      <c r="AK99" s="34"/>
    </row>
    <row r="100" spans="1:37" ht="21" x14ac:dyDescent="0.4">
      <c r="A100" s="300" t="s">
        <v>10</v>
      </c>
      <c r="B100" s="218" t="str">
        <f t="shared" si="57"/>
        <v>Treasury</v>
      </c>
      <c r="C100" s="5" t="s">
        <v>48</v>
      </c>
      <c r="D100" s="10"/>
      <c r="E100" s="117"/>
      <c r="F100" s="117"/>
      <c r="G100" s="117"/>
      <c r="H100" s="179"/>
      <c r="I100" s="173"/>
      <c r="J100" s="174"/>
      <c r="K100" s="175"/>
      <c r="L100" s="181"/>
      <c r="M100" s="176" t="str">
        <f t="shared" si="58"/>
        <v xml:space="preserve"> hrs @ </v>
      </c>
      <c r="N100" s="440"/>
      <c r="O100" s="136"/>
      <c r="P100" s="36"/>
      <c r="Q100" s="44"/>
      <c r="R100" s="179"/>
      <c r="S100" s="173"/>
      <c r="T100" s="174"/>
      <c r="U100" s="175"/>
      <c r="V100" s="181"/>
      <c r="W100" s="176" t="str">
        <f t="shared" si="59"/>
        <v xml:space="preserve"> hrs @ </v>
      </c>
      <c r="X100" s="34"/>
      <c r="Y100" s="136"/>
      <c r="Z100" s="36"/>
      <c r="AA100" s="44"/>
      <c r="AB100" s="179"/>
      <c r="AC100" s="173"/>
      <c r="AD100" s="174"/>
      <c r="AE100" s="175"/>
      <c r="AF100" s="181"/>
      <c r="AG100" s="176" t="str">
        <f t="shared" si="60"/>
        <v xml:space="preserve"> hrs @ </v>
      </c>
      <c r="AH100" s="35"/>
      <c r="AI100" s="136"/>
      <c r="AJ100" s="173"/>
      <c r="AK100" s="34"/>
    </row>
    <row r="101" spans="1:37" ht="21" x14ac:dyDescent="0.4">
      <c r="A101" s="300" t="s">
        <v>10</v>
      </c>
      <c r="B101" s="218" t="str">
        <f t="shared" si="57"/>
        <v>TreasuryTotal Wages</v>
      </c>
      <c r="C101" s="5" t="s">
        <v>48</v>
      </c>
      <c r="D101" s="10"/>
      <c r="E101" s="117"/>
      <c r="F101" s="117"/>
      <c r="G101" s="117"/>
      <c r="H101" s="184" t="s">
        <v>32</v>
      </c>
      <c r="I101" s="158">
        <f>SUM(I97:I100)</f>
        <v>778.5</v>
      </c>
      <c r="J101" s="42"/>
      <c r="K101" s="39"/>
      <c r="L101" s="39"/>
      <c r="M101" s="40"/>
      <c r="N101" s="440"/>
      <c r="O101" s="136"/>
      <c r="P101" s="36"/>
      <c r="Q101" s="41"/>
      <c r="R101" s="38" t="s">
        <v>32</v>
      </c>
      <c r="S101" s="158">
        <f>SUM(S97:S100)</f>
        <v>778.5</v>
      </c>
      <c r="T101" s="42"/>
      <c r="U101" s="39"/>
      <c r="V101" s="39"/>
      <c r="W101" s="40"/>
      <c r="X101" s="34"/>
      <c r="Y101" s="136"/>
      <c r="Z101" s="36"/>
      <c r="AA101" s="41"/>
      <c r="AB101" s="38" t="s">
        <v>32</v>
      </c>
      <c r="AC101" s="158">
        <f>SUM(AC97:AC100)</f>
        <v>778.5</v>
      </c>
      <c r="AD101" s="42"/>
      <c r="AE101" s="39"/>
      <c r="AF101" s="39"/>
      <c r="AG101" s="40"/>
      <c r="AH101" s="35"/>
      <c r="AI101" s="136"/>
      <c r="AJ101" s="158">
        <f>I101+S101+AC101</f>
        <v>2335.5</v>
      </c>
      <c r="AK101" s="34"/>
    </row>
    <row r="102" spans="1:37" ht="21" x14ac:dyDescent="0.4">
      <c r="A102" s="300" t="s">
        <v>10</v>
      </c>
      <c r="B102" s="218" t="str">
        <f t="shared" si="57"/>
        <v>TreasuryBenefits</v>
      </c>
      <c r="C102" s="5" t="s">
        <v>48</v>
      </c>
      <c r="D102" s="10"/>
      <c r="E102" s="117"/>
      <c r="F102" s="117"/>
      <c r="G102" s="117"/>
      <c r="H102" s="184" t="s">
        <v>33</v>
      </c>
      <c r="I102" s="159">
        <f>I101*$O$2</f>
        <v>767.52314999999999</v>
      </c>
      <c r="J102" s="42"/>
      <c r="K102" s="39"/>
      <c r="M102" s="45" t="str">
        <f>"@ "&amp;$O$2*100&amp;" %"</f>
        <v>@ 98.59 %</v>
      </c>
      <c r="N102" s="442"/>
      <c r="O102" s="432"/>
      <c r="P102" s="48"/>
      <c r="Q102" s="41"/>
      <c r="R102" s="38" t="s">
        <v>33</v>
      </c>
      <c r="S102" s="159">
        <f>S101*$O$2</f>
        <v>767.52314999999999</v>
      </c>
      <c r="T102" s="42"/>
      <c r="U102" s="39"/>
      <c r="W102" s="45" t="str">
        <f>"@ "&amp;$O$2*100&amp;" %"</f>
        <v>@ 98.59 %</v>
      </c>
      <c r="X102" s="46"/>
      <c r="Y102" s="432"/>
      <c r="Z102" s="48"/>
      <c r="AA102" s="41"/>
      <c r="AB102" s="38" t="s">
        <v>33</v>
      </c>
      <c r="AC102" s="159">
        <f>AC101*$O$2</f>
        <v>767.52314999999999</v>
      </c>
      <c r="AD102" s="42"/>
      <c r="AE102" s="39"/>
      <c r="AG102" s="45" t="str">
        <f>"@ "&amp;$O$2*100&amp;" %"</f>
        <v>@ 98.59 %</v>
      </c>
      <c r="AH102" s="47"/>
      <c r="AI102" s="432"/>
      <c r="AJ102" s="159">
        <f>I102+S102+AC102</f>
        <v>2302.56945</v>
      </c>
      <c r="AK102" s="46"/>
    </row>
    <row r="103" spans="1:37" ht="21" x14ac:dyDescent="0.3">
      <c r="A103" s="300" t="s">
        <v>10</v>
      </c>
      <c r="B103" s="218" t="str">
        <f t="shared" si="57"/>
        <v>TreasuryTotal</v>
      </c>
      <c r="C103" s="125" t="s">
        <v>50</v>
      </c>
      <c r="D103" s="10"/>
      <c r="E103" s="117"/>
      <c r="F103" s="117"/>
      <c r="G103" s="117"/>
      <c r="H103" s="185" t="s">
        <v>34</v>
      </c>
      <c r="I103" s="160">
        <f>I101+I102</f>
        <v>1546.02315</v>
      </c>
      <c r="J103" s="42"/>
      <c r="K103" s="39"/>
      <c r="L103" s="50"/>
      <c r="M103" s="51"/>
      <c r="N103" s="443">
        <f>I103</f>
        <v>1546.02315</v>
      </c>
      <c r="O103" s="233">
        <f>N103/N132</f>
        <v>1.12270054312944E-3</v>
      </c>
      <c r="P103" s="53"/>
      <c r="Q103" s="37"/>
      <c r="R103" s="49" t="s">
        <v>34</v>
      </c>
      <c r="S103" s="160">
        <f>S101+S102</f>
        <v>1546.02315</v>
      </c>
      <c r="T103" s="42"/>
      <c r="U103" s="39"/>
      <c r="V103" s="50"/>
      <c r="W103" s="51"/>
      <c r="X103" s="52">
        <f>S103</f>
        <v>1546.02315</v>
      </c>
      <c r="Y103" s="233">
        <f>X103/X132</f>
        <v>1.0562739904088103E-2</v>
      </c>
      <c r="Z103" s="53"/>
      <c r="AA103" s="37"/>
      <c r="AB103" s="49" t="s">
        <v>34</v>
      </c>
      <c r="AC103" s="160">
        <f>AC101+AC102</f>
        <v>1546.02315</v>
      </c>
      <c r="AD103" s="42"/>
      <c r="AE103" s="39"/>
      <c r="AF103" s="50"/>
      <c r="AG103" s="51"/>
      <c r="AH103" s="420">
        <f>AC103</f>
        <v>1546.02315</v>
      </c>
      <c r="AI103" s="233">
        <f>AH103/AH132</f>
        <v>0.22824493744592619</v>
      </c>
      <c r="AJ103" s="160">
        <f>I103+S103+AC103</f>
        <v>4638.06945</v>
      </c>
      <c r="AK103" s="52"/>
    </row>
    <row r="104" spans="1:37" ht="21" x14ac:dyDescent="0.4">
      <c r="A104" s="300" t="s">
        <v>10</v>
      </c>
      <c r="B104" s="218" t="str">
        <f t="shared" si="57"/>
        <v>Treasury</v>
      </c>
      <c r="C104" s="5" t="s">
        <v>48</v>
      </c>
      <c r="D104" s="10"/>
      <c r="E104" s="117"/>
      <c r="F104" s="117"/>
      <c r="G104" s="117"/>
      <c r="H104" s="179"/>
      <c r="I104" s="166"/>
      <c r="J104" s="69"/>
      <c r="K104" s="69"/>
      <c r="L104" s="69"/>
      <c r="M104" s="70"/>
      <c r="N104" s="441"/>
      <c r="O104" s="231"/>
      <c r="P104" s="59"/>
      <c r="Q104" s="60"/>
      <c r="R104" s="54"/>
      <c r="S104" s="166"/>
      <c r="T104" s="69"/>
      <c r="U104" s="69"/>
      <c r="V104" s="69"/>
      <c r="W104" s="70"/>
      <c r="X104" s="57"/>
      <c r="Y104" s="231"/>
      <c r="Z104" s="59"/>
      <c r="AA104" s="60"/>
      <c r="AB104" s="54"/>
      <c r="AC104" s="166"/>
      <c r="AD104" s="69"/>
      <c r="AE104" s="69"/>
      <c r="AF104" s="69"/>
      <c r="AG104" s="70"/>
      <c r="AH104" s="58"/>
      <c r="AI104" s="231"/>
      <c r="AJ104" s="166"/>
      <c r="AK104" s="57"/>
    </row>
    <row r="105" spans="1:37" ht="21" x14ac:dyDescent="0.4">
      <c r="A105" s="300" t="s">
        <v>10</v>
      </c>
      <c r="B105" s="218" t="str">
        <f t="shared" si="57"/>
        <v>TreasuryLABOR: SUPERVISORY</v>
      </c>
      <c r="C105" s="124" t="s">
        <v>50</v>
      </c>
      <c r="D105" s="10"/>
      <c r="E105" s="117"/>
      <c r="F105" s="117"/>
      <c r="G105" s="117"/>
      <c r="H105" s="186" t="s">
        <v>35</v>
      </c>
      <c r="I105" s="167"/>
      <c r="J105" s="74"/>
      <c r="K105" s="74"/>
      <c r="L105" s="74"/>
      <c r="M105" s="66"/>
      <c r="N105" s="440"/>
      <c r="O105" s="234"/>
      <c r="P105" s="65"/>
      <c r="Q105" s="37"/>
      <c r="R105" s="61" t="s">
        <v>35</v>
      </c>
      <c r="S105" s="167"/>
      <c r="T105" s="74"/>
      <c r="U105" s="74"/>
      <c r="V105" s="74"/>
      <c r="W105" s="66"/>
      <c r="X105" s="64"/>
      <c r="Y105" s="234"/>
      <c r="Z105" s="65"/>
      <c r="AA105" s="37"/>
      <c r="AB105" s="61" t="s">
        <v>35</v>
      </c>
      <c r="AC105" s="167"/>
      <c r="AD105" s="74"/>
      <c r="AE105" s="74"/>
      <c r="AF105" s="74"/>
      <c r="AG105" s="66"/>
      <c r="AH105" s="26"/>
      <c r="AI105" s="234"/>
      <c r="AJ105" s="167"/>
      <c r="AK105" s="64"/>
    </row>
    <row r="106" spans="1:37" ht="21" x14ac:dyDescent="0.4">
      <c r="A106" s="300" t="s">
        <v>10</v>
      </c>
      <c r="B106" s="218" t="str">
        <f t="shared" si="57"/>
        <v>TreasurySalary</v>
      </c>
      <c r="C106" s="5" t="s">
        <v>48</v>
      </c>
      <c r="D106" s="10"/>
      <c r="E106" s="117"/>
      <c r="F106" s="117"/>
      <c r="G106" s="117"/>
      <c r="H106" s="184" t="s">
        <v>323</v>
      </c>
      <c r="I106" s="158">
        <f>J106*K106</f>
        <v>111.56</v>
      </c>
      <c r="J106" s="42">
        <v>2</v>
      </c>
      <c r="K106" s="39">
        <v>55.78</v>
      </c>
      <c r="L106" s="156">
        <f>J106/J96</f>
        <v>1.1111111111111111E-3</v>
      </c>
      <c r="M106" s="40" t="str">
        <f t="shared" ref="M106" si="61">J106&amp;" hrs @ "&amp;K106</f>
        <v>2 hrs @ 55.78</v>
      </c>
      <c r="N106" s="440"/>
      <c r="O106" s="234"/>
      <c r="P106" s="65"/>
      <c r="Q106" s="41"/>
      <c r="R106" s="38" t="s">
        <v>323</v>
      </c>
      <c r="S106" s="158">
        <f>T106*U106</f>
        <v>111.56</v>
      </c>
      <c r="T106" s="42">
        <v>2</v>
      </c>
      <c r="U106" s="39">
        <v>55.78</v>
      </c>
      <c r="V106" s="156">
        <f>T106/T96</f>
        <v>1.1111111111111111E-3</v>
      </c>
      <c r="W106" s="40" t="str">
        <f t="shared" ref="W106" si="62">T106&amp;" hrs @ "&amp;U106</f>
        <v>2 hrs @ 55.78</v>
      </c>
      <c r="X106" s="64"/>
      <c r="Y106" s="234"/>
      <c r="Z106" s="65"/>
      <c r="AA106" s="41"/>
      <c r="AB106" s="38" t="s">
        <v>323</v>
      </c>
      <c r="AC106" s="158">
        <f>AD106*AE106</f>
        <v>111.56</v>
      </c>
      <c r="AD106" s="42">
        <v>2</v>
      </c>
      <c r="AE106" s="39">
        <v>55.78</v>
      </c>
      <c r="AF106" s="156">
        <f>AD106/AD96</f>
        <v>1.1111111111111111E-3</v>
      </c>
      <c r="AG106" s="40" t="str">
        <f t="shared" ref="AG106" si="63">AD106&amp;" hrs @ "&amp;AE106</f>
        <v>2 hrs @ 55.78</v>
      </c>
      <c r="AH106" s="26"/>
      <c r="AI106" s="234"/>
      <c r="AJ106" s="158">
        <f>I106+S106+AC106</f>
        <v>334.68</v>
      </c>
      <c r="AK106" s="64"/>
    </row>
    <row r="107" spans="1:37" ht="21" x14ac:dyDescent="0.4">
      <c r="A107" s="300" t="s">
        <v>10</v>
      </c>
      <c r="B107" s="218" t="str">
        <f t="shared" si="57"/>
        <v>TreasuryBenefits</v>
      </c>
      <c r="C107" s="5" t="s">
        <v>48</v>
      </c>
      <c r="D107" s="10"/>
      <c r="E107" s="117"/>
      <c r="F107" s="117"/>
      <c r="G107" s="117"/>
      <c r="H107" s="184" t="s">
        <v>33</v>
      </c>
      <c r="I107" s="159">
        <f>I106*$O$2</f>
        <v>109.987004</v>
      </c>
      <c r="J107" s="42"/>
      <c r="K107" s="39"/>
      <c r="L107" s="156"/>
      <c r="M107" s="45" t="str">
        <f>"@ "&amp;$O$2*100&amp;" %"</f>
        <v>@ 98.59 %</v>
      </c>
      <c r="N107" s="440"/>
      <c r="O107" s="234"/>
      <c r="P107" s="65"/>
      <c r="Q107" s="41"/>
      <c r="R107" s="38" t="s">
        <v>33</v>
      </c>
      <c r="S107" s="159">
        <f>S106*$O$2</f>
        <v>109.987004</v>
      </c>
      <c r="T107" s="42"/>
      <c r="U107" s="39"/>
      <c r="V107" s="156"/>
      <c r="W107" s="45" t="str">
        <f>"@ "&amp;$O$2*100&amp;" %"</f>
        <v>@ 98.59 %</v>
      </c>
      <c r="X107" s="64"/>
      <c r="Y107" s="234"/>
      <c r="Z107" s="65"/>
      <c r="AA107" s="41"/>
      <c r="AB107" s="38" t="s">
        <v>33</v>
      </c>
      <c r="AC107" s="159">
        <f>AC106*$O$2</f>
        <v>109.987004</v>
      </c>
      <c r="AD107" s="42"/>
      <c r="AE107" s="39"/>
      <c r="AF107" s="156"/>
      <c r="AG107" s="45" t="str">
        <f>"@ "&amp;$O$2*100&amp;" %"</f>
        <v>@ 98.59 %</v>
      </c>
      <c r="AH107" s="26"/>
      <c r="AI107" s="234"/>
      <c r="AJ107" s="159">
        <f>I107+S107+AC107</f>
        <v>329.96101199999998</v>
      </c>
      <c r="AK107" s="64"/>
    </row>
    <row r="108" spans="1:37" ht="21" x14ac:dyDescent="0.4">
      <c r="A108" s="300" t="s">
        <v>10</v>
      </c>
      <c r="B108" s="218" t="str">
        <f t="shared" si="57"/>
        <v>TreasuryTotal</v>
      </c>
      <c r="C108" s="124" t="s">
        <v>50</v>
      </c>
      <c r="D108" s="10"/>
      <c r="E108" s="117"/>
      <c r="F108" s="117"/>
      <c r="G108" s="117"/>
      <c r="H108" s="185" t="s">
        <v>34</v>
      </c>
      <c r="I108" s="165">
        <f>I107+I106</f>
        <v>221.54700400000002</v>
      </c>
      <c r="J108" s="68"/>
      <c r="K108" s="68"/>
      <c r="L108" s="68"/>
      <c r="M108" s="63"/>
      <c r="N108" s="443">
        <f>I108</f>
        <v>221.54700400000002</v>
      </c>
      <c r="O108" s="233">
        <f>N108/N132</f>
        <v>1.6088435785680197E-4</v>
      </c>
      <c r="P108" s="65"/>
      <c r="Q108" s="41"/>
      <c r="R108" s="49" t="s">
        <v>34</v>
      </c>
      <c r="S108" s="165">
        <f>S107+S106</f>
        <v>221.54700400000002</v>
      </c>
      <c r="T108" s="68"/>
      <c r="U108" s="68"/>
      <c r="V108" s="68"/>
      <c r="W108" s="63"/>
      <c r="X108" s="52">
        <f>S108</f>
        <v>221.54700400000002</v>
      </c>
      <c r="Y108" s="233">
        <f>X108/X132</f>
        <v>1.5136535179191635E-3</v>
      </c>
      <c r="Z108" s="65"/>
      <c r="AA108" s="41"/>
      <c r="AB108" s="49" t="s">
        <v>34</v>
      </c>
      <c r="AC108" s="165">
        <f>AC107+AC106</f>
        <v>221.54700400000002</v>
      </c>
      <c r="AD108" s="68"/>
      <c r="AE108" s="68"/>
      <c r="AF108" s="68"/>
      <c r="AG108" s="63"/>
      <c r="AH108" s="420">
        <f>AC108</f>
        <v>221.54700400000002</v>
      </c>
      <c r="AI108" s="233">
        <f>AH108/AH132</f>
        <v>3.2707778062257581E-2</v>
      </c>
      <c r="AJ108" s="165">
        <f>I108+S108+AC108</f>
        <v>664.64101200000005</v>
      </c>
      <c r="AK108" s="52"/>
    </row>
    <row r="109" spans="1:37" ht="21" x14ac:dyDescent="0.4">
      <c r="A109" s="300" t="s">
        <v>10</v>
      </c>
      <c r="B109" s="218" t="str">
        <f t="shared" si="57"/>
        <v>Treasury</v>
      </c>
      <c r="C109" s="5" t="s">
        <v>48</v>
      </c>
      <c r="D109" s="10"/>
      <c r="E109" s="117"/>
      <c r="F109" s="117"/>
      <c r="G109" s="117"/>
      <c r="H109" s="179"/>
      <c r="I109" s="166"/>
      <c r="J109" s="69"/>
      <c r="K109" s="69"/>
      <c r="L109" s="69"/>
      <c r="M109" s="70"/>
      <c r="N109" s="441"/>
      <c r="O109" s="235"/>
      <c r="P109" s="73"/>
      <c r="Q109" s="60"/>
      <c r="R109" s="54"/>
      <c r="S109" s="166"/>
      <c r="T109" s="69"/>
      <c r="U109" s="69"/>
      <c r="V109" s="69"/>
      <c r="W109" s="70"/>
      <c r="X109" s="71"/>
      <c r="Y109" s="235"/>
      <c r="Z109" s="73"/>
      <c r="AA109" s="60"/>
      <c r="AB109" s="54"/>
      <c r="AC109" s="166"/>
      <c r="AD109" s="69"/>
      <c r="AE109" s="69"/>
      <c r="AF109" s="69"/>
      <c r="AG109" s="70"/>
      <c r="AH109" s="72"/>
      <c r="AI109" s="235"/>
      <c r="AJ109" s="166"/>
      <c r="AK109" s="71"/>
    </row>
    <row r="110" spans="1:37" ht="21" x14ac:dyDescent="0.4">
      <c r="A110" s="300" t="s">
        <v>10</v>
      </c>
      <c r="B110" s="218" t="str">
        <f t="shared" si="57"/>
        <v>TreasuryEQUIPMENT</v>
      </c>
      <c r="C110" s="124" t="s">
        <v>50</v>
      </c>
      <c r="D110" s="10"/>
      <c r="E110" s="117"/>
      <c r="F110" s="117"/>
      <c r="G110" s="117"/>
      <c r="H110" s="186" t="s">
        <v>36</v>
      </c>
      <c r="I110" s="167"/>
      <c r="J110" s="74"/>
      <c r="K110" s="74"/>
      <c r="L110" s="74"/>
      <c r="M110" s="66"/>
      <c r="N110" s="443"/>
      <c r="O110" s="237"/>
      <c r="P110" s="65"/>
      <c r="Q110" s="37"/>
      <c r="R110" s="61" t="s">
        <v>36</v>
      </c>
      <c r="S110" s="167"/>
      <c r="T110" s="74"/>
      <c r="U110" s="74"/>
      <c r="V110" s="74"/>
      <c r="W110" s="66"/>
      <c r="X110" s="75"/>
      <c r="Y110" s="237"/>
      <c r="Z110" s="65"/>
      <c r="AA110" s="37"/>
      <c r="AB110" s="61" t="s">
        <v>36</v>
      </c>
      <c r="AC110" s="167"/>
      <c r="AD110" s="74"/>
      <c r="AE110" s="74"/>
      <c r="AF110" s="74"/>
      <c r="AG110" s="66"/>
      <c r="AH110" s="76"/>
      <c r="AI110" s="237"/>
      <c r="AJ110" s="167"/>
      <c r="AK110" s="75"/>
    </row>
    <row r="111" spans="1:37" ht="21" x14ac:dyDescent="0.4">
      <c r="A111" s="300" t="s">
        <v>10</v>
      </c>
      <c r="B111" s="218" t="str">
        <f t="shared" si="57"/>
        <v>Treasury</v>
      </c>
      <c r="C111" s="5" t="s">
        <v>48</v>
      </c>
      <c r="D111" s="10"/>
      <c r="E111" s="117"/>
      <c r="F111" s="117"/>
      <c r="G111" s="117"/>
      <c r="H111" s="187"/>
      <c r="I111" s="163"/>
      <c r="J111" s="42"/>
      <c r="K111" s="39"/>
      <c r="L111" s="39"/>
      <c r="M111" s="40"/>
      <c r="N111" s="443"/>
      <c r="O111" s="237"/>
      <c r="P111" s="65"/>
      <c r="Q111" s="37"/>
      <c r="R111" s="77"/>
      <c r="S111" s="163"/>
      <c r="T111" s="42"/>
      <c r="U111" s="39"/>
      <c r="V111" s="39"/>
      <c r="W111" s="40"/>
      <c r="X111" s="75"/>
      <c r="Y111" s="237"/>
      <c r="Z111" s="65"/>
      <c r="AA111" s="37"/>
      <c r="AB111" s="77"/>
      <c r="AC111" s="163"/>
      <c r="AD111" s="42"/>
      <c r="AE111" s="39"/>
      <c r="AF111" s="39"/>
      <c r="AG111" s="40" t="str">
        <f>AD111&amp;" hrs @ "&amp;AE111</f>
        <v xml:space="preserve"> hrs @ </v>
      </c>
      <c r="AH111" s="76"/>
      <c r="AI111" s="237"/>
      <c r="AJ111" s="163"/>
      <c r="AK111" s="75"/>
    </row>
    <row r="112" spans="1:37" ht="21" x14ac:dyDescent="0.4">
      <c r="A112" s="300" t="s">
        <v>10</v>
      </c>
      <c r="B112" s="218" t="str">
        <f t="shared" si="57"/>
        <v>Treasury</v>
      </c>
      <c r="C112" s="5" t="s">
        <v>48</v>
      </c>
      <c r="D112" s="10"/>
      <c r="E112" s="117"/>
      <c r="F112" s="117"/>
      <c r="G112" s="117"/>
      <c r="H112" s="187"/>
      <c r="I112" s="163"/>
      <c r="J112" s="42"/>
      <c r="K112" s="39"/>
      <c r="L112" s="39"/>
      <c r="M112" s="40"/>
      <c r="N112" s="444"/>
      <c r="O112" s="238"/>
      <c r="P112" s="80"/>
      <c r="Q112" s="81"/>
      <c r="R112" s="77"/>
      <c r="S112" s="163"/>
      <c r="T112" s="42"/>
      <c r="U112" s="39"/>
      <c r="V112" s="39"/>
      <c r="W112" s="40"/>
      <c r="X112" s="78"/>
      <c r="Y112" s="238"/>
      <c r="Z112" s="80"/>
      <c r="AA112" s="81"/>
      <c r="AB112" s="77"/>
      <c r="AC112" s="163"/>
      <c r="AD112" s="42"/>
      <c r="AE112" s="39"/>
      <c r="AF112" s="39"/>
      <c r="AG112" s="40" t="str">
        <f t="shared" ref="AG112:AG114" si="64">AD112&amp;" hrs @ "&amp;AE112</f>
        <v xml:space="preserve"> hrs @ </v>
      </c>
      <c r="AH112" s="79"/>
      <c r="AI112" s="238"/>
      <c r="AJ112" s="163"/>
      <c r="AK112" s="78"/>
    </row>
    <row r="113" spans="1:37" ht="21" x14ac:dyDescent="0.4">
      <c r="A113" s="300" t="s">
        <v>10</v>
      </c>
      <c r="B113" s="218" t="str">
        <f t="shared" si="57"/>
        <v>Treasury</v>
      </c>
      <c r="C113" s="5" t="s">
        <v>48</v>
      </c>
      <c r="D113" s="10"/>
      <c r="E113" s="117"/>
      <c r="F113" s="117"/>
      <c r="G113" s="117"/>
      <c r="H113" s="187"/>
      <c r="I113" s="168"/>
      <c r="J113" s="42"/>
      <c r="K113" s="39"/>
      <c r="L113" s="42"/>
      <c r="M113" s="40"/>
      <c r="N113" s="444"/>
      <c r="O113" s="238"/>
      <c r="P113" s="80"/>
      <c r="Q113" s="81"/>
      <c r="R113" s="77"/>
      <c r="S113" s="168"/>
      <c r="T113" s="42"/>
      <c r="U113" s="39"/>
      <c r="V113" s="42"/>
      <c r="W113" s="40"/>
      <c r="X113" s="78"/>
      <c r="Y113" s="238"/>
      <c r="Z113" s="80"/>
      <c r="AA113" s="81"/>
      <c r="AB113" s="77"/>
      <c r="AC113" s="168"/>
      <c r="AD113" s="42"/>
      <c r="AE113" s="39"/>
      <c r="AF113" s="42"/>
      <c r="AG113" s="40" t="str">
        <f t="shared" si="64"/>
        <v xml:space="preserve"> hrs @ </v>
      </c>
      <c r="AH113" s="79"/>
      <c r="AI113" s="238"/>
      <c r="AJ113" s="168"/>
      <c r="AK113" s="78"/>
    </row>
    <row r="114" spans="1:37" ht="21" x14ac:dyDescent="0.4">
      <c r="A114" s="300" t="s">
        <v>10</v>
      </c>
      <c r="B114" s="218" t="str">
        <f t="shared" ref="B114:B133" si="65">A114&amp;H114</f>
        <v>Treasury</v>
      </c>
      <c r="C114" s="5" t="s">
        <v>48</v>
      </c>
      <c r="D114" s="10"/>
      <c r="E114" s="117"/>
      <c r="F114" s="117"/>
      <c r="G114" s="117"/>
      <c r="H114" s="187"/>
      <c r="I114" s="164"/>
      <c r="J114" s="42"/>
      <c r="K114" s="39"/>
      <c r="L114" s="43"/>
      <c r="M114" s="40"/>
      <c r="N114" s="444"/>
      <c r="O114" s="238"/>
      <c r="P114" s="80"/>
      <c r="Q114" s="81"/>
      <c r="R114" s="77"/>
      <c r="S114" s="164"/>
      <c r="T114" s="42"/>
      <c r="U114" s="39"/>
      <c r="V114" s="43"/>
      <c r="W114" s="40"/>
      <c r="X114" s="78"/>
      <c r="Y114" s="238"/>
      <c r="Z114" s="80"/>
      <c r="AA114" s="81"/>
      <c r="AB114" s="77"/>
      <c r="AC114" s="164"/>
      <c r="AD114" s="42"/>
      <c r="AE114" s="39"/>
      <c r="AF114" s="43"/>
      <c r="AG114" s="40" t="str">
        <f t="shared" si="64"/>
        <v xml:space="preserve"> hrs @ </v>
      </c>
      <c r="AH114" s="79"/>
      <c r="AI114" s="238"/>
      <c r="AJ114" s="164"/>
      <c r="AK114" s="78"/>
    </row>
    <row r="115" spans="1:37" ht="21" x14ac:dyDescent="0.4">
      <c r="A115" s="300" t="s">
        <v>10</v>
      </c>
      <c r="B115" s="218" t="str">
        <f t="shared" si="65"/>
        <v>TreasuryTotal Equipment</v>
      </c>
      <c r="C115" s="124" t="s">
        <v>50</v>
      </c>
      <c r="D115" s="10"/>
      <c r="E115" s="116">
        <f>I115</f>
        <v>0</v>
      </c>
      <c r="F115" s="116">
        <f>S115</f>
        <v>0</v>
      </c>
      <c r="G115" s="116">
        <f>AC115</f>
        <v>0</v>
      </c>
      <c r="H115" s="188" t="s">
        <v>37</v>
      </c>
      <c r="I115" s="165">
        <f>SUM(I111:I114)</f>
        <v>0</v>
      </c>
      <c r="J115" s="68"/>
      <c r="K115" s="68"/>
      <c r="L115" s="68"/>
      <c r="M115" s="66"/>
      <c r="N115" s="443">
        <f>I115</f>
        <v>0</v>
      </c>
      <c r="O115" s="233">
        <f>N115/N132</f>
        <v>0</v>
      </c>
      <c r="P115" s="80"/>
      <c r="Q115" s="81"/>
      <c r="R115" s="83" t="s">
        <v>37</v>
      </c>
      <c r="S115" s="165">
        <f>SUM(S111:S114)</f>
        <v>0</v>
      </c>
      <c r="T115" s="68"/>
      <c r="U115" s="68"/>
      <c r="V115" s="68"/>
      <c r="W115" s="66"/>
      <c r="X115" s="52">
        <f>S115</f>
        <v>0</v>
      </c>
      <c r="Y115" s="233">
        <f>X115/X132</f>
        <v>0</v>
      </c>
      <c r="Z115" s="80"/>
      <c r="AA115" s="81"/>
      <c r="AB115" s="83" t="s">
        <v>37</v>
      </c>
      <c r="AC115" s="165">
        <f>SUM(AC111:AC114)</f>
        <v>0</v>
      </c>
      <c r="AD115" s="68"/>
      <c r="AE115" s="68"/>
      <c r="AF115" s="68"/>
      <c r="AG115" s="66"/>
      <c r="AH115" s="420">
        <f>AC115</f>
        <v>0</v>
      </c>
      <c r="AI115" s="233">
        <f>AH115/AH132</f>
        <v>0</v>
      </c>
      <c r="AJ115" s="165">
        <f>I115+S115+AC115</f>
        <v>0</v>
      </c>
      <c r="AK115" s="52"/>
    </row>
    <row r="116" spans="1:37" ht="21" x14ac:dyDescent="0.4">
      <c r="A116" s="300" t="s">
        <v>10</v>
      </c>
      <c r="B116" s="218" t="str">
        <f t="shared" si="65"/>
        <v>Treasury</v>
      </c>
      <c r="C116" s="5" t="s">
        <v>48</v>
      </c>
      <c r="D116" s="10"/>
      <c r="E116" s="117"/>
      <c r="F116" s="117"/>
      <c r="G116" s="117"/>
      <c r="H116" s="189"/>
      <c r="I116" s="166"/>
      <c r="J116" s="69"/>
      <c r="K116" s="69"/>
      <c r="L116" s="69"/>
      <c r="M116" s="70"/>
      <c r="N116" s="445"/>
      <c r="O116" s="241"/>
      <c r="P116" s="89"/>
      <c r="Q116" s="60"/>
      <c r="R116" s="84"/>
      <c r="S116" s="166"/>
      <c r="T116" s="69"/>
      <c r="U116" s="69"/>
      <c r="V116" s="69"/>
      <c r="W116" s="70"/>
      <c r="X116" s="87"/>
      <c r="Y116" s="241"/>
      <c r="Z116" s="89"/>
      <c r="AA116" s="60"/>
      <c r="AB116" s="84"/>
      <c r="AC116" s="166"/>
      <c r="AD116" s="69"/>
      <c r="AE116" s="69"/>
      <c r="AF116" s="69"/>
      <c r="AG116" s="70"/>
      <c r="AH116" s="88"/>
      <c r="AI116" s="241"/>
      <c r="AJ116" s="166"/>
      <c r="AK116" s="87"/>
    </row>
    <row r="117" spans="1:37" ht="21" x14ac:dyDescent="0.4">
      <c r="A117" s="300" t="s">
        <v>10</v>
      </c>
      <c r="B117" s="218" t="str">
        <f t="shared" si="65"/>
        <v>TreasuryIS SUPPORT</v>
      </c>
      <c r="C117" s="124" t="s">
        <v>50</v>
      </c>
      <c r="D117" s="10"/>
      <c r="E117" s="117"/>
      <c r="F117" s="117"/>
      <c r="G117" s="117"/>
      <c r="H117" s="186" t="s">
        <v>38</v>
      </c>
      <c r="I117" s="167"/>
      <c r="J117" s="74"/>
      <c r="K117" s="74"/>
      <c r="L117" s="74"/>
      <c r="M117" s="66"/>
      <c r="N117" s="446"/>
      <c r="O117" s="227"/>
      <c r="P117" s="92"/>
      <c r="Q117" s="37"/>
      <c r="R117" s="61" t="s">
        <v>38</v>
      </c>
      <c r="S117" s="167"/>
      <c r="T117" s="74"/>
      <c r="U117" s="74"/>
      <c r="V117" s="74"/>
      <c r="W117" s="66"/>
      <c r="X117" s="90"/>
      <c r="Y117" s="227"/>
      <c r="Z117" s="92"/>
      <c r="AA117" s="37"/>
      <c r="AB117" s="61" t="s">
        <v>38</v>
      </c>
      <c r="AC117" s="167"/>
      <c r="AD117" s="74"/>
      <c r="AE117" s="74"/>
      <c r="AF117" s="74"/>
      <c r="AG117" s="66"/>
      <c r="AH117" s="91"/>
      <c r="AI117" s="227"/>
      <c r="AJ117" s="167"/>
      <c r="AK117" s="90"/>
    </row>
    <row r="118" spans="1:37" ht="21" x14ac:dyDescent="0.4">
      <c r="A118" s="300" t="s">
        <v>10</v>
      </c>
      <c r="B118" s="218" t="str">
        <f t="shared" si="65"/>
        <v>TreasuryAnalyst Labor</v>
      </c>
      <c r="C118" s="5" t="s">
        <v>48</v>
      </c>
      <c r="D118" s="10"/>
      <c r="E118" s="117"/>
      <c r="F118" s="117"/>
      <c r="G118" s="117"/>
      <c r="H118" s="184" t="s">
        <v>39</v>
      </c>
      <c r="I118" s="162"/>
      <c r="J118" s="42"/>
      <c r="K118" s="39"/>
      <c r="L118" s="39"/>
      <c r="M118" s="40" t="str">
        <f>J118&amp;" hrs @ "&amp;K118</f>
        <v xml:space="preserve"> hrs @ </v>
      </c>
      <c r="N118" s="447"/>
      <c r="O118" s="242"/>
      <c r="P118" s="92"/>
      <c r="Q118" s="37"/>
      <c r="R118" s="38" t="s">
        <v>39</v>
      </c>
      <c r="S118" s="162"/>
      <c r="T118" s="42"/>
      <c r="U118" s="39"/>
      <c r="V118" s="39"/>
      <c r="W118" s="40" t="str">
        <f>T118&amp;" hrs @ "&amp;U118</f>
        <v xml:space="preserve"> hrs @ </v>
      </c>
      <c r="X118" s="93"/>
      <c r="Y118" s="242"/>
      <c r="Z118" s="92"/>
      <c r="AA118" s="37"/>
      <c r="AB118" s="38" t="s">
        <v>39</v>
      </c>
      <c r="AC118" s="162"/>
      <c r="AD118" s="42"/>
      <c r="AE118" s="39"/>
      <c r="AF118" s="39"/>
      <c r="AG118" s="40" t="str">
        <f>AD118&amp;" hrs @ "&amp;AE118</f>
        <v xml:space="preserve"> hrs @ </v>
      </c>
      <c r="AH118" s="94"/>
      <c r="AI118" s="242"/>
      <c r="AJ118" s="162"/>
      <c r="AK118" s="93"/>
    </row>
    <row r="119" spans="1:37" ht="21" x14ac:dyDescent="0.4">
      <c r="A119" s="300" t="s">
        <v>10</v>
      </c>
      <c r="B119" s="218" t="str">
        <f t="shared" si="65"/>
        <v>TreasuryAnalyst Benefits</v>
      </c>
      <c r="C119" s="5" t="s">
        <v>48</v>
      </c>
      <c r="D119" s="10"/>
      <c r="E119" s="117"/>
      <c r="F119" s="117"/>
      <c r="G119" s="117"/>
      <c r="H119" s="184" t="s">
        <v>40</v>
      </c>
      <c r="I119" s="159">
        <f>I118*$O$2</f>
        <v>0</v>
      </c>
      <c r="J119" s="42"/>
      <c r="K119" s="39"/>
      <c r="L119" s="156"/>
      <c r="M119" s="45" t="str">
        <f>"@ "&amp;$O$2*100&amp;" %"</f>
        <v>@ 98.59 %</v>
      </c>
      <c r="N119" s="447"/>
      <c r="O119" s="242"/>
      <c r="P119" s="92"/>
      <c r="Q119" s="37"/>
      <c r="R119" s="38" t="s">
        <v>40</v>
      </c>
      <c r="S119" s="159">
        <f>S118*$O$2</f>
        <v>0</v>
      </c>
      <c r="T119" s="42"/>
      <c r="U119" s="39"/>
      <c r="V119" s="156"/>
      <c r="W119" s="45" t="str">
        <f>"@ "&amp;$O$2*100&amp;" %"</f>
        <v>@ 98.59 %</v>
      </c>
      <c r="X119" s="93"/>
      <c r="Y119" s="242"/>
      <c r="Z119" s="92"/>
      <c r="AA119" s="37"/>
      <c r="AB119" s="38" t="s">
        <v>40</v>
      </c>
      <c r="AC119" s="159">
        <f>AC118*$O$2</f>
        <v>0</v>
      </c>
      <c r="AD119" s="42"/>
      <c r="AE119" s="39"/>
      <c r="AF119" s="156"/>
      <c r="AG119" s="45" t="str">
        <f>"@ "&amp;$O$2*100&amp;" %"</f>
        <v>@ 98.59 %</v>
      </c>
      <c r="AH119" s="94"/>
      <c r="AI119" s="242"/>
      <c r="AJ119" s="159"/>
      <c r="AK119" s="93"/>
    </row>
    <row r="120" spans="1:37" ht="21" x14ac:dyDescent="0.4">
      <c r="A120" s="300" t="s">
        <v>10</v>
      </c>
      <c r="B120" s="218" t="str">
        <f t="shared" si="65"/>
        <v>TreasuryTotal IS</v>
      </c>
      <c r="C120" s="124" t="s">
        <v>50</v>
      </c>
      <c r="D120" s="10"/>
      <c r="E120" s="117"/>
      <c r="F120" s="117"/>
      <c r="G120" s="117"/>
      <c r="H120" s="185" t="s">
        <v>41</v>
      </c>
      <c r="I120" s="165">
        <f>I118+I119</f>
        <v>0</v>
      </c>
      <c r="J120" s="68"/>
      <c r="K120" s="68"/>
      <c r="L120" s="68"/>
      <c r="M120" s="66"/>
      <c r="N120" s="443">
        <f>I120</f>
        <v>0</v>
      </c>
      <c r="O120" s="233">
        <f>N120/N132</f>
        <v>0</v>
      </c>
      <c r="P120" s="92"/>
      <c r="Q120" s="37"/>
      <c r="R120" s="49" t="s">
        <v>41</v>
      </c>
      <c r="S120" s="165">
        <f>S118+S119</f>
        <v>0</v>
      </c>
      <c r="T120" s="68"/>
      <c r="U120" s="68"/>
      <c r="V120" s="68"/>
      <c r="W120" s="66"/>
      <c r="X120" s="52">
        <f>S120</f>
        <v>0</v>
      </c>
      <c r="Y120" s="233">
        <f>X120/X132</f>
        <v>0</v>
      </c>
      <c r="Z120" s="92"/>
      <c r="AA120" s="37"/>
      <c r="AB120" s="49" t="s">
        <v>41</v>
      </c>
      <c r="AC120" s="165">
        <f>AC118+AC119</f>
        <v>0</v>
      </c>
      <c r="AD120" s="68"/>
      <c r="AE120" s="68"/>
      <c r="AF120" s="68"/>
      <c r="AG120" s="66"/>
      <c r="AH120" s="420">
        <f>AC120</f>
        <v>0</v>
      </c>
      <c r="AI120" s="233">
        <f>AH120/AH132</f>
        <v>0</v>
      </c>
      <c r="AJ120" s="165">
        <f>I120+S120+AC120</f>
        <v>0</v>
      </c>
      <c r="AK120" s="52"/>
    </row>
    <row r="121" spans="1:37" ht="21" x14ac:dyDescent="0.4">
      <c r="A121" s="300" t="s">
        <v>10</v>
      </c>
      <c r="B121" s="218" t="str">
        <f t="shared" si="65"/>
        <v>Treasury</v>
      </c>
      <c r="C121" s="5" t="s">
        <v>48</v>
      </c>
      <c r="D121" s="10"/>
      <c r="E121" s="117"/>
      <c r="F121" s="117"/>
      <c r="G121" s="117"/>
      <c r="H121" s="179"/>
      <c r="I121" s="166"/>
      <c r="J121" s="69"/>
      <c r="K121" s="69"/>
      <c r="L121" s="69"/>
      <c r="M121" s="70"/>
      <c r="N121" s="448"/>
      <c r="O121" s="243"/>
      <c r="P121" s="99"/>
      <c r="Q121" s="60"/>
      <c r="R121" s="54"/>
      <c r="S121" s="166"/>
      <c r="T121" s="69"/>
      <c r="U121" s="69"/>
      <c r="V121" s="69"/>
      <c r="W121" s="70"/>
      <c r="X121" s="97"/>
      <c r="Y121" s="243"/>
      <c r="Z121" s="99"/>
      <c r="AA121" s="60"/>
      <c r="AB121" s="54"/>
      <c r="AC121" s="166"/>
      <c r="AD121" s="69"/>
      <c r="AE121" s="69"/>
      <c r="AF121" s="69"/>
      <c r="AG121" s="70"/>
      <c r="AH121" s="98"/>
      <c r="AI121" s="243"/>
      <c r="AJ121" s="166"/>
      <c r="AK121" s="97"/>
    </row>
    <row r="122" spans="1:37" ht="21" x14ac:dyDescent="0.4">
      <c r="A122" s="300" t="s">
        <v>10</v>
      </c>
      <c r="B122" s="218" t="str">
        <f t="shared" si="65"/>
        <v>TreasuryOTHER</v>
      </c>
      <c r="C122" s="124" t="s">
        <v>50</v>
      </c>
      <c r="D122" s="10"/>
      <c r="E122" s="117"/>
      <c r="F122" s="117"/>
      <c r="G122" s="117"/>
      <c r="H122" s="186" t="s">
        <v>42</v>
      </c>
      <c r="I122" s="167"/>
      <c r="J122" s="74"/>
      <c r="K122" s="74"/>
      <c r="L122" s="74"/>
      <c r="M122" s="66"/>
      <c r="N122" s="446"/>
      <c r="O122" s="227"/>
      <c r="P122" s="92"/>
      <c r="Q122" s="37"/>
      <c r="R122" s="61" t="s">
        <v>42</v>
      </c>
      <c r="S122" s="167"/>
      <c r="T122" s="74"/>
      <c r="U122" s="74"/>
      <c r="V122" s="74"/>
      <c r="W122" s="66"/>
      <c r="X122" s="90"/>
      <c r="Y122" s="227"/>
      <c r="Z122" s="92"/>
      <c r="AA122" s="37"/>
      <c r="AB122" s="61" t="s">
        <v>42</v>
      </c>
      <c r="AC122" s="167"/>
      <c r="AD122" s="74"/>
      <c r="AE122" s="74"/>
      <c r="AF122" s="74"/>
      <c r="AG122" s="66"/>
      <c r="AH122" s="91"/>
      <c r="AI122" s="227"/>
      <c r="AJ122" s="167"/>
      <c r="AK122" s="90"/>
    </row>
    <row r="123" spans="1:37" ht="21" x14ac:dyDescent="0.4">
      <c r="A123" s="300" t="s">
        <v>10</v>
      </c>
      <c r="B123" s="218" t="str">
        <f t="shared" si="65"/>
        <v>TreasuryBank Card &amp; Checking Fees</v>
      </c>
      <c r="C123" s="5" t="s">
        <v>48</v>
      </c>
      <c r="D123" s="10"/>
      <c r="E123" s="117"/>
      <c r="F123" s="117"/>
      <c r="G123" s="117"/>
      <c r="H123" s="184" t="s">
        <v>353</v>
      </c>
      <c r="I123" s="163">
        <f>1524894*I$6/($I$6+$S$6+$AC$6)</f>
        <v>1375289.8824865601</v>
      </c>
      <c r="J123" s="42"/>
      <c r="K123" s="39"/>
      <c r="L123" s="42"/>
      <c r="M123" s="66" t="s">
        <v>43</v>
      </c>
      <c r="N123" s="446"/>
      <c r="O123" s="227"/>
      <c r="P123" s="92"/>
      <c r="Q123" s="37"/>
      <c r="R123" s="38" t="s">
        <v>353</v>
      </c>
      <c r="S123" s="163">
        <f>1524894*S$6/($I$6+$S$6+$AC$6)</f>
        <v>144598.16108980749</v>
      </c>
      <c r="T123" s="42"/>
      <c r="U123" s="39"/>
      <c r="V123" s="42"/>
      <c r="W123" s="66" t="s">
        <v>43</v>
      </c>
      <c r="X123" s="90"/>
      <c r="Y123" s="227"/>
      <c r="Z123" s="92"/>
      <c r="AA123" s="37"/>
      <c r="AB123" s="38" t="s">
        <v>353</v>
      </c>
      <c r="AC123" s="163">
        <f>1524894*AC$6/($I$6+$S$6+$AC$6)</f>
        <v>5005.9564236322876</v>
      </c>
      <c r="AD123" s="42"/>
      <c r="AE123" s="39"/>
      <c r="AF123" s="42"/>
      <c r="AG123" s="66" t="s">
        <v>43</v>
      </c>
      <c r="AH123" s="91"/>
      <c r="AI123" s="227"/>
      <c r="AJ123" s="163">
        <f>I123+S123+AC123</f>
        <v>1524894</v>
      </c>
      <c r="AK123" s="90"/>
    </row>
    <row r="124" spans="1:37" ht="21" x14ac:dyDescent="0.4">
      <c r="A124" s="300" t="s">
        <v>10</v>
      </c>
      <c r="B124" s="218" t="str">
        <f t="shared" si="65"/>
        <v>Treasury</v>
      </c>
      <c r="C124" s="5" t="s">
        <v>48</v>
      </c>
      <c r="D124" s="10"/>
      <c r="E124" s="117"/>
      <c r="F124" s="117"/>
      <c r="G124" s="117"/>
      <c r="H124" s="184"/>
      <c r="I124" s="168"/>
      <c r="J124" s="42"/>
      <c r="K124" s="39"/>
      <c r="L124" s="42"/>
      <c r="M124" s="66"/>
      <c r="N124" s="446"/>
      <c r="O124" s="227"/>
      <c r="P124" s="92"/>
      <c r="Q124" s="37"/>
      <c r="R124" s="38"/>
      <c r="S124" s="168"/>
      <c r="T124" s="42"/>
      <c r="U124" s="39"/>
      <c r="V124" s="42"/>
      <c r="W124" s="66"/>
      <c r="X124" s="90"/>
      <c r="Y124" s="227"/>
      <c r="Z124" s="92"/>
      <c r="AA124" s="37"/>
      <c r="AB124" s="38"/>
      <c r="AC124" s="168"/>
      <c r="AD124" s="42"/>
      <c r="AE124" s="39"/>
      <c r="AF124" s="42"/>
      <c r="AG124" s="66"/>
      <c r="AH124" s="91"/>
      <c r="AI124" s="227"/>
      <c r="AJ124" s="168"/>
      <c r="AK124" s="90"/>
    </row>
    <row r="125" spans="1:37" ht="21" x14ac:dyDescent="0.4">
      <c r="A125" s="300" t="s">
        <v>10</v>
      </c>
      <c r="B125" s="218" t="str">
        <f t="shared" si="65"/>
        <v>Treasury</v>
      </c>
      <c r="C125" s="5" t="s">
        <v>48</v>
      </c>
      <c r="D125" s="10"/>
      <c r="E125" s="117"/>
      <c r="F125" s="117"/>
      <c r="G125" s="117"/>
      <c r="H125" s="184"/>
      <c r="I125" s="168"/>
      <c r="J125" s="42"/>
      <c r="K125" s="39"/>
      <c r="L125" s="42"/>
      <c r="M125" s="66"/>
      <c r="N125" s="446"/>
      <c r="O125" s="227"/>
      <c r="P125" s="92"/>
      <c r="Q125" s="37"/>
      <c r="R125" s="38"/>
      <c r="S125" s="168"/>
      <c r="T125" s="42"/>
      <c r="U125" s="39"/>
      <c r="V125" s="42"/>
      <c r="W125" s="66"/>
      <c r="X125" s="90"/>
      <c r="Y125" s="227"/>
      <c r="Z125" s="92"/>
      <c r="AA125" s="37"/>
      <c r="AB125" s="38"/>
      <c r="AC125" s="168"/>
      <c r="AD125" s="42"/>
      <c r="AE125" s="39"/>
      <c r="AF125" s="42"/>
      <c r="AG125" s="66"/>
      <c r="AH125" s="91"/>
      <c r="AI125" s="227"/>
      <c r="AJ125" s="168"/>
      <c r="AK125" s="90"/>
    </row>
    <row r="126" spans="1:37" ht="21" x14ac:dyDescent="0.4">
      <c r="A126" s="300" t="s">
        <v>10</v>
      </c>
      <c r="B126" s="218" t="str">
        <f t="shared" si="65"/>
        <v>Treasury</v>
      </c>
      <c r="C126" s="5" t="s">
        <v>48</v>
      </c>
      <c r="D126" s="10"/>
      <c r="E126" s="117"/>
      <c r="F126" s="117"/>
      <c r="G126" s="117"/>
      <c r="H126" s="184"/>
      <c r="I126" s="168"/>
      <c r="J126" s="42"/>
      <c r="K126" s="39"/>
      <c r="L126" s="42"/>
      <c r="M126" s="66"/>
      <c r="N126" s="446"/>
      <c r="O126" s="227"/>
      <c r="P126" s="92"/>
      <c r="Q126" s="37"/>
      <c r="R126" s="38"/>
      <c r="S126" s="168"/>
      <c r="T126" s="42"/>
      <c r="U126" s="39"/>
      <c r="V126" s="42"/>
      <c r="W126" s="66"/>
      <c r="X126" s="90"/>
      <c r="Y126" s="227"/>
      <c r="Z126" s="92"/>
      <c r="AA126" s="37"/>
      <c r="AB126" s="38"/>
      <c r="AC126" s="168"/>
      <c r="AD126" s="42"/>
      <c r="AE126" s="39"/>
      <c r="AF126" s="42"/>
      <c r="AG126" s="66"/>
      <c r="AH126" s="91"/>
      <c r="AI126" s="227"/>
      <c r="AJ126" s="168"/>
      <c r="AK126" s="90"/>
    </row>
    <row r="127" spans="1:37" ht="21" x14ac:dyDescent="0.4">
      <c r="A127" s="300" t="s">
        <v>10</v>
      </c>
      <c r="B127" s="218" t="str">
        <f t="shared" si="65"/>
        <v>Treasury</v>
      </c>
      <c r="C127" s="5" t="s">
        <v>48</v>
      </c>
      <c r="D127" s="10"/>
      <c r="E127" s="117"/>
      <c r="F127" s="117"/>
      <c r="G127" s="117"/>
      <c r="H127" s="184"/>
      <c r="I127" s="168"/>
      <c r="J127" s="42"/>
      <c r="K127" s="39"/>
      <c r="L127" s="42"/>
      <c r="M127" s="66"/>
      <c r="N127" s="446"/>
      <c r="O127" s="227"/>
      <c r="P127" s="92"/>
      <c r="Q127" s="37"/>
      <c r="R127" s="38"/>
      <c r="S127" s="168"/>
      <c r="T127" s="42"/>
      <c r="U127" s="39"/>
      <c r="V127" s="42"/>
      <c r="W127" s="66"/>
      <c r="X127" s="90"/>
      <c r="Y127" s="227"/>
      <c r="Z127" s="92"/>
      <c r="AA127" s="37"/>
      <c r="AB127" s="38"/>
      <c r="AC127" s="168"/>
      <c r="AD127" s="42"/>
      <c r="AE127" s="39"/>
      <c r="AF127" s="42"/>
      <c r="AG127" s="66"/>
      <c r="AH127" s="91"/>
      <c r="AI127" s="227"/>
      <c r="AJ127" s="168"/>
      <c r="AK127" s="90"/>
    </row>
    <row r="128" spans="1:37" ht="21" x14ac:dyDescent="0.4">
      <c r="A128" s="300" t="s">
        <v>10</v>
      </c>
      <c r="B128" s="218" t="str">
        <f t="shared" si="65"/>
        <v>TreasuryCorporate Express (to bank)</v>
      </c>
      <c r="C128" s="5" t="s">
        <v>48</v>
      </c>
      <c r="D128" s="10"/>
      <c r="E128" s="117"/>
      <c r="F128" s="117"/>
      <c r="G128" s="117"/>
      <c r="H128" s="184" t="s">
        <v>44</v>
      </c>
      <c r="I128" s="164"/>
      <c r="J128" s="67"/>
      <c r="K128" s="67"/>
      <c r="L128" s="67"/>
      <c r="M128" s="40" t="str">
        <f>J128&amp;" days @ "&amp;K128</f>
        <v xml:space="preserve"> days @ </v>
      </c>
      <c r="N128" s="447"/>
      <c r="O128" s="242"/>
      <c r="P128" s="92"/>
      <c r="Q128" s="37"/>
      <c r="R128" s="38" t="s">
        <v>44</v>
      </c>
      <c r="S128" s="164"/>
      <c r="T128" s="67"/>
      <c r="U128" s="67"/>
      <c r="V128" s="67"/>
      <c r="W128" s="40" t="str">
        <f>T128&amp;" days @ "&amp;U128</f>
        <v xml:space="preserve"> days @ </v>
      </c>
      <c r="X128" s="93"/>
      <c r="Y128" s="242"/>
      <c r="Z128" s="92"/>
      <c r="AA128" s="37"/>
      <c r="AB128" s="38"/>
      <c r="AC128" s="164"/>
      <c r="AD128" s="67"/>
      <c r="AE128" s="67"/>
      <c r="AF128" s="67"/>
      <c r="AG128" s="40" t="str">
        <f>AD128&amp;" days @ "&amp;AE128</f>
        <v xml:space="preserve"> days @ </v>
      </c>
      <c r="AH128" s="94"/>
      <c r="AI128" s="242"/>
      <c r="AJ128" s="164"/>
      <c r="AK128" s="93"/>
    </row>
    <row r="129" spans="1:37" ht="21" x14ac:dyDescent="0.4">
      <c r="A129" s="300" t="s">
        <v>10</v>
      </c>
      <c r="B129" s="218" t="str">
        <f t="shared" si="65"/>
        <v>TreasuryTotal Other</v>
      </c>
      <c r="C129" s="124" t="s">
        <v>50</v>
      </c>
      <c r="D129" s="10"/>
      <c r="E129" s="116">
        <f>I129</f>
        <v>1375289.8824865601</v>
      </c>
      <c r="F129" s="116">
        <f>S129</f>
        <v>144598.16108980749</v>
      </c>
      <c r="G129" s="116">
        <f>AC129</f>
        <v>5005.9564236322876</v>
      </c>
      <c r="H129" s="185" t="s">
        <v>45</v>
      </c>
      <c r="I129" s="165">
        <f>SUM(I123:I128)</f>
        <v>1375289.8824865601</v>
      </c>
      <c r="J129" s="68"/>
      <c r="K129" s="68"/>
      <c r="L129" s="68"/>
      <c r="M129" s="66"/>
      <c r="N129" s="449">
        <f>I129</f>
        <v>1375289.8824865601</v>
      </c>
      <c r="O129" s="233">
        <f>N129/N132</f>
        <v>0.99871641509901365</v>
      </c>
      <c r="P129" s="92"/>
      <c r="Q129" s="68"/>
      <c r="R129" s="49" t="s">
        <v>45</v>
      </c>
      <c r="S129" s="165">
        <f>SUM(S123:S128)</f>
        <v>144598.16108980749</v>
      </c>
      <c r="T129" s="68"/>
      <c r="U129" s="68"/>
      <c r="V129" s="68"/>
      <c r="W129" s="66"/>
      <c r="X129" s="165">
        <f>S129</f>
        <v>144598.16108980749</v>
      </c>
      <c r="Y129" s="233">
        <f>X129/X132</f>
        <v>0.98792360657799283</v>
      </c>
      <c r="Z129" s="92"/>
      <c r="AA129" s="68"/>
      <c r="AB129" s="49" t="s">
        <v>45</v>
      </c>
      <c r="AC129" s="165">
        <f>SUM(AC123:AC128)</f>
        <v>5005.9564236322876</v>
      </c>
      <c r="AD129" s="68"/>
      <c r="AE129" s="68"/>
      <c r="AF129" s="68"/>
      <c r="AG129" s="66"/>
      <c r="AH129" s="414">
        <f>AC129</f>
        <v>5005.9564236322876</v>
      </c>
      <c r="AI129" s="233">
        <f>AH129/AH132</f>
        <v>0.73904728449181623</v>
      </c>
      <c r="AJ129" s="165">
        <f>I129+S129+AC129</f>
        <v>1524894</v>
      </c>
      <c r="AK129" s="165"/>
    </row>
    <row r="130" spans="1:37" ht="21.6" thickBot="1" x14ac:dyDescent="0.45">
      <c r="A130" s="300" t="s">
        <v>10</v>
      </c>
      <c r="B130" s="218" t="str">
        <f t="shared" si="65"/>
        <v>Treasury</v>
      </c>
      <c r="C130" s="5" t="s">
        <v>48</v>
      </c>
      <c r="D130" s="10"/>
      <c r="E130" s="117"/>
      <c r="F130" s="117"/>
      <c r="G130" s="117"/>
      <c r="H130" s="178"/>
      <c r="I130" s="178"/>
      <c r="J130" s="101"/>
      <c r="K130" s="101"/>
      <c r="L130" s="101"/>
      <c r="M130" s="102"/>
      <c r="N130" s="450"/>
      <c r="O130" s="178"/>
      <c r="P130" s="101"/>
      <c r="Q130" s="101"/>
      <c r="R130" s="100"/>
      <c r="S130" s="178"/>
      <c r="T130" s="101"/>
      <c r="U130" s="101"/>
      <c r="V130" s="101"/>
      <c r="W130" s="102"/>
      <c r="X130" s="178"/>
      <c r="Y130" s="178"/>
      <c r="Z130" s="101"/>
      <c r="AA130" s="101"/>
      <c r="AB130" s="100"/>
      <c r="AC130" s="178"/>
      <c r="AD130" s="101"/>
      <c r="AE130" s="101"/>
      <c r="AF130" s="101"/>
      <c r="AG130" s="102"/>
      <c r="AH130" s="415"/>
      <c r="AI130" s="178"/>
      <c r="AJ130" s="178"/>
      <c r="AK130" s="178"/>
    </row>
    <row r="131" spans="1:37" ht="21.6" thickTop="1" x14ac:dyDescent="0.4">
      <c r="A131" s="300" t="s">
        <v>10</v>
      </c>
      <c r="B131" s="218" t="str">
        <f t="shared" si="65"/>
        <v>TreasuryTOTALS</v>
      </c>
      <c r="C131" s="5" t="s">
        <v>48</v>
      </c>
      <c r="D131" s="10"/>
      <c r="E131" s="117"/>
      <c r="F131" s="117"/>
      <c r="G131" s="117"/>
      <c r="H131" s="186" t="s">
        <v>28</v>
      </c>
      <c r="I131" s="418"/>
      <c r="J131" s="103"/>
      <c r="K131" s="103"/>
      <c r="L131" s="103"/>
      <c r="M131" s="104"/>
      <c r="N131" s="446"/>
      <c r="O131" s="136"/>
      <c r="P131" s="92"/>
      <c r="Q131" s="37"/>
      <c r="R131" s="61" t="s">
        <v>28</v>
      </c>
      <c r="S131" s="418"/>
      <c r="T131" s="103"/>
      <c r="U131" s="103"/>
      <c r="V131" s="103"/>
      <c r="W131" s="104"/>
      <c r="X131" s="90"/>
      <c r="Y131" s="136"/>
      <c r="Z131" s="92"/>
      <c r="AA131" s="37"/>
      <c r="AB131" s="61" t="s">
        <v>28</v>
      </c>
      <c r="AC131" s="418"/>
      <c r="AD131" s="103"/>
      <c r="AE131" s="103"/>
      <c r="AF131" s="103"/>
      <c r="AG131" s="104"/>
      <c r="AH131" s="91"/>
      <c r="AI131" s="136"/>
      <c r="AJ131" s="418"/>
      <c r="AK131" s="90"/>
    </row>
    <row r="132" spans="1:37" ht="21" x14ac:dyDescent="0.4">
      <c r="A132" s="300" t="s">
        <v>10</v>
      </c>
      <c r="B132" s="218" t="str">
        <f t="shared" si="65"/>
        <v>TreasuryPER YEAR</v>
      </c>
      <c r="C132" s="124" t="s">
        <v>50</v>
      </c>
      <c r="D132" s="10"/>
      <c r="E132" s="117"/>
      <c r="F132" s="117"/>
      <c r="G132" s="117"/>
      <c r="H132" s="190" t="s">
        <v>46</v>
      </c>
      <c r="I132" s="417">
        <f>I103+I108+I115+I120+I129</f>
        <v>1377057.4526405602</v>
      </c>
      <c r="J132" s="106"/>
      <c r="K132" s="106"/>
      <c r="L132" s="106"/>
      <c r="M132" s="107"/>
      <c r="N132" s="443">
        <f>SUM(N103:N130)</f>
        <v>1377057.4526405602</v>
      </c>
      <c r="O132" s="233">
        <f>SUM(O103:O130)</f>
        <v>0.99999999999999989</v>
      </c>
      <c r="P132" s="92"/>
      <c r="Q132" s="37"/>
      <c r="R132" s="105" t="s">
        <v>46</v>
      </c>
      <c r="S132" s="417">
        <f>S103+S108+S115+S120+S129</f>
        <v>146365.73124380747</v>
      </c>
      <c r="T132" s="106"/>
      <c r="U132" s="106"/>
      <c r="V132" s="106"/>
      <c r="W132" s="107"/>
      <c r="X132" s="52">
        <f>SUM(X103:X130)</f>
        <v>146365.73124380747</v>
      </c>
      <c r="Y132" s="233">
        <f>SUM(Y103:Y130)</f>
        <v>1</v>
      </c>
      <c r="Z132" s="92"/>
      <c r="AA132" s="37"/>
      <c r="AB132" s="105" t="s">
        <v>46</v>
      </c>
      <c r="AC132" s="417">
        <f>AC103+AC108+AC115+AC120+AC129</f>
        <v>6773.5265776322876</v>
      </c>
      <c r="AD132" s="106"/>
      <c r="AE132" s="106"/>
      <c r="AF132" s="106"/>
      <c r="AG132" s="107"/>
      <c r="AH132" s="420">
        <f>SUM(AH103:AH130)</f>
        <v>6773.5265776322876</v>
      </c>
      <c r="AI132" s="233">
        <f>SUM(AI103:AI130)</f>
        <v>1</v>
      </c>
      <c r="AJ132" s="417">
        <f>I132+S132+AC132</f>
        <v>1530196.710462</v>
      </c>
      <c r="AK132" s="52"/>
    </row>
    <row r="133" spans="1:37" ht="21" x14ac:dyDescent="0.4">
      <c r="A133" s="300" t="s">
        <v>10</v>
      </c>
      <c r="B133" s="218" t="str">
        <f t="shared" si="65"/>
        <v>TreasuryPER PAYMENT</v>
      </c>
      <c r="C133" s="124" t="s">
        <v>50</v>
      </c>
      <c r="D133" s="10"/>
      <c r="E133" s="117"/>
      <c r="F133" s="117"/>
      <c r="G133" s="117"/>
      <c r="H133" s="185" t="s">
        <v>47</v>
      </c>
      <c r="I133" s="419">
        <f>I132/I$6</f>
        <v>0.20003951997755937</v>
      </c>
      <c r="J133" s="108"/>
      <c r="K133" s="108"/>
      <c r="L133" s="108"/>
      <c r="M133" s="109"/>
      <c r="N133" s="448"/>
      <c r="O133" s="243"/>
      <c r="P133" s="99"/>
      <c r="Q133" s="60"/>
      <c r="R133" s="49" t="s">
        <v>47</v>
      </c>
      <c r="S133" s="419">
        <f>S132/S$6</f>
        <v>0.20222489971884638</v>
      </c>
      <c r="T133" s="108"/>
      <c r="U133" s="108"/>
      <c r="V133" s="108"/>
      <c r="W133" s="109"/>
      <c r="X133" s="97"/>
      <c r="Y133" s="243"/>
      <c r="Z133" s="99"/>
      <c r="AA133" s="60"/>
      <c r="AB133" s="49" t="s">
        <v>47</v>
      </c>
      <c r="AC133" s="419">
        <f>AC132/AC$6</f>
        <v>0.27032472273745012</v>
      </c>
      <c r="AD133" s="108"/>
      <c r="AE133" s="108"/>
      <c r="AF133" s="108"/>
      <c r="AG133" s="109"/>
      <c r="AH133" s="98"/>
      <c r="AI133" s="243"/>
      <c r="AJ133" s="419">
        <f>I133+S133+AC133</f>
        <v>0.67258914243385592</v>
      </c>
      <c r="AK133" s="97"/>
    </row>
    <row r="134" spans="1:37" ht="15.6" x14ac:dyDescent="0.3">
      <c r="A134" s="300" t="s">
        <v>10</v>
      </c>
      <c r="B134" s="218"/>
      <c r="C134" s="220"/>
      <c r="D134" s="10"/>
      <c r="E134" s="10"/>
      <c r="F134" s="10"/>
      <c r="G134" s="10"/>
      <c r="H134" s="137" t="s">
        <v>585</v>
      </c>
      <c r="I134" s="659">
        <f>I103+I108</f>
        <v>1767.570154</v>
      </c>
      <c r="J134" s="108"/>
      <c r="K134" s="108"/>
      <c r="L134" s="108"/>
      <c r="M134" s="109"/>
      <c r="N134" s="656"/>
      <c r="O134" s="657"/>
      <c r="P134" s="92"/>
      <c r="Q134" s="37"/>
      <c r="R134" s="137" t="s">
        <v>585</v>
      </c>
      <c r="S134" s="659">
        <f>S103+S108</f>
        <v>1767.570154</v>
      </c>
      <c r="T134" s="108"/>
      <c r="U134" s="108"/>
      <c r="V134" s="108"/>
      <c r="W134" s="109"/>
      <c r="X134" s="658"/>
      <c r="Y134" s="657"/>
      <c r="Z134" s="92"/>
      <c r="AA134" s="37"/>
      <c r="AB134" s="137" t="s">
        <v>585</v>
      </c>
      <c r="AC134" s="659">
        <f>AC103+AC108</f>
        <v>1767.570154</v>
      </c>
      <c r="AD134" s="108"/>
      <c r="AE134" s="108"/>
      <c r="AF134" s="108"/>
      <c r="AG134" s="109"/>
      <c r="AH134" s="656"/>
      <c r="AI134" s="137"/>
      <c r="AJ134" s="659">
        <f>I134+S134+AC134</f>
        <v>5302.710462</v>
      </c>
      <c r="AK134" s="252"/>
    </row>
    <row r="135" spans="1:37" ht="15.6" x14ac:dyDescent="0.3">
      <c r="A135" s="300" t="s">
        <v>10</v>
      </c>
      <c r="B135" s="218"/>
      <c r="C135" s="220"/>
      <c r="D135" s="10"/>
      <c r="E135" s="10"/>
      <c r="F135" s="10"/>
      <c r="G135" s="10"/>
      <c r="H135" s="137" t="s">
        <v>586</v>
      </c>
      <c r="I135" s="659">
        <f>I129+I120+I115</f>
        <v>1375289.8824865601</v>
      </c>
      <c r="J135" s="108"/>
      <c r="K135" s="659"/>
      <c r="L135" s="108"/>
      <c r="M135" s="109"/>
      <c r="N135" s="656"/>
      <c r="O135" s="657"/>
      <c r="P135" s="92"/>
      <c r="Q135" s="37"/>
      <c r="R135" s="137" t="s">
        <v>586</v>
      </c>
      <c r="S135" s="659">
        <f>S129+S120+S115</f>
        <v>144598.16108980749</v>
      </c>
      <c r="T135" s="108"/>
      <c r="U135" s="659"/>
      <c r="V135" s="108"/>
      <c r="W135" s="109"/>
      <c r="X135" s="658"/>
      <c r="Y135" s="657"/>
      <c r="Z135" s="92"/>
      <c r="AA135" s="37"/>
      <c r="AB135" s="137" t="s">
        <v>586</v>
      </c>
      <c r="AC135" s="659">
        <f>AC129+AC120+AC115</f>
        <v>5005.9564236322876</v>
      </c>
      <c r="AD135" s="108"/>
      <c r="AE135" s="659"/>
      <c r="AF135" s="108"/>
      <c r="AG135" s="109"/>
      <c r="AH135" s="656"/>
      <c r="AI135" s="137"/>
      <c r="AJ135" s="659">
        <f>I135+S135+AC135</f>
        <v>1524894</v>
      </c>
      <c r="AK135" s="252"/>
    </row>
    <row r="136" spans="1:37" ht="15.6" x14ac:dyDescent="0.3">
      <c r="A136" s="300" t="s">
        <v>10</v>
      </c>
      <c r="B136" s="218"/>
      <c r="C136" s="220"/>
      <c r="D136" s="10"/>
      <c r="E136" s="10"/>
      <c r="F136" s="10"/>
      <c r="G136" s="10"/>
      <c r="H136" s="137" t="s">
        <v>584</v>
      </c>
      <c r="I136" s="659">
        <f>I132</f>
        <v>1377057.4526405602</v>
      </c>
      <c r="J136" s="108"/>
      <c r="K136" s="108"/>
      <c r="L136" s="108"/>
      <c r="M136" s="109"/>
      <c r="N136" s="656"/>
      <c r="O136" s="657"/>
      <c r="P136" s="92"/>
      <c r="Q136" s="37"/>
      <c r="R136" s="137" t="s">
        <v>584</v>
      </c>
      <c r="S136" s="659">
        <f>S132</f>
        <v>146365.73124380747</v>
      </c>
      <c r="T136" s="108"/>
      <c r="U136" s="108"/>
      <c r="V136" s="108"/>
      <c r="W136" s="109"/>
      <c r="X136" s="658"/>
      <c r="Y136" s="657"/>
      <c r="Z136" s="92"/>
      <c r="AA136" s="37"/>
      <c r="AB136" s="137" t="s">
        <v>584</v>
      </c>
      <c r="AC136" s="659">
        <f>AC132</f>
        <v>6773.5265776322876</v>
      </c>
      <c r="AD136" s="108"/>
      <c r="AE136" s="108"/>
      <c r="AF136" s="108"/>
      <c r="AG136" s="109"/>
      <c r="AH136" s="656"/>
      <c r="AI136" s="137"/>
      <c r="AJ136" s="659">
        <f>I136+S136+AC136</f>
        <v>1530196.710462</v>
      </c>
      <c r="AK136" s="252"/>
    </row>
    <row r="137" spans="1:37" x14ac:dyDescent="0.3">
      <c r="A137" s="2" t="s">
        <v>50</v>
      </c>
      <c r="D137" s="655"/>
      <c r="E137" s="655"/>
      <c r="F137" s="655"/>
      <c r="G137" s="655"/>
    </row>
    <row r="138" spans="1:37" ht="15.6" x14ac:dyDescent="0.3">
      <c r="A138" s="261"/>
      <c r="D138" s="655"/>
      <c r="E138" s="655"/>
      <c r="F138" s="655"/>
      <c r="G138" s="655"/>
      <c r="H138" s="261" t="s">
        <v>67</v>
      </c>
      <c r="I138" s="667">
        <f>I134+I93+I48</f>
        <v>403256.47667900001</v>
      </c>
      <c r="R138" s="261" t="s">
        <v>67</v>
      </c>
      <c r="S138" s="667">
        <f>S134+S93+S48</f>
        <v>41466.982129999997</v>
      </c>
      <c r="AB138" s="261" t="s">
        <v>67</v>
      </c>
      <c r="AC138" s="667">
        <f>AC134+AC93+AC48</f>
        <v>4041.0284739999997</v>
      </c>
      <c r="AJ138" s="667"/>
    </row>
    <row r="139" spans="1:37" ht="15.6" x14ac:dyDescent="0.3">
      <c r="A139" s="261"/>
      <c r="D139" s="655"/>
      <c r="E139" s="655"/>
      <c r="F139" s="655"/>
      <c r="G139" s="655"/>
      <c r="H139" s="261" t="s">
        <v>583</v>
      </c>
      <c r="I139" s="667">
        <f t="shared" ref="I139:I140" si="66">I135+I94+I49</f>
        <v>1622810.6384865602</v>
      </c>
      <c r="R139" s="261" t="s">
        <v>583</v>
      </c>
      <c r="S139" s="667">
        <f t="shared" ref="S139:S140" si="67">S135+S94+S49</f>
        <v>160710.86508980748</v>
      </c>
      <c r="AB139" s="261" t="s">
        <v>583</v>
      </c>
      <c r="AC139" s="667">
        <f t="shared" ref="AC139:AC140" si="68">AC135+AC94+AC49</f>
        <v>5042.4964236322876</v>
      </c>
      <c r="AJ139" s="667">
        <f>I139+S139+AC139</f>
        <v>1788564</v>
      </c>
    </row>
    <row r="140" spans="1:37" ht="15.6" x14ac:dyDescent="0.3">
      <c r="A140" s="261"/>
      <c r="D140" s="655"/>
      <c r="E140" s="655"/>
      <c r="F140" s="655"/>
      <c r="G140" s="655"/>
      <c r="H140" s="261" t="s">
        <v>584</v>
      </c>
      <c r="I140" s="667">
        <f t="shared" si="66"/>
        <v>2026067.11516556</v>
      </c>
      <c r="R140" s="261" t="s">
        <v>584</v>
      </c>
      <c r="S140" s="667">
        <f t="shared" si="67"/>
        <v>202177.84721980747</v>
      </c>
      <c r="AB140" s="261" t="s">
        <v>584</v>
      </c>
      <c r="AC140" s="667">
        <f t="shared" si="68"/>
        <v>9083.5248976322873</v>
      </c>
      <c r="AJ140" s="667">
        <f>I140+S140+AC140</f>
        <v>2237328.4872829998</v>
      </c>
    </row>
    <row r="141" spans="1:37" ht="15.6" x14ac:dyDescent="0.3">
      <c r="A141" s="261" t="s">
        <v>50</v>
      </c>
      <c r="D141" s="655"/>
      <c r="E141" s="655"/>
      <c r="F141" s="655"/>
      <c r="G141" s="655"/>
      <c r="AJ141" s="667">
        <f>I141+S141+AC141</f>
        <v>0</v>
      </c>
    </row>
    <row r="142" spans="1:37" ht="15.6" x14ac:dyDescent="0.3">
      <c r="A142" s="261"/>
      <c r="D142" s="655"/>
      <c r="E142" s="655"/>
      <c r="F142" s="655"/>
      <c r="G142" s="655"/>
      <c r="H142" s="261" t="s">
        <v>588</v>
      </c>
      <c r="I142" s="667">
        <f>SUM(I140,S140,AC140)</f>
        <v>2237328.4872829998</v>
      </c>
    </row>
  </sheetData>
  <autoFilter ref="A6:AU6"/>
  <mergeCells count="7">
    <mergeCell ref="M82:M83"/>
    <mergeCell ref="W82:W83"/>
    <mergeCell ref="AG82:AG83"/>
    <mergeCell ref="H4:Q4"/>
    <mergeCell ref="R4:AA4"/>
    <mergeCell ref="AB4:AL4"/>
    <mergeCell ref="I5:M5"/>
  </mergeCells>
  <printOptions horizontalCentered="1"/>
  <pageMargins left="0.28999999999999998" right="0.35" top="0.54" bottom="0.38" header="0.23" footer="0.17"/>
  <pageSetup paperSize="17" scale="56" orientation="landscape" r:id="rId1"/>
  <headerFooter>
    <oddHeader>&amp;C&amp;"-,Bold"&amp;22METER TO CASH MATRIX</oddHead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273"/>
  <sheetViews>
    <sheetView zoomScale="60" zoomScaleNormal="60" workbookViewId="0">
      <pane xSplit="7" ySplit="6" topLeftCell="R7" activePane="bottomRight" state="frozen"/>
      <selection pane="topRight" activeCell="H1" sqref="H1"/>
      <selection pane="bottomLeft" activeCell="A7" sqref="A7"/>
      <selection pane="bottomRight" activeCell="AL46" sqref="AL46"/>
    </sheetView>
  </sheetViews>
  <sheetFormatPr defaultRowHeight="14.4" x14ac:dyDescent="0.3"/>
  <cols>
    <col min="1" max="1" width="17.6640625" style="2" customWidth="1"/>
    <col min="2" max="2" width="11.109375" style="214" hidden="1" customWidth="1"/>
    <col min="3" max="3" width="10.88671875" style="215" hidden="1" customWidth="1"/>
    <col min="4" max="4" width="30.88671875" style="1" customWidth="1"/>
    <col min="5" max="6" width="12.5546875" style="1" hidden="1" customWidth="1"/>
    <col min="7" max="7" width="13.6640625" style="1" hidden="1" customWidth="1"/>
    <col min="8" max="8" width="25.6640625" customWidth="1"/>
    <col min="9" max="9" width="12.21875" customWidth="1"/>
    <col min="10" max="11" width="10.6640625" customWidth="1"/>
    <col min="12" max="12" width="6.88671875" customWidth="1"/>
    <col min="13" max="13" width="12.5546875" customWidth="1"/>
    <col min="14" max="14" width="11.33203125" customWidth="1"/>
    <col min="15" max="15" width="9.109375" customWidth="1"/>
    <col min="16" max="16" width="0" hidden="1" customWidth="1"/>
    <col min="17" max="17" width="25" hidden="1" customWidth="1"/>
    <col min="18" max="18" width="25.77734375" customWidth="1"/>
    <col min="19" max="19" width="10.44140625" customWidth="1"/>
    <col min="20" max="21" width="10.6640625" customWidth="1"/>
    <col min="22" max="22" width="6.88671875" customWidth="1"/>
    <col min="23" max="23" width="12.5546875" customWidth="1"/>
    <col min="24" max="24" width="10.77734375" customWidth="1"/>
    <col min="25" max="25" width="8.21875" customWidth="1"/>
    <col min="26" max="26" width="0" hidden="1" customWidth="1"/>
    <col min="27" max="27" width="25" hidden="1" customWidth="1"/>
    <col min="28" max="28" width="25.88671875" customWidth="1"/>
    <col min="29" max="29" width="9" customWidth="1"/>
    <col min="30" max="31" width="10.6640625" customWidth="1"/>
    <col min="32" max="32" width="6.88671875" customWidth="1"/>
    <col min="33" max="33" width="12.5546875" customWidth="1"/>
    <col min="34" max="34" width="10.77734375" customWidth="1"/>
    <col min="35" max="35" width="9.109375" customWidth="1"/>
    <col min="36" max="36" width="12.5546875" customWidth="1"/>
    <col min="37" max="37" width="6.6640625" customWidth="1"/>
    <col min="38" max="38" width="20.6640625" customWidth="1"/>
  </cols>
  <sheetData>
    <row r="1" spans="1:47" x14ac:dyDescent="0.3">
      <c r="R1" s="2"/>
      <c r="S1" s="2"/>
      <c r="T1" s="303">
        <v>0.157</v>
      </c>
      <c r="U1" s="2" t="s">
        <v>391</v>
      </c>
    </row>
    <row r="2" spans="1:47" s="2" customFormat="1" ht="18.75" customHeight="1" x14ac:dyDescent="0.4">
      <c r="B2" s="216"/>
      <c r="C2" s="217"/>
      <c r="D2" s="14"/>
      <c r="E2" s="15" t="s">
        <v>18</v>
      </c>
      <c r="F2" s="16" t="s">
        <v>19</v>
      </c>
      <c r="G2" s="21" t="s">
        <v>20</v>
      </c>
      <c r="M2" s="2" t="s">
        <v>129</v>
      </c>
      <c r="N2"/>
      <c r="O2" s="303">
        <f>'Projection Inputs'!B33</f>
        <v>0.9859</v>
      </c>
    </row>
    <row r="3" spans="1:47" s="2" customFormat="1" ht="50.4" customHeight="1" x14ac:dyDescent="0.45">
      <c r="B3" s="216"/>
      <c r="C3" s="217"/>
      <c r="D3" s="484" t="s">
        <v>231</v>
      </c>
      <c r="E3" s="17" t="s">
        <v>18</v>
      </c>
      <c r="F3" s="18" t="s">
        <v>21</v>
      </c>
      <c r="G3" s="378" t="s">
        <v>20</v>
      </c>
      <c r="H3" s="225" t="str">
        <f>+D3</f>
        <v>COLLECTIONS</v>
      </c>
    </row>
    <row r="4" spans="1:47" ht="21.6" thickBot="1" x14ac:dyDescent="0.45">
      <c r="D4" s="9"/>
      <c r="E4" s="110" t="s">
        <v>22</v>
      </c>
      <c r="F4" s="111" t="s">
        <v>23</v>
      </c>
      <c r="G4" s="111" t="s">
        <v>24</v>
      </c>
      <c r="H4" s="738" t="s">
        <v>49</v>
      </c>
      <c r="I4" s="729"/>
      <c r="J4" s="729"/>
      <c r="K4" s="729"/>
      <c r="L4" s="729"/>
      <c r="M4" s="729"/>
      <c r="N4" s="729"/>
      <c r="O4" s="729"/>
      <c r="P4" s="729"/>
      <c r="Q4" s="729"/>
      <c r="R4" s="739" t="s">
        <v>224</v>
      </c>
      <c r="S4" s="729"/>
      <c r="T4" s="729"/>
      <c r="U4" s="729"/>
      <c r="V4" s="729"/>
      <c r="W4" s="729"/>
      <c r="X4" s="729"/>
      <c r="Y4" s="729"/>
      <c r="Z4" s="729"/>
      <c r="AA4" s="729"/>
      <c r="AB4" s="736" t="s">
        <v>225</v>
      </c>
      <c r="AC4" s="729"/>
      <c r="AD4" s="729"/>
      <c r="AE4" s="729"/>
      <c r="AF4" s="729"/>
      <c r="AG4" s="729"/>
      <c r="AH4" s="729"/>
      <c r="AI4" s="729"/>
      <c r="AJ4" s="729"/>
      <c r="AK4" s="729"/>
      <c r="AL4" s="729"/>
    </row>
    <row r="5" spans="1:47" ht="22.2" thickTop="1" thickBot="1" x14ac:dyDescent="0.45">
      <c r="D5" s="138" t="s">
        <v>26</v>
      </c>
      <c r="E5" s="115"/>
      <c r="F5" s="115"/>
      <c r="G5" s="115"/>
      <c r="H5" s="25"/>
      <c r="I5" s="737" t="s">
        <v>281</v>
      </c>
      <c r="J5" s="737"/>
      <c r="K5" s="737"/>
      <c r="L5" s="737"/>
      <c r="M5" s="737"/>
      <c r="N5" s="26"/>
      <c r="O5" s="26"/>
      <c r="P5" s="25"/>
      <c r="Q5" s="3"/>
    </row>
    <row r="6" spans="1:47" s="2" customFormat="1" ht="21.6" thickTop="1" x14ac:dyDescent="0.4">
      <c r="B6" s="216"/>
      <c r="C6" s="217"/>
      <c r="D6" s="112" t="s">
        <v>3</v>
      </c>
      <c r="E6" s="113"/>
      <c r="F6" s="114"/>
      <c r="G6" s="114"/>
      <c r="H6" s="202" t="s">
        <v>27</v>
      </c>
      <c r="I6" s="416">
        <f>'2015 - 2016 Customers'!M3+'2015 - 2016 Customers'!M4</f>
        <v>146794</v>
      </c>
      <c r="J6" s="203" t="s">
        <v>127</v>
      </c>
      <c r="K6" s="203" t="s">
        <v>128</v>
      </c>
      <c r="L6" s="155" t="s">
        <v>29</v>
      </c>
      <c r="M6" s="28" t="s">
        <v>374</v>
      </c>
      <c r="N6" s="29" t="s">
        <v>28</v>
      </c>
      <c r="O6" s="230" t="s">
        <v>29</v>
      </c>
      <c r="P6" s="31"/>
      <c r="Q6" s="32" t="s">
        <v>30</v>
      </c>
      <c r="R6" s="202" t="s">
        <v>27</v>
      </c>
      <c r="S6" s="615">
        <f>'2015 - 2016 Customers'!N3+'2015 - 2016 Customers'!N4</f>
        <v>7035</v>
      </c>
      <c r="T6" s="203" t="s">
        <v>127</v>
      </c>
      <c r="U6" s="203" t="s">
        <v>128</v>
      </c>
      <c r="V6" s="155" t="s">
        <v>29</v>
      </c>
      <c r="W6" s="28" t="s">
        <v>374</v>
      </c>
      <c r="X6" s="29" t="s">
        <v>28</v>
      </c>
      <c r="Y6" s="230" t="s">
        <v>29</v>
      </c>
      <c r="Z6" s="31"/>
      <c r="AA6" s="32" t="s">
        <v>30</v>
      </c>
      <c r="AB6" s="202" t="s">
        <v>27</v>
      </c>
      <c r="AC6" s="27">
        <f>'2015 - 2016 Customers'!O3+'2015 - 2016 Customers'!O4</f>
        <v>23</v>
      </c>
      <c r="AD6" s="203" t="s">
        <v>127</v>
      </c>
      <c r="AE6" s="203" t="s">
        <v>128</v>
      </c>
      <c r="AF6" s="155" t="s">
        <v>29</v>
      </c>
      <c r="AG6" s="28" t="s">
        <v>374</v>
      </c>
      <c r="AH6" s="29" t="s">
        <v>28</v>
      </c>
      <c r="AI6" s="230" t="s">
        <v>29</v>
      </c>
      <c r="AJ6" s="380" t="s">
        <v>589</v>
      </c>
      <c r="AK6" s="247" t="s">
        <v>30</v>
      </c>
      <c r="AU6" s="6"/>
    </row>
    <row r="7" spans="1:47" ht="93" customHeight="1" x14ac:dyDescent="0.3">
      <c r="A7" s="299" t="s">
        <v>8</v>
      </c>
      <c r="B7" s="218" t="str">
        <f>A7&amp;H7</f>
        <v>Account ServicesLABOR: NON-SUPERVISORY</v>
      </c>
      <c r="C7" s="218" t="s">
        <v>228</v>
      </c>
      <c r="D7" s="10" t="str">
        <f>'2015Summary METER to CASH (Base'!O10</f>
        <v>* Bad debt exception work
* Liaison to collecting agencies
* Collection agency fees
* Paper Stock</v>
      </c>
      <c r="E7" s="116">
        <f>N45</f>
        <v>288258.248226</v>
      </c>
      <c r="F7" s="117">
        <f>X45</f>
        <v>24334.117876</v>
      </c>
      <c r="G7" s="117">
        <f>AC45</f>
        <v>0</v>
      </c>
      <c r="H7" s="183" t="s">
        <v>31</v>
      </c>
      <c r="I7" s="157"/>
      <c r="J7" s="118"/>
      <c r="K7" s="118"/>
      <c r="L7" s="118"/>
      <c r="M7" s="119"/>
      <c r="N7" s="121"/>
      <c r="O7" s="135"/>
      <c r="P7" s="381"/>
      <c r="Q7" s="123"/>
      <c r="R7" s="183" t="s">
        <v>31</v>
      </c>
      <c r="S7" s="157"/>
      <c r="T7" s="118"/>
      <c r="U7" s="118"/>
      <c r="V7" s="118"/>
      <c r="W7" s="119"/>
      <c r="X7" s="121"/>
      <c r="Y7" s="135"/>
      <c r="Z7" s="381"/>
      <c r="AA7" s="123"/>
      <c r="AB7" s="183" t="s">
        <v>31</v>
      </c>
      <c r="AC7" s="157"/>
      <c r="AD7" s="118"/>
      <c r="AE7" s="118"/>
      <c r="AF7" s="118"/>
      <c r="AG7" s="119"/>
      <c r="AH7" s="121"/>
      <c r="AI7" s="135"/>
      <c r="AJ7" s="157"/>
      <c r="AK7" s="157"/>
    </row>
    <row r="8" spans="1:47" ht="15.6" x14ac:dyDescent="0.3">
      <c r="A8" s="299" t="s">
        <v>8</v>
      </c>
      <c r="B8" s="218" t="str">
        <f t="shared" ref="B8:B75" si="0">A8&amp;H8</f>
        <v>Account ServicesAccountant (Grade 145)</v>
      </c>
      <c r="C8" s="217" t="s">
        <v>48</v>
      </c>
      <c r="D8" s="10"/>
      <c r="E8" s="10"/>
      <c r="F8" s="10"/>
      <c r="G8" s="10"/>
      <c r="H8" s="255" t="s">
        <v>242</v>
      </c>
      <c r="I8" s="158">
        <f>J8*K8</f>
        <v>1369.11</v>
      </c>
      <c r="J8" s="42">
        <f>+ROUND('FTE Alloc OR &amp; WA'!M31*2080,0)</f>
        <v>47</v>
      </c>
      <c r="K8" s="259">
        <v>29.13</v>
      </c>
      <c r="L8" s="39"/>
      <c r="M8" s="40" t="str">
        <f>J8&amp;" hrs @ "&amp;K8</f>
        <v>47 hrs @ 29.13</v>
      </c>
      <c r="N8" s="35"/>
      <c r="O8" s="136"/>
      <c r="P8" s="382"/>
      <c r="Q8" s="41"/>
      <c r="R8" s="255" t="s">
        <v>242</v>
      </c>
      <c r="S8" s="158">
        <f>T8*U8</f>
        <v>0</v>
      </c>
      <c r="T8" s="42">
        <f>+ROUND('FTE Alloc OR &amp; WA'!N30*2080,0)</f>
        <v>0</v>
      </c>
      <c r="U8" s="259">
        <v>29.13</v>
      </c>
      <c r="V8" s="39"/>
      <c r="W8" s="40" t="str">
        <f>T8&amp;" hrs @ "&amp;U8</f>
        <v>0 hrs @ 29.13</v>
      </c>
      <c r="X8" s="35"/>
      <c r="Y8" s="136"/>
      <c r="Z8" s="382"/>
      <c r="AA8" s="41"/>
      <c r="AB8" s="255" t="s">
        <v>242</v>
      </c>
      <c r="AC8" s="158">
        <f>AD8*AE8</f>
        <v>0</v>
      </c>
      <c r="AD8" s="42">
        <f>+ROUND('FTE Alloc OR &amp; WA'!O30*2080,0)</f>
        <v>0</v>
      </c>
      <c r="AE8" s="259">
        <v>29.13</v>
      </c>
      <c r="AF8" s="39"/>
      <c r="AG8" s="40" t="str">
        <f>AD8&amp;" hrs @ "&amp;AE8</f>
        <v>0 hrs @ 29.13</v>
      </c>
      <c r="AH8" s="35"/>
      <c r="AI8" s="136"/>
      <c r="AJ8" s="158">
        <f t="shared" ref="AJ8:AJ14" si="1">I8+S8+AC8</f>
        <v>1369.11</v>
      </c>
      <c r="AK8" s="158"/>
    </row>
    <row r="9" spans="1:47" ht="20.399999999999999" x14ac:dyDescent="0.3">
      <c r="A9" s="299" t="s">
        <v>8</v>
      </c>
      <c r="B9" s="218" t="str">
        <f t="shared" si="0"/>
        <v>Account ServicesSr Coll Rep (Grade 140)</v>
      </c>
      <c r="C9" s="217" t="s">
        <v>48</v>
      </c>
      <c r="D9" s="10"/>
      <c r="E9" s="10"/>
      <c r="F9" s="10"/>
      <c r="G9" s="10"/>
      <c r="H9" s="184" t="s">
        <v>243</v>
      </c>
      <c r="I9" s="158">
        <f t="shared" ref="I9:I10" si="2">J9*K9</f>
        <v>53868.38</v>
      </c>
      <c r="J9" s="42">
        <f>+ROUND('FTE Alloc OR &amp; WA'!M37*2080,0)</f>
        <v>1979</v>
      </c>
      <c r="K9" s="259">
        <v>27.22</v>
      </c>
      <c r="L9" s="42"/>
      <c r="M9" s="40" t="str">
        <f t="shared" ref="M9:M11" si="3">J9&amp;" hrs @ "&amp;K9</f>
        <v>1979 hrs @ 27.22</v>
      </c>
      <c r="N9" s="35"/>
      <c r="O9" s="136"/>
      <c r="P9" s="382"/>
      <c r="Q9" s="3"/>
      <c r="R9" s="184" t="s">
        <v>243</v>
      </c>
      <c r="S9" s="158">
        <f t="shared" ref="S9:S10" si="4">T9*U9</f>
        <v>3729.14</v>
      </c>
      <c r="T9" s="42">
        <f>+ROUND('FTE Alloc OR &amp; WA'!N37*2080,0)</f>
        <v>137</v>
      </c>
      <c r="U9" s="259">
        <v>27.22</v>
      </c>
      <c r="V9" s="42"/>
      <c r="W9" s="40" t="str">
        <f t="shared" ref="W9:W11" si="5">T9&amp;" hrs @ "&amp;U9</f>
        <v>137 hrs @ 27.22</v>
      </c>
      <c r="X9" s="35"/>
      <c r="Y9" s="136"/>
      <c r="Z9" s="382"/>
      <c r="AA9" s="3"/>
      <c r="AB9" s="184" t="s">
        <v>243</v>
      </c>
      <c r="AC9" s="158">
        <f t="shared" ref="AC9:AC10" si="6">AD9*AE9</f>
        <v>0</v>
      </c>
      <c r="AD9" s="42">
        <f>+ROUND('FTE Alloc OR &amp; WA'!O36*2080,0)</f>
        <v>0</v>
      </c>
      <c r="AE9" s="259">
        <v>27.22</v>
      </c>
      <c r="AF9" s="42"/>
      <c r="AG9" s="40" t="str">
        <f t="shared" ref="AG9:AG11" si="7">AD9&amp;" hrs @ "&amp;AE9</f>
        <v>0 hrs @ 27.22</v>
      </c>
      <c r="AH9" s="35"/>
      <c r="AI9" s="136"/>
      <c r="AJ9" s="158">
        <f t="shared" si="1"/>
        <v>57597.52</v>
      </c>
      <c r="AK9" s="158"/>
    </row>
    <row r="10" spans="1:47" ht="15.6" x14ac:dyDescent="0.3">
      <c r="A10" s="299" t="s">
        <v>8</v>
      </c>
      <c r="B10" s="218" t="str">
        <f t="shared" si="0"/>
        <v>Account ServicesSr Biller/ PP Clerk (Grade 135)</v>
      </c>
      <c r="C10" s="217" t="s">
        <v>48</v>
      </c>
      <c r="D10" s="10"/>
      <c r="E10" s="10"/>
      <c r="F10" s="10"/>
      <c r="G10" s="10"/>
      <c r="H10" s="184" t="s">
        <v>245</v>
      </c>
      <c r="I10" s="158">
        <f t="shared" si="2"/>
        <v>1195.68</v>
      </c>
      <c r="J10" s="42">
        <f>+ROUND(('FTE Alloc OR &amp; WA'!M31+'FTE Alloc OR &amp; WA'!M34)*2080,0)</f>
        <v>47</v>
      </c>
      <c r="K10" s="259">
        <v>25.44</v>
      </c>
      <c r="L10" s="42"/>
      <c r="M10" s="40" t="str">
        <f t="shared" si="3"/>
        <v>47 hrs @ 25.44</v>
      </c>
      <c r="N10" s="35"/>
      <c r="O10" s="136"/>
      <c r="P10" s="382"/>
      <c r="Q10" s="41"/>
      <c r="R10" s="184" t="s">
        <v>245</v>
      </c>
      <c r="S10" s="158">
        <f t="shared" si="4"/>
        <v>0</v>
      </c>
      <c r="T10" s="42">
        <f>+ROUND(('FTE Alloc OR &amp; WA'!N31+'FTE Alloc OR &amp; WA'!N34)*2080,0)</f>
        <v>0</v>
      </c>
      <c r="U10" s="259">
        <v>25.44</v>
      </c>
      <c r="V10" s="42"/>
      <c r="W10" s="40" t="str">
        <f t="shared" si="5"/>
        <v>0 hrs @ 25.44</v>
      </c>
      <c r="X10" s="35"/>
      <c r="Y10" s="136"/>
      <c r="Z10" s="382"/>
      <c r="AA10" s="41"/>
      <c r="AB10" s="184" t="s">
        <v>245</v>
      </c>
      <c r="AC10" s="158">
        <f t="shared" si="6"/>
        <v>0</v>
      </c>
      <c r="AD10" s="42">
        <f>+ROUND(('FTE Alloc OR &amp; WA'!O31+'FTE Alloc OR &amp; WA'!O34)*2080,0)</f>
        <v>0</v>
      </c>
      <c r="AE10" s="259">
        <v>25.44</v>
      </c>
      <c r="AF10" s="42"/>
      <c r="AG10" s="40" t="str">
        <f t="shared" si="7"/>
        <v>0 hrs @ 25.44</v>
      </c>
      <c r="AH10" s="35"/>
      <c r="AI10" s="136"/>
      <c r="AJ10" s="158">
        <f t="shared" si="1"/>
        <v>1195.68</v>
      </c>
      <c r="AK10" s="158"/>
    </row>
    <row r="11" spans="1:47" ht="15.6" x14ac:dyDescent="0.3">
      <c r="A11" s="299" t="s">
        <v>8</v>
      </c>
      <c r="B11" s="218" t="str">
        <f t="shared" si="0"/>
        <v>Account ServicesBiller (Grade 125)</v>
      </c>
      <c r="C11" s="217" t="s">
        <v>48</v>
      </c>
      <c r="D11" s="10"/>
      <c r="E11" s="10"/>
      <c r="F11" s="10"/>
      <c r="G11" s="10"/>
      <c r="H11" s="179" t="s">
        <v>244</v>
      </c>
      <c r="I11" s="173">
        <f>J11*K11</f>
        <v>1034.47</v>
      </c>
      <c r="J11" s="174">
        <f>+ROUND('FTE Alloc OR &amp; WA'!M32*2080,0)</f>
        <v>47</v>
      </c>
      <c r="K11" s="260">
        <v>22.01</v>
      </c>
      <c r="L11" s="181"/>
      <c r="M11" s="176" t="str">
        <f t="shared" si="3"/>
        <v>47 hrs @ 22.01</v>
      </c>
      <c r="N11" s="35"/>
      <c r="O11" s="136"/>
      <c r="P11" s="382"/>
      <c r="Q11" s="44"/>
      <c r="R11" s="179" t="s">
        <v>244</v>
      </c>
      <c r="S11" s="173">
        <f>T11*U11</f>
        <v>0</v>
      </c>
      <c r="T11" s="174">
        <f>+ROUND('FTE Alloc OR &amp; WA'!N32*2080,0)</f>
        <v>0</v>
      </c>
      <c r="U11" s="260">
        <v>22.01</v>
      </c>
      <c r="V11" s="181"/>
      <c r="W11" s="176" t="str">
        <f t="shared" si="5"/>
        <v>0 hrs @ 22.01</v>
      </c>
      <c r="X11" s="35"/>
      <c r="Y11" s="136"/>
      <c r="Z11" s="382"/>
      <c r="AA11" s="44"/>
      <c r="AB11" s="179" t="s">
        <v>244</v>
      </c>
      <c r="AC11" s="173">
        <f>AD11*AE11</f>
        <v>0</v>
      </c>
      <c r="AD11" s="174">
        <f>+ROUND('FTE Alloc OR &amp; WA'!O32*2080,0)</f>
        <v>0</v>
      </c>
      <c r="AE11" s="260">
        <v>22.01</v>
      </c>
      <c r="AF11" s="181"/>
      <c r="AG11" s="176" t="str">
        <f t="shared" si="7"/>
        <v>0 hrs @ 22.01</v>
      </c>
      <c r="AH11" s="35"/>
      <c r="AI11" s="136"/>
      <c r="AJ11" s="173">
        <f t="shared" si="1"/>
        <v>1034.47</v>
      </c>
      <c r="AK11" s="173"/>
    </row>
    <row r="12" spans="1:47" ht="15.6" x14ac:dyDescent="0.3">
      <c r="A12" s="299" t="s">
        <v>8</v>
      </c>
      <c r="B12" s="218" t="str">
        <f t="shared" si="0"/>
        <v>Account ServicesTotal Wages</v>
      </c>
      <c r="C12" s="217" t="s">
        <v>48</v>
      </c>
      <c r="D12" s="10"/>
      <c r="E12" s="10"/>
      <c r="F12" s="10"/>
      <c r="G12" s="10"/>
      <c r="H12" s="184" t="s">
        <v>32</v>
      </c>
      <c r="I12" s="158">
        <f>SUM(I8:I11)</f>
        <v>57467.64</v>
      </c>
      <c r="J12" s="42"/>
      <c r="K12" s="39"/>
      <c r="L12" s="39"/>
      <c r="M12" s="40"/>
      <c r="N12" s="35"/>
      <c r="O12" s="231"/>
      <c r="P12" s="382"/>
      <c r="Q12" s="41"/>
      <c r="R12" s="184" t="s">
        <v>32</v>
      </c>
      <c r="S12" s="158">
        <f>SUM(S8:S11)</f>
        <v>3729.14</v>
      </c>
      <c r="T12" s="42"/>
      <c r="U12" s="39"/>
      <c r="V12" s="39"/>
      <c r="W12" s="40"/>
      <c r="X12" s="35"/>
      <c r="Y12" s="231"/>
      <c r="Z12" s="382"/>
      <c r="AA12" s="41"/>
      <c r="AB12" s="184" t="s">
        <v>32</v>
      </c>
      <c r="AC12" s="158">
        <f>SUM(AC8:AC11)</f>
        <v>0</v>
      </c>
      <c r="AD12" s="42"/>
      <c r="AE12" s="39"/>
      <c r="AF12" s="39"/>
      <c r="AG12" s="40"/>
      <c r="AH12" s="35"/>
      <c r="AI12" s="231"/>
      <c r="AJ12" s="158">
        <f t="shared" si="1"/>
        <v>61196.78</v>
      </c>
      <c r="AK12" s="158"/>
    </row>
    <row r="13" spans="1:47" ht="15.6" x14ac:dyDescent="0.3">
      <c r="A13" s="299" t="s">
        <v>8</v>
      </c>
      <c r="B13" s="218" t="str">
        <f t="shared" si="0"/>
        <v>Account ServicesBenefits</v>
      </c>
      <c r="C13" s="217" t="s">
        <v>48</v>
      </c>
      <c r="D13" s="10"/>
      <c r="E13" s="10"/>
      <c r="F13" s="10"/>
      <c r="G13" s="10"/>
      <c r="H13" s="184" t="s">
        <v>33</v>
      </c>
      <c r="I13" s="159">
        <f>I12*$O$2</f>
        <v>56657.346275999997</v>
      </c>
      <c r="J13" s="42"/>
      <c r="K13" s="39"/>
      <c r="M13" s="45" t="str">
        <f>"@ "&amp;$O$2*100&amp;" %"</f>
        <v>@ 98.59 %</v>
      </c>
      <c r="N13" s="47"/>
      <c r="O13" s="232"/>
      <c r="P13" s="383"/>
      <c r="Q13" s="41"/>
      <c r="R13" s="184" t="s">
        <v>33</v>
      </c>
      <c r="S13" s="159">
        <f>S12*$O$2</f>
        <v>3676.5591259999997</v>
      </c>
      <c r="T13" s="42"/>
      <c r="U13" s="39"/>
      <c r="W13" s="45" t="str">
        <f>"@ "&amp;$O$2*100&amp;" %"</f>
        <v>@ 98.59 %</v>
      </c>
      <c r="X13" s="47"/>
      <c r="Y13" s="232"/>
      <c r="Z13" s="383"/>
      <c r="AA13" s="41"/>
      <c r="AB13" s="184" t="s">
        <v>33</v>
      </c>
      <c r="AC13" s="159">
        <f>AC12*$O$2</f>
        <v>0</v>
      </c>
      <c r="AD13" s="42"/>
      <c r="AE13" s="39"/>
      <c r="AG13" s="45" t="str">
        <f>"@ "&amp;$O$2*100&amp;" %"</f>
        <v>@ 98.59 %</v>
      </c>
      <c r="AH13" s="47"/>
      <c r="AI13" s="232"/>
      <c r="AJ13" s="159">
        <f t="shared" si="1"/>
        <v>60333.905401999997</v>
      </c>
      <c r="AK13" s="159"/>
    </row>
    <row r="14" spans="1:47" ht="15.6" x14ac:dyDescent="0.3">
      <c r="A14" s="299" t="s">
        <v>8</v>
      </c>
      <c r="B14" s="218" t="str">
        <f t="shared" si="0"/>
        <v>Account ServicesTotal</v>
      </c>
      <c r="C14" s="219" t="s">
        <v>50</v>
      </c>
      <c r="D14" s="10"/>
      <c r="E14" s="10"/>
      <c r="F14" s="10"/>
      <c r="G14" s="10"/>
      <c r="H14" s="185" t="s">
        <v>34</v>
      </c>
      <c r="I14" s="160">
        <f>I12+I13</f>
        <v>114124.986276</v>
      </c>
      <c r="J14" s="42"/>
      <c r="K14" s="39"/>
      <c r="L14" s="50"/>
      <c r="M14" s="51"/>
      <c r="N14" s="420">
        <f>I14</f>
        <v>114124.986276</v>
      </c>
      <c r="O14" s="233">
        <f>N14/N45</f>
        <v>0.3959123007870492</v>
      </c>
      <c r="P14" s="384"/>
      <c r="Q14" s="37"/>
      <c r="R14" s="185" t="s">
        <v>34</v>
      </c>
      <c r="S14" s="160">
        <f>S12+S13</f>
        <v>7405.6991259999995</v>
      </c>
      <c r="T14" s="42"/>
      <c r="U14" s="39"/>
      <c r="V14" s="50"/>
      <c r="W14" s="51"/>
      <c r="X14" s="420">
        <f>S14</f>
        <v>7405.6991259999995</v>
      </c>
      <c r="Y14" s="233">
        <f>X14/X45</f>
        <v>0.3043339875206249</v>
      </c>
      <c r="Z14" s="384"/>
      <c r="AA14" s="37"/>
      <c r="AB14" s="185" t="s">
        <v>34</v>
      </c>
      <c r="AC14" s="160">
        <f>AC12+AC13</f>
        <v>0</v>
      </c>
      <c r="AD14" s="42"/>
      <c r="AE14" s="39"/>
      <c r="AF14" s="50"/>
      <c r="AG14" s="51"/>
      <c r="AH14" s="420">
        <f>AC14</f>
        <v>0</v>
      </c>
      <c r="AI14" s="233" t="e">
        <f>AH14/AH45</f>
        <v>#DIV/0!</v>
      </c>
      <c r="AJ14" s="160">
        <f t="shared" si="1"/>
        <v>121530.685402</v>
      </c>
      <c r="AK14" s="160"/>
    </row>
    <row r="15" spans="1:47" ht="15.6" x14ac:dyDescent="0.3">
      <c r="A15" s="299" t="s">
        <v>8</v>
      </c>
      <c r="B15" s="218" t="str">
        <f t="shared" si="0"/>
        <v>Account Services</v>
      </c>
      <c r="C15" s="217" t="s">
        <v>48</v>
      </c>
      <c r="D15" s="10"/>
      <c r="E15" s="10"/>
      <c r="F15" s="10"/>
      <c r="G15" s="10"/>
      <c r="H15" s="179"/>
      <c r="I15" s="161"/>
      <c r="J15" s="55"/>
      <c r="K15" s="55"/>
      <c r="L15" s="55"/>
      <c r="M15" s="56"/>
      <c r="N15" s="58"/>
      <c r="O15" s="231"/>
      <c r="P15" s="385"/>
      <c r="Q15" s="60"/>
      <c r="R15" s="179"/>
      <c r="S15" s="161"/>
      <c r="T15" s="55"/>
      <c r="U15" s="55"/>
      <c r="V15" s="55"/>
      <c r="W15" s="56"/>
      <c r="X15" s="58"/>
      <c r="Y15" s="231"/>
      <c r="Z15" s="385"/>
      <c r="AA15" s="60"/>
      <c r="AB15" s="179"/>
      <c r="AC15" s="161"/>
      <c r="AD15" s="55"/>
      <c r="AE15" s="55"/>
      <c r="AF15" s="55"/>
      <c r="AG15" s="56"/>
      <c r="AH15" s="58"/>
      <c r="AI15" s="231"/>
      <c r="AJ15" s="161"/>
      <c r="AK15" s="161"/>
    </row>
    <row r="16" spans="1:47" ht="15.6" x14ac:dyDescent="0.3">
      <c r="A16" s="299" t="s">
        <v>8</v>
      </c>
      <c r="B16" s="218" t="str">
        <f t="shared" si="0"/>
        <v>Account ServicesLABOR: SUPERVISORY</v>
      </c>
      <c r="C16" s="220" t="s">
        <v>50</v>
      </c>
      <c r="D16" s="10"/>
      <c r="E16" s="10"/>
      <c r="F16" s="10"/>
      <c r="G16" s="10"/>
      <c r="H16" s="186" t="s">
        <v>35</v>
      </c>
      <c r="I16" s="162"/>
      <c r="J16" s="62"/>
      <c r="K16" s="62"/>
      <c r="L16" s="62"/>
      <c r="M16" s="63"/>
      <c r="N16" s="26"/>
      <c r="O16" s="234"/>
      <c r="P16" s="386"/>
      <c r="Q16" s="37"/>
      <c r="R16" s="186" t="s">
        <v>35</v>
      </c>
      <c r="S16" s="162"/>
      <c r="T16" s="62"/>
      <c r="U16" s="62"/>
      <c r="V16" s="62"/>
      <c r="W16" s="63"/>
      <c r="X16" s="26"/>
      <c r="Y16" s="234"/>
      <c r="Z16" s="386"/>
      <c r="AA16" s="37"/>
      <c r="AB16" s="186" t="s">
        <v>35</v>
      </c>
      <c r="AC16" s="162"/>
      <c r="AD16" s="62"/>
      <c r="AE16" s="62"/>
      <c r="AF16" s="62"/>
      <c r="AG16" s="63"/>
      <c r="AH16" s="26"/>
      <c r="AI16" s="234"/>
      <c r="AJ16" s="162"/>
      <c r="AK16" s="162"/>
    </row>
    <row r="17" spans="1:37" ht="15.6" x14ac:dyDescent="0.3">
      <c r="A17" s="299" t="s">
        <v>8</v>
      </c>
      <c r="B17" s="218"/>
      <c r="C17" s="220"/>
      <c r="D17" s="10"/>
      <c r="E17" s="10"/>
      <c r="F17" s="10"/>
      <c r="G17" s="10"/>
      <c r="H17" s="184" t="s">
        <v>375</v>
      </c>
      <c r="I17" s="162"/>
      <c r="J17" s="62"/>
      <c r="K17" s="62">
        <v>50.91</v>
      </c>
      <c r="L17" s="62"/>
      <c r="M17" s="40" t="str">
        <f t="shared" ref="M17" si="8">J17&amp;" hrs @ "&amp;K17</f>
        <v xml:space="preserve"> hrs @ 50.91</v>
      </c>
      <c r="N17" s="26"/>
      <c r="O17" s="234"/>
      <c r="P17" s="386"/>
      <c r="Q17" s="37"/>
      <c r="R17" s="184" t="s">
        <v>375</v>
      </c>
      <c r="S17" s="162">
        <f t="shared" ref="S17" si="9">T17*U17</f>
        <v>0</v>
      </c>
      <c r="T17" s="62"/>
      <c r="U17" s="62">
        <v>50.91</v>
      </c>
      <c r="V17" s="62"/>
      <c r="W17" s="40" t="str">
        <f t="shared" ref="W17" si="10">T17&amp;" hrs @ "&amp;U17</f>
        <v xml:space="preserve"> hrs @ 50.91</v>
      </c>
      <c r="X17" s="26"/>
      <c r="Y17" s="234"/>
      <c r="Z17" s="386"/>
      <c r="AA17" s="37"/>
      <c r="AB17" s="184" t="s">
        <v>375</v>
      </c>
      <c r="AC17" s="162">
        <f t="shared" ref="AC17" si="11">AD17*AE17</f>
        <v>0</v>
      </c>
      <c r="AD17" s="62"/>
      <c r="AE17" s="62">
        <v>50.91</v>
      </c>
      <c r="AF17" s="62"/>
      <c r="AG17" s="40" t="str">
        <f t="shared" ref="AG17" si="12">AD17&amp;" hrs @ "&amp;AE17</f>
        <v xml:space="preserve"> hrs @ 50.91</v>
      </c>
      <c r="AH17" s="26"/>
      <c r="AI17" s="234"/>
      <c r="AJ17" s="162">
        <f>I17+S17+AC17</f>
        <v>0</v>
      </c>
      <c r="AK17" s="162"/>
    </row>
    <row r="18" spans="1:37" ht="15.6" x14ac:dyDescent="0.3">
      <c r="A18" s="299" t="s">
        <v>8</v>
      </c>
      <c r="B18" s="218" t="str">
        <f t="shared" si="0"/>
        <v>Account ServicesSupervisor</v>
      </c>
      <c r="C18" s="217" t="s">
        <v>48</v>
      </c>
      <c r="D18" s="10"/>
      <c r="E18" s="10"/>
      <c r="F18" s="10"/>
      <c r="G18" s="10"/>
      <c r="H18" s="184" t="s">
        <v>376</v>
      </c>
      <c r="I18" s="158">
        <f t="shared" ref="I18" si="13">J18*K18</f>
        <v>21910.5</v>
      </c>
      <c r="J18" s="42">
        <v>541</v>
      </c>
      <c r="K18" s="259">
        <v>40.5</v>
      </c>
      <c r="L18" s="43"/>
      <c r="M18" s="40" t="str">
        <f t="shared" ref="M18" si="14">J18&amp;" hrs @ "&amp;K18</f>
        <v>541 hrs @ 40.5</v>
      </c>
      <c r="N18" s="26"/>
      <c r="O18" s="235"/>
      <c r="P18" s="386"/>
      <c r="Q18" s="41"/>
      <c r="R18" s="184" t="s">
        <v>376</v>
      </c>
      <c r="S18" s="158">
        <f t="shared" ref="S18" si="15">T18*U18</f>
        <v>5062.5</v>
      </c>
      <c r="T18" s="42">
        <v>125</v>
      </c>
      <c r="U18" s="259">
        <v>40.5</v>
      </c>
      <c r="V18" s="43"/>
      <c r="W18" s="40" t="str">
        <f t="shared" ref="W18" si="16">T18&amp;" hrs @ "&amp;U18</f>
        <v>125 hrs @ 40.5</v>
      </c>
      <c r="X18" s="26"/>
      <c r="Y18" s="235"/>
      <c r="Z18" s="386"/>
      <c r="AA18" s="41"/>
      <c r="AB18" s="184" t="s">
        <v>376</v>
      </c>
      <c r="AC18" s="158">
        <f t="shared" ref="AC18" si="17">AD18*AE18</f>
        <v>0</v>
      </c>
      <c r="AD18" s="42">
        <f>+ROUND('FTE Alloc OR &amp; WA'!O31*2080,0)</f>
        <v>0</v>
      </c>
      <c r="AE18" s="259">
        <v>40.5</v>
      </c>
      <c r="AF18" s="43"/>
      <c r="AG18" s="40" t="str">
        <f t="shared" ref="AG18" si="18">AD18&amp;" hrs @ "&amp;AE18</f>
        <v>0 hrs @ 40.5</v>
      </c>
      <c r="AH18" s="26"/>
      <c r="AI18" s="235"/>
      <c r="AJ18" s="158">
        <f>I18+S18+AC18</f>
        <v>26973</v>
      </c>
      <c r="AK18" s="158"/>
    </row>
    <row r="19" spans="1:37" ht="15.6" x14ac:dyDescent="0.3">
      <c r="A19" s="299" t="s">
        <v>8</v>
      </c>
      <c r="B19" s="218"/>
      <c r="C19" s="217"/>
      <c r="D19" s="10"/>
      <c r="E19" s="10"/>
      <c r="F19" s="10"/>
      <c r="G19" s="10"/>
      <c r="H19" s="255" t="s">
        <v>32</v>
      </c>
      <c r="I19" s="393">
        <f>SUM(I16:I18)</f>
        <v>21910.5</v>
      </c>
      <c r="J19" s="394"/>
      <c r="K19" s="395"/>
      <c r="L19" s="395"/>
      <c r="M19" s="396"/>
      <c r="N19" s="26"/>
      <c r="O19" s="234"/>
      <c r="P19" s="386"/>
      <c r="Q19" s="41"/>
      <c r="R19" s="255" t="s">
        <v>32</v>
      </c>
      <c r="S19" s="393">
        <f>SUM(S16:S18)</f>
        <v>5062.5</v>
      </c>
      <c r="T19" s="394"/>
      <c r="U19" s="395"/>
      <c r="V19" s="395"/>
      <c r="W19" s="396"/>
      <c r="X19" s="26"/>
      <c r="Y19" s="234"/>
      <c r="Z19" s="386"/>
      <c r="AA19" s="41"/>
      <c r="AB19" s="255" t="s">
        <v>32</v>
      </c>
      <c r="AC19" s="393">
        <f>SUM(AC16:AC18)</f>
        <v>0</v>
      </c>
      <c r="AD19" s="394"/>
      <c r="AE19" s="395"/>
      <c r="AF19" s="395"/>
      <c r="AG19" s="396"/>
      <c r="AH19" s="26"/>
      <c r="AI19" s="234"/>
      <c r="AJ19" s="393">
        <f>I19+S19+AC19</f>
        <v>26973</v>
      </c>
      <c r="AK19" s="393"/>
    </row>
    <row r="20" spans="1:37" ht="15.6" x14ac:dyDescent="0.3">
      <c r="A20" s="299" t="s">
        <v>8</v>
      </c>
      <c r="B20" s="218" t="str">
        <f t="shared" si="0"/>
        <v>Account ServicesBenefits</v>
      </c>
      <c r="C20" s="217" t="s">
        <v>48</v>
      </c>
      <c r="D20" s="10"/>
      <c r="E20" s="10"/>
      <c r="F20" s="10"/>
      <c r="G20" s="10"/>
      <c r="H20" s="184" t="s">
        <v>33</v>
      </c>
      <c r="I20" s="159">
        <f>I19*$O$2</f>
        <v>21601.561949999999</v>
      </c>
      <c r="J20" s="42"/>
      <c r="K20" s="39"/>
      <c r="L20" s="156"/>
      <c r="M20" s="45" t="str">
        <f>"@ "&amp;$O$2*100&amp;" %"</f>
        <v>@ 98.59 %</v>
      </c>
      <c r="N20" s="26"/>
      <c r="O20" s="236"/>
      <c r="P20" s="386"/>
      <c r="Q20" s="41"/>
      <c r="R20" s="184" t="s">
        <v>33</v>
      </c>
      <c r="S20" s="159">
        <f>S19*$O$2</f>
        <v>4991.1187499999996</v>
      </c>
      <c r="T20" s="42"/>
      <c r="U20" s="39"/>
      <c r="V20" s="156"/>
      <c r="W20" s="45" t="str">
        <f>"@ "&amp;$O$2*100&amp;" %"</f>
        <v>@ 98.59 %</v>
      </c>
      <c r="X20" s="26"/>
      <c r="Y20" s="236"/>
      <c r="Z20" s="386"/>
      <c r="AA20" s="41"/>
      <c r="AB20" s="184" t="s">
        <v>33</v>
      </c>
      <c r="AC20" s="159">
        <f>AC19*$O$2</f>
        <v>0</v>
      </c>
      <c r="AD20" s="42"/>
      <c r="AE20" s="39"/>
      <c r="AF20" s="156"/>
      <c r="AG20" s="45" t="str">
        <f>"@ "&amp;$O$2*100&amp;" %"</f>
        <v>@ 98.59 %</v>
      </c>
      <c r="AH20" s="26"/>
      <c r="AI20" s="236"/>
      <c r="AJ20" s="159">
        <f>I20+S20+AC20</f>
        <v>26592.680699999997</v>
      </c>
      <c r="AK20" s="159"/>
    </row>
    <row r="21" spans="1:37" ht="15.6" x14ac:dyDescent="0.3">
      <c r="A21" s="299" t="s">
        <v>8</v>
      </c>
      <c r="B21" s="218" t="str">
        <f t="shared" si="0"/>
        <v>Account ServicesTotal</v>
      </c>
      <c r="C21" s="220" t="s">
        <v>50</v>
      </c>
      <c r="D21" s="10"/>
      <c r="E21" s="10"/>
      <c r="F21" s="10"/>
      <c r="G21" s="10"/>
      <c r="H21" s="185" t="s">
        <v>34</v>
      </c>
      <c r="I21" s="165">
        <f>I20+I18</f>
        <v>43512.061950000003</v>
      </c>
      <c r="J21" s="68"/>
      <c r="K21" s="68"/>
      <c r="L21" s="68"/>
      <c r="M21" s="63"/>
      <c r="N21" s="420">
        <f>I21</f>
        <v>43512.061950000003</v>
      </c>
      <c r="O21" s="233">
        <f>N21/N45</f>
        <v>0.15094819391216766</v>
      </c>
      <c r="P21" s="386"/>
      <c r="Q21" s="41"/>
      <c r="R21" s="185" t="s">
        <v>34</v>
      </c>
      <c r="S21" s="165">
        <f>S20+S18</f>
        <v>10053.61875</v>
      </c>
      <c r="T21" s="68"/>
      <c r="U21" s="68"/>
      <c r="V21" s="68"/>
      <c r="W21" s="63"/>
      <c r="X21" s="420">
        <f>S21</f>
        <v>10053.61875</v>
      </c>
      <c r="Y21" s="233">
        <f>X21/X45</f>
        <v>0.41314909384554177</v>
      </c>
      <c r="Z21" s="386"/>
      <c r="AA21" s="41"/>
      <c r="AB21" s="185" t="s">
        <v>34</v>
      </c>
      <c r="AC21" s="165">
        <f>AC20+AC18</f>
        <v>0</v>
      </c>
      <c r="AD21" s="68"/>
      <c r="AE21" s="68"/>
      <c r="AF21" s="68"/>
      <c r="AG21" s="63"/>
      <c r="AH21" s="420">
        <f>AC21</f>
        <v>0</v>
      </c>
      <c r="AI21" s="233" t="e">
        <f>AH21/AH45</f>
        <v>#DIV/0!</v>
      </c>
      <c r="AJ21" s="165">
        <f>I21+S21+AC21</f>
        <v>53565.680700000004</v>
      </c>
      <c r="AK21" s="165"/>
    </row>
    <row r="22" spans="1:37" ht="15.6" x14ac:dyDescent="0.3">
      <c r="A22" s="299" t="s">
        <v>8</v>
      </c>
      <c r="B22" s="218" t="str">
        <f t="shared" si="0"/>
        <v>Account Services</v>
      </c>
      <c r="C22" s="217" t="s">
        <v>48</v>
      </c>
      <c r="D22" s="10"/>
      <c r="E22" s="10"/>
      <c r="F22" s="10"/>
      <c r="G22" s="10"/>
      <c r="H22" s="179"/>
      <c r="I22" s="166"/>
      <c r="J22" s="69"/>
      <c r="K22" s="69"/>
      <c r="L22" s="69"/>
      <c r="M22" s="70"/>
      <c r="N22" s="72"/>
      <c r="O22" s="235"/>
      <c r="P22" s="387"/>
      <c r="Q22" s="60"/>
      <c r="R22" s="179"/>
      <c r="S22" s="166"/>
      <c r="T22" s="69"/>
      <c r="U22" s="69"/>
      <c r="V22" s="69"/>
      <c r="W22" s="70"/>
      <c r="X22" s="72"/>
      <c r="Y22" s="235"/>
      <c r="Z22" s="387"/>
      <c r="AA22" s="60"/>
      <c r="AB22" s="179"/>
      <c r="AC22" s="166"/>
      <c r="AD22" s="69"/>
      <c r="AE22" s="69"/>
      <c r="AF22" s="69"/>
      <c r="AG22" s="70"/>
      <c r="AH22" s="72"/>
      <c r="AI22" s="235"/>
      <c r="AJ22" s="166"/>
      <c r="AK22" s="166"/>
    </row>
    <row r="23" spans="1:37" ht="15.6" x14ac:dyDescent="0.3">
      <c r="A23" s="299" t="s">
        <v>8</v>
      </c>
      <c r="B23" s="218" t="str">
        <f t="shared" si="0"/>
        <v>Account ServicesEQUIPMENT</v>
      </c>
      <c r="C23" s="220" t="s">
        <v>50</v>
      </c>
      <c r="D23" s="10"/>
      <c r="E23" s="10"/>
      <c r="F23" s="10"/>
      <c r="G23" s="10"/>
      <c r="H23" s="186" t="s">
        <v>36</v>
      </c>
      <c r="I23" s="167"/>
      <c r="J23" s="74"/>
      <c r="K23" s="74"/>
      <c r="L23" s="74"/>
      <c r="M23" s="66"/>
      <c r="N23" s="76"/>
      <c r="O23" s="237"/>
      <c r="P23" s="386"/>
      <c r="Q23" s="37"/>
      <c r="R23" s="186" t="s">
        <v>36</v>
      </c>
      <c r="S23" s="167"/>
      <c r="T23" s="74"/>
      <c r="U23" s="74"/>
      <c r="V23" s="74"/>
      <c r="W23" s="66"/>
      <c r="X23" s="76"/>
      <c r="Y23" s="237"/>
      <c r="Z23" s="386"/>
      <c r="AA23" s="37"/>
      <c r="AB23" s="186" t="s">
        <v>36</v>
      </c>
      <c r="AC23" s="167"/>
      <c r="AD23" s="74"/>
      <c r="AE23" s="74"/>
      <c r="AF23" s="74"/>
      <c r="AG23" s="66"/>
      <c r="AH23" s="76"/>
      <c r="AI23" s="237"/>
      <c r="AJ23" s="167"/>
      <c r="AK23" s="167"/>
    </row>
    <row r="24" spans="1:37" ht="15.6" x14ac:dyDescent="0.3">
      <c r="A24" s="299" t="s">
        <v>8</v>
      </c>
      <c r="B24" s="218" t="str">
        <f t="shared" si="0"/>
        <v>Account Services</v>
      </c>
      <c r="C24" s="217" t="s">
        <v>48</v>
      </c>
      <c r="D24" s="10"/>
      <c r="E24" s="10"/>
      <c r="F24" s="10"/>
      <c r="G24" s="10"/>
      <c r="H24" s="187"/>
      <c r="I24" s="158">
        <f t="shared" ref="I24:I27" si="19">J24*K24</f>
        <v>0</v>
      </c>
      <c r="J24" s="42"/>
      <c r="K24" s="39"/>
      <c r="L24" s="39"/>
      <c r="M24" s="40" t="str">
        <f>J24&amp;" hrs @ "&amp;K24</f>
        <v xml:space="preserve"> hrs @ </v>
      </c>
      <c r="N24" s="76"/>
      <c r="O24" s="237"/>
      <c r="P24" s="386"/>
      <c r="Q24" s="37"/>
      <c r="R24" s="187"/>
      <c r="S24" s="158">
        <f t="shared" ref="S24:S27" si="20">T24*U24</f>
        <v>0</v>
      </c>
      <c r="T24" s="42"/>
      <c r="U24" s="39"/>
      <c r="V24" s="39"/>
      <c r="W24" s="40" t="str">
        <f>T24&amp;" hrs @ "&amp;U24</f>
        <v xml:space="preserve"> hrs @ </v>
      </c>
      <c r="X24" s="76"/>
      <c r="Y24" s="237"/>
      <c r="Z24" s="386"/>
      <c r="AA24" s="37"/>
      <c r="AB24" s="187"/>
      <c r="AC24" s="158">
        <f t="shared" ref="AC24:AC27" si="21">AD24*AE24</f>
        <v>0</v>
      </c>
      <c r="AD24" s="42"/>
      <c r="AE24" s="39"/>
      <c r="AF24" s="39"/>
      <c r="AG24" s="40" t="str">
        <f>AD24&amp;" hrs @ "&amp;AE24</f>
        <v xml:space="preserve"> hrs @ </v>
      </c>
      <c r="AH24" s="76"/>
      <c r="AI24" s="237"/>
      <c r="AJ24" s="158"/>
      <c r="AK24" s="158"/>
    </row>
    <row r="25" spans="1:37" ht="15.6" x14ac:dyDescent="0.3">
      <c r="A25" s="299" t="s">
        <v>8</v>
      </c>
      <c r="B25" s="218" t="str">
        <f t="shared" si="0"/>
        <v>Account Services</v>
      </c>
      <c r="C25" s="217" t="s">
        <v>48</v>
      </c>
      <c r="D25" s="10"/>
      <c r="E25" s="10"/>
      <c r="F25" s="10"/>
      <c r="G25" s="10"/>
      <c r="H25" s="187"/>
      <c r="I25" s="158">
        <f t="shared" si="19"/>
        <v>0</v>
      </c>
      <c r="J25" s="42"/>
      <c r="K25" s="39"/>
      <c r="L25" s="42"/>
      <c r="M25" s="40" t="str">
        <f t="shared" ref="M25:M27" si="22">J25&amp;" hrs @ "&amp;K25</f>
        <v xml:space="preserve"> hrs @ </v>
      </c>
      <c r="N25" s="79"/>
      <c r="O25" s="238"/>
      <c r="P25" s="388"/>
      <c r="Q25" s="81"/>
      <c r="R25" s="187"/>
      <c r="S25" s="158">
        <f t="shared" si="20"/>
        <v>0</v>
      </c>
      <c r="T25" s="42"/>
      <c r="U25" s="39"/>
      <c r="V25" s="42"/>
      <c r="W25" s="40" t="str">
        <f t="shared" ref="W25:W27" si="23">T25&amp;" hrs @ "&amp;U25</f>
        <v xml:space="preserve"> hrs @ </v>
      </c>
      <c r="X25" s="79"/>
      <c r="Y25" s="238"/>
      <c r="Z25" s="388"/>
      <c r="AA25" s="81"/>
      <c r="AB25" s="187"/>
      <c r="AC25" s="158">
        <f t="shared" si="21"/>
        <v>0</v>
      </c>
      <c r="AD25" s="42"/>
      <c r="AE25" s="39"/>
      <c r="AF25" s="42"/>
      <c r="AG25" s="40" t="str">
        <f t="shared" ref="AG25:AG27" si="24">AD25&amp;" hrs @ "&amp;AE25</f>
        <v xml:space="preserve"> hrs @ </v>
      </c>
      <c r="AH25" s="79"/>
      <c r="AI25" s="238"/>
      <c r="AJ25" s="158"/>
      <c r="AK25" s="158"/>
    </row>
    <row r="26" spans="1:37" ht="15.6" x14ac:dyDescent="0.3">
      <c r="A26" s="299" t="s">
        <v>8</v>
      </c>
      <c r="B26" s="218" t="str">
        <f t="shared" si="0"/>
        <v>Account Services</v>
      </c>
      <c r="C26" s="217" t="s">
        <v>48</v>
      </c>
      <c r="D26" s="10"/>
      <c r="E26" s="10"/>
      <c r="F26" s="10"/>
      <c r="G26" s="10"/>
      <c r="H26" s="187"/>
      <c r="I26" s="158">
        <f t="shared" si="19"/>
        <v>0</v>
      </c>
      <c r="J26" s="42"/>
      <c r="K26" s="39"/>
      <c r="L26" s="42"/>
      <c r="M26" s="40" t="str">
        <f t="shared" si="22"/>
        <v xml:space="preserve"> hrs @ </v>
      </c>
      <c r="N26" s="79"/>
      <c r="O26" s="238"/>
      <c r="P26" s="388"/>
      <c r="Q26" s="81"/>
      <c r="R26" s="187"/>
      <c r="S26" s="158">
        <f t="shared" si="20"/>
        <v>0</v>
      </c>
      <c r="T26" s="42"/>
      <c r="U26" s="39"/>
      <c r="V26" s="42"/>
      <c r="W26" s="40" t="str">
        <f t="shared" si="23"/>
        <v xml:space="preserve"> hrs @ </v>
      </c>
      <c r="X26" s="79"/>
      <c r="Y26" s="238"/>
      <c r="Z26" s="388"/>
      <c r="AA26" s="81"/>
      <c r="AB26" s="187"/>
      <c r="AC26" s="158">
        <f t="shared" si="21"/>
        <v>0</v>
      </c>
      <c r="AD26" s="42"/>
      <c r="AE26" s="39"/>
      <c r="AF26" s="42"/>
      <c r="AG26" s="40" t="str">
        <f t="shared" si="24"/>
        <v xml:space="preserve"> hrs @ </v>
      </c>
      <c r="AH26" s="79"/>
      <c r="AI26" s="238"/>
      <c r="AJ26" s="158"/>
      <c r="AK26" s="158"/>
    </row>
    <row r="27" spans="1:37" ht="15.6" x14ac:dyDescent="0.3">
      <c r="A27" s="299" t="s">
        <v>8</v>
      </c>
      <c r="B27" s="218" t="str">
        <f t="shared" si="0"/>
        <v>Account Services</v>
      </c>
      <c r="C27" s="217" t="s">
        <v>48</v>
      </c>
      <c r="D27" s="10"/>
      <c r="E27" s="10"/>
      <c r="F27" s="10"/>
      <c r="G27" s="10"/>
      <c r="H27" s="187"/>
      <c r="I27" s="158">
        <f t="shared" si="19"/>
        <v>0</v>
      </c>
      <c r="J27" s="42"/>
      <c r="K27" s="39"/>
      <c r="L27" s="43"/>
      <c r="M27" s="40" t="str">
        <f t="shared" si="22"/>
        <v xml:space="preserve"> hrs @ </v>
      </c>
      <c r="N27" s="79"/>
      <c r="O27" s="239"/>
      <c r="P27" s="388"/>
      <c r="Q27" s="81"/>
      <c r="R27" s="187"/>
      <c r="S27" s="158">
        <f t="shared" si="20"/>
        <v>0</v>
      </c>
      <c r="T27" s="42"/>
      <c r="U27" s="39"/>
      <c r="V27" s="43"/>
      <c r="W27" s="40" t="str">
        <f t="shared" si="23"/>
        <v xml:space="preserve"> hrs @ </v>
      </c>
      <c r="X27" s="79"/>
      <c r="Y27" s="239"/>
      <c r="Z27" s="388"/>
      <c r="AA27" s="81"/>
      <c r="AB27" s="187"/>
      <c r="AC27" s="158">
        <f t="shared" si="21"/>
        <v>0</v>
      </c>
      <c r="AD27" s="42"/>
      <c r="AE27" s="39"/>
      <c r="AF27" s="43"/>
      <c r="AG27" s="40" t="str">
        <f t="shared" si="24"/>
        <v xml:space="preserve"> hrs @ </v>
      </c>
      <c r="AH27" s="79"/>
      <c r="AI27" s="239"/>
      <c r="AJ27" s="158"/>
      <c r="AK27" s="158"/>
    </row>
    <row r="28" spans="1:37" ht="15.6" x14ac:dyDescent="0.3">
      <c r="A28" s="299" t="s">
        <v>8</v>
      </c>
      <c r="B28" s="218" t="str">
        <f t="shared" si="0"/>
        <v>Account ServicesTotal Equipment</v>
      </c>
      <c r="C28" s="220" t="s">
        <v>50</v>
      </c>
      <c r="D28" s="10"/>
      <c r="E28" s="116">
        <f>I28</f>
        <v>0</v>
      </c>
      <c r="F28" s="116">
        <f>S28</f>
        <v>0</v>
      </c>
      <c r="G28" s="116">
        <f>AC28</f>
        <v>0</v>
      </c>
      <c r="H28" s="188" t="s">
        <v>37</v>
      </c>
      <c r="I28" s="165">
        <f>SUM(I24:I27)</f>
        <v>0</v>
      </c>
      <c r="J28" s="68"/>
      <c r="K28" s="68"/>
      <c r="L28" s="68"/>
      <c r="M28" s="66"/>
      <c r="N28" s="420">
        <f>I28</f>
        <v>0</v>
      </c>
      <c r="O28" s="240">
        <f>N28/N45</f>
        <v>0</v>
      </c>
      <c r="P28" s="388"/>
      <c r="Q28" s="81"/>
      <c r="R28" s="188" t="s">
        <v>37</v>
      </c>
      <c r="S28" s="165">
        <f>SUM(S24:S27)</f>
        <v>0</v>
      </c>
      <c r="T28" s="68"/>
      <c r="U28" s="68"/>
      <c r="V28" s="68"/>
      <c r="W28" s="66"/>
      <c r="X28" s="420">
        <f>S28</f>
        <v>0</v>
      </c>
      <c r="Y28" s="240">
        <f>X28/X45</f>
        <v>0</v>
      </c>
      <c r="Z28" s="388"/>
      <c r="AA28" s="81"/>
      <c r="AB28" s="188" t="s">
        <v>37</v>
      </c>
      <c r="AC28" s="165">
        <f>SUM(AC24:AC27)</f>
        <v>0</v>
      </c>
      <c r="AD28" s="68"/>
      <c r="AE28" s="68"/>
      <c r="AF28" s="68"/>
      <c r="AG28" s="66"/>
      <c r="AH28" s="420">
        <f>AC28</f>
        <v>0</v>
      </c>
      <c r="AI28" s="240" t="e">
        <f>AH28/AH45</f>
        <v>#DIV/0!</v>
      </c>
      <c r="AJ28" s="165">
        <f>I28+S28+AC28</f>
        <v>0</v>
      </c>
      <c r="AK28" s="165"/>
    </row>
    <row r="29" spans="1:37" ht="15.6" x14ac:dyDescent="0.3">
      <c r="A29" s="299" t="s">
        <v>8</v>
      </c>
      <c r="B29" s="218" t="str">
        <f t="shared" si="0"/>
        <v>Account Services</v>
      </c>
      <c r="C29" s="217" t="s">
        <v>48</v>
      </c>
      <c r="D29" s="10"/>
      <c r="E29" s="10"/>
      <c r="F29" s="10"/>
      <c r="G29" s="10"/>
      <c r="H29" s="189"/>
      <c r="I29" s="169"/>
      <c r="J29" s="85"/>
      <c r="K29" s="85"/>
      <c r="L29" s="85"/>
      <c r="M29" s="86"/>
      <c r="N29" s="88"/>
      <c r="O29" s="241"/>
      <c r="P29" s="389"/>
      <c r="Q29" s="60"/>
      <c r="R29" s="189"/>
      <c r="S29" s="169"/>
      <c r="T29" s="85"/>
      <c r="U29" s="85"/>
      <c r="V29" s="85"/>
      <c r="W29" s="86"/>
      <c r="X29" s="88"/>
      <c r="Y29" s="241"/>
      <c r="Z29" s="389"/>
      <c r="AA29" s="60"/>
      <c r="AB29" s="189"/>
      <c r="AC29" s="169"/>
      <c r="AD29" s="85"/>
      <c r="AE29" s="85"/>
      <c r="AF29" s="85"/>
      <c r="AG29" s="86"/>
      <c r="AH29" s="88"/>
      <c r="AI29" s="241"/>
      <c r="AJ29" s="169"/>
      <c r="AK29" s="169"/>
    </row>
    <row r="30" spans="1:37" ht="15.6" x14ac:dyDescent="0.3">
      <c r="A30" s="299" t="s">
        <v>8</v>
      </c>
      <c r="B30" s="218" t="str">
        <f t="shared" si="0"/>
        <v>Account ServicesIS SUPPORT</v>
      </c>
      <c r="C30" s="220" t="s">
        <v>50</v>
      </c>
      <c r="D30" s="10"/>
      <c r="E30" s="10"/>
      <c r="F30" s="10"/>
      <c r="G30" s="10"/>
      <c r="H30" s="186" t="s">
        <v>38</v>
      </c>
      <c r="I30" s="167"/>
      <c r="J30" s="74"/>
      <c r="K30" s="74"/>
      <c r="L30" s="74"/>
      <c r="M30" s="66"/>
      <c r="N30" s="91"/>
      <c r="O30" s="227"/>
      <c r="P30" s="390"/>
      <c r="Q30" s="37"/>
      <c r="R30" s="186" t="s">
        <v>38</v>
      </c>
      <c r="S30" s="167"/>
      <c r="T30" s="74"/>
      <c r="U30" s="74"/>
      <c r="V30" s="74"/>
      <c r="W30" s="66"/>
      <c r="X30" s="91"/>
      <c r="Y30" s="227"/>
      <c r="Z30" s="390"/>
      <c r="AA30" s="37"/>
      <c r="AB30" s="186" t="s">
        <v>38</v>
      </c>
      <c r="AC30" s="167"/>
      <c r="AD30" s="74"/>
      <c r="AE30" s="74"/>
      <c r="AF30" s="74"/>
      <c r="AG30" s="66"/>
      <c r="AH30" s="91"/>
      <c r="AI30" s="227"/>
      <c r="AJ30" s="167"/>
      <c r="AK30" s="167"/>
    </row>
    <row r="31" spans="1:37" ht="15.6" x14ac:dyDescent="0.3">
      <c r="A31" s="299" t="s">
        <v>8</v>
      </c>
      <c r="B31" s="218" t="str">
        <f t="shared" si="0"/>
        <v>Account ServicesAnalyst Labor</v>
      </c>
      <c r="C31" s="217" t="s">
        <v>48</v>
      </c>
      <c r="D31" s="10"/>
      <c r="E31" s="10"/>
      <c r="F31" s="10"/>
      <c r="G31" s="10"/>
      <c r="H31" s="184" t="s">
        <v>39</v>
      </c>
      <c r="I31" s="162">
        <f>J31*K31</f>
        <v>0</v>
      </c>
      <c r="J31" s="42"/>
      <c r="K31" s="39"/>
      <c r="L31" s="39"/>
      <c r="M31" s="40" t="str">
        <f>J31&amp;" hrs @ "&amp;K31</f>
        <v xml:space="preserve"> hrs @ </v>
      </c>
      <c r="N31" s="94"/>
      <c r="O31" s="242"/>
      <c r="P31" s="390"/>
      <c r="Q31" s="37"/>
      <c r="R31" s="184" t="s">
        <v>39</v>
      </c>
      <c r="S31" s="162">
        <f>T31*U31</f>
        <v>0</v>
      </c>
      <c r="T31" s="42"/>
      <c r="U31" s="39"/>
      <c r="V31" s="39"/>
      <c r="W31" s="40" t="str">
        <f>T31&amp;" hrs @ "&amp;U31</f>
        <v xml:space="preserve"> hrs @ </v>
      </c>
      <c r="X31" s="94"/>
      <c r="Y31" s="242"/>
      <c r="Z31" s="390"/>
      <c r="AA31" s="37"/>
      <c r="AB31" s="184" t="s">
        <v>39</v>
      </c>
      <c r="AC31" s="162">
        <f>AD31*AE31</f>
        <v>0</v>
      </c>
      <c r="AD31" s="42"/>
      <c r="AE31" s="39"/>
      <c r="AF31" s="39"/>
      <c r="AG31" s="40" t="str">
        <f>AD31&amp;" hrs @ "&amp;AE31</f>
        <v xml:space="preserve"> hrs @ </v>
      </c>
      <c r="AH31" s="94"/>
      <c r="AI31" s="242"/>
      <c r="AJ31" s="162"/>
      <c r="AK31" s="162"/>
    </row>
    <row r="32" spans="1:37" ht="15.6" x14ac:dyDescent="0.3">
      <c r="A32" s="299" t="s">
        <v>8</v>
      </c>
      <c r="B32" s="218" t="str">
        <f t="shared" si="0"/>
        <v>Account ServicesAnalyst Benefits</v>
      </c>
      <c r="C32" s="217" t="s">
        <v>48</v>
      </c>
      <c r="D32" s="10"/>
      <c r="E32" s="10"/>
      <c r="F32" s="10"/>
      <c r="G32" s="10"/>
      <c r="H32" s="184" t="s">
        <v>40</v>
      </c>
      <c r="I32" s="159">
        <f>I31*$O$2</f>
        <v>0</v>
      </c>
      <c r="J32" s="42"/>
      <c r="K32" s="39"/>
      <c r="L32" s="156"/>
      <c r="M32" s="45" t="str">
        <f>"@ "&amp;$O$2*100&amp;" %"</f>
        <v>@ 98.59 %</v>
      </c>
      <c r="N32" s="94"/>
      <c r="O32" s="228"/>
      <c r="P32" s="390"/>
      <c r="Q32" s="37"/>
      <c r="R32" s="184" t="s">
        <v>40</v>
      </c>
      <c r="S32" s="159">
        <f>S31*$O$2</f>
        <v>0</v>
      </c>
      <c r="T32" s="42"/>
      <c r="U32" s="39"/>
      <c r="V32" s="156"/>
      <c r="W32" s="45" t="str">
        <f>"@ "&amp;$O$2*100&amp;" %"</f>
        <v>@ 98.59 %</v>
      </c>
      <c r="X32" s="94"/>
      <c r="Y32" s="228"/>
      <c r="Z32" s="390"/>
      <c r="AA32" s="37"/>
      <c r="AB32" s="184" t="s">
        <v>40</v>
      </c>
      <c r="AC32" s="159">
        <f>AC31*$O$2</f>
        <v>0</v>
      </c>
      <c r="AD32" s="42"/>
      <c r="AE32" s="39"/>
      <c r="AF32" s="156"/>
      <c r="AG32" s="45" t="str">
        <f>"@ "&amp;$O$2*100&amp;" %"</f>
        <v>@ 98.59 %</v>
      </c>
      <c r="AH32" s="94"/>
      <c r="AI32" s="228"/>
      <c r="AJ32" s="159"/>
      <c r="AK32" s="159"/>
    </row>
    <row r="33" spans="1:37" ht="15.6" x14ac:dyDescent="0.3">
      <c r="A33" s="299" t="s">
        <v>8</v>
      </c>
      <c r="B33" s="218" t="str">
        <f t="shared" si="0"/>
        <v>Account ServicesTotal IS</v>
      </c>
      <c r="C33" s="220" t="s">
        <v>50</v>
      </c>
      <c r="D33" s="10"/>
      <c r="E33" s="10"/>
      <c r="F33" s="10"/>
      <c r="G33" s="10"/>
      <c r="H33" s="185" t="s">
        <v>41</v>
      </c>
      <c r="I33" s="165">
        <f>I31+I32</f>
        <v>0</v>
      </c>
      <c r="J33" s="68"/>
      <c r="K33" s="68"/>
      <c r="L33" s="68"/>
      <c r="M33" s="66"/>
      <c r="N33" s="420">
        <f>I33</f>
        <v>0</v>
      </c>
      <c r="O33" s="240">
        <f>N33/N45</f>
        <v>0</v>
      </c>
      <c r="P33" s="390"/>
      <c r="Q33" s="37"/>
      <c r="R33" s="185" t="s">
        <v>41</v>
      </c>
      <c r="S33" s="165">
        <f>S31+S32</f>
        <v>0</v>
      </c>
      <c r="T33" s="68"/>
      <c r="U33" s="68"/>
      <c r="V33" s="68"/>
      <c r="W33" s="66"/>
      <c r="X33" s="420">
        <f>S33</f>
        <v>0</v>
      </c>
      <c r="Y33" s="240">
        <f>X33/X45</f>
        <v>0</v>
      </c>
      <c r="Z33" s="390"/>
      <c r="AA33" s="37"/>
      <c r="AB33" s="185" t="s">
        <v>41</v>
      </c>
      <c r="AC33" s="165">
        <f>AC31+AC32</f>
        <v>0</v>
      </c>
      <c r="AD33" s="68"/>
      <c r="AE33" s="68"/>
      <c r="AF33" s="68"/>
      <c r="AG33" s="66"/>
      <c r="AH33" s="420">
        <f>AC33</f>
        <v>0</v>
      </c>
      <c r="AI33" s="240" t="e">
        <f>AH33/AH45</f>
        <v>#DIV/0!</v>
      </c>
      <c r="AJ33" s="165">
        <f>I33+S33+AC33</f>
        <v>0</v>
      </c>
      <c r="AK33" s="165"/>
    </row>
    <row r="34" spans="1:37" ht="15.6" x14ac:dyDescent="0.3">
      <c r="A34" s="299" t="s">
        <v>8</v>
      </c>
      <c r="B34" s="218" t="str">
        <f t="shared" si="0"/>
        <v>Account Services</v>
      </c>
      <c r="C34" s="217" t="s">
        <v>48</v>
      </c>
      <c r="D34" s="10"/>
      <c r="E34" s="10"/>
      <c r="F34" s="10"/>
      <c r="G34" s="10"/>
      <c r="H34" s="179"/>
      <c r="I34" s="170"/>
      <c r="J34" s="95"/>
      <c r="K34" s="95"/>
      <c r="L34" s="95"/>
      <c r="M34" s="96"/>
      <c r="N34" s="98"/>
      <c r="O34" s="246"/>
      <c r="P34" s="391"/>
      <c r="Q34" s="60"/>
      <c r="R34" s="179"/>
      <c r="S34" s="170"/>
      <c r="T34" s="95"/>
      <c r="U34" s="95"/>
      <c r="V34" s="95"/>
      <c r="W34" s="96"/>
      <c r="X34" s="98"/>
      <c r="Y34" s="246"/>
      <c r="Z34" s="391"/>
      <c r="AA34" s="60"/>
      <c r="AB34" s="179"/>
      <c r="AC34" s="170"/>
      <c r="AD34" s="95"/>
      <c r="AE34" s="95"/>
      <c r="AF34" s="95"/>
      <c r="AG34" s="96"/>
      <c r="AH34" s="98"/>
      <c r="AI34" s="246"/>
      <c r="AJ34" s="170"/>
      <c r="AK34" s="170"/>
    </row>
    <row r="35" spans="1:37" ht="15.6" x14ac:dyDescent="0.3">
      <c r="A35" s="299" t="s">
        <v>8</v>
      </c>
      <c r="B35" s="218" t="str">
        <f t="shared" si="0"/>
        <v>Account ServicesOTHER</v>
      </c>
      <c r="C35" s="220" t="s">
        <v>50</v>
      </c>
      <c r="D35" s="10"/>
      <c r="E35" s="10"/>
      <c r="F35" s="10"/>
      <c r="G35" s="10"/>
      <c r="H35" s="186" t="s">
        <v>42</v>
      </c>
      <c r="I35" s="167"/>
      <c r="J35" s="74"/>
      <c r="K35" s="74"/>
      <c r="L35" s="74"/>
      <c r="M35" s="66"/>
      <c r="N35" s="91"/>
      <c r="O35" s="226"/>
      <c r="P35" s="390"/>
      <c r="Q35" s="37"/>
      <c r="R35" s="186" t="s">
        <v>42</v>
      </c>
      <c r="S35" s="167"/>
      <c r="T35" s="74"/>
      <c r="U35" s="74"/>
      <c r="V35" s="74"/>
      <c r="W35" s="66"/>
      <c r="X35" s="91"/>
      <c r="Y35" s="226"/>
      <c r="Z35" s="390"/>
      <c r="AA35" s="37"/>
      <c r="AB35" s="186" t="s">
        <v>42</v>
      </c>
      <c r="AC35" s="167"/>
      <c r="AD35" s="74"/>
      <c r="AE35" s="74"/>
      <c r="AF35" s="74"/>
      <c r="AG35" s="66"/>
      <c r="AH35" s="91"/>
      <c r="AI35" s="226"/>
      <c r="AJ35" s="167"/>
      <c r="AK35" s="167"/>
    </row>
    <row r="36" spans="1:37" ht="15.6" x14ac:dyDescent="0.3">
      <c r="A36" s="299" t="s">
        <v>8</v>
      </c>
      <c r="B36" s="218" t="str">
        <f t="shared" si="0"/>
        <v>Account ServicesColl Agency Fees</v>
      </c>
      <c r="C36" s="217" t="s">
        <v>48</v>
      </c>
      <c r="D36" s="10"/>
      <c r="E36" s="10"/>
      <c r="F36" s="10"/>
      <c r="G36" s="10"/>
      <c r="H36" s="184" t="s">
        <v>239</v>
      </c>
      <c r="I36" s="158">
        <f t="shared" ref="I36:I41" si="25">J36*K36</f>
        <v>130621.2</v>
      </c>
      <c r="J36" s="293">
        <v>0.95</v>
      </c>
      <c r="K36" s="39">
        <v>137496</v>
      </c>
      <c r="L36" s="42"/>
      <c r="M36" s="66"/>
      <c r="N36" s="91"/>
      <c r="O36" s="227"/>
      <c r="P36" s="390"/>
      <c r="Q36" s="37"/>
      <c r="R36" s="184" t="s">
        <v>239</v>
      </c>
      <c r="S36" s="158">
        <f t="shared" ref="S36:S41" si="26">T36*U36</f>
        <v>6874.8</v>
      </c>
      <c r="T36" s="293">
        <v>0.05</v>
      </c>
      <c r="U36" s="39">
        <v>137496</v>
      </c>
      <c r="V36" s="42"/>
      <c r="W36" s="66"/>
      <c r="X36" s="91"/>
      <c r="Y36" s="227"/>
      <c r="Z36" s="390"/>
      <c r="AA36" s="37"/>
      <c r="AB36" s="184" t="s">
        <v>239</v>
      </c>
      <c r="AC36" s="158">
        <f t="shared" ref="AC36:AC41" si="27">AD36*AE36</f>
        <v>0</v>
      </c>
      <c r="AD36" s="293"/>
      <c r="AE36" s="39"/>
      <c r="AF36" s="42"/>
      <c r="AG36" s="66"/>
      <c r="AH36" s="91"/>
      <c r="AI36" s="227"/>
      <c r="AJ36" s="158"/>
      <c r="AK36" s="158"/>
    </row>
    <row r="37" spans="1:37" ht="15.6" x14ac:dyDescent="0.3">
      <c r="A37" s="299" t="s">
        <v>8</v>
      </c>
      <c r="B37" s="218" t="str">
        <f t="shared" si="0"/>
        <v>Account Services</v>
      </c>
      <c r="C37" s="217" t="s">
        <v>48</v>
      </c>
      <c r="D37" s="10"/>
      <c r="E37" s="10"/>
      <c r="F37" s="10"/>
      <c r="G37" s="10"/>
      <c r="H37" s="184"/>
      <c r="I37" s="158">
        <f t="shared" si="25"/>
        <v>0</v>
      </c>
      <c r="J37" s="42"/>
      <c r="K37" s="39"/>
      <c r="L37" s="42"/>
      <c r="M37" s="66"/>
      <c r="N37" s="91"/>
      <c r="O37" s="227"/>
      <c r="P37" s="390"/>
      <c r="Q37" s="37"/>
      <c r="R37" s="184"/>
      <c r="S37" s="158">
        <f t="shared" si="26"/>
        <v>0</v>
      </c>
      <c r="T37" s="42"/>
      <c r="U37" s="39"/>
      <c r="V37" s="42"/>
      <c r="W37" s="66"/>
      <c r="X37" s="91"/>
      <c r="Y37" s="227"/>
      <c r="Z37" s="390"/>
      <c r="AA37" s="37"/>
      <c r="AB37" s="184"/>
      <c r="AC37" s="158">
        <f t="shared" si="27"/>
        <v>0</v>
      </c>
      <c r="AD37" s="42"/>
      <c r="AE37" s="39"/>
      <c r="AF37" s="42"/>
      <c r="AG37" s="66"/>
      <c r="AH37" s="91"/>
      <c r="AI37" s="227"/>
      <c r="AJ37" s="158"/>
      <c r="AK37" s="158"/>
    </row>
    <row r="38" spans="1:37" ht="15.6" x14ac:dyDescent="0.3">
      <c r="A38" s="299" t="s">
        <v>8</v>
      </c>
      <c r="B38" s="218" t="str">
        <f t="shared" si="0"/>
        <v>Account Services</v>
      </c>
      <c r="C38" s="217" t="s">
        <v>48</v>
      </c>
      <c r="D38" s="10"/>
      <c r="E38" s="10"/>
      <c r="F38" s="10"/>
      <c r="G38" s="10"/>
      <c r="H38" s="184"/>
      <c r="I38" s="158">
        <f t="shared" si="25"/>
        <v>0</v>
      </c>
      <c r="J38" s="42"/>
      <c r="K38" s="39"/>
      <c r="L38" s="42"/>
      <c r="M38" s="66"/>
      <c r="N38" s="91"/>
      <c r="O38" s="227"/>
      <c r="P38" s="390"/>
      <c r="Q38" s="37"/>
      <c r="R38" s="184"/>
      <c r="S38" s="158">
        <f t="shared" si="26"/>
        <v>0</v>
      </c>
      <c r="T38" s="42"/>
      <c r="U38" s="39"/>
      <c r="V38" s="42"/>
      <c r="W38" s="66"/>
      <c r="X38" s="91"/>
      <c r="Y38" s="227"/>
      <c r="Z38" s="390"/>
      <c r="AA38" s="37"/>
      <c r="AB38" s="184"/>
      <c r="AC38" s="158">
        <f t="shared" si="27"/>
        <v>0</v>
      </c>
      <c r="AD38" s="42"/>
      <c r="AE38" s="39"/>
      <c r="AF38" s="42"/>
      <c r="AG38" s="66"/>
      <c r="AH38" s="91"/>
      <c r="AI38" s="227"/>
      <c r="AJ38" s="158"/>
      <c r="AK38" s="158"/>
    </row>
    <row r="39" spans="1:37" ht="15.6" x14ac:dyDescent="0.3">
      <c r="A39" s="299" t="s">
        <v>8</v>
      </c>
      <c r="B39" s="218" t="str">
        <f t="shared" si="0"/>
        <v>Account Services</v>
      </c>
      <c r="C39" s="217" t="s">
        <v>48</v>
      </c>
      <c r="D39" s="10"/>
      <c r="E39" s="10"/>
      <c r="F39" s="10"/>
      <c r="G39" s="10"/>
      <c r="H39" s="184"/>
      <c r="I39" s="158">
        <f t="shared" si="25"/>
        <v>0</v>
      </c>
      <c r="J39" s="42"/>
      <c r="K39" s="39"/>
      <c r="L39" s="42"/>
      <c r="M39" s="66"/>
      <c r="N39" s="91"/>
      <c r="O39" s="227"/>
      <c r="P39" s="390"/>
      <c r="Q39" s="37"/>
      <c r="R39" s="184"/>
      <c r="S39" s="158">
        <f t="shared" si="26"/>
        <v>0</v>
      </c>
      <c r="T39" s="42"/>
      <c r="U39" s="39"/>
      <c r="V39" s="42"/>
      <c r="W39" s="66"/>
      <c r="X39" s="91"/>
      <c r="Y39" s="227"/>
      <c r="Z39" s="390"/>
      <c r="AA39" s="37"/>
      <c r="AB39" s="184"/>
      <c r="AC39" s="158">
        <f t="shared" si="27"/>
        <v>0</v>
      </c>
      <c r="AD39" s="42"/>
      <c r="AE39" s="39"/>
      <c r="AF39" s="42"/>
      <c r="AG39" s="66"/>
      <c r="AH39" s="91"/>
      <c r="AI39" s="227"/>
      <c r="AJ39" s="158"/>
      <c r="AK39" s="158"/>
    </row>
    <row r="40" spans="1:37" ht="15.6" x14ac:dyDescent="0.3">
      <c r="A40" s="299" t="s">
        <v>8</v>
      </c>
      <c r="B40" s="218" t="str">
        <f t="shared" si="0"/>
        <v>Account Services</v>
      </c>
      <c r="C40" s="217" t="s">
        <v>48</v>
      </c>
      <c r="D40" s="10"/>
      <c r="E40" s="10"/>
      <c r="F40" s="10"/>
      <c r="G40" s="10"/>
      <c r="H40" s="184"/>
      <c r="I40" s="158">
        <f t="shared" si="25"/>
        <v>0</v>
      </c>
      <c r="J40" s="42"/>
      <c r="K40" s="39"/>
      <c r="L40" s="42"/>
      <c r="M40" s="66"/>
      <c r="N40" s="91"/>
      <c r="O40" s="227"/>
      <c r="P40" s="390"/>
      <c r="Q40" s="37"/>
      <c r="R40" s="184"/>
      <c r="S40" s="158">
        <f t="shared" si="26"/>
        <v>0</v>
      </c>
      <c r="T40" s="42"/>
      <c r="U40" s="39"/>
      <c r="V40" s="42"/>
      <c r="W40" s="66"/>
      <c r="X40" s="91"/>
      <c r="Y40" s="227"/>
      <c r="Z40" s="390"/>
      <c r="AA40" s="37"/>
      <c r="AB40" s="184"/>
      <c r="AC40" s="158">
        <f t="shared" si="27"/>
        <v>0</v>
      </c>
      <c r="AD40" s="42"/>
      <c r="AE40" s="39"/>
      <c r="AF40" s="42"/>
      <c r="AG40" s="66"/>
      <c r="AH40" s="91"/>
      <c r="AI40" s="227"/>
      <c r="AJ40" s="158"/>
      <c r="AK40" s="158"/>
    </row>
    <row r="41" spans="1:37" ht="15.6" x14ac:dyDescent="0.3">
      <c r="A41" s="299" t="s">
        <v>8</v>
      </c>
      <c r="B41" s="218" t="str">
        <f t="shared" si="0"/>
        <v>Account Services</v>
      </c>
      <c r="C41" s="217" t="s">
        <v>48</v>
      </c>
      <c r="D41" s="10"/>
      <c r="E41" s="10"/>
      <c r="F41" s="10"/>
      <c r="G41" s="10"/>
      <c r="H41" s="184"/>
      <c r="I41" s="158">
        <f t="shared" si="25"/>
        <v>0</v>
      </c>
      <c r="J41" s="82"/>
      <c r="K41" s="82"/>
      <c r="L41" s="67"/>
      <c r="M41" s="177"/>
      <c r="N41" s="94"/>
      <c r="O41" s="228"/>
      <c r="P41" s="390"/>
      <c r="Q41" s="37"/>
      <c r="R41" s="184"/>
      <c r="S41" s="158">
        <f t="shared" si="26"/>
        <v>0</v>
      </c>
      <c r="T41" s="82"/>
      <c r="U41" s="82"/>
      <c r="V41" s="67"/>
      <c r="W41" s="177"/>
      <c r="X41" s="94"/>
      <c r="Y41" s="228"/>
      <c r="Z41" s="390"/>
      <c r="AA41" s="37"/>
      <c r="AB41" s="184"/>
      <c r="AC41" s="158">
        <f t="shared" si="27"/>
        <v>0</v>
      </c>
      <c r="AD41" s="82"/>
      <c r="AE41" s="82"/>
      <c r="AF41" s="67"/>
      <c r="AG41" s="177"/>
      <c r="AH41" s="94"/>
      <c r="AI41" s="228"/>
      <c r="AJ41" s="158"/>
      <c r="AK41" s="158"/>
    </row>
    <row r="42" spans="1:37" ht="15.6" x14ac:dyDescent="0.3">
      <c r="A42" s="299" t="s">
        <v>8</v>
      </c>
      <c r="B42" s="218" t="str">
        <f t="shared" si="0"/>
        <v>Account ServicesTotal Other</v>
      </c>
      <c r="C42" s="220" t="s">
        <v>50</v>
      </c>
      <c r="D42" s="10"/>
      <c r="E42" s="116">
        <f>I42</f>
        <v>130621.2</v>
      </c>
      <c r="F42" s="116">
        <f>S42</f>
        <v>6874.8</v>
      </c>
      <c r="G42" s="116">
        <f>AC42</f>
        <v>0</v>
      </c>
      <c r="H42" s="223" t="s">
        <v>45</v>
      </c>
      <c r="I42" s="222">
        <f>SUM(I36:I41)</f>
        <v>130621.2</v>
      </c>
      <c r="J42" s="152"/>
      <c r="K42" s="152"/>
      <c r="L42" s="152"/>
      <c r="M42" s="86"/>
      <c r="N42" s="180">
        <f>I42</f>
        <v>130621.2</v>
      </c>
      <c r="O42" s="229">
        <f>N42/N45</f>
        <v>0.45313950530078317</v>
      </c>
      <c r="P42" s="391"/>
      <c r="Q42" s="60"/>
      <c r="R42" s="223" t="s">
        <v>45</v>
      </c>
      <c r="S42" s="222">
        <f>SUM(S36:S41)</f>
        <v>6874.8</v>
      </c>
      <c r="T42" s="152"/>
      <c r="U42" s="152"/>
      <c r="V42" s="152"/>
      <c r="W42" s="86"/>
      <c r="X42" s="180">
        <f>S42</f>
        <v>6874.8</v>
      </c>
      <c r="Y42" s="229">
        <f>X42/X45</f>
        <v>0.28251691863383327</v>
      </c>
      <c r="Z42" s="391"/>
      <c r="AA42" s="60"/>
      <c r="AB42" s="223" t="s">
        <v>45</v>
      </c>
      <c r="AC42" s="222">
        <f>SUM(AC36:AC41)</f>
        <v>0</v>
      </c>
      <c r="AD42" s="152"/>
      <c r="AE42" s="152"/>
      <c r="AF42" s="152"/>
      <c r="AG42" s="86"/>
      <c r="AH42" s="180">
        <f>AC42</f>
        <v>0</v>
      </c>
      <c r="AI42" s="229" t="e">
        <f>AH42/AH45</f>
        <v>#DIV/0!</v>
      </c>
      <c r="AJ42" s="222">
        <f>I42+S42+AC42</f>
        <v>137496</v>
      </c>
      <c r="AK42" s="222"/>
    </row>
    <row r="43" spans="1:37" ht="15.6" x14ac:dyDescent="0.3">
      <c r="A43" s="299" t="s">
        <v>8</v>
      </c>
      <c r="B43" s="218" t="str">
        <f t="shared" si="0"/>
        <v>Account Services</v>
      </c>
      <c r="C43" s="217" t="s">
        <v>48</v>
      </c>
      <c r="D43" s="10"/>
      <c r="E43" s="10"/>
      <c r="F43" s="10"/>
      <c r="G43" s="10"/>
      <c r="H43" s="135"/>
      <c r="I43" s="171"/>
      <c r="J43" s="153"/>
      <c r="K43" s="153"/>
      <c r="L43" s="153"/>
      <c r="M43" s="66"/>
      <c r="N43" s="91"/>
      <c r="O43" s="136"/>
      <c r="P43" s="390"/>
      <c r="Q43" s="37"/>
      <c r="R43" s="135"/>
      <c r="S43" s="171"/>
      <c r="T43" s="153"/>
      <c r="U43" s="153"/>
      <c r="V43" s="153"/>
      <c r="W43" s="66"/>
      <c r="X43" s="91"/>
      <c r="Y43" s="136"/>
      <c r="Z43" s="390"/>
      <c r="AA43" s="37"/>
      <c r="AB43" s="135"/>
      <c r="AC43" s="171"/>
      <c r="AD43" s="153"/>
      <c r="AE43" s="153"/>
      <c r="AF43" s="153"/>
      <c r="AG43" s="66"/>
      <c r="AH43" s="91"/>
      <c r="AI43" s="136"/>
      <c r="AJ43" s="171"/>
      <c r="AK43" s="171"/>
    </row>
    <row r="44" spans="1:37" ht="15.6" x14ac:dyDescent="0.3">
      <c r="A44" s="299" t="s">
        <v>8</v>
      </c>
      <c r="B44" s="218" t="str">
        <f t="shared" si="0"/>
        <v>Account ServicesTOTALS</v>
      </c>
      <c r="C44" s="217" t="s">
        <v>48</v>
      </c>
      <c r="D44" s="10"/>
      <c r="E44" s="10"/>
      <c r="F44" s="10"/>
      <c r="G44" s="10"/>
      <c r="H44" s="136" t="s">
        <v>28</v>
      </c>
      <c r="I44" s="172"/>
      <c r="J44" s="42"/>
      <c r="K44" s="39"/>
      <c r="L44" s="154"/>
      <c r="M44" s="33"/>
      <c r="N44" s="91"/>
      <c r="O44" s="136"/>
      <c r="P44" s="390"/>
      <c r="Q44" s="37"/>
      <c r="R44" s="136" t="s">
        <v>28</v>
      </c>
      <c r="S44" s="172"/>
      <c r="T44" s="42"/>
      <c r="U44" s="39"/>
      <c r="V44" s="154"/>
      <c r="W44" s="33"/>
      <c r="X44" s="91"/>
      <c r="Y44" s="136"/>
      <c r="Z44" s="390"/>
      <c r="AA44" s="37"/>
      <c r="AB44" s="136" t="s">
        <v>28</v>
      </c>
      <c r="AC44" s="172"/>
      <c r="AD44" s="42"/>
      <c r="AE44" s="39"/>
      <c r="AF44" s="154"/>
      <c r="AG44" s="33"/>
      <c r="AH44" s="91"/>
      <c r="AI44" s="136"/>
      <c r="AJ44" s="172"/>
      <c r="AK44" s="172"/>
    </row>
    <row r="45" spans="1:37" ht="15.6" x14ac:dyDescent="0.3">
      <c r="A45" s="299" t="s">
        <v>8</v>
      </c>
      <c r="B45" s="218" t="str">
        <f t="shared" si="0"/>
        <v>Account ServicesPER YEAR</v>
      </c>
      <c r="C45" s="220" t="s">
        <v>50</v>
      </c>
      <c r="D45" s="10"/>
      <c r="E45" s="116">
        <f>I45</f>
        <v>288258.248226</v>
      </c>
      <c r="F45" s="116">
        <f>S45</f>
        <v>24334.117876</v>
      </c>
      <c r="G45" s="116">
        <f>S45</f>
        <v>24334.117876</v>
      </c>
      <c r="H45" s="190" t="s">
        <v>46</v>
      </c>
      <c r="I45" s="417">
        <f>I14+I21+I28+I33+I42</f>
        <v>288258.248226</v>
      </c>
      <c r="J45" s="106"/>
      <c r="K45" s="106"/>
      <c r="L45" s="106"/>
      <c r="M45" s="107"/>
      <c r="N45" s="420">
        <f>SUM(N14:N43)</f>
        <v>288258.248226</v>
      </c>
      <c r="O45" s="233">
        <f>SUM(O14:O43)</f>
        <v>1</v>
      </c>
      <c r="P45" s="390"/>
      <c r="Q45" s="37"/>
      <c r="R45" s="190" t="s">
        <v>46</v>
      </c>
      <c r="S45" s="417">
        <f>S14+S21+S28+S33+S42</f>
        <v>24334.117876</v>
      </c>
      <c r="T45" s="106"/>
      <c r="U45" s="106"/>
      <c r="V45" s="106"/>
      <c r="W45" s="107"/>
      <c r="X45" s="420">
        <f>SUM(X14:X43)</f>
        <v>24334.117876</v>
      </c>
      <c r="Y45" s="233">
        <f>SUM(Y14:Y43)</f>
        <v>1</v>
      </c>
      <c r="Z45" s="390"/>
      <c r="AA45" s="37"/>
      <c r="AB45" s="190" t="s">
        <v>46</v>
      </c>
      <c r="AC45" s="417">
        <f>AC14+AC21+AC28+AC33+AC42</f>
        <v>0</v>
      </c>
      <c r="AD45" s="106"/>
      <c r="AE45" s="106"/>
      <c r="AF45" s="106"/>
      <c r="AG45" s="107"/>
      <c r="AH45" s="420">
        <f>SUM(AH14:AH43)</f>
        <v>0</v>
      </c>
      <c r="AI45" s="233" t="e">
        <f>SUM(AI14:AI43)</f>
        <v>#DIV/0!</v>
      </c>
      <c r="AJ45" s="417">
        <f>I45+S45+AC45</f>
        <v>312592.366102</v>
      </c>
      <c r="AK45" s="417"/>
    </row>
    <row r="46" spans="1:37" ht="15.6" x14ac:dyDescent="0.3">
      <c r="A46" s="299" t="s">
        <v>8</v>
      </c>
      <c r="B46" s="218" t="str">
        <f t="shared" si="0"/>
        <v>Account ServicesPER PAYMENT</v>
      </c>
      <c r="C46" s="220" t="s">
        <v>50</v>
      </c>
      <c r="D46" s="10"/>
      <c r="E46" s="10"/>
      <c r="F46" s="10"/>
      <c r="G46" s="10"/>
      <c r="H46" s="185" t="s">
        <v>47</v>
      </c>
      <c r="I46" s="419">
        <f>I45/I$6</f>
        <v>1.9636923050397155</v>
      </c>
      <c r="J46" s="108"/>
      <c r="K46" s="108"/>
      <c r="L46" s="108"/>
      <c r="M46" s="109"/>
      <c r="N46" s="98"/>
      <c r="O46" s="245"/>
      <c r="P46" s="391"/>
      <c r="Q46" s="60"/>
      <c r="R46" s="185" t="s">
        <v>47</v>
      </c>
      <c r="S46" s="419">
        <f>S45/S$6</f>
        <v>3.4590075161336178</v>
      </c>
      <c r="T46" s="108"/>
      <c r="U46" s="108"/>
      <c r="V46" s="108"/>
      <c r="W46" s="109"/>
      <c r="X46" s="98"/>
      <c r="Y46" s="245"/>
      <c r="Z46" s="391"/>
      <c r="AA46" s="60"/>
      <c r="AB46" s="185" t="s">
        <v>47</v>
      </c>
      <c r="AC46" s="419">
        <f>AC45/AC$6</f>
        <v>0</v>
      </c>
      <c r="AD46" s="108"/>
      <c r="AE46" s="108"/>
      <c r="AF46" s="108"/>
      <c r="AG46" s="109"/>
      <c r="AH46" s="98"/>
      <c r="AI46" s="245"/>
      <c r="AJ46" s="419">
        <f>I46+S46+AC46</f>
        <v>5.4226998211733335</v>
      </c>
      <c r="AK46" s="419"/>
    </row>
    <row r="47" spans="1:37" ht="15.6" x14ac:dyDescent="0.3">
      <c r="A47" s="301" t="s">
        <v>8</v>
      </c>
      <c r="B47" s="218"/>
      <c r="C47" s="220"/>
      <c r="D47" s="10"/>
      <c r="E47" s="10"/>
      <c r="F47" s="10"/>
      <c r="G47" s="10"/>
      <c r="H47" s="137" t="s">
        <v>585</v>
      </c>
      <c r="I47" s="659">
        <f>I14+I21</f>
        <v>157637.04822599998</v>
      </c>
      <c r="J47" s="108"/>
      <c r="K47" s="108"/>
      <c r="L47" s="108"/>
      <c r="M47" s="109"/>
      <c r="N47" s="656"/>
      <c r="O47" s="657"/>
      <c r="P47" s="92"/>
      <c r="Q47" s="37"/>
      <c r="R47" s="137" t="s">
        <v>585</v>
      </c>
      <c r="S47" s="659">
        <f>S14+S21</f>
        <v>17459.317876000001</v>
      </c>
      <c r="T47" s="108"/>
      <c r="U47" s="108"/>
      <c r="V47" s="108"/>
      <c r="W47" s="109"/>
      <c r="X47" s="658"/>
      <c r="Y47" s="657"/>
      <c r="Z47" s="92"/>
      <c r="AA47" s="37"/>
      <c r="AB47" s="137" t="s">
        <v>585</v>
      </c>
      <c r="AC47" s="659">
        <f>AC14+AC21</f>
        <v>0</v>
      </c>
      <c r="AD47" s="108"/>
      <c r="AE47" s="108"/>
      <c r="AF47" s="108"/>
      <c r="AG47" s="109"/>
      <c r="AH47" s="656"/>
      <c r="AI47" s="137"/>
      <c r="AJ47" s="659">
        <f>I47+S47+AC47</f>
        <v>175096.366102</v>
      </c>
      <c r="AK47" s="659"/>
    </row>
    <row r="48" spans="1:37" ht="15.6" x14ac:dyDescent="0.3">
      <c r="A48" s="301" t="s">
        <v>8</v>
      </c>
      <c r="B48" s="218"/>
      <c r="C48" s="220"/>
      <c r="D48" s="10"/>
      <c r="E48" s="10"/>
      <c r="F48" s="10"/>
      <c r="G48" s="10"/>
      <c r="H48" s="137" t="s">
        <v>586</v>
      </c>
      <c r="I48" s="659">
        <f>I42+I33+I28</f>
        <v>130621.2</v>
      </c>
      <c r="J48" s="108"/>
      <c r="K48" s="659"/>
      <c r="L48" s="108"/>
      <c r="M48" s="109"/>
      <c r="N48" s="656"/>
      <c r="O48" s="657"/>
      <c r="P48" s="92"/>
      <c r="Q48" s="37"/>
      <c r="R48" s="137" t="s">
        <v>586</v>
      </c>
      <c r="S48" s="659">
        <f>S42+S33+S28</f>
        <v>6874.8</v>
      </c>
      <c r="T48" s="108"/>
      <c r="U48" s="659"/>
      <c r="V48" s="108"/>
      <c r="W48" s="109"/>
      <c r="X48" s="658"/>
      <c r="Y48" s="657"/>
      <c r="Z48" s="92"/>
      <c r="AA48" s="37"/>
      <c r="AB48" s="137" t="s">
        <v>586</v>
      </c>
      <c r="AC48" s="659">
        <f>AC42+AC33+AC28</f>
        <v>0</v>
      </c>
      <c r="AD48" s="108"/>
      <c r="AE48" s="659"/>
      <c r="AF48" s="108"/>
      <c r="AG48" s="109"/>
      <c r="AH48" s="656"/>
      <c r="AI48" s="137"/>
      <c r="AJ48" s="659">
        <f>I48+S48+AC48</f>
        <v>137496</v>
      </c>
      <c r="AK48" s="659"/>
    </row>
    <row r="49" spans="1:37" ht="15.6" x14ac:dyDescent="0.3">
      <c r="A49" s="301" t="s">
        <v>8</v>
      </c>
      <c r="B49" s="218"/>
      <c r="C49" s="220"/>
      <c r="D49" s="10"/>
      <c r="E49" s="10"/>
      <c r="F49" s="10"/>
      <c r="G49" s="10"/>
      <c r="H49" s="137" t="s">
        <v>584</v>
      </c>
      <c r="I49" s="659">
        <f>I45</f>
        <v>288258.248226</v>
      </c>
      <c r="J49" s="108"/>
      <c r="K49" s="108"/>
      <c r="L49" s="108"/>
      <c r="M49" s="109"/>
      <c r="N49" s="656"/>
      <c r="O49" s="657"/>
      <c r="P49" s="92"/>
      <c r="Q49" s="37"/>
      <c r="R49" s="137" t="s">
        <v>584</v>
      </c>
      <c r="S49" s="659">
        <f>S45</f>
        <v>24334.117876</v>
      </c>
      <c r="T49" s="108"/>
      <c r="U49" s="108"/>
      <c r="V49" s="108"/>
      <c r="W49" s="109"/>
      <c r="X49" s="658"/>
      <c r="Y49" s="657"/>
      <c r="Z49" s="92"/>
      <c r="AA49" s="37"/>
      <c r="AB49" s="137" t="s">
        <v>584</v>
      </c>
      <c r="AC49" s="659">
        <f>AC45</f>
        <v>0</v>
      </c>
      <c r="AD49" s="108"/>
      <c r="AE49" s="108"/>
      <c r="AF49" s="108"/>
      <c r="AG49" s="109"/>
      <c r="AH49" s="656"/>
      <c r="AI49" s="137"/>
      <c r="AJ49" s="659">
        <f>I49+S49+AC49</f>
        <v>312592.366102</v>
      </c>
      <c r="AK49" s="659"/>
    </row>
    <row r="50" spans="1:37" ht="346.8" customHeight="1" x14ac:dyDescent="0.3">
      <c r="A50" s="299" t="s">
        <v>4</v>
      </c>
      <c r="B50" s="218" t="str">
        <f t="shared" si="0"/>
        <v>Contact CenterLABOR: NON-SUPERVISORY</v>
      </c>
      <c r="C50" s="12" t="s">
        <v>4</v>
      </c>
      <c r="D50" s="11" t="str">
        <f>'2015Summary METER to CASH (Base'!O13</f>
        <v>* Review delinquent notices batches
* Call ahead reminders
* Plan arrangements with customers
* Notice envelopes
* Postage
* Work non-deliverable mailed bill/ notices 
* Bill documentation for collections process  
* Billing investigation and complaint resolution such as with WARM bills
* PUC Complaints
* Pre and post curb valve notice
* Bankruptcy
* NSF checks
* Energy assistance resolution (medical assistance)
* Non-sufficient funds</v>
      </c>
      <c r="E50" s="117">
        <f>N93</f>
        <v>1254638.709617347</v>
      </c>
      <c r="F50" s="117">
        <f>X93</f>
        <v>60127.684524967197</v>
      </c>
      <c r="G50" s="117">
        <f>AC93</f>
        <v>196.5794945379169</v>
      </c>
      <c r="H50" s="183" t="s">
        <v>31</v>
      </c>
      <c r="I50" s="157"/>
      <c r="J50" s="302">
        <v>1800</v>
      </c>
      <c r="K50" s="302" t="s">
        <v>298</v>
      </c>
      <c r="L50" s="118"/>
      <c r="M50" s="119"/>
      <c r="N50" s="121"/>
      <c r="O50" s="135"/>
      <c r="P50" s="381"/>
      <c r="Q50" s="123"/>
      <c r="R50" s="183" t="s">
        <v>31</v>
      </c>
      <c r="S50" s="157"/>
      <c r="T50" s="302">
        <v>1800</v>
      </c>
      <c r="U50" s="302" t="s">
        <v>298</v>
      </c>
      <c r="V50" s="118"/>
      <c r="W50" s="119"/>
      <c r="X50" s="121"/>
      <c r="Y50" s="135"/>
      <c r="Z50" s="381"/>
      <c r="AA50" s="123"/>
      <c r="AB50" s="183" t="s">
        <v>31</v>
      </c>
      <c r="AC50" s="157"/>
      <c r="AD50" s="302">
        <v>1800</v>
      </c>
      <c r="AE50" s="302" t="s">
        <v>298</v>
      </c>
      <c r="AF50" s="118"/>
      <c r="AG50" s="119"/>
      <c r="AH50" s="121"/>
      <c r="AI50" s="135"/>
      <c r="AJ50" s="157"/>
      <c r="AK50" s="157"/>
    </row>
    <row r="51" spans="1:37" ht="21" x14ac:dyDescent="0.4">
      <c r="A51" s="299" t="s">
        <v>4</v>
      </c>
      <c r="B51" s="218" t="str">
        <f t="shared" si="0"/>
        <v>Contact CenterCust Svc 3/Operat Sppt 2  (4)</v>
      </c>
      <c r="C51" s="5" t="s">
        <v>48</v>
      </c>
      <c r="D51" s="10"/>
      <c r="E51" s="117"/>
      <c r="F51" s="117"/>
      <c r="G51" s="117"/>
      <c r="H51" s="184" t="s">
        <v>293</v>
      </c>
      <c r="I51" s="163">
        <f>J51*K51</f>
        <v>29357.929838234148</v>
      </c>
      <c r="J51" s="42">
        <f>((J50)*4*L51)*(I$6/($I$6+$S$6+$AC$6))</f>
        <v>1078.5426097808283</v>
      </c>
      <c r="K51" s="39">
        <v>27.22</v>
      </c>
      <c r="L51" s="304">
        <f>$T$1</f>
        <v>0.157</v>
      </c>
      <c r="M51" s="40" t="str">
        <f>ROUND(J51,0)&amp;" hrs @ "&amp;K51</f>
        <v>1079 hrs @ 27.22</v>
      </c>
      <c r="N51" s="35"/>
      <c r="O51" s="136"/>
      <c r="P51" s="382"/>
      <c r="Q51" s="41"/>
      <c r="R51" s="184" t="s">
        <v>293</v>
      </c>
      <c r="S51" s="163">
        <f>T51*U51</f>
        <v>1406.9582981046722</v>
      </c>
      <c r="T51" s="42">
        <f>((T50)*4*V51)*(S$6/($I$6+$S$6+$AC$6))</f>
        <v>51.688401840730059</v>
      </c>
      <c r="U51" s="39">
        <v>27.22</v>
      </c>
      <c r="V51" s="304">
        <f>$T$1</f>
        <v>0.157</v>
      </c>
      <c r="W51" s="40" t="str">
        <f>ROUND(T51,0)&amp;" hrs @ "&amp;U51</f>
        <v>52 hrs @ 27.22</v>
      </c>
      <c r="X51" s="35"/>
      <c r="Y51" s="136"/>
      <c r="Z51" s="382"/>
      <c r="AA51" s="41"/>
      <c r="AB51" s="184" t="s">
        <v>293</v>
      </c>
      <c r="AC51" s="163">
        <f>AD51*AE51</f>
        <v>4.5998636611808754</v>
      </c>
      <c r="AD51" s="42">
        <f>((AD50)*4*AF51)*(AC$6/($I$6+$S$6+$AC$6))</f>
        <v>0.16898837844161924</v>
      </c>
      <c r="AE51" s="39">
        <v>27.22</v>
      </c>
      <c r="AF51" s="304">
        <f>$T$1</f>
        <v>0.157</v>
      </c>
      <c r="AG51" s="40" t="str">
        <f>ROUND(AD51,0)&amp;" hrs @ "&amp;AE51</f>
        <v>0 hrs @ 27.22</v>
      </c>
      <c r="AH51" s="35"/>
      <c r="AI51" s="136"/>
      <c r="AJ51" s="163">
        <f t="shared" ref="AJ51:AJ58" si="28">I51+S51+AC51</f>
        <v>30769.488000000001</v>
      </c>
      <c r="AK51" s="163"/>
    </row>
    <row r="52" spans="1:37" ht="21" x14ac:dyDescent="0.4">
      <c r="A52" s="299" t="s">
        <v>4</v>
      </c>
      <c r="B52" s="218" t="str">
        <f t="shared" si="0"/>
        <v>Contact CenterCustomer Service 2  (34)</v>
      </c>
      <c r="C52" s="5" t="s">
        <v>48</v>
      </c>
      <c r="D52" s="10"/>
      <c r="E52" s="117"/>
      <c r="F52" s="117"/>
      <c r="G52" s="117"/>
      <c r="H52" s="184" t="s">
        <v>294</v>
      </c>
      <c r="I52" s="163">
        <f>J52*K52</f>
        <v>213330.33550159892</v>
      </c>
      <c r="J52" s="42">
        <f>((J50)*34*L52)*(I$6/($I$6+$S$6+$AC$6))</f>
        <v>9167.6121831370401</v>
      </c>
      <c r="K52" s="39">
        <v>23.27</v>
      </c>
      <c r="L52" s="304">
        <f>$T$1</f>
        <v>0.157</v>
      </c>
      <c r="M52" s="40" t="str">
        <f t="shared" ref="M52:M55" si="29">ROUND(J52,0)&amp;" hrs @ "&amp;K52</f>
        <v>9168 hrs @ 23.27</v>
      </c>
      <c r="N52" s="35"/>
      <c r="O52" s="136"/>
      <c r="P52" s="382"/>
      <c r="Q52" s="3"/>
      <c r="R52" s="184" t="s">
        <v>294</v>
      </c>
      <c r="S52" s="163">
        <f>T52*U52</f>
        <v>10223.7074420872</v>
      </c>
      <c r="T52" s="42">
        <f>((T50)*34*V52)*(S$6/($I$6+$S$6+$AC$6))</f>
        <v>439.3514156462054</v>
      </c>
      <c r="U52" s="39">
        <v>23.27</v>
      </c>
      <c r="V52" s="304">
        <f>$T$1</f>
        <v>0.157</v>
      </c>
      <c r="W52" s="40" t="str">
        <f t="shared" ref="W52:W55" si="30">ROUND(T52,0)&amp;" hrs @ "&amp;U52</f>
        <v>439 hrs @ 23.27</v>
      </c>
      <c r="X52" s="35"/>
      <c r="Y52" s="136"/>
      <c r="Z52" s="382"/>
      <c r="AA52" s="3"/>
      <c r="AB52" s="184" t="s">
        <v>294</v>
      </c>
      <c r="AC52" s="163">
        <f>AD52*AE52</f>
        <v>33.425056313860068</v>
      </c>
      <c r="AD52" s="42">
        <f>((AD50)*34*AF52)*(AC$6/($I$6+$S$6+$AC$6))</f>
        <v>1.4364012167537632</v>
      </c>
      <c r="AE52" s="39">
        <v>23.27</v>
      </c>
      <c r="AF52" s="304">
        <f>$T$1</f>
        <v>0.157</v>
      </c>
      <c r="AG52" s="40" t="str">
        <f t="shared" ref="AG52:AG55" si="31">ROUND(AD52,0)&amp;" hrs @ "&amp;AE52</f>
        <v>1 hrs @ 23.27</v>
      </c>
      <c r="AH52" s="35"/>
      <c r="AI52" s="136"/>
      <c r="AJ52" s="163">
        <f t="shared" si="28"/>
        <v>223587.46799999999</v>
      </c>
      <c r="AK52" s="163"/>
    </row>
    <row r="53" spans="1:37" ht="21" x14ac:dyDescent="0.4">
      <c r="A53" s="299" t="s">
        <v>4</v>
      </c>
      <c r="B53" s="218" t="str">
        <f t="shared" ref="B53:B56" si="32">A53&amp;H53</f>
        <v>Contact CenterCustomer Service 3  (35)</v>
      </c>
      <c r="C53" s="5" t="s">
        <v>48</v>
      </c>
      <c r="D53" s="10"/>
      <c r="E53" s="117"/>
      <c r="F53" s="117"/>
      <c r="G53" s="117"/>
      <c r="H53" s="184" t="s">
        <v>295</v>
      </c>
      <c r="I53" s="163">
        <f>J53*K53*L53</f>
        <v>39885.961742218242</v>
      </c>
      <c r="J53" s="42">
        <f>((J50)*35*L53)*(I$6/($I$6+$S$6+$AC$6))</f>
        <v>9437.2478355822477</v>
      </c>
      <c r="K53" s="39">
        <v>26.92</v>
      </c>
      <c r="L53" s="304">
        <f>$T$1</f>
        <v>0.157</v>
      </c>
      <c r="M53" s="40" t="str">
        <f t="shared" si="29"/>
        <v>9437 hrs @ 26.92</v>
      </c>
      <c r="N53" s="35"/>
      <c r="O53" s="136"/>
      <c r="P53" s="382"/>
      <c r="Q53" s="3"/>
      <c r="R53" s="184" t="s">
        <v>295</v>
      </c>
      <c r="S53" s="163">
        <f>T53*U53*V53</f>
        <v>1911.5068794126823</v>
      </c>
      <c r="T53" s="42">
        <f>((T50)*35*V53)*(S$6/($I$6+$S$6+$AC$6))</f>
        <v>452.27351610638794</v>
      </c>
      <c r="U53" s="39">
        <v>26.92</v>
      </c>
      <c r="V53" s="304">
        <f>$T$1</f>
        <v>0.157</v>
      </c>
      <c r="W53" s="40" t="str">
        <f t="shared" si="30"/>
        <v>452 hrs @ 26.92</v>
      </c>
      <c r="X53" s="35"/>
      <c r="Y53" s="136"/>
      <c r="Z53" s="382"/>
      <c r="AA53" s="3"/>
      <c r="AB53" s="184" t="s">
        <v>295</v>
      </c>
      <c r="AC53" s="163">
        <f>AD53*AE53*AF53</f>
        <v>6.2494183690819751</v>
      </c>
      <c r="AD53" s="42">
        <f>((AD50)*35*AF53)*(AC$6/($I$6+$S$6+$AC$6))</f>
        <v>1.4786483113641682</v>
      </c>
      <c r="AE53" s="39">
        <v>26.92</v>
      </c>
      <c r="AF53" s="304">
        <f>$T$1</f>
        <v>0.157</v>
      </c>
      <c r="AG53" s="40" t="str">
        <f t="shared" si="31"/>
        <v>1 hrs @ 26.92</v>
      </c>
      <c r="AH53" s="35"/>
      <c r="AI53" s="136"/>
      <c r="AJ53" s="163">
        <f t="shared" si="28"/>
        <v>41803.718040000007</v>
      </c>
      <c r="AK53" s="163"/>
    </row>
    <row r="54" spans="1:37" ht="21" x14ac:dyDescent="0.4">
      <c r="A54" s="299" t="s">
        <v>4</v>
      </c>
      <c r="B54" s="218" t="str">
        <f t="shared" si="32"/>
        <v>Contact CenterCustomer Service 4  (18)</v>
      </c>
      <c r="C54" s="5" t="s">
        <v>48</v>
      </c>
      <c r="D54" s="10"/>
      <c r="E54" s="117"/>
      <c r="F54" s="117"/>
      <c r="G54" s="117"/>
      <c r="H54" s="184" t="s">
        <v>296</v>
      </c>
      <c r="I54" s="163">
        <f>J54*K54</f>
        <v>148806.5238714609</v>
      </c>
      <c r="J54" s="42">
        <f>((J50)*18*L54)*(I$6/($I$6+$S$6+$AC$6))</f>
        <v>4853.4417440137277</v>
      </c>
      <c r="K54" s="39">
        <v>30.66</v>
      </c>
      <c r="L54" s="304">
        <f>$T$1</f>
        <v>0.157</v>
      </c>
      <c r="M54" s="40" t="str">
        <f t="shared" si="29"/>
        <v>4853 hrs @ 30.66</v>
      </c>
      <c r="N54" s="35"/>
      <c r="O54" s="136"/>
      <c r="P54" s="382"/>
      <c r="Q54" s="41"/>
      <c r="R54" s="184" t="s">
        <v>296</v>
      </c>
      <c r="S54" s="163">
        <f>T54*U54</f>
        <v>7131.4488019655255</v>
      </c>
      <c r="T54" s="42">
        <f>((T50)*18*V54)*(S$6/($I$6+$S$6+$AC$6))</f>
        <v>232.59780828328525</v>
      </c>
      <c r="U54" s="39">
        <v>30.66</v>
      </c>
      <c r="V54" s="304">
        <f>$T$1</f>
        <v>0.157</v>
      </c>
      <c r="W54" s="40" t="str">
        <f t="shared" si="30"/>
        <v>233 hrs @ 30.66</v>
      </c>
      <c r="X54" s="35"/>
      <c r="Y54" s="136"/>
      <c r="Z54" s="382"/>
      <c r="AA54" s="41"/>
      <c r="AB54" s="184" t="s">
        <v>296</v>
      </c>
      <c r="AC54" s="163">
        <f>AD54*AE54</f>
        <v>23.315326573590202</v>
      </c>
      <c r="AD54" s="42">
        <f>((AD50)*18*AF54)*(AC$6/($I$6+$S$6+$AC$6))</f>
        <v>0.76044770298728648</v>
      </c>
      <c r="AE54" s="39">
        <v>30.66</v>
      </c>
      <c r="AF54" s="304">
        <f>$T$1</f>
        <v>0.157</v>
      </c>
      <c r="AG54" s="40" t="str">
        <f t="shared" si="31"/>
        <v>1 hrs @ 30.66</v>
      </c>
      <c r="AH54" s="35"/>
      <c r="AI54" s="136"/>
      <c r="AJ54" s="163">
        <f t="shared" si="28"/>
        <v>155961.28800000003</v>
      </c>
      <c r="AK54" s="163"/>
    </row>
    <row r="55" spans="1:37" ht="21" x14ac:dyDescent="0.4">
      <c r="A55" s="299" t="s">
        <v>4</v>
      </c>
      <c r="B55" s="218" t="str">
        <f t="shared" si="32"/>
        <v>Contact CenterOperational Support 1</v>
      </c>
      <c r="C55" s="5" t="s">
        <v>48</v>
      </c>
      <c r="D55" s="10"/>
      <c r="E55" s="117"/>
      <c r="F55" s="117"/>
      <c r="G55" s="117"/>
      <c r="H55" s="179" t="s">
        <v>297</v>
      </c>
      <c r="I55" s="161">
        <f>J55*K55</f>
        <v>5233.6280139614692</v>
      </c>
      <c r="J55" s="174">
        <f>((J50)*1*L55)*(I$6/($I$6+$S$6+$AC$6))</f>
        <v>269.63565244520709</v>
      </c>
      <c r="K55" s="175">
        <v>19.41</v>
      </c>
      <c r="L55" s="305">
        <f>$T$1</f>
        <v>0.157</v>
      </c>
      <c r="M55" s="176" t="str">
        <f t="shared" si="29"/>
        <v>270 hrs @ 19.41</v>
      </c>
      <c r="N55" s="35"/>
      <c r="O55" s="136"/>
      <c r="P55" s="382"/>
      <c r="Q55" s="44"/>
      <c r="R55" s="179" t="s">
        <v>297</v>
      </c>
      <c r="S55" s="161">
        <f>T55*U55</f>
        <v>250.8179699321426</v>
      </c>
      <c r="T55" s="174">
        <f>((T50)*1*V55)*(S$6/($I$6+$S$6+$AC$6))</f>
        <v>12.922100460182515</v>
      </c>
      <c r="U55" s="175">
        <v>19.41</v>
      </c>
      <c r="V55" s="305">
        <f>$T$1</f>
        <v>0.157</v>
      </c>
      <c r="W55" s="176" t="str">
        <f t="shared" si="30"/>
        <v>13 hrs @ 19.41</v>
      </c>
      <c r="X55" s="35"/>
      <c r="Y55" s="136"/>
      <c r="Z55" s="382"/>
      <c r="AA55" s="44"/>
      <c r="AB55" s="179" t="s">
        <v>297</v>
      </c>
      <c r="AC55" s="161">
        <f>AD55*AE55</f>
        <v>0.8200161063879573</v>
      </c>
      <c r="AD55" s="174">
        <f>((AD50)*1*AF55)*(AC$6/($I$6+$S$6+$AC$6))</f>
        <v>4.2247094610404809E-2</v>
      </c>
      <c r="AE55" s="175">
        <v>19.41</v>
      </c>
      <c r="AF55" s="305">
        <f>$T$1</f>
        <v>0.157</v>
      </c>
      <c r="AG55" s="176" t="str">
        <f t="shared" si="31"/>
        <v>0 hrs @ 19.41</v>
      </c>
      <c r="AH55" s="35"/>
      <c r="AI55" s="136"/>
      <c r="AJ55" s="161">
        <f t="shared" si="28"/>
        <v>5485.2659999999996</v>
      </c>
      <c r="AK55" s="161"/>
    </row>
    <row r="56" spans="1:37" ht="21" x14ac:dyDescent="0.4">
      <c r="A56" s="299" t="s">
        <v>4</v>
      </c>
      <c r="B56" s="218" t="str">
        <f t="shared" si="32"/>
        <v>Contact CenterTotal Wages</v>
      </c>
      <c r="C56" s="5" t="s">
        <v>48</v>
      </c>
      <c r="D56" s="10"/>
      <c r="E56" s="117"/>
      <c r="F56" s="117"/>
      <c r="G56" s="117"/>
      <c r="H56" s="184" t="s">
        <v>32</v>
      </c>
      <c r="I56" s="158">
        <f>SUM(I51:I55)</f>
        <v>436614.37896747375</v>
      </c>
      <c r="J56" s="42"/>
      <c r="K56" s="39"/>
      <c r="L56" s="39"/>
      <c r="M56" s="40"/>
      <c r="N56" s="35"/>
      <c r="O56" s="136"/>
      <c r="P56" s="382"/>
      <c r="Q56" s="41"/>
      <c r="R56" s="184" t="s">
        <v>32</v>
      </c>
      <c r="S56" s="158">
        <f>SUM(S51:S55)</f>
        <v>20924.439391502219</v>
      </c>
      <c r="T56" s="42"/>
      <c r="U56" s="39"/>
      <c r="V56" s="39"/>
      <c r="W56" s="40"/>
      <c r="X56" s="35"/>
      <c r="Y56" s="136"/>
      <c r="Z56" s="382"/>
      <c r="AA56" s="41"/>
      <c r="AB56" s="184" t="s">
        <v>32</v>
      </c>
      <c r="AC56" s="158">
        <f>SUM(AC51:AC55)</f>
        <v>68.409681024101076</v>
      </c>
      <c r="AD56" s="42"/>
      <c r="AE56" s="39"/>
      <c r="AF56" s="39"/>
      <c r="AG56" s="40"/>
      <c r="AH56" s="35"/>
      <c r="AI56" s="136"/>
      <c r="AJ56" s="158">
        <f t="shared" si="28"/>
        <v>457607.22804000007</v>
      </c>
      <c r="AK56" s="158"/>
    </row>
    <row r="57" spans="1:37" ht="21" x14ac:dyDescent="0.4">
      <c r="A57" s="299" t="s">
        <v>4</v>
      </c>
      <c r="B57" s="218" t="str">
        <f t="shared" ref="B57:B66" si="33">A57&amp;H57</f>
        <v>Contact CenterBenefits</v>
      </c>
      <c r="C57" s="5" t="s">
        <v>48</v>
      </c>
      <c r="D57" s="10"/>
      <c r="E57" s="117"/>
      <c r="F57" s="117"/>
      <c r="G57" s="117"/>
      <c r="H57" s="184" t="s">
        <v>33</v>
      </c>
      <c r="I57" s="159">
        <f>I56*$O$2</f>
        <v>430458.11622403236</v>
      </c>
      <c r="J57" s="42"/>
      <c r="K57" s="39"/>
      <c r="M57" s="45" t="str">
        <f>"@ "&amp;$O$2*100&amp;" %"</f>
        <v>@ 98.59 %</v>
      </c>
      <c r="N57" s="47"/>
      <c r="O57" s="432"/>
      <c r="P57" s="383"/>
      <c r="Q57" s="41"/>
      <c r="R57" s="184" t="s">
        <v>33</v>
      </c>
      <c r="S57" s="159">
        <f>S56*$O$2</f>
        <v>20629.404796082039</v>
      </c>
      <c r="T57" s="42"/>
      <c r="U57" s="39"/>
      <c r="W57" s="45" t="str">
        <f>"@ "&amp;$O$2*100&amp;" %"</f>
        <v>@ 98.59 %</v>
      </c>
      <c r="X57" s="47"/>
      <c r="Y57" s="432"/>
      <c r="Z57" s="383"/>
      <c r="AA57" s="41"/>
      <c r="AB57" s="184" t="s">
        <v>33</v>
      </c>
      <c r="AC57" s="159">
        <f>AC56*$O$2</f>
        <v>67.44510452166125</v>
      </c>
      <c r="AD57" s="42"/>
      <c r="AE57" s="39"/>
      <c r="AG57" s="45" t="str">
        <f>"@ "&amp;$O$2*100&amp;" %"</f>
        <v>@ 98.59 %</v>
      </c>
      <c r="AH57" s="47"/>
      <c r="AI57" s="432"/>
      <c r="AJ57" s="159">
        <f t="shared" si="28"/>
        <v>451154.96612463606</v>
      </c>
      <c r="AK57" s="159"/>
    </row>
    <row r="58" spans="1:37" ht="21" x14ac:dyDescent="0.4">
      <c r="A58" s="299" t="s">
        <v>4</v>
      </c>
      <c r="B58" s="218" t="str">
        <f t="shared" si="33"/>
        <v>Contact CenterTotal</v>
      </c>
      <c r="C58" s="5" t="s">
        <v>48</v>
      </c>
      <c r="D58" s="10"/>
      <c r="E58" s="117"/>
      <c r="F58" s="117"/>
      <c r="G58" s="117"/>
      <c r="H58" s="185" t="s">
        <v>34</v>
      </c>
      <c r="I58" s="160">
        <f>I56+I57</f>
        <v>867072.49519150611</v>
      </c>
      <c r="J58" s="42"/>
      <c r="K58" s="39"/>
      <c r="L58" s="50"/>
      <c r="M58" s="51"/>
      <c r="N58" s="420">
        <f>I58</f>
        <v>867072.49519150611</v>
      </c>
      <c r="O58" s="233">
        <f>N58/N93</f>
        <v>0.69109337098004497</v>
      </c>
      <c r="P58" s="384"/>
      <c r="Q58" s="37"/>
      <c r="R58" s="185" t="s">
        <v>34</v>
      </c>
      <c r="S58" s="160">
        <f>S56+S57</f>
        <v>41553.844187584255</v>
      </c>
      <c r="T58" s="42"/>
      <c r="U58" s="39"/>
      <c r="V58" s="50"/>
      <c r="W58" s="51"/>
      <c r="X58" s="420">
        <f>S58</f>
        <v>41553.844187584255</v>
      </c>
      <c r="Y58" s="233">
        <f>X58/X93</f>
        <v>0.69109337098004486</v>
      </c>
      <c r="Z58" s="384"/>
      <c r="AA58" s="37"/>
      <c r="AB58" s="185" t="s">
        <v>34</v>
      </c>
      <c r="AC58" s="160">
        <f>AC56+AC57</f>
        <v>135.85478554576233</v>
      </c>
      <c r="AD58" s="42"/>
      <c r="AE58" s="39"/>
      <c r="AF58" s="50"/>
      <c r="AG58" s="51"/>
      <c r="AH58" s="420">
        <f>AC58</f>
        <v>135.85478554576233</v>
      </c>
      <c r="AI58" s="233">
        <f>AH58/AH93</f>
        <v>0.69109337098004497</v>
      </c>
      <c r="AJ58" s="160">
        <f t="shared" si="28"/>
        <v>908762.19416463608</v>
      </c>
      <c r="AK58" s="160"/>
    </row>
    <row r="59" spans="1:37" ht="21" x14ac:dyDescent="0.4">
      <c r="A59" s="299" t="s">
        <v>4</v>
      </c>
      <c r="B59" s="218" t="str">
        <f t="shared" si="33"/>
        <v>Contact Center</v>
      </c>
      <c r="C59" s="5" t="s">
        <v>48</v>
      </c>
      <c r="D59" s="10"/>
      <c r="E59" s="117"/>
      <c r="F59" s="117"/>
      <c r="G59" s="117"/>
      <c r="H59" s="179"/>
      <c r="I59" s="166"/>
      <c r="J59" s="69"/>
      <c r="K59" s="69"/>
      <c r="L59" s="69"/>
      <c r="M59" s="70"/>
      <c r="N59" s="58"/>
      <c r="O59" s="231"/>
      <c r="P59" s="385"/>
      <c r="Q59" s="60"/>
      <c r="R59" s="179"/>
      <c r="S59" s="166"/>
      <c r="T59" s="69"/>
      <c r="U59" s="69"/>
      <c r="V59" s="69"/>
      <c r="W59" s="70"/>
      <c r="X59" s="58"/>
      <c r="Y59" s="231"/>
      <c r="Z59" s="385"/>
      <c r="AA59" s="60"/>
      <c r="AB59" s="179"/>
      <c r="AC59" s="166"/>
      <c r="AD59" s="69"/>
      <c r="AE59" s="69"/>
      <c r="AF59" s="69"/>
      <c r="AG59" s="70"/>
      <c r="AH59" s="58"/>
      <c r="AI59" s="231"/>
      <c r="AJ59" s="166"/>
      <c r="AK59" s="166"/>
    </row>
    <row r="60" spans="1:37" ht="21" x14ac:dyDescent="0.4">
      <c r="A60" s="299" t="s">
        <v>4</v>
      </c>
      <c r="B60" s="218" t="str">
        <f t="shared" si="33"/>
        <v>Contact CenterLABOR: SUPERVISORY</v>
      </c>
      <c r="C60" s="5" t="s">
        <v>48</v>
      </c>
      <c r="D60" s="10"/>
      <c r="E60" s="117"/>
      <c r="F60" s="117"/>
      <c r="G60" s="117"/>
      <c r="H60" s="186" t="s">
        <v>35</v>
      </c>
      <c r="I60" s="167"/>
      <c r="J60" s="302">
        <v>1800</v>
      </c>
      <c r="K60" s="302" t="s">
        <v>298</v>
      </c>
      <c r="L60" s="74"/>
      <c r="M60" s="66"/>
      <c r="N60" s="26"/>
      <c r="O60" s="234"/>
      <c r="P60" s="386"/>
      <c r="Q60" s="37"/>
      <c r="R60" s="186" t="s">
        <v>35</v>
      </c>
      <c r="S60" s="167"/>
      <c r="T60" s="302">
        <v>1800</v>
      </c>
      <c r="U60" s="302" t="s">
        <v>298</v>
      </c>
      <c r="V60" s="74"/>
      <c r="W60" s="66"/>
      <c r="X60" s="26"/>
      <c r="Y60" s="234"/>
      <c r="Z60" s="386"/>
      <c r="AA60" s="37"/>
      <c r="AB60" s="186" t="s">
        <v>35</v>
      </c>
      <c r="AC60" s="167"/>
      <c r="AD60" s="302">
        <v>1800</v>
      </c>
      <c r="AE60" s="302" t="s">
        <v>298</v>
      </c>
      <c r="AF60" s="74"/>
      <c r="AG60" s="66"/>
      <c r="AH60" s="26"/>
      <c r="AI60" s="234"/>
      <c r="AJ60" s="167"/>
      <c r="AK60" s="167"/>
    </row>
    <row r="61" spans="1:37" ht="21" x14ac:dyDescent="0.4">
      <c r="A61" s="299" t="s">
        <v>4</v>
      </c>
      <c r="B61" s="218" t="str">
        <f t="shared" si="33"/>
        <v>Contact CenterCustomer Contact Ctr Sr Manager</v>
      </c>
      <c r="C61" s="5" t="s">
        <v>48</v>
      </c>
      <c r="D61" s="10"/>
      <c r="E61" s="117"/>
      <c r="F61" s="117"/>
      <c r="G61" s="117"/>
      <c r="H61" s="184" t="s">
        <v>299</v>
      </c>
      <c r="I61" s="163">
        <f>J61*K61</f>
        <v>15040.276693393651</v>
      </c>
      <c r="J61" s="42">
        <f>((J60)*1*L61)*(I$6/($I$6+$S$6+$AC$6))</f>
        <v>269.63565244520709</v>
      </c>
      <c r="K61" s="39">
        <v>55.78</v>
      </c>
      <c r="L61" s="304">
        <f>$T$1</f>
        <v>0.157</v>
      </c>
      <c r="M61" s="40" t="str">
        <f>ROUND(J61,0)&amp;" hrs @ "&amp;K61</f>
        <v>270 hrs @ 55.78</v>
      </c>
      <c r="N61" s="26"/>
      <c r="O61" s="234"/>
      <c r="P61" s="386"/>
      <c r="Q61" s="37"/>
      <c r="R61" s="184" t="s">
        <v>299</v>
      </c>
      <c r="S61" s="163">
        <f>T61*U61</f>
        <v>720.79476366898064</v>
      </c>
      <c r="T61" s="42">
        <f>((T60)*1*V61)*(S$6/($I$6+$S$6+$AC$6))</f>
        <v>12.922100460182515</v>
      </c>
      <c r="U61" s="39">
        <v>55.78</v>
      </c>
      <c r="V61" s="304">
        <f>$T$1</f>
        <v>0.157</v>
      </c>
      <c r="W61" s="40" t="str">
        <f>ROUND(T61,0)&amp;" hrs @ "&amp;U61</f>
        <v>13 hrs @ 55.78</v>
      </c>
      <c r="X61" s="26"/>
      <c r="Y61" s="234"/>
      <c r="Z61" s="386"/>
      <c r="AA61" s="37"/>
      <c r="AB61" s="184" t="s">
        <v>299</v>
      </c>
      <c r="AC61" s="163">
        <f>AD61*AE61</f>
        <v>2.3565429373683804</v>
      </c>
      <c r="AD61" s="42">
        <f>((AD60)*1*AF61)*(AC$6/($I$6+$S$6+$AC$6))</f>
        <v>4.2247094610404809E-2</v>
      </c>
      <c r="AE61" s="39">
        <v>55.78</v>
      </c>
      <c r="AF61" s="304">
        <f>$T$1</f>
        <v>0.157</v>
      </c>
      <c r="AG61" s="40" t="str">
        <f>ROUND(AD61,0)&amp;" hrs @ "&amp;AE61</f>
        <v>0 hrs @ 55.78</v>
      </c>
      <c r="AH61" s="26"/>
      <c r="AI61" s="234"/>
      <c r="AJ61" s="163">
        <f t="shared" ref="AJ61:AJ69" si="34">I61+S61+AC61</f>
        <v>15763.428</v>
      </c>
      <c r="AK61" s="163"/>
    </row>
    <row r="62" spans="1:37" ht="21" x14ac:dyDescent="0.4">
      <c r="A62" s="299" t="s">
        <v>4</v>
      </c>
      <c r="B62" s="218" t="str">
        <f t="shared" si="33"/>
        <v>Contact CenterAccounting Supervisor</v>
      </c>
      <c r="C62" s="5" t="s">
        <v>48</v>
      </c>
      <c r="D62" s="10"/>
      <c r="E62" s="117"/>
      <c r="F62" s="117"/>
      <c r="G62" s="117"/>
      <c r="H62" s="184" t="s">
        <v>300</v>
      </c>
      <c r="I62" s="163">
        <f>J62*K62</f>
        <v>12705.231943218158</v>
      </c>
      <c r="J62" s="42">
        <f>((J60)*1*L62)*(I$6/($I$6+$S$6+$AC$6))</f>
        <v>269.63565244520709</v>
      </c>
      <c r="K62" s="39">
        <v>47.12</v>
      </c>
      <c r="L62" s="304">
        <f>$T$1</f>
        <v>0.157</v>
      </c>
      <c r="M62" s="40" t="str">
        <f t="shared" ref="M62:M64" si="35">ROUND(J62,0)&amp;" hrs @ "&amp;K62</f>
        <v>270 hrs @ 47.12</v>
      </c>
      <c r="N62" s="26"/>
      <c r="O62" s="234"/>
      <c r="P62" s="386"/>
      <c r="Q62" s="37"/>
      <c r="R62" s="184" t="s">
        <v>300</v>
      </c>
      <c r="S62" s="163">
        <f>T62*U62</f>
        <v>608.88937368380005</v>
      </c>
      <c r="T62" s="42">
        <f>((T60)*1*V62)*(S$6/($I$6+$S$6+$AC$6))</f>
        <v>12.922100460182515</v>
      </c>
      <c r="U62" s="39">
        <v>47.12</v>
      </c>
      <c r="V62" s="304">
        <f>$T$1</f>
        <v>0.157</v>
      </c>
      <c r="W62" s="40" t="str">
        <f t="shared" ref="W62:W64" si="36">ROUND(T62,0)&amp;" hrs @ "&amp;U62</f>
        <v>13 hrs @ 47.12</v>
      </c>
      <c r="X62" s="26"/>
      <c r="Y62" s="234"/>
      <c r="Z62" s="386"/>
      <c r="AA62" s="37"/>
      <c r="AB62" s="184" t="s">
        <v>300</v>
      </c>
      <c r="AC62" s="163">
        <f>AD62*AE62</f>
        <v>1.9906830980422745</v>
      </c>
      <c r="AD62" s="42">
        <f>((AD60)*1*AF62)*(AC$6/($I$6+$S$6+$AC$6))</f>
        <v>4.2247094610404809E-2</v>
      </c>
      <c r="AE62" s="39">
        <v>47.12</v>
      </c>
      <c r="AF62" s="304">
        <f>$T$1</f>
        <v>0.157</v>
      </c>
      <c r="AG62" s="40" t="str">
        <f t="shared" ref="AG62:AG64" si="37">ROUND(AD62,0)&amp;" hrs @ "&amp;AE62</f>
        <v>0 hrs @ 47.12</v>
      </c>
      <c r="AH62" s="26"/>
      <c r="AI62" s="234"/>
      <c r="AJ62" s="163">
        <f t="shared" si="34"/>
        <v>13316.111999999999</v>
      </c>
      <c r="AK62" s="163"/>
    </row>
    <row r="63" spans="1:37" ht="21" x14ac:dyDescent="0.4">
      <c r="A63" s="299" t="s">
        <v>4</v>
      </c>
      <c r="B63" s="218" t="str">
        <f t="shared" si="33"/>
        <v>Contact CenterCustomer Contact Ctr Supervisor (7)</v>
      </c>
      <c r="C63" s="5" t="s">
        <v>48</v>
      </c>
      <c r="D63" s="10"/>
      <c r="E63" s="117"/>
      <c r="F63" s="117"/>
      <c r="G63" s="117"/>
      <c r="H63" s="184" t="s">
        <v>301</v>
      </c>
      <c r="I63" s="163">
        <f>J63*K63*L63</f>
        <v>11141.992284601827</v>
      </c>
      <c r="J63" s="42">
        <f>((J60)*7*L63)*(I$6/($I$6+$S$6+$AC$6))</f>
        <v>1887.4495671164498</v>
      </c>
      <c r="K63" s="39">
        <v>37.6</v>
      </c>
      <c r="L63" s="304">
        <f>$T$1</f>
        <v>0.157</v>
      </c>
      <c r="M63" s="40" t="str">
        <f t="shared" si="35"/>
        <v>1887 hrs @ 37.6</v>
      </c>
      <c r="N63" s="26"/>
      <c r="O63" s="234"/>
      <c r="P63" s="386"/>
      <c r="Q63" s="37"/>
      <c r="R63" s="184" t="s">
        <v>301</v>
      </c>
      <c r="S63" s="163">
        <f>T63*U63*V63</f>
        <v>533.97220405584596</v>
      </c>
      <c r="T63" s="42">
        <f>((T60)*7*V63)*(S$6/($I$6+$S$6+$AC$6))</f>
        <v>90.454703221277597</v>
      </c>
      <c r="U63" s="39">
        <v>37.6</v>
      </c>
      <c r="V63" s="304">
        <f>$T$1</f>
        <v>0.157</v>
      </c>
      <c r="W63" s="40" t="str">
        <f t="shared" si="36"/>
        <v>90 hrs @ 37.6</v>
      </c>
      <c r="X63" s="26"/>
      <c r="Y63" s="234"/>
      <c r="Z63" s="386"/>
      <c r="AA63" s="37"/>
      <c r="AB63" s="184" t="s">
        <v>301</v>
      </c>
      <c r="AC63" s="163">
        <f>AD63*AE63*AF63</f>
        <v>1.7457513423289919</v>
      </c>
      <c r="AD63" s="42">
        <f>((AD60)*7*AF63)*(AC$6/($I$6+$S$6+$AC$6))</f>
        <v>0.29572966227283365</v>
      </c>
      <c r="AE63" s="39">
        <v>37.6</v>
      </c>
      <c r="AF63" s="304">
        <f>$T$1</f>
        <v>0.157</v>
      </c>
      <c r="AG63" s="40" t="str">
        <f t="shared" si="37"/>
        <v>0 hrs @ 37.6</v>
      </c>
      <c r="AH63" s="26"/>
      <c r="AI63" s="234"/>
      <c r="AJ63" s="163">
        <f t="shared" si="34"/>
        <v>11677.710240000002</v>
      </c>
      <c r="AK63" s="163"/>
    </row>
    <row r="64" spans="1:37" ht="21" x14ac:dyDescent="0.4">
      <c r="A64" s="299" t="s">
        <v>4</v>
      </c>
      <c r="B64" s="218" t="str">
        <f t="shared" si="33"/>
        <v>Contact CenterCustomer Contact Ctr Analyst 2 (1) @ 16%</v>
      </c>
      <c r="C64" s="5" t="s">
        <v>48</v>
      </c>
      <c r="D64" s="10"/>
      <c r="E64" s="117"/>
      <c r="F64" s="117"/>
      <c r="G64" s="117"/>
      <c r="H64" s="184" t="s">
        <v>355</v>
      </c>
      <c r="I64" s="163">
        <f>J64*K64</f>
        <v>8701.1425044068328</v>
      </c>
      <c r="J64" s="42">
        <f>((J60)*1*L64)*(I$6/($I$6+$S$6+$AC$6))</f>
        <v>269.63565244520709</v>
      </c>
      <c r="K64" s="39">
        <v>32.270000000000003</v>
      </c>
      <c r="L64" s="304">
        <f>$T$1</f>
        <v>0.157</v>
      </c>
      <c r="M64" s="40" t="str">
        <f t="shared" si="35"/>
        <v>270 hrs @ 32.27</v>
      </c>
      <c r="N64" s="26"/>
      <c r="O64" s="234"/>
      <c r="P64" s="386"/>
      <c r="Q64" s="37"/>
      <c r="R64" s="184" t="s">
        <v>355</v>
      </c>
      <c r="S64" s="163">
        <f>T64*U64</f>
        <v>416.99618185008978</v>
      </c>
      <c r="T64" s="42">
        <f>((T60)*1*V64)*(S$6/($I$6+$S$6+$AC$6))</f>
        <v>12.922100460182515</v>
      </c>
      <c r="U64" s="39">
        <v>32.270000000000003</v>
      </c>
      <c r="V64" s="304">
        <f>$T$1</f>
        <v>0.157</v>
      </c>
      <c r="W64" s="40" t="str">
        <f t="shared" si="36"/>
        <v>13 hrs @ 32.27</v>
      </c>
      <c r="X64" s="26"/>
      <c r="Y64" s="234"/>
      <c r="Z64" s="386"/>
      <c r="AA64" s="37"/>
      <c r="AB64" s="184" t="s">
        <v>355</v>
      </c>
      <c r="AC64" s="163">
        <f>AD64*AE64</f>
        <v>1.3633137430777633</v>
      </c>
      <c r="AD64" s="42">
        <f>((AD60)*1*AF64)*(AC$6/($I$6+$S$6+$AC$6))</f>
        <v>4.2247094610404809E-2</v>
      </c>
      <c r="AE64" s="39">
        <v>32.270000000000003</v>
      </c>
      <c r="AF64" s="304">
        <f>$T$1</f>
        <v>0.157</v>
      </c>
      <c r="AG64" s="40" t="str">
        <f t="shared" si="37"/>
        <v>0 hrs @ 32.27</v>
      </c>
      <c r="AH64" s="26"/>
      <c r="AI64" s="234"/>
      <c r="AJ64" s="163">
        <f t="shared" si="34"/>
        <v>9119.5020000000004</v>
      </c>
      <c r="AK64" s="163"/>
    </row>
    <row r="65" spans="1:37" ht="21" x14ac:dyDescent="0.4">
      <c r="A65" s="299" t="s">
        <v>4</v>
      </c>
      <c r="B65" s="218" t="str">
        <f t="shared" si="33"/>
        <v>Contact Center</v>
      </c>
      <c r="C65" s="5" t="s">
        <v>48</v>
      </c>
      <c r="D65" s="10"/>
      <c r="E65" s="117"/>
      <c r="F65" s="117"/>
      <c r="G65" s="117"/>
      <c r="H65" s="179"/>
      <c r="I65" s="173"/>
      <c r="J65" s="174"/>
      <c r="K65" s="175"/>
      <c r="L65" s="181"/>
      <c r="M65" s="176"/>
      <c r="N65" s="26"/>
      <c r="O65" s="234"/>
      <c r="P65" s="386"/>
      <c r="Q65" s="37"/>
      <c r="R65" s="179"/>
      <c r="S65" s="173"/>
      <c r="T65" s="174"/>
      <c r="U65" s="175"/>
      <c r="V65" s="181"/>
      <c r="W65" s="176"/>
      <c r="X65" s="26"/>
      <c r="Y65" s="234"/>
      <c r="Z65" s="386"/>
      <c r="AA65" s="37"/>
      <c r="AB65" s="179"/>
      <c r="AC65" s="173"/>
      <c r="AD65" s="174"/>
      <c r="AE65" s="175"/>
      <c r="AF65" s="181"/>
      <c r="AG65" s="176"/>
      <c r="AH65" s="26"/>
      <c r="AI65" s="234"/>
      <c r="AJ65" s="173">
        <f t="shared" si="34"/>
        <v>0</v>
      </c>
      <c r="AK65" s="173"/>
    </row>
    <row r="66" spans="1:37" ht="21" x14ac:dyDescent="0.4">
      <c r="A66" s="299" t="s">
        <v>4</v>
      </c>
      <c r="B66" s="218" t="str">
        <f t="shared" si="33"/>
        <v>Contact CenterTotal Wages</v>
      </c>
      <c r="C66" s="5" t="s">
        <v>48</v>
      </c>
      <c r="D66" s="10"/>
      <c r="E66" s="117"/>
      <c r="F66" s="117"/>
      <c r="G66" s="117"/>
      <c r="H66" s="184" t="s">
        <v>32</v>
      </c>
      <c r="I66" s="158">
        <f>SUM(I61:I65)</f>
        <v>47588.643425620467</v>
      </c>
      <c r="J66" s="42"/>
      <c r="K66" s="39"/>
      <c r="L66" s="39"/>
      <c r="M66" s="40"/>
      <c r="N66" s="26"/>
      <c r="O66" s="234"/>
      <c r="P66" s="386"/>
      <c r="Q66" s="41"/>
      <c r="R66" s="184" t="s">
        <v>32</v>
      </c>
      <c r="S66" s="158">
        <f>SUM(S61:S65)</f>
        <v>2280.6525232587164</v>
      </c>
      <c r="T66" s="42"/>
      <c r="U66" s="39"/>
      <c r="V66" s="39"/>
      <c r="W66" s="40"/>
      <c r="X66" s="26"/>
      <c r="Y66" s="234"/>
      <c r="Z66" s="386"/>
      <c r="AA66" s="41"/>
      <c r="AB66" s="184" t="s">
        <v>32</v>
      </c>
      <c r="AC66" s="158">
        <f>SUM(AC61:AC65)</f>
        <v>7.4562911208174105</v>
      </c>
      <c r="AD66" s="42"/>
      <c r="AE66" s="39"/>
      <c r="AF66" s="39"/>
      <c r="AG66" s="40"/>
      <c r="AH66" s="26"/>
      <c r="AI66" s="234"/>
      <c r="AJ66" s="158">
        <f t="shared" si="34"/>
        <v>49876.752240000002</v>
      </c>
      <c r="AK66" s="158"/>
    </row>
    <row r="67" spans="1:37" ht="21" x14ac:dyDescent="0.4">
      <c r="A67" s="299"/>
      <c r="B67" s="218" t="str">
        <f t="shared" si="0"/>
        <v/>
      </c>
      <c r="C67" s="5"/>
      <c r="D67" s="10"/>
      <c r="E67" s="117"/>
      <c r="F67" s="117"/>
      <c r="G67" s="117"/>
      <c r="H67" s="184"/>
      <c r="I67" s="159"/>
      <c r="J67" s="42"/>
      <c r="K67" s="39"/>
      <c r="M67" s="45"/>
      <c r="N67" s="26"/>
      <c r="O67" s="234"/>
      <c r="P67" s="386"/>
      <c r="Q67" s="41"/>
      <c r="R67" s="184" t="s">
        <v>222</v>
      </c>
      <c r="S67" s="159"/>
      <c r="T67" s="42"/>
      <c r="U67" s="39"/>
      <c r="W67" s="45"/>
      <c r="X67" s="26"/>
      <c r="Y67" s="234"/>
      <c r="Z67" s="386"/>
      <c r="AA67" s="41"/>
      <c r="AB67" s="184" t="s">
        <v>222</v>
      </c>
      <c r="AC67" s="159"/>
      <c r="AD67" s="42"/>
      <c r="AE67" s="39"/>
      <c r="AG67" s="45"/>
      <c r="AH67" s="26"/>
      <c r="AI67" s="234"/>
      <c r="AJ67" s="159">
        <f t="shared" si="34"/>
        <v>0</v>
      </c>
      <c r="AK67" s="159"/>
    </row>
    <row r="68" spans="1:37" ht="21" x14ac:dyDescent="0.4">
      <c r="A68" s="299" t="s">
        <v>4</v>
      </c>
      <c r="B68" s="218" t="str">
        <f t="shared" ref="B68:B72" si="38">A68&amp;H68</f>
        <v>Contact CenterBenefits</v>
      </c>
      <c r="C68" s="5" t="s">
        <v>48</v>
      </c>
      <c r="D68" s="10"/>
      <c r="E68" s="117"/>
      <c r="F68" s="117"/>
      <c r="G68" s="117"/>
      <c r="H68" s="184" t="s">
        <v>33</v>
      </c>
      <c r="I68" s="159">
        <f>I66*$O$2</f>
        <v>46917.64355331922</v>
      </c>
      <c r="J68" s="42"/>
      <c r="K68" s="39"/>
      <c r="M68" s="45" t="str">
        <f>"@ "&amp;$O$2*100&amp;" %"</f>
        <v>@ 98.59 %</v>
      </c>
      <c r="N68" s="26"/>
      <c r="O68" s="234"/>
      <c r="P68" s="386"/>
      <c r="Q68" s="41"/>
      <c r="R68" s="184" t="s">
        <v>33</v>
      </c>
      <c r="S68" s="159">
        <f>S66*$O$2</f>
        <v>2248.4953226807684</v>
      </c>
      <c r="T68" s="42"/>
      <c r="U68" s="39"/>
      <c r="W68" s="45" t="str">
        <f>"@ "&amp;$O$2*100&amp;" %"</f>
        <v>@ 98.59 %</v>
      </c>
      <c r="X68" s="26"/>
      <c r="Y68" s="234"/>
      <c r="Z68" s="386"/>
      <c r="AA68" s="41"/>
      <c r="AB68" s="184" t="s">
        <v>33</v>
      </c>
      <c r="AC68" s="159">
        <f>AC66*$O$2</f>
        <v>7.3511574160138853</v>
      </c>
      <c r="AD68" s="42"/>
      <c r="AE68" s="39"/>
      <c r="AG68" s="45" t="str">
        <f>"@ "&amp;$O$2*100&amp;" %"</f>
        <v>@ 98.59 %</v>
      </c>
      <c r="AH68" s="26"/>
      <c r="AI68" s="234"/>
      <c r="AJ68" s="159">
        <f t="shared" si="34"/>
        <v>49173.490033416005</v>
      </c>
      <c r="AK68" s="159"/>
    </row>
    <row r="69" spans="1:37" ht="21" x14ac:dyDescent="0.4">
      <c r="A69" s="299" t="s">
        <v>4</v>
      </c>
      <c r="B69" s="218" t="str">
        <f t="shared" si="38"/>
        <v>Contact CenterTotal</v>
      </c>
      <c r="C69" s="5" t="s">
        <v>48</v>
      </c>
      <c r="D69" s="10"/>
      <c r="E69" s="117"/>
      <c r="F69" s="117"/>
      <c r="G69" s="117"/>
      <c r="H69" s="185" t="s">
        <v>34</v>
      </c>
      <c r="I69" s="160">
        <f>I66+I68</f>
        <v>94506.286978939694</v>
      </c>
      <c r="J69" s="42"/>
      <c r="K69" s="39"/>
      <c r="L69" s="50"/>
      <c r="M69" s="51"/>
      <c r="N69" s="420">
        <f>I69</f>
        <v>94506.286978939694</v>
      </c>
      <c r="O69" s="233">
        <f>N69/N93</f>
        <v>7.5325499089505393E-2</v>
      </c>
      <c r="P69" s="386"/>
      <c r="Q69" s="41"/>
      <c r="R69" s="185" t="s">
        <v>34</v>
      </c>
      <c r="S69" s="160">
        <f>S66+S68</f>
        <v>4529.1478459394848</v>
      </c>
      <c r="T69" s="42"/>
      <c r="U69" s="39"/>
      <c r="V69" s="50"/>
      <c r="W69" s="51"/>
      <c r="X69" s="420">
        <f>S69</f>
        <v>4529.1478459394848</v>
      </c>
      <c r="Y69" s="233">
        <f>X69/X93</f>
        <v>7.5325499089505407E-2</v>
      </c>
      <c r="Z69" s="386"/>
      <c r="AA69" s="41"/>
      <c r="AB69" s="185" t="s">
        <v>34</v>
      </c>
      <c r="AC69" s="160">
        <f>AC66+AC68</f>
        <v>14.807448536831295</v>
      </c>
      <c r="AD69" s="42"/>
      <c r="AE69" s="39"/>
      <c r="AF69" s="50"/>
      <c r="AG69" s="51"/>
      <c r="AH69" s="420">
        <f>AC69</f>
        <v>14.807448536831295</v>
      </c>
      <c r="AI69" s="233">
        <f>AH69/AH93</f>
        <v>7.5325499089505421E-2</v>
      </c>
      <c r="AJ69" s="160">
        <f t="shared" si="34"/>
        <v>99050.242273416006</v>
      </c>
      <c r="AK69" s="160"/>
    </row>
    <row r="70" spans="1:37" ht="21" x14ac:dyDescent="0.4">
      <c r="A70" s="299" t="s">
        <v>4</v>
      </c>
      <c r="B70" s="218" t="str">
        <f t="shared" si="38"/>
        <v>Contact Center</v>
      </c>
      <c r="C70" s="5" t="s">
        <v>48</v>
      </c>
      <c r="D70" s="10"/>
      <c r="E70" s="117"/>
      <c r="F70" s="117"/>
      <c r="G70" s="117"/>
      <c r="H70" s="179"/>
      <c r="I70" s="166"/>
      <c r="J70" s="69"/>
      <c r="K70" s="69"/>
      <c r="L70" s="69"/>
      <c r="M70" s="70"/>
      <c r="N70" s="72"/>
      <c r="O70" s="235"/>
      <c r="P70" s="387"/>
      <c r="Q70" s="60"/>
      <c r="R70" s="179"/>
      <c r="S70" s="166"/>
      <c r="T70" s="69"/>
      <c r="U70" s="69"/>
      <c r="V70" s="69"/>
      <c r="W70" s="70"/>
      <c r="X70" s="72"/>
      <c r="Y70" s="235"/>
      <c r="Z70" s="387"/>
      <c r="AA70" s="60"/>
      <c r="AB70" s="179"/>
      <c r="AC70" s="166"/>
      <c r="AD70" s="69"/>
      <c r="AE70" s="69"/>
      <c r="AF70" s="69"/>
      <c r="AG70" s="70"/>
      <c r="AH70" s="72"/>
      <c r="AI70" s="235"/>
      <c r="AJ70" s="166"/>
      <c r="AK70" s="166"/>
    </row>
    <row r="71" spans="1:37" ht="21" x14ac:dyDescent="0.4">
      <c r="A71" s="299" t="s">
        <v>4</v>
      </c>
      <c r="B71" s="218" t="str">
        <f t="shared" si="38"/>
        <v>Contact CenterEQUIPMENT</v>
      </c>
      <c r="C71" s="5" t="s">
        <v>48</v>
      </c>
      <c r="D71" s="10"/>
      <c r="E71" s="117"/>
      <c r="F71" s="117"/>
      <c r="G71" s="117"/>
      <c r="H71" s="186" t="s">
        <v>36</v>
      </c>
      <c r="I71" s="167"/>
      <c r="J71" s="74"/>
      <c r="K71" s="74"/>
      <c r="L71" s="74"/>
      <c r="M71" s="66"/>
      <c r="N71" s="76"/>
      <c r="O71" s="237"/>
      <c r="P71" s="386"/>
      <c r="Q71" s="37"/>
      <c r="R71" s="186" t="s">
        <v>36</v>
      </c>
      <c r="S71" s="167"/>
      <c r="T71" s="74"/>
      <c r="U71" s="74"/>
      <c r="V71" s="74"/>
      <c r="W71" s="66"/>
      <c r="X71" s="76"/>
      <c r="Y71" s="237"/>
      <c r="Z71" s="386"/>
      <c r="AA71" s="37"/>
      <c r="AB71" s="186" t="s">
        <v>36</v>
      </c>
      <c r="AC71" s="167"/>
      <c r="AD71" s="74"/>
      <c r="AE71" s="74"/>
      <c r="AF71" s="74"/>
      <c r="AG71" s="66"/>
      <c r="AH71" s="76"/>
      <c r="AI71" s="237"/>
      <c r="AJ71" s="167"/>
      <c r="AK71" s="167"/>
    </row>
    <row r="72" spans="1:37" ht="21" x14ac:dyDescent="0.4">
      <c r="A72" s="299" t="s">
        <v>4</v>
      </c>
      <c r="B72" s="218" t="str">
        <f t="shared" si="38"/>
        <v>Contact CenterTelephone, Office Supplies, Printing, &amp; Other</v>
      </c>
      <c r="C72" s="5" t="s">
        <v>48</v>
      </c>
      <c r="D72" s="10"/>
      <c r="E72" s="117"/>
      <c r="F72" s="117"/>
      <c r="G72" s="117"/>
      <c r="H72" s="184" t="s">
        <v>303</v>
      </c>
      <c r="I72" s="163">
        <f>J72*K72*L72</f>
        <v>79034.119448650672</v>
      </c>
      <c r="J72" s="306">
        <f>1*(I$6/($I$6+$S$6+$AC$6))</f>
        <v>0.95412474325975616</v>
      </c>
      <c r="K72" s="39">
        <v>527606.10000000009</v>
      </c>
      <c r="L72" s="304">
        <f>$T$1</f>
        <v>0.157</v>
      </c>
      <c r="M72" s="66"/>
      <c r="N72" s="76"/>
      <c r="O72" s="237"/>
      <c r="P72" s="386"/>
      <c r="Q72" s="37"/>
      <c r="R72" s="184" t="s">
        <v>303</v>
      </c>
      <c r="S72" s="163">
        <f>T72*U72*V72</f>
        <v>3787.6550153361677</v>
      </c>
      <c r="T72" s="306">
        <f>1*(S$6/($I$6+$S$6+$AC$6))</f>
        <v>4.5725762421028E-2</v>
      </c>
      <c r="U72" s="39">
        <v>527606.10000000009</v>
      </c>
      <c r="V72" s="304">
        <f>$T$1</f>
        <v>0.157</v>
      </c>
      <c r="W72" s="66"/>
      <c r="X72" s="76"/>
      <c r="Y72" s="237"/>
      <c r="Z72" s="386"/>
      <c r="AA72" s="37"/>
      <c r="AB72" s="184" t="s">
        <v>303</v>
      </c>
      <c r="AC72" s="163">
        <f>AD72*AE72*AF72</f>
        <v>12.3832360131815</v>
      </c>
      <c r="AD72" s="306">
        <f>1*(AC$6/($I$6+$S$6+$AC$6))</f>
        <v>1.4949431921586979E-4</v>
      </c>
      <c r="AE72" s="39">
        <v>527606.10000000009</v>
      </c>
      <c r="AF72" s="304">
        <f>$T$1</f>
        <v>0.157</v>
      </c>
      <c r="AG72" s="66"/>
      <c r="AH72" s="76"/>
      <c r="AI72" s="237"/>
      <c r="AJ72" s="163">
        <f>I72+S72+AC72</f>
        <v>82834.157700000011</v>
      </c>
      <c r="AK72" s="163"/>
    </row>
    <row r="73" spans="1:37" ht="21" x14ac:dyDescent="0.4">
      <c r="A73" s="299" t="s">
        <v>4</v>
      </c>
      <c r="B73" s="218" t="str">
        <f t="shared" si="0"/>
        <v>Contact Center</v>
      </c>
      <c r="C73" s="5" t="s">
        <v>48</v>
      </c>
      <c r="D73" s="10"/>
      <c r="E73" s="117"/>
      <c r="F73" s="117"/>
      <c r="G73" s="117"/>
      <c r="H73" s="187"/>
      <c r="I73" s="163"/>
      <c r="J73" s="42"/>
      <c r="K73" s="39"/>
      <c r="L73" s="39"/>
      <c r="M73" s="66"/>
      <c r="N73" s="79"/>
      <c r="O73" s="238"/>
      <c r="P73" s="388"/>
      <c r="Q73" s="81"/>
      <c r="R73" s="187"/>
      <c r="S73" s="163"/>
      <c r="T73" s="42"/>
      <c r="U73" s="39"/>
      <c r="V73" s="39"/>
      <c r="W73" s="66"/>
      <c r="X73" s="79"/>
      <c r="Y73" s="238"/>
      <c r="Z73" s="388"/>
      <c r="AA73" s="81"/>
      <c r="AB73" s="187"/>
      <c r="AC73" s="163"/>
      <c r="AD73" s="42"/>
      <c r="AE73" s="39"/>
      <c r="AF73" s="39"/>
      <c r="AG73" s="66"/>
      <c r="AH73" s="79"/>
      <c r="AI73" s="238"/>
      <c r="AJ73" s="163"/>
      <c r="AK73" s="163"/>
    </row>
    <row r="74" spans="1:37" ht="21" x14ac:dyDescent="0.4">
      <c r="A74" s="299" t="s">
        <v>4</v>
      </c>
      <c r="B74" s="218" t="str">
        <f t="shared" si="0"/>
        <v>Contact Center</v>
      </c>
      <c r="C74" s="5" t="s">
        <v>48</v>
      </c>
      <c r="D74" s="10"/>
      <c r="E74" s="117"/>
      <c r="F74" s="117"/>
      <c r="G74" s="117"/>
      <c r="H74" s="187"/>
      <c r="I74" s="168"/>
      <c r="J74" s="42"/>
      <c r="K74" s="39"/>
      <c r="L74" s="42"/>
      <c r="M74" s="66"/>
      <c r="N74" s="79"/>
      <c r="O74" s="238"/>
      <c r="P74" s="388"/>
      <c r="Q74" s="81"/>
      <c r="R74" s="187"/>
      <c r="S74" s="168"/>
      <c r="T74" s="42"/>
      <c r="U74" s="39"/>
      <c r="V74" s="42"/>
      <c r="W74" s="66"/>
      <c r="X74" s="79"/>
      <c r="Y74" s="238"/>
      <c r="Z74" s="388"/>
      <c r="AA74" s="81"/>
      <c r="AB74" s="187"/>
      <c r="AC74" s="168"/>
      <c r="AD74" s="42"/>
      <c r="AE74" s="39"/>
      <c r="AF74" s="42"/>
      <c r="AG74" s="66"/>
      <c r="AH74" s="79"/>
      <c r="AI74" s="238"/>
      <c r="AJ74" s="168"/>
      <c r="AK74" s="168"/>
    </row>
    <row r="75" spans="1:37" ht="21" x14ac:dyDescent="0.4">
      <c r="A75" s="299" t="s">
        <v>4</v>
      </c>
      <c r="B75" s="218" t="str">
        <f t="shared" si="0"/>
        <v>Contact Center</v>
      </c>
      <c r="C75" s="5" t="s">
        <v>48</v>
      </c>
      <c r="D75" s="10"/>
      <c r="E75" s="117"/>
      <c r="F75" s="117"/>
      <c r="G75" s="117"/>
      <c r="H75" s="187"/>
      <c r="I75" s="164"/>
      <c r="J75" s="42"/>
      <c r="K75" s="39"/>
      <c r="L75" s="43"/>
      <c r="M75" s="66"/>
      <c r="N75" s="79"/>
      <c r="O75" s="238"/>
      <c r="P75" s="388"/>
      <c r="Q75" s="81"/>
      <c r="R75" s="187"/>
      <c r="S75" s="164"/>
      <c r="T75" s="42"/>
      <c r="U75" s="39"/>
      <c r="V75" s="43"/>
      <c r="W75" s="66" t="str">
        <f t="shared" ref="W75" si="39">T75&amp;" hrs @ "&amp;U75</f>
        <v xml:space="preserve"> hrs @ </v>
      </c>
      <c r="X75" s="79"/>
      <c r="Y75" s="238"/>
      <c r="Z75" s="388"/>
      <c r="AA75" s="81"/>
      <c r="AB75" s="187"/>
      <c r="AC75" s="164"/>
      <c r="AD75" s="42"/>
      <c r="AE75" s="39"/>
      <c r="AF75" s="43"/>
      <c r="AG75" s="66"/>
      <c r="AH75" s="79"/>
      <c r="AI75" s="238"/>
      <c r="AJ75" s="164"/>
      <c r="AK75" s="164"/>
    </row>
    <row r="76" spans="1:37" ht="21" x14ac:dyDescent="0.4">
      <c r="A76" s="299" t="s">
        <v>4</v>
      </c>
      <c r="B76" s="218" t="str">
        <f t="shared" ref="B76:B139" si="40">A76&amp;H76</f>
        <v>Contact CenterTotal Equipment</v>
      </c>
      <c r="C76" s="124" t="s">
        <v>50</v>
      </c>
      <c r="D76" s="10"/>
      <c r="E76" s="116">
        <f>I76</f>
        <v>79034.119448650672</v>
      </c>
      <c r="F76" s="116">
        <f>S76</f>
        <v>3787.6550153361677</v>
      </c>
      <c r="G76" s="116">
        <f>AC76</f>
        <v>12.3832360131815</v>
      </c>
      <c r="H76" s="188" t="s">
        <v>37</v>
      </c>
      <c r="I76" s="165">
        <f>SUM(I72:I75)</f>
        <v>79034.119448650672</v>
      </c>
      <c r="J76" s="68"/>
      <c r="K76" s="68"/>
      <c r="L76" s="68"/>
      <c r="M76" s="66"/>
      <c r="N76" s="420">
        <f>I76</f>
        <v>79034.119448650672</v>
      </c>
      <c r="O76" s="233">
        <f>N76/N93</f>
        <v>6.299352860932797E-2</v>
      </c>
      <c r="P76" s="388"/>
      <c r="Q76" s="81"/>
      <c r="R76" s="188" t="s">
        <v>37</v>
      </c>
      <c r="S76" s="165">
        <f>SUM(S72:S75)</f>
        <v>3787.6550153361677</v>
      </c>
      <c r="T76" s="68"/>
      <c r="U76" s="68"/>
      <c r="V76" s="68"/>
      <c r="W76" s="66"/>
      <c r="X76" s="420">
        <f>S76</f>
        <v>3787.6550153361677</v>
      </c>
      <c r="Y76" s="233">
        <f>X76/X93</f>
        <v>6.299352860932797E-2</v>
      </c>
      <c r="Z76" s="388"/>
      <c r="AA76" s="81"/>
      <c r="AB76" s="188" t="s">
        <v>37</v>
      </c>
      <c r="AC76" s="165">
        <f>SUM(AC72:AC75)</f>
        <v>12.3832360131815</v>
      </c>
      <c r="AD76" s="68"/>
      <c r="AE76" s="68"/>
      <c r="AF76" s="68"/>
      <c r="AG76" s="66"/>
      <c r="AH76" s="420">
        <f>AC76</f>
        <v>12.3832360131815</v>
      </c>
      <c r="AI76" s="233">
        <f>AH76/AH93</f>
        <v>6.299352860932797E-2</v>
      </c>
      <c r="AJ76" s="165">
        <f>I76+S76+AC76</f>
        <v>82834.157700000011</v>
      </c>
      <c r="AK76" s="165"/>
    </row>
    <row r="77" spans="1:37" ht="21" x14ac:dyDescent="0.4">
      <c r="A77" s="299" t="s">
        <v>4</v>
      </c>
      <c r="B77" s="218" t="str">
        <f t="shared" si="40"/>
        <v>Contact Center</v>
      </c>
      <c r="C77" s="5" t="s">
        <v>48</v>
      </c>
      <c r="D77" s="10"/>
      <c r="E77" s="117"/>
      <c r="F77" s="117"/>
      <c r="G77" s="117"/>
      <c r="H77" s="189"/>
      <c r="I77" s="166"/>
      <c r="J77" s="69"/>
      <c r="K77" s="69"/>
      <c r="L77" s="69"/>
      <c r="M77" s="70"/>
      <c r="N77" s="88"/>
      <c r="O77" s="241"/>
      <c r="P77" s="389"/>
      <c r="Q77" s="60"/>
      <c r="R77" s="189"/>
      <c r="S77" s="166"/>
      <c r="T77" s="69"/>
      <c r="U77" s="69"/>
      <c r="V77" s="69"/>
      <c r="W77" s="70"/>
      <c r="X77" s="88"/>
      <c r="Y77" s="241"/>
      <c r="Z77" s="389"/>
      <c r="AA77" s="60"/>
      <c r="AB77" s="189"/>
      <c r="AC77" s="166"/>
      <c r="AD77" s="69"/>
      <c r="AE77" s="69"/>
      <c r="AF77" s="69"/>
      <c r="AG77" s="70"/>
      <c r="AH77" s="88"/>
      <c r="AI77" s="241"/>
      <c r="AJ77" s="166"/>
      <c r="AK77" s="166"/>
    </row>
    <row r="78" spans="1:37" ht="21" x14ac:dyDescent="0.4">
      <c r="A78" s="299" t="s">
        <v>4</v>
      </c>
      <c r="B78" s="218" t="str">
        <f t="shared" si="40"/>
        <v>Contact CenterIS SUPPORT</v>
      </c>
      <c r="C78" s="124" t="s">
        <v>50</v>
      </c>
      <c r="D78" s="10"/>
      <c r="E78" s="117"/>
      <c r="F78" s="117"/>
      <c r="G78" s="117"/>
      <c r="H78" s="186" t="s">
        <v>38</v>
      </c>
      <c r="I78" s="167"/>
      <c r="J78" s="302">
        <v>1800</v>
      </c>
      <c r="K78" s="302" t="s">
        <v>298</v>
      </c>
      <c r="L78" s="74"/>
      <c r="M78" s="66"/>
      <c r="N78" s="91"/>
      <c r="O78" s="227"/>
      <c r="P78" s="390"/>
      <c r="Q78" s="37"/>
      <c r="R78" s="186" t="s">
        <v>38</v>
      </c>
      <c r="S78" s="167"/>
      <c r="T78" s="302">
        <v>1800</v>
      </c>
      <c r="U78" s="302" t="s">
        <v>298</v>
      </c>
      <c r="V78" s="74"/>
      <c r="W78" s="66"/>
      <c r="X78" s="91"/>
      <c r="Y78" s="227"/>
      <c r="Z78" s="390"/>
      <c r="AA78" s="37"/>
      <c r="AB78" s="186" t="s">
        <v>38</v>
      </c>
      <c r="AC78" s="167"/>
      <c r="AD78" s="302">
        <v>1800</v>
      </c>
      <c r="AE78" s="302" t="s">
        <v>298</v>
      </c>
      <c r="AF78" s="74"/>
      <c r="AG78" s="66"/>
      <c r="AH78" s="91"/>
      <c r="AI78" s="227"/>
      <c r="AJ78" s="167"/>
      <c r="AK78" s="167"/>
    </row>
    <row r="79" spans="1:37" ht="21" x14ac:dyDescent="0.4">
      <c r="A79" s="299" t="s">
        <v>4</v>
      </c>
      <c r="B79" s="218" t="str">
        <f t="shared" si="40"/>
        <v>Contact CenterBusiness Syst Info Svc Spec 3</v>
      </c>
      <c r="C79" s="5" t="s">
        <v>48</v>
      </c>
      <c r="D79" s="10"/>
      <c r="E79" s="117"/>
      <c r="F79" s="117"/>
      <c r="G79" s="117"/>
      <c r="H79" s="184" t="s">
        <v>305</v>
      </c>
      <c r="I79" s="163">
        <f>J79*K79</f>
        <v>10467.256027922938</v>
      </c>
      <c r="J79" s="42">
        <f>((J78)*1*L79)*(I$6/($I$6+$S$6+$AC$6))</f>
        <v>269.63565244520709</v>
      </c>
      <c r="K79" s="39">
        <v>38.82</v>
      </c>
      <c r="L79" s="304">
        <f>$T$1</f>
        <v>0.157</v>
      </c>
      <c r="M79" s="40" t="str">
        <f>ROUND(J79,0)&amp;" hrs @ "&amp;K79</f>
        <v>270 hrs @ 38.82</v>
      </c>
      <c r="N79" s="94"/>
      <c r="O79" s="242"/>
      <c r="P79" s="390"/>
      <c r="Q79" s="37"/>
      <c r="R79" s="184" t="s">
        <v>305</v>
      </c>
      <c r="S79" s="163">
        <f>T79*U79</f>
        <v>501.63593986428521</v>
      </c>
      <c r="T79" s="42">
        <f>((T78)*1*V79)*(S$6/($I$6+$S$6+$AC$6))</f>
        <v>12.922100460182515</v>
      </c>
      <c r="U79" s="39">
        <v>38.82</v>
      </c>
      <c r="V79" s="304">
        <f>$T$1</f>
        <v>0.157</v>
      </c>
      <c r="W79" s="40" t="str">
        <f>ROUND(T79,0)&amp;" hrs @ "&amp;U79</f>
        <v>13 hrs @ 38.82</v>
      </c>
      <c r="X79" s="94"/>
      <c r="Y79" s="242"/>
      <c r="Z79" s="390"/>
      <c r="AA79" s="37"/>
      <c r="AB79" s="184" t="s">
        <v>305</v>
      </c>
      <c r="AC79" s="163">
        <f>AD79*AE79</f>
        <v>1.6400322127759146</v>
      </c>
      <c r="AD79" s="42">
        <f>((AD78)*1*AF79)*(AC$6/($I$6+$S$6+$AC$6))</f>
        <v>4.2247094610404809E-2</v>
      </c>
      <c r="AE79" s="39">
        <v>38.82</v>
      </c>
      <c r="AF79" s="304">
        <f>$T$1</f>
        <v>0.157</v>
      </c>
      <c r="AG79" s="40" t="str">
        <f>ROUND(AD79,0)&amp;" hrs @ "&amp;AE79</f>
        <v>0 hrs @ 38.82</v>
      </c>
      <c r="AH79" s="94"/>
      <c r="AI79" s="242"/>
      <c r="AJ79" s="163">
        <f>I79+S79+AC79</f>
        <v>10970.531999999999</v>
      </c>
      <c r="AK79" s="163"/>
    </row>
    <row r="80" spans="1:37" ht="21" x14ac:dyDescent="0.4">
      <c r="A80" s="299" t="s">
        <v>4</v>
      </c>
      <c r="B80" s="218" t="str">
        <f t="shared" si="40"/>
        <v>Contact CenterBenefits</v>
      </c>
      <c r="C80" s="5" t="s">
        <v>48</v>
      </c>
      <c r="D80" s="10"/>
      <c r="E80" s="117"/>
      <c r="F80" s="117"/>
      <c r="G80" s="117"/>
      <c r="H80" s="184" t="s">
        <v>33</v>
      </c>
      <c r="I80" s="159">
        <f>I79*$O$2</f>
        <v>10319.667717929226</v>
      </c>
      <c r="J80" s="42"/>
      <c r="K80" s="39"/>
      <c r="L80" s="156"/>
      <c r="M80" s="45" t="str">
        <f>"@ "&amp;$O$2*100&amp;" %"</f>
        <v>@ 98.59 %</v>
      </c>
      <c r="N80" s="94"/>
      <c r="O80" s="242"/>
      <c r="P80" s="390"/>
      <c r="Q80" s="37"/>
      <c r="R80" s="184" t="s">
        <v>33</v>
      </c>
      <c r="S80" s="159">
        <f>S79*$O$2</f>
        <v>494.56287311219876</v>
      </c>
      <c r="T80" s="42"/>
      <c r="U80" s="39"/>
      <c r="V80" s="156"/>
      <c r="W80" s="45" t="str">
        <f>"@ "&amp;$O$2*100&amp;" %"</f>
        <v>@ 98.59 %</v>
      </c>
      <c r="X80" s="94"/>
      <c r="Y80" s="242"/>
      <c r="Z80" s="390"/>
      <c r="AA80" s="37"/>
      <c r="AB80" s="184" t="s">
        <v>33</v>
      </c>
      <c r="AC80" s="159">
        <f>AC79*$O$2</f>
        <v>1.6169077585757743</v>
      </c>
      <c r="AD80" s="42"/>
      <c r="AE80" s="39"/>
      <c r="AF80" s="156"/>
      <c r="AG80" s="45" t="str">
        <f>"@ "&amp;$O$2*100&amp;" %"</f>
        <v>@ 98.59 %</v>
      </c>
      <c r="AH80" s="94"/>
      <c r="AI80" s="242"/>
      <c r="AJ80" s="159">
        <f>I80+S80+AC80</f>
        <v>10815.847498800002</v>
      </c>
      <c r="AK80" s="159"/>
    </row>
    <row r="81" spans="1:37" ht="21" x14ac:dyDescent="0.4">
      <c r="A81" s="299" t="s">
        <v>4</v>
      </c>
      <c r="B81" s="218" t="str">
        <f t="shared" si="40"/>
        <v>Contact CenterTotal IS</v>
      </c>
      <c r="C81" s="124" t="s">
        <v>50</v>
      </c>
      <c r="D81" s="10"/>
      <c r="E81" s="117"/>
      <c r="F81" s="117"/>
      <c r="G81" s="117"/>
      <c r="H81" s="185" t="s">
        <v>41</v>
      </c>
      <c r="I81" s="165">
        <f>I79+I80</f>
        <v>20786.923745852164</v>
      </c>
      <c r="J81" s="68"/>
      <c r="K81" s="68"/>
      <c r="L81" s="68"/>
      <c r="M81" s="66"/>
      <c r="N81" s="420">
        <f>I81</f>
        <v>20786.923745852164</v>
      </c>
      <c r="O81" s="233">
        <f>N81/N93</f>
        <v>1.6568055478052308E-2</v>
      </c>
      <c r="P81" s="390"/>
      <c r="Q81" s="37"/>
      <c r="R81" s="185" t="s">
        <v>41</v>
      </c>
      <c r="S81" s="165">
        <f>S79+S80</f>
        <v>996.19881297648396</v>
      </c>
      <c r="T81" s="68"/>
      <c r="U81" s="68"/>
      <c r="V81" s="68"/>
      <c r="W81" s="66"/>
      <c r="X81" s="420">
        <f>S81</f>
        <v>996.19881297648396</v>
      </c>
      <c r="Y81" s="233">
        <f>X81/X93</f>
        <v>1.6568055478052311E-2</v>
      </c>
      <c r="Z81" s="390"/>
      <c r="AA81" s="37"/>
      <c r="AB81" s="185" t="s">
        <v>41</v>
      </c>
      <c r="AC81" s="165">
        <f>AC79+AC80</f>
        <v>3.2569399713516889</v>
      </c>
      <c r="AD81" s="68"/>
      <c r="AE81" s="68"/>
      <c r="AF81" s="68"/>
      <c r="AG81" s="66"/>
      <c r="AH81" s="420">
        <f>AC81</f>
        <v>3.2569399713516889</v>
      </c>
      <c r="AI81" s="233">
        <f>AH81/AH93</f>
        <v>1.6568055478052315E-2</v>
      </c>
      <c r="AJ81" s="165">
        <f>I81+S81+AC81</f>
        <v>21786.379498799997</v>
      </c>
      <c r="AK81" s="165"/>
    </row>
    <row r="82" spans="1:37" ht="21" x14ac:dyDescent="0.4">
      <c r="A82" s="299" t="s">
        <v>4</v>
      </c>
      <c r="B82" s="218" t="str">
        <f t="shared" si="40"/>
        <v>Contact Center</v>
      </c>
      <c r="C82" s="5" t="s">
        <v>48</v>
      </c>
      <c r="D82" s="10"/>
      <c r="E82" s="117"/>
      <c r="F82" s="117"/>
      <c r="G82" s="117"/>
      <c r="H82" s="179"/>
      <c r="I82" s="166"/>
      <c r="J82" s="69"/>
      <c r="K82" s="69"/>
      <c r="L82" s="69"/>
      <c r="M82" s="70"/>
      <c r="N82" s="98"/>
      <c r="O82" s="243"/>
      <c r="P82" s="391"/>
      <c r="Q82" s="60"/>
      <c r="R82" s="179"/>
      <c r="S82" s="166"/>
      <c r="T82" s="69"/>
      <c r="U82" s="69"/>
      <c r="V82" s="69"/>
      <c r="W82" s="70"/>
      <c r="X82" s="98"/>
      <c r="Y82" s="243"/>
      <c r="Z82" s="391"/>
      <c r="AA82" s="60"/>
      <c r="AB82" s="179"/>
      <c r="AC82" s="166"/>
      <c r="AD82" s="69"/>
      <c r="AE82" s="69"/>
      <c r="AF82" s="69"/>
      <c r="AG82" s="70"/>
      <c r="AH82" s="98"/>
      <c r="AI82" s="243"/>
      <c r="AJ82" s="166"/>
      <c r="AK82" s="166"/>
    </row>
    <row r="83" spans="1:37" ht="21" x14ac:dyDescent="0.4">
      <c r="A83" s="299" t="s">
        <v>4</v>
      </c>
      <c r="B83" s="218" t="str">
        <f t="shared" si="40"/>
        <v>Contact CenterOTHER</v>
      </c>
      <c r="C83" s="124" t="s">
        <v>50</v>
      </c>
      <c r="D83" s="10"/>
      <c r="E83" s="117"/>
      <c r="F83" s="117"/>
      <c r="G83" s="117"/>
      <c r="H83" s="186" t="s">
        <v>42</v>
      </c>
      <c r="I83" s="167"/>
      <c r="J83" s="74"/>
      <c r="K83" s="74"/>
      <c r="L83" s="74"/>
      <c r="M83" s="66"/>
      <c r="N83" s="91"/>
      <c r="O83" s="227"/>
      <c r="P83" s="390"/>
      <c r="Q83" s="37"/>
      <c r="R83" s="186" t="s">
        <v>42</v>
      </c>
      <c r="S83" s="167"/>
      <c r="T83" s="74"/>
      <c r="U83" s="74"/>
      <c r="V83" s="74"/>
      <c r="W83" s="66"/>
      <c r="X83" s="91"/>
      <c r="Y83" s="227"/>
      <c r="Z83" s="390"/>
      <c r="AA83" s="37"/>
      <c r="AB83" s="186" t="s">
        <v>42</v>
      </c>
      <c r="AC83" s="167"/>
      <c r="AD83" s="74"/>
      <c r="AE83" s="74"/>
      <c r="AF83" s="74"/>
      <c r="AG83" s="66"/>
      <c r="AH83" s="91"/>
      <c r="AI83" s="227"/>
      <c r="AJ83" s="167"/>
      <c r="AK83" s="167"/>
    </row>
    <row r="84" spans="1:37" ht="21" x14ac:dyDescent="0.4">
      <c r="A84" s="299" t="s">
        <v>4</v>
      </c>
      <c r="B84" s="218" t="str">
        <f t="shared" si="40"/>
        <v>Contact CenterContract Labor- Telesource  (16%)</v>
      </c>
      <c r="C84" s="5" t="s">
        <v>48</v>
      </c>
      <c r="D84" s="10"/>
      <c r="E84" s="117"/>
      <c r="F84" s="117"/>
      <c r="G84" s="117"/>
      <c r="H84" s="184" t="s">
        <v>354</v>
      </c>
      <c r="I84" s="163">
        <f>J84*K84*L84</f>
        <v>193238.88425239839</v>
      </c>
      <c r="J84" s="306">
        <f>1*(I$6/($I$6+$S$6+$AC$6))</f>
        <v>0.95412474325975616</v>
      </c>
      <c r="K84" s="39">
        <v>1290000</v>
      </c>
      <c r="L84" s="304">
        <f>$T$1</f>
        <v>0.157</v>
      </c>
      <c r="M84" s="66"/>
      <c r="N84" s="76"/>
      <c r="O84" s="237"/>
      <c r="P84" s="386"/>
      <c r="Q84" s="37"/>
      <c r="R84" s="184" t="s">
        <v>354</v>
      </c>
      <c r="S84" s="163">
        <f>T84*U84*V84</f>
        <v>9260.8386631308003</v>
      </c>
      <c r="T84" s="306">
        <f>1*(S$6/($I$6+$S$6+$AC$6))</f>
        <v>4.5725762421028E-2</v>
      </c>
      <c r="U84" s="39">
        <v>1290000</v>
      </c>
      <c r="V84" s="304">
        <f>$T$1</f>
        <v>0.157</v>
      </c>
      <c r="W84" s="66"/>
      <c r="X84" s="76"/>
      <c r="Y84" s="237"/>
      <c r="Z84" s="386"/>
      <c r="AA84" s="37"/>
      <c r="AB84" s="184" t="s">
        <v>354</v>
      </c>
      <c r="AC84" s="163">
        <f>AD84*AE84*AF84</f>
        <v>30.277084470790111</v>
      </c>
      <c r="AD84" s="306">
        <f>1*(AC$6/($I$6+$S$6+$AC$6))</f>
        <v>1.4949431921586979E-4</v>
      </c>
      <c r="AE84" s="39">
        <v>1290000</v>
      </c>
      <c r="AF84" s="304">
        <f>$T$1</f>
        <v>0.157</v>
      </c>
      <c r="AG84" s="66"/>
      <c r="AH84" s="76"/>
      <c r="AI84" s="237"/>
      <c r="AJ84" s="163">
        <f>I84+S84+AC84</f>
        <v>202529.99999999997</v>
      </c>
      <c r="AK84" s="163"/>
    </row>
    <row r="85" spans="1:37" ht="21" x14ac:dyDescent="0.4">
      <c r="A85" s="299" t="s">
        <v>4</v>
      </c>
      <c r="B85" s="218" t="str">
        <f t="shared" si="40"/>
        <v>Contact Center</v>
      </c>
      <c r="C85" s="5" t="s">
        <v>48</v>
      </c>
      <c r="D85" s="10"/>
      <c r="E85" s="117"/>
      <c r="F85" s="117"/>
      <c r="G85" s="117"/>
      <c r="H85" s="184"/>
      <c r="I85" s="168"/>
      <c r="J85" s="42"/>
      <c r="K85" s="39"/>
      <c r="L85" s="42"/>
      <c r="M85" s="66"/>
      <c r="N85" s="91"/>
      <c r="O85" s="227"/>
      <c r="P85" s="390"/>
      <c r="Q85" s="37"/>
      <c r="R85" s="184"/>
      <c r="S85" s="168"/>
      <c r="T85" s="42"/>
      <c r="U85" s="39"/>
      <c r="V85" s="42"/>
      <c r="W85" s="66"/>
      <c r="X85" s="91"/>
      <c r="Y85" s="227"/>
      <c r="Z85" s="390"/>
      <c r="AA85" s="37"/>
      <c r="AB85" s="184"/>
      <c r="AC85" s="168"/>
      <c r="AD85" s="42"/>
      <c r="AE85" s="39"/>
      <c r="AF85" s="42"/>
      <c r="AG85" s="66"/>
      <c r="AH85" s="91"/>
      <c r="AI85" s="227"/>
      <c r="AJ85" s="168"/>
      <c r="AK85" s="168"/>
    </row>
    <row r="86" spans="1:37" ht="21" x14ac:dyDescent="0.4">
      <c r="A86" s="299" t="s">
        <v>4</v>
      </c>
      <c r="B86" s="218" t="str">
        <f t="shared" si="40"/>
        <v>Contact Center</v>
      </c>
      <c r="C86" s="5" t="s">
        <v>48</v>
      </c>
      <c r="D86" s="10"/>
      <c r="E86" s="117"/>
      <c r="F86" s="117"/>
      <c r="G86" s="117"/>
      <c r="H86" s="184"/>
      <c r="I86" s="168"/>
      <c r="J86" s="42"/>
      <c r="K86" s="39"/>
      <c r="L86" s="42"/>
      <c r="M86" s="66"/>
      <c r="N86" s="91"/>
      <c r="O86" s="227"/>
      <c r="P86" s="390"/>
      <c r="Q86" s="37"/>
      <c r="R86" s="184"/>
      <c r="S86" s="168"/>
      <c r="T86" s="42"/>
      <c r="U86" s="39"/>
      <c r="V86" s="42"/>
      <c r="W86" s="66"/>
      <c r="X86" s="91"/>
      <c r="Y86" s="227"/>
      <c r="Z86" s="390"/>
      <c r="AA86" s="37"/>
      <c r="AB86" s="184"/>
      <c r="AC86" s="168"/>
      <c r="AD86" s="42"/>
      <c r="AE86" s="39"/>
      <c r="AF86" s="42"/>
      <c r="AG86" s="66"/>
      <c r="AH86" s="91"/>
      <c r="AI86" s="227"/>
      <c r="AJ86" s="168"/>
      <c r="AK86" s="168"/>
    </row>
    <row r="87" spans="1:37" ht="21" x14ac:dyDescent="0.4">
      <c r="A87" s="299" t="s">
        <v>4</v>
      </c>
      <c r="B87" s="218" t="str">
        <f t="shared" si="40"/>
        <v>Contact Center</v>
      </c>
      <c r="C87" s="5" t="s">
        <v>48</v>
      </c>
      <c r="D87" s="10"/>
      <c r="E87" s="117"/>
      <c r="F87" s="117"/>
      <c r="G87" s="117"/>
      <c r="H87" s="184"/>
      <c r="I87" s="168"/>
      <c r="J87" s="42"/>
      <c r="K87" s="39"/>
      <c r="L87" s="42"/>
      <c r="M87" s="66"/>
      <c r="N87" s="91"/>
      <c r="O87" s="227"/>
      <c r="P87" s="390"/>
      <c r="Q87" s="37"/>
      <c r="R87" s="184"/>
      <c r="S87" s="168"/>
      <c r="T87" s="42"/>
      <c r="U87" s="39"/>
      <c r="V87" s="42"/>
      <c r="W87" s="66"/>
      <c r="X87" s="91"/>
      <c r="Y87" s="227"/>
      <c r="Z87" s="390"/>
      <c r="AA87" s="37"/>
      <c r="AB87" s="184"/>
      <c r="AC87" s="168"/>
      <c r="AD87" s="42"/>
      <c r="AE87" s="39"/>
      <c r="AF87" s="42"/>
      <c r="AG87" s="66"/>
      <c r="AH87" s="91"/>
      <c r="AI87" s="227"/>
      <c r="AJ87" s="168"/>
      <c r="AK87" s="168"/>
    </row>
    <row r="88" spans="1:37" ht="21" x14ac:dyDescent="0.4">
      <c r="A88" s="299" t="s">
        <v>4</v>
      </c>
      <c r="B88" s="218" t="str">
        <f t="shared" si="40"/>
        <v>Contact Center</v>
      </c>
      <c r="C88" s="5" t="s">
        <v>48</v>
      </c>
      <c r="D88" s="10"/>
      <c r="E88" s="117"/>
      <c r="F88" s="117"/>
      <c r="G88" s="117"/>
      <c r="H88" s="184"/>
      <c r="I88" s="168"/>
      <c r="J88" s="42"/>
      <c r="K88" s="39"/>
      <c r="L88" s="42"/>
      <c r="M88" s="66"/>
      <c r="N88" s="91"/>
      <c r="O88" s="227"/>
      <c r="P88" s="390"/>
      <c r="Q88" s="37"/>
      <c r="R88" s="184"/>
      <c r="S88" s="168"/>
      <c r="T88" s="42"/>
      <c r="U88" s="39"/>
      <c r="V88" s="42"/>
      <c r="W88" s="66"/>
      <c r="X88" s="91"/>
      <c r="Y88" s="227"/>
      <c r="Z88" s="390"/>
      <c r="AA88" s="37"/>
      <c r="AB88" s="184"/>
      <c r="AC88" s="168"/>
      <c r="AD88" s="42"/>
      <c r="AE88" s="39"/>
      <c r="AF88" s="42"/>
      <c r="AG88" s="66"/>
      <c r="AH88" s="91"/>
      <c r="AI88" s="227"/>
      <c r="AJ88" s="168"/>
      <c r="AK88" s="168"/>
    </row>
    <row r="89" spans="1:37" ht="21" x14ac:dyDescent="0.4">
      <c r="A89" s="299" t="s">
        <v>4</v>
      </c>
      <c r="B89" s="218" t="str">
        <f t="shared" si="40"/>
        <v>Contact Center</v>
      </c>
      <c r="C89" s="5" t="s">
        <v>48</v>
      </c>
      <c r="D89" s="10"/>
      <c r="E89" s="117"/>
      <c r="F89" s="117"/>
      <c r="G89" s="117"/>
      <c r="H89" s="184"/>
      <c r="I89" s="164"/>
      <c r="J89" s="67"/>
      <c r="K89" s="67"/>
      <c r="L89" s="67"/>
      <c r="M89" s="40" t="str">
        <f>J89&amp;" days @ "&amp;K89</f>
        <v xml:space="preserve"> days @ </v>
      </c>
      <c r="N89" s="94"/>
      <c r="O89" s="242"/>
      <c r="P89" s="390"/>
      <c r="Q89" s="37"/>
      <c r="R89" s="184"/>
      <c r="S89" s="164"/>
      <c r="T89" s="67"/>
      <c r="U89" s="67"/>
      <c r="V89" s="67"/>
      <c r="W89" s="40" t="str">
        <f>T89&amp;" days @ "&amp;U89</f>
        <v xml:space="preserve"> days @ </v>
      </c>
      <c r="X89" s="94"/>
      <c r="Y89" s="242"/>
      <c r="Z89" s="390"/>
      <c r="AA89" s="37"/>
      <c r="AB89" s="184"/>
      <c r="AC89" s="164"/>
      <c r="AD89" s="67"/>
      <c r="AE89" s="67"/>
      <c r="AF89" s="67"/>
      <c r="AG89" s="40" t="str">
        <f>AD89&amp;" days @ "&amp;AE89</f>
        <v xml:space="preserve"> days @ </v>
      </c>
      <c r="AH89" s="94"/>
      <c r="AI89" s="242"/>
      <c r="AJ89" s="164"/>
      <c r="AK89" s="164"/>
    </row>
    <row r="90" spans="1:37" ht="21" x14ac:dyDescent="0.4">
      <c r="A90" s="299" t="s">
        <v>4</v>
      </c>
      <c r="B90" s="218" t="str">
        <f t="shared" si="40"/>
        <v>Contact CenterTotal Other</v>
      </c>
      <c r="C90" s="124" t="s">
        <v>50</v>
      </c>
      <c r="D90" s="10"/>
      <c r="E90" s="116">
        <f>I90</f>
        <v>193238.88425239839</v>
      </c>
      <c r="F90" s="116">
        <f>S90</f>
        <v>9260.8386631308003</v>
      </c>
      <c r="G90" s="116">
        <f>AC90</f>
        <v>30.277084470790111</v>
      </c>
      <c r="H90" s="185" t="s">
        <v>45</v>
      </c>
      <c r="I90" s="165">
        <f>SUM(I84:I89)</f>
        <v>193238.88425239839</v>
      </c>
      <c r="J90" s="68"/>
      <c r="K90" s="68"/>
      <c r="L90" s="68"/>
      <c r="M90" s="66"/>
      <c r="N90" s="414">
        <f>I90</f>
        <v>193238.88425239839</v>
      </c>
      <c r="O90" s="233">
        <f>N90/N93</f>
        <v>0.15401954584306937</v>
      </c>
      <c r="P90" s="390"/>
      <c r="Q90" s="68"/>
      <c r="R90" s="185" t="s">
        <v>45</v>
      </c>
      <c r="S90" s="165">
        <f>SUM(S84:S89)</f>
        <v>9260.8386631308003</v>
      </c>
      <c r="T90" s="68"/>
      <c r="U90" s="68"/>
      <c r="V90" s="68"/>
      <c r="W90" s="66"/>
      <c r="X90" s="414">
        <f>S90</f>
        <v>9260.8386631308003</v>
      </c>
      <c r="Y90" s="233">
        <f>X90/X93</f>
        <v>0.1540195458430694</v>
      </c>
      <c r="Z90" s="390"/>
      <c r="AA90" s="68"/>
      <c r="AB90" s="185" t="s">
        <v>45</v>
      </c>
      <c r="AC90" s="165">
        <f>SUM(AC84:AC89)</f>
        <v>30.277084470790111</v>
      </c>
      <c r="AD90" s="68"/>
      <c r="AE90" s="68"/>
      <c r="AF90" s="68"/>
      <c r="AG90" s="66"/>
      <c r="AH90" s="414">
        <f>AC90</f>
        <v>30.277084470790111</v>
      </c>
      <c r="AI90" s="233">
        <f>AH90/AH93</f>
        <v>0.15401954584306946</v>
      </c>
      <c r="AJ90" s="165">
        <f>I90+S90+AC90</f>
        <v>202529.99999999997</v>
      </c>
      <c r="AK90" s="165"/>
    </row>
    <row r="91" spans="1:37" ht="21.6" thickBot="1" x14ac:dyDescent="0.45">
      <c r="A91" s="299" t="s">
        <v>4</v>
      </c>
      <c r="B91" s="218" t="str">
        <f t="shared" si="40"/>
        <v>Contact Center</v>
      </c>
      <c r="C91" s="5" t="s">
        <v>48</v>
      </c>
      <c r="D91" s="10"/>
      <c r="E91" s="117"/>
      <c r="F91" s="117"/>
      <c r="G91" s="117"/>
      <c r="H91" s="178"/>
      <c r="I91" s="178"/>
      <c r="J91" s="101"/>
      <c r="K91" s="101"/>
      <c r="L91" s="101"/>
      <c r="M91" s="102"/>
      <c r="N91" s="415"/>
      <c r="O91" s="178"/>
      <c r="P91" s="101"/>
      <c r="Q91" s="101"/>
      <c r="R91" s="178"/>
      <c r="S91" s="178"/>
      <c r="T91" s="101"/>
      <c r="U91" s="101"/>
      <c r="V91" s="101"/>
      <c r="W91" s="102"/>
      <c r="X91" s="415"/>
      <c r="Y91" s="178"/>
      <c r="Z91" s="101"/>
      <c r="AA91" s="101"/>
      <c r="AB91" s="178"/>
      <c r="AC91" s="178"/>
      <c r="AD91" s="101"/>
      <c r="AE91" s="101"/>
      <c r="AF91" s="101"/>
      <c r="AG91" s="102"/>
      <c r="AH91" s="415"/>
      <c r="AI91" s="178"/>
      <c r="AJ91" s="178"/>
      <c r="AK91" s="178"/>
    </row>
    <row r="92" spans="1:37" ht="21.6" thickTop="1" x14ac:dyDescent="0.4">
      <c r="A92" s="299" t="s">
        <v>4</v>
      </c>
      <c r="B92" s="218" t="str">
        <f t="shared" si="40"/>
        <v>Contact CenterTOTALS</v>
      </c>
      <c r="C92" s="5" t="s">
        <v>48</v>
      </c>
      <c r="D92" s="10"/>
      <c r="E92" s="117"/>
      <c r="F92" s="117"/>
      <c r="G92" s="117"/>
      <c r="H92" s="186" t="s">
        <v>28</v>
      </c>
      <c r="I92" s="418"/>
      <c r="J92" s="103"/>
      <c r="K92" s="103"/>
      <c r="L92" s="103"/>
      <c r="M92" s="104"/>
      <c r="N92" s="91"/>
      <c r="O92" s="136"/>
      <c r="P92" s="390"/>
      <c r="Q92" s="37"/>
      <c r="R92" s="186" t="s">
        <v>28</v>
      </c>
      <c r="S92" s="418"/>
      <c r="T92" s="103"/>
      <c r="U92" s="435"/>
      <c r="V92" s="435"/>
      <c r="W92" s="436"/>
      <c r="X92" s="91"/>
      <c r="Y92" s="136"/>
      <c r="Z92" s="390"/>
      <c r="AA92" s="37"/>
      <c r="AB92" s="186" t="s">
        <v>28</v>
      </c>
      <c r="AC92" s="418"/>
      <c r="AD92" s="435"/>
      <c r="AE92" s="435"/>
      <c r="AF92" s="435"/>
      <c r="AG92" s="436"/>
      <c r="AH92" s="91"/>
      <c r="AI92" s="136"/>
      <c r="AJ92" s="418"/>
      <c r="AK92" s="418"/>
    </row>
    <row r="93" spans="1:37" ht="21" x14ac:dyDescent="0.4">
      <c r="A93" s="299" t="s">
        <v>4</v>
      </c>
      <c r="B93" s="218" t="str">
        <f t="shared" si="40"/>
        <v>Contact CenterPER YEAR</v>
      </c>
      <c r="C93" s="124" t="s">
        <v>50</v>
      </c>
      <c r="D93" s="10"/>
      <c r="E93" s="117"/>
      <c r="F93" s="117"/>
      <c r="G93" s="117"/>
      <c r="H93" s="190" t="s">
        <v>46</v>
      </c>
      <c r="I93" s="417">
        <f>I58+I69+I76+I81+I90</f>
        <v>1254638.709617347</v>
      </c>
      <c r="J93" s="106"/>
      <c r="K93" s="106"/>
      <c r="L93" s="106"/>
      <c r="M93" s="107"/>
      <c r="N93" s="420">
        <f>SUM(N58:N91)</f>
        <v>1254638.709617347</v>
      </c>
      <c r="O93" s="233">
        <f>SUM(O58:O91)</f>
        <v>1</v>
      </c>
      <c r="P93" s="390"/>
      <c r="Q93" s="37"/>
      <c r="R93" s="190" t="s">
        <v>46</v>
      </c>
      <c r="S93" s="417">
        <f>S58+S69+S76+S81+S90</f>
        <v>60127.684524967197</v>
      </c>
      <c r="T93" s="106"/>
      <c r="U93" s="106"/>
      <c r="V93" s="106"/>
      <c r="W93" s="107"/>
      <c r="X93" s="420">
        <f>SUM(X58:X91)</f>
        <v>60127.684524967197</v>
      </c>
      <c r="Y93" s="233">
        <f>SUM(Y58:Y91)</f>
        <v>0.99999999999999989</v>
      </c>
      <c r="Z93" s="390"/>
      <c r="AA93" s="37"/>
      <c r="AB93" s="190" t="s">
        <v>46</v>
      </c>
      <c r="AC93" s="417">
        <f>AC58+AC69+AC76+AC81+AC90</f>
        <v>196.5794945379169</v>
      </c>
      <c r="AD93" s="106"/>
      <c r="AE93" s="106"/>
      <c r="AF93" s="106"/>
      <c r="AG93" s="107"/>
      <c r="AH93" s="420">
        <f>SUM(AH58:AH91)</f>
        <v>196.5794945379169</v>
      </c>
      <c r="AI93" s="233">
        <f>SUM(AI58:AI91)</f>
        <v>1.0000000000000002</v>
      </c>
      <c r="AJ93" s="417">
        <f>I93+S93+AC93</f>
        <v>1314962.9736368521</v>
      </c>
      <c r="AK93" s="417"/>
    </row>
    <row r="94" spans="1:37" ht="21" x14ac:dyDescent="0.4">
      <c r="A94" s="299" t="s">
        <v>4</v>
      </c>
      <c r="B94" s="218" t="str">
        <f t="shared" si="40"/>
        <v>Contact CenterPER PAYMENT</v>
      </c>
      <c r="C94" s="124" t="s">
        <v>50</v>
      </c>
      <c r="D94" s="10"/>
      <c r="E94" s="117"/>
      <c r="F94" s="117"/>
      <c r="G94" s="117"/>
      <c r="H94" s="185" t="s">
        <v>47</v>
      </c>
      <c r="I94" s="419">
        <f>I93/I$6</f>
        <v>8.5469345451268239</v>
      </c>
      <c r="J94" s="108"/>
      <c r="K94" s="108"/>
      <c r="L94" s="108"/>
      <c r="M94" s="109"/>
      <c r="N94" s="98"/>
      <c r="O94" s="246"/>
      <c r="P94" s="391"/>
      <c r="Q94" s="60"/>
      <c r="R94" s="185" t="s">
        <v>47</v>
      </c>
      <c r="S94" s="419">
        <f>S93/S$6</f>
        <v>8.5469345451268222</v>
      </c>
      <c r="T94" s="108"/>
      <c r="U94" s="108"/>
      <c r="V94" s="108"/>
      <c r="W94" s="109"/>
      <c r="X94" s="98"/>
      <c r="Y94" s="246"/>
      <c r="Z94" s="391"/>
      <c r="AA94" s="60"/>
      <c r="AB94" s="185" t="s">
        <v>47</v>
      </c>
      <c r="AC94" s="419">
        <f>AC93/AC$6</f>
        <v>8.5469345451268222</v>
      </c>
      <c r="AD94" s="108"/>
      <c r="AE94" s="108"/>
      <c r="AF94" s="108"/>
      <c r="AG94" s="109"/>
      <c r="AH94" s="98"/>
      <c r="AI94" s="246"/>
      <c r="AJ94" s="419">
        <f>I94+S94+AC94</f>
        <v>25.640803635380472</v>
      </c>
      <c r="AK94" s="419"/>
    </row>
    <row r="95" spans="1:37" ht="15.6" x14ac:dyDescent="0.3">
      <c r="A95" s="299" t="s">
        <v>4</v>
      </c>
      <c r="B95" s="218"/>
      <c r="C95" s="220"/>
      <c r="D95" s="10"/>
      <c r="E95" s="10"/>
      <c r="F95" s="10"/>
      <c r="G95" s="10"/>
      <c r="H95" s="137" t="s">
        <v>585</v>
      </c>
      <c r="I95" s="659">
        <f>I58+I69</f>
        <v>961578.78217044577</v>
      </c>
      <c r="J95" s="108"/>
      <c r="K95" s="108"/>
      <c r="L95" s="108"/>
      <c r="M95" s="109"/>
      <c r="N95" s="656"/>
      <c r="O95" s="657"/>
      <c r="P95" s="92"/>
      <c r="Q95" s="37"/>
      <c r="R95" s="137" t="s">
        <v>585</v>
      </c>
      <c r="S95" s="659">
        <f>S58+S69</f>
        <v>46082.99203352374</v>
      </c>
      <c r="T95" s="108"/>
      <c r="U95" s="108"/>
      <c r="V95" s="108"/>
      <c r="W95" s="109"/>
      <c r="X95" s="658"/>
      <c r="Y95" s="657"/>
      <c r="Z95" s="92"/>
      <c r="AA95" s="37"/>
      <c r="AB95" s="137" t="s">
        <v>585</v>
      </c>
      <c r="AC95" s="659">
        <f>AC58+AC69</f>
        <v>150.66223408259361</v>
      </c>
      <c r="AD95" s="108"/>
      <c r="AE95" s="108"/>
      <c r="AF95" s="108"/>
      <c r="AG95" s="109"/>
      <c r="AH95" s="656"/>
      <c r="AI95" s="137"/>
      <c r="AJ95" s="659">
        <f>I95+S95+AC95</f>
        <v>1007812.4364380521</v>
      </c>
      <c r="AK95" s="659"/>
    </row>
    <row r="96" spans="1:37" ht="15.6" x14ac:dyDescent="0.3">
      <c r="A96" s="299" t="s">
        <v>4</v>
      </c>
      <c r="B96" s="218"/>
      <c r="C96" s="220"/>
      <c r="D96" s="10"/>
      <c r="E96" s="10"/>
      <c r="F96" s="10"/>
      <c r="G96" s="10"/>
      <c r="H96" s="137" t="s">
        <v>586</v>
      </c>
      <c r="I96" s="659">
        <f>I90+I81+I76</f>
        <v>293059.92744690122</v>
      </c>
      <c r="J96" s="108"/>
      <c r="K96" s="659"/>
      <c r="L96" s="108"/>
      <c r="M96" s="109"/>
      <c r="N96" s="656"/>
      <c r="O96" s="657"/>
      <c r="P96" s="92"/>
      <c r="Q96" s="37"/>
      <c r="R96" s="137" t="s">
        <v>586</v>
      </c>
      <c r="S96" s="659">
        <f>S90+S81+S76</f>
        <v>14044.692491443451</v>
      </c>
      <c r="T96" s="108"/>
      <c r="U96" s="659"/>
      <c r="V96" s="108"/>
      <c r="W96" s="109"/>
      <c r="X96" s="658"/>
      <c r="Y96" s="657"/>
      <c r="Z96" s="92"/>
      <c r="AA96" s="37"/>
      <c r="AB96" s="137" t="s">
        <v>586</v>
      </c>
      <c r="AC96" s="659">
        <f>AC90+AC81+AC76</f>
        <v>45.917260455323301</v>
      </c>
      <c r="AD96" s="108"/>
      <c r="AE96" s="659"/>
      <c r="AF96" s="108"/>
      <c r="AG96" s="109"/>
      <c r="AH96" s="656"/>
      <c r="AI96" s="137"/>
      <c r="AJ96" s="659">
        <f>I96+S96+AC96</f>
        <v>307150.53719880001</v>
      </c>
      <c r="AK96" s="659"/>
    </row>
    <row r="97" spans="1:37" ht="15.6" x14ac:dyDescent="0.3">
      <c r="A97" s="299" t="s">
        <v>4</v>
      </c>
      <c r="B97" s="218"/>
      <c r="C97" s="220"/>
      <c r="D97" s="10"/>
      <c r="E97" s="10"/>
      <c r="F97" s="10"/>
      <c r="G97" s="10"/>
      <c r="H97" s="137" t="s">
        <v>584</v>
      </c>
      <c r="I97" s="659">
        <f>I93</f>
        <v>1254638.709617347</v>
      </c>
      <c r="J97" s="108"/>
      <c r="K97" s="108"/>
      <c r="L97" s="108"/>
      <c r="M97" s="109"/>
      <c r="N97" s="656"/>
      <c r="O97" s="657"/>
      <c r="P97" s="92"/>
      <c r="Q97" s="37"/>
      <c r="R97" s="137" t="s">
        <v>584</v>
      </c>
      <c r="S97" s="659">
        <f>S93</f>
        <v>60127.684524967197</v>
      </c>
      <c r="T97" s="108"/>
      <c r="U97" s="108"/>
      <c r="V97" s="108"/>
      <c r="W97" s="109"/>
      <c r="X97" s="658"/>
      <c r="Y97" s="657"/>
      <c r="Z97" s="92"/>
      <c r="AA97" s="37"/>
      <c r="AB97" s="137" t="s">
        <v>584</v>
      </c>
      <c r="AC97" s="659">
        <f>AC93</f>
        <v>196.5794945379169</v>
      </c>
      <c r="AD97" s="108"/>
      <c r="AE97" s="108"/>
      <c r="AF97" s="108"/>
      <c r="AG97" s="109"/>
      <c r="AH97" s="656"/>
      <c r="AI97" s="137"/>
      <c r="AJ97" s="659">
        <f>I97+S97+AC97</f>
        <v>1314962.9736368521</v>
      </c>
      <c r="AK97" s="659"/>
    </row>
    <row r="98" spans="1:37" ht="70.8" customHeight="1" x14ac:dyDescent="0.3">
      <c r="A98" s="299" t="s">
        <v>5</v>
      </c>
      <c r="B98" s="218" t="str">
        <f t="shared" si="40"/>
        <v>MASTLABOR: NON-SUPERVISORY</v>
      </c>
      <c r="C98" s="218" t="s">
        <v>5</v>
      </c>
      <c r="D98" s="10" t="str">
        <f>'2015Summary METER to CASH (Base'!O16</f>
        <v xml:space="preserve">* Review delinquent notices batches
* Plan arrangements with customers
</v>
      </c>
      <c r="E98" s="117">
        <f>N138</f>
        <v>0</v>
      </c>
      <c r="F98" s="117">
        <f>X138</f>
        <v>30177.796298000001</v>
      </c>
      <c r="G98" s="117">
        <f>AC138</f>
        <v>910.40042400000004</v>
      </c>
      <c r="H98" s="183" t="s">
        <v>31</v>
      </c>
      <c r="I98" s="157"/>
      <c r="J98" s="118"/>
      <c r="K98" s="118"/>
      <c r="L98" s="118"/>
      <c r="M98" s="119"/>
      <c r="N98" s="121"/>
      <c r="O98" s="135"/>
      <c r="P98" s="381"/>
      <c r="Q98" s="123"/>
      <c r="R98" s="183" t="s">
        <v>31</v>
      </c>
      <c r="S98" s="157"/>
      <c r="T98" s="118"/>
      <c r="U98" s="118"/>
      <c r="V98" s="118"/>
      <c r="W98" s="119"/>
      <c r="X98" s="121"/>
      <c r="Y98" s="135"/>
      <c r="Z98" s="381"/>
      <c r="AA98" s="123"/>
      <c r="AB98" s="183" t="s">
        <v>31</v>
      </c>
      <c r="AC98" s="157"/>
      <c r="AD98" s="118"/>
      <c r="AE98" s="118"/>
      <c r="AF98" s="118"/>
      <c r="AG98" s="119"/>
      <c r="AH98" s="121"/>
      <c r="AI98" s="135"/>
      <c r="AJ98" s="157"/>
      <c r="AK98" s="157"/>
    </row>
    <row r="99" spans="1:37" ht="15.6" x14ac:dyDescent="0.3">
      <c r="A99" s="299" t="s">
        <v>5</v>
      </c>
      <c r="B99" s="218" t="str">
        <f t="shared" si="40"/>
        <v>MASTMAST Rep (Grade 145)</v>
      </c>
      <c r="C99" s="217" t="s">
        <v>48</v>
      </c>
      <c r="D99" s="10"/>
      <c r="E99" s="126"/>
      <c r="F99" s="126"/>
      <c r="G99" s="126"/>
      <c r="H99" s="184" t="s">
        <v>246</v>
      </c>
      <c r="I99" s="158">
        <f>J99*K99</f>
        <v>0</v>
      </c>
      <c r="J99" s="42">
        <f>+ROUND('FTE Alloc OR &amp; WA'!M39*2080,0)</f>
        <v>0</v>
      </c>
      <c r="K99" s="259">
        <v>29.13</v>
      </c>
      <c r="L99" s="39"/>
      <c r="M99" s="40" t="str">
        <f>J99&amp;" hrs @ "&amp;K99</f>
        <v>0 hrs @ 29.13</v>
      </c>
      <c r="N99" s="35"/>
      <c r="O99" s="136"/>
      <c r="P99" s="382"/>
      <c r="Q99" s="41"/>
      <c r="R99" s="184" t="s">
        <v>246</v>
      </c>
      <c r="S99" s="158">
        <f>T99*U99</f>
        <v>11331.57</v>
      </c>
      <c r="T99" s="42">
        <f>+ROUND('FTE Alloc OR &amp; WA'!N40*2080,0)</f>
        <v>389</v>
      </c>
      <c r="U99" s="259">
        <v>29.13</v>
      </c>
      <c r="V99" s="39"/>
      <c r="W99" s="40" t="str">
        <f>T99&amp;" hrs @ "&amp;U99</f>
        <v>389 hrs @ 29.13</v>
      </c>
      <c r="X99" s="35"/>
      <c r="Y99" s="136"/>
      <c r="Z99" s="382"/>
      <c r="AA99" s="41"/>
      <c r="AB99" s="184" t="s">
        <v>246</v>
      </c>
      <c r="AC99" s="158">
        <f>AD99*AE99</f>
        <v>0</v>
      </c>
      <c r="AD99" s="42">
        <f>+ROUND('FTE Alloc OR &amp; WA'!O39*2080,0)</f>
        <v>0</v>
      </c>
      <c r="AE99" s="259">
        <v>29.13</v>
      </c>
      <c r="AF99" s="39"/>
      <c r="AG99" s="40" t="str">
        <f>AD99&amp;" hrs @ "&amp;AE99</f>
        <v>0 hrs @ 29.13</v>
      </c>
      <c r="AH99" s="35"/>
      <c r="AI99" s="136"/>
      <c r="AJ99" s="158">
        <f t="shared" ref="AJ99:AJ105" si="41">I99+S99+AC99</f>
        <v>11331.57</v>
      </c>
      <c r="AK99" s="158"/>
    </row>
    <row r="100" spans="1:37" ht="15.6" x14ac:dyDescent="0.3">
      <c r="A100" s="299" t="s">
        <v>5</v>
      </c>
      <c r="B100" s="218" t="str">
        <f t="shared" si="40"/>
        <v>MASTOp Supp 2 (Grade 125)</v>
      </c>
      <c r="C100" s="217" t="s">
        <v>48</v>
      </c>
      <c r="D100" s="10"/>
      <c r="E100" s="126"/>
      <c r="F100" s="126"/>
      <c r="G100" s="126"/>
      <c r="H100" s="184" t="s">
        <v>247</v>
      </c>
      <c r="I100" s="158">
        <f t="shared" ref="I100:I101" si="42">J100*K100</f>
        <v>0</v>
      </c>
      <c r="J100" s="42">
        <f>+ROUND('FTE Alloc OR &amp; WA'!M40*2080,0)</f>
        <v>0</v>
      </c>
      <c r="K100" s="259">
        <v>22.01</v>
      </c>
      <c r="L100" s="42"/>
      <c r="M100" s="40" t="str">
        <f t="shared" ref="M100:M102" si="43">J100&amp;" hrs @ "&amp;K100</f>
        <v>0 hrs @ 22.01</v>
      </c>
      <c r="N100" s="35"/>
      <c r="O100" s="136"/>
      <c r="P100" s="382"/>
      <c r="Q100" s="3"/>
      <c r="R100" s="184" t="s">
        <v>247</v>
      </c>
      <c r="S100" s="158">
        <f t="shared" ref="S100:S101" si="44">T100*U100</f>
        <v>0</v>
      </c>
      <c r="T100" s="42">
        <f>+ROUND('FTE Alloc OR &amp; WA'!N41*2080,0)</f>
        <v>0</v>
      </c>
      <c r="U100" s="259">
        <v>22.01</v>
      </c>
      <c r="V100" s="42"/>
      <c r="W100" s="40" t="str">
        <f t="shared" ref="W100:W102" si="45">T100&amp;" hrs @ "&amp;U100</f>
        <v>0 hrs @ 22.01</v>
      </c>
      <c r="X100" s="35"/>
      <c r="Y100" s="136"/>
      <c r="Z100" s="382"/>
      <c r="AA100" s="3"/>
      <c r="AB100" s="184" t="s">
        <v>247</v>
      </c>
      <c r="AC100" s="158">
        <f t="shared" ref="AC100:AC102" si="46">AD100*AE100</f>
        <v>0</v>
      </c>
      <c r="AD100" s="42">
        <f>+ROUND('FTE Alloc OR &amp; WA'!O40*2080,0)</f>
        <v>0</v>
      </c>
      <c r="AE100" s="259">
        <v>22.01</v>
      </c>
      <c r="AF100" s="42"/>
      <c r="AG100" s="40" t="str">
        <f t="shared" ref="AG100:AG102" si="47">AD100&amp;" hrs @ "&amp;AE100</f>
        <v>0 hrs @ 22.01</v>
      </c>
      <c r="AH100" s="35"/>
      <c r="AI100" s="136"/>
      <c r="AJ100" s="158">
        <f t="shared" si="41"/>
        <v>0</v>
      </c>
      <c r="AK100" s="158"/>
    </row>
    <row r="101" spans="1:37" ht="15.6" x14ac:dyDescent="0.3">
      <c r="A101" s="299" t="s">
        <v>5</v>
      </c>
      <c r="B101" s="218" t="str">
        <f t="shared" si="40"/>
        <v>MASTCustomer Field Service 4</v>
      </c>
      <c r="C101" s="217" t="s">
        <v>48</v>
      </c>
      <c r="D101" s="10"/>
      <c r="E101" s="126"/>
      <c r="F101" s="126"/>
      <c r="G101" s="126"/>
      <c r="H101" s="184" t="s">
        <v>346</v>
      </c>
      <c r="I101" s="158">
        <f t="shared" si="42"/>
        <v>0</v>
      </c>
      <c r="J101" s="42"/>
      <c r="K101" s="39">
        <v>36.78</v>
      </c>
      <c r="L101" s="42"/>
      <c r="M101" s="40" t="str">
        <f t="shared" si="43"/>
        <v xml:space="preserve"> hrs @ 36.78</v>
      </c>
      <c r="N101" s="35"/>
      <c r="O101" s="136"/>
      <c r="P101" s="382"/>
      <c r="Q101" s="41"/>
      <c r="R101" s="184" t="s">
        <v>346</v>
      </c>
      <c r="S101" s="158">
        <f t="shared" si="44"/>
        <v>183.9</v>
      </c>
      <c r="T101" s="42">
        <v>5</v>
      </c>
      <c r="U101" s="39">
        <v>36.78</v>
      </c>
      <c r="V101" s="42"/>
      <c r="W101" s="40" t="str">
        <f t="shared" si="45"/>
        <v>5 hrs @ 36.78</v>
      </c>
      <c r="X101" s="35"/>
      <c r="Y101" s="136"/>
      <c r="Z101" s="382"/>
      <c r="AA101" s="41"/>
      <c r="AB101" s="184" t="s">
        <v>346</v>
      </c>
      <c r="AC101" s="158">
        <f t="shared" si="46"/>
        <v>441.36</v>
      </c>
      <c r="AD101" s="42">
        <v>12</v>
      </c>
      <c r="AE101" s="39">
        <v>36.78</v>
      </c>
      <c r="AF101" s="42"/>
      <c r="AG101" s="40" t="str">
        <f t="shared" si="47"/>
        <v>12 hrs @ 36.78</v>
      </c>
      <c r="AH101" s="35"/>
      <c r="AI101" s="136"/>
      <c r="AJ101" s="158">
        <f t="shared" si="41"/>
        <v>625.26</v>
      </c>
      <c r="AK101" s="158"/>
    </row>
    <row r="102" spans="1:37" ht="15.6" x14ac:dyDescent="0.3">
      <c r="A102" s="299" t="s">
        <v>5</v>
      </c>
      <c r="B102" s="218" t="str">
        <f t="shared" si="40"/>
        <v>MAST</v>
      </c>
      <c r="C102" s="217" t="s">
        <v>48</v>
      </c>
      <c r="D102" s="10"/>
      <c r="E102" s="126"/>
      <c r="F102" s="126"/>
      <c r="G102" s="126"/>
      <c r="H102" s="179"/>
      <c r="I102" s="173">
        <f>J102*K102*L102</f>
        <v>0</v>
      </c>
      <c r="J102" s="174"/>
      <c r="K102" s="175"/>
      <c r="L102" s="181">
        <v>7.0000000000000007E-2</v>
      </c>
      <c r="M102" s="176" t="str">
        <f t="shared" si="43"/>
        <v xml:space="preserve"> hrs @ </v>
      </c>
      <c r="N102" s="35"/>
      <c r="O102" s="136"/>
      <c r="P102" s="382"/>
      <c r="Q102" s="44"/>
      <c r="R102" s="179"/>
      <c r="S102" s="173">
        <f>T102*U102*V102</f>
        <v>0</v>
      </c>
      <c r="T102" s="174"/>
      <c r="U102" s="175"/>
      <c r="V102" s="181">
        <v>7.0000000000000007E-2</v>
      </c>
      <c r="W102" s="176" t="str">
        <f t="shared" si="45"/>
        <v xml:space="preserve"> hrs @ </v>
      </c>
      <c r="X102" s="35"/>
      <c r="Y102" s="136"/>
      <c r="Z102" s="382"/>
      <c r="AA102" s="44"/>
      <c r="AB102" s="179"/>
      <c r="AC102" s="173">
        <f t="shared" si="46"/>
        <v>0</v>
      </c>
      <c r="AD102" s="174"/>
      <c r="AE102" s="175"/>
      <c r="AF102" s="181"/>
      <c r="AG102" s="176" t="str">
        <f t="shared" si="47"/>
        <v xml:space="preserve"> hrs @ </v>
      </c>
      <c r="AH102" s="35"/>
      <c r="AI102" s="136"/>
      <c r="AJ102" s="173">
        <f t="shared" si="41"/>
        <v>0</v>
      </c>
      <c r="AK102" s="173"/>
    </row>
    <row r="103" spans="1:37" ht="15.6" x14ac:dyDescent="0.3">
      <c r="A103" s="299" t="s">
        <v>5</v>
      </c>
      <c r="B103" s="218" t="str">
        <f t="shared" si="40"/>
        <v>MASTTotal Wages</v>
      </c>
      <c r="C103" s="217" t="s">
        <v>48</v>
      </c>
      <c r="D103" s="10"/>
      <c r="E103" s="126"/>
      <c r="F103" s="126"/>
      <c r="G103" s="126"/>
      <c r="H103" s="184" t="s">
        <v>32</v>
      </c>
      <c r="I103" s="158">
        <f>SUM(I99:I102)</f>
        <v>0</v>
      </c>
      <c r="J103" s="42"/>
      <c r="K103" s="39"/>
      <c r="L103" s="39"/>
      <c r="M103" s="40"/>
      <c r="N103" s="35"/>
      <c r="O103" s="231"/>
      <c r="P103" s="382"/>
      <c r="Q103" s="41"/>
      <c r="R103" s="184" t="s">
        <v>32</v>
      </c>
      <c r="S103" s="158">
        <f>SUM(S99:S102)</f>
        <v>11515.47</v>
      </c>
      <c r="T103" s="42"/>
      <c r="U103" s="39"/>
      <c r="V103" s="39"/>
      <c r="W103" s="40"/>
      <c r="X103" s="35"/>
      <c r="Y103" s="231"/>
      <c r="Z103" s="382"/>
      <c r="AA103" s="41"/>
      <c r="AB103" s="184" t="s">
        <v>32</v>
      </c>
      <c r="AC103" s="158">
        <f>SUM(AC99:AC102)</f>
        <v>441.36</v>
      </c>
      <c r="AD103" s="42"/>
      <c r="AE103" s="39"/>
      <c r="AF103" s="39"/>
      <c r="AG103" s="40"/>
      <c r="AH103" s="35"/>
      <c r="AI103" s="231"/>
      <c r="AJ103" s="158">
        <f t="shared" si="41"/>
        <v>11956.83</v>
      </c>
      <c r="AK103" s="158"/>
    </row>
    <row r="104" spans="1:37" ht="15.6" x14ac:dyDescent="0.3">
      <c r="A104" s="299" t="s">
        <v>5</v>
      </c>
      <c r="B104" s="218" t="str">
        <f t="shared" si="40"/>
        <v>MASTBenefits</v>
      </c>
      <c r="C104" s="217" t="s">
        <v>48</v>
      </c>
      <c r="D104" s="10"/>
      <c r="E104" s="126"/>
      <c r="F104" s="126"/>
      <c r="G104" s="126"/>
      <c r="H104" s="184" t="s">
        <v>33</v>
      </c>
      <c r="I104" s="159">
        <f>I103*$O$2</f>
        <v>0</v>
      </c>
      <c r="J104" s="42"/>
      <c r="K104" s="39"/>
      <c r="M104" s="45" t="str">
        <f>"@ "&amp;$O$2*100&amp;" %"</f>
        <v>@ 98.59 %</v>
      </c>
      <c r="N104" s="47"/>
      <c r="O104" s="232"/>
      <c r="P104" s="383"/>
      <c r="Q104" s="41"/>
      <c r="R104" s="184" t="s">
        <v>33</v>
      </c>
      <c r="S104" s="159">
        <f>S103*$O$2</f>
        <v>11353.101873</v>
      </c>
      <c r="T104" s="42"/>
      <c r="U104" s="39"/>
      <c r="W104" s="45" t="str">
        <f>"@ "&amp;$O$2*100&amp;" %"</f>
        <v>@ 98.59 %</v>
      </c>
      <c r="X104" s="47"/>
      <c r="Y104" s="232"/>
      <c r="Z104" s="383"/>
      <c r="AA104" s="41"/>
      <c r="AB104" s="184" t="s">
        <v>33</v>
      </c>
      <c r="AC104" s="159">
        <f>AC103*$O$2</f>
        <v>435.13682399999999</v>
      </c>
      <c r="AD104" s="42"/>
      <c r="AE104" s="39"/>
      <c r="AG104" s="45" t="str">
        <f>"@ "&amp;$O$2*100&amp;" %"</f>
        <v>@ 98.59 %</v>
      </c>
      <c r="AH104" s="47"/>
      <c r="AI104" s="232"/>
      <c r="AJ104" s="159">
        <f t="shared" si="41"/>
        <v>11788.238696999999</v>
      </c>
      <c r="AK104" s="159"/>
    </row>
    <row r="105" spans="1:37" ht="15.6" x14ac:dyDescent="0.3">
      <c r="A105" s="299" t="s">
        <v>5</v>
      </c>
      <c r="B105" s="218" t="str">
        <f t="shared" si="40"/>
        <v>MASTTotal</v>
      </c>
      <c r="C105" s="219" t="s">
        <v>50</v>
      </c>
      <c r="D105" s="10"/>
      <c r="E105" s="126"/>
      <c r="F105" s="126"/>
      <c r="G105" s="126"/>
      <c r="H105" s="185" t="s">
        <v>34</v>
      </c>
      <c r="I105" s="160">
        <f>I103+I104</f>
        <v>0</v>
      </c>
      <c r="J105" s="42"/>
      <c r="K105" s="39"/>
      <c r="L105" s="50"/>
      <c r="M105" s="51"/>
      <c r="N105" s="420">
        <f>I105</f>
        <v>0</v>
      </c>
      <c r="O105" s="233" t="e">
        <f>N105/N138</f>
        <v>#DIV/0!</v>
      </c>
      <c r="P105" s="384"/>
      <c r="Q105" s="37"/>
      <c r="R105" s="185" t="s">
        <v>34</v>
      </c>
      <c r="S105" s="160">
        <f>S103+S104</f>
        <v>22868.571873000001</v>
      </c>
      <c r="T105" s="42"/>
      <c r="U105" s="39"/>
      <c r="V105" s="50"/>
      <c r="W105" s="51"/>
      <c r="X105" s="420">
        <f>S105</f>
        <v>22868.571873000001</v>
      </c>
      <c r="Y105" s="233">
        <f>X105/X138</f>
        <v>0.75779462645904294</v>
      </c>
      <c r="Z105" s="384"/>
      <c r="AA105" s="37"/>
      <c r="AB105" s="185" t="s">
        <v>34</v>
      </c>
      <c r="AC105" s="160">
        <f>AC103+AC104</f>
        <v>876.49682400000006</v>
      </c>
      <c r="AD105" s="42"/>
      <c r="AE105" s="39"/>
      <c r="AF105" s="50"/>
      <c r="AG105" s="51"/>
      <c r="AH105" s="420">
        <f>AC105</f>
        <v>876.49682400000006</v>
      </c>
      <c r="AI105" s="233">
        <f>AH105/AH138</f>
        <v>0.96275968342475204</v>
      </c>
      <c r="AJ105" s="160">
        <f t="shared" si="41"/>
        <v>23745.068697000002</v>
      </c>
      <c r="AK105" s="160"/>
    </row>
    <row r="106" spans="1:37" ht="15.6" x14ac:dyDescent="0.3">
      <c r="A106" s="299" t="s">
        <v>5</v>
      </c>
      <c r="B106" s="218" t="str">
        <f t="shared" si="40"/>
        <v>MAST</v>
      </c>
      <c r="C106" s="217" t="s">
        <v>48</v>
      </c>
      <c r="D106" s="10"/>
      <c r="E106" s="126"/>
      <c r="F106" s="126"/>
      <c r="G106" s="126"/>
      <c r="H106" s="179"/>
      <c r="I106" s="166"/>
      <c r="J106" s="69"/>
      <c r="K106" s="69"/>
      <c r="L106" s="69"/>
      <c r="M106" s="70"/>
      <c r="N106" s="58"/>
      <c r="O106" s="231"/>
      <c r="P106" s="385"/>
      <c r="Q106" s="60"/>
      <c r="R106" s="179"/>
      <c r="S106" s="166"/>
      <c r="T106" s="69"/>
      <c r="U106" s="69"/>
      <c r="V106" s="69"/>
      <c r="W106" s="70"/>
      <c r="X106" s="58"/>
      <c r="Y106" s="231"/>
      <c r="Z106" s="385"/>
      <c r="AA106" s="60"/>
      <c r="AB106" s="179"/>
      <c r="AC106" s="166"/>
      <c r="AD106" s="69"/>
      <c r="AE106" s="69"/>
      <c r="AF106" s="69"/>
      <c r="AG106" s="70"/>
      <c r="AH106" s="58"/>
      <c r="AI106" s="231"/>
      <c r="AJ106" s="166"/>
      <c r="AK106" s="166"/>
    </row>
    <row r="107" spans="1:37" ht="15.6" x14ac:dyDescent="0.3">
      <c r="A107" s="299" t="s">
        <v>5</v>
      </c>
      <c r="B107" s="218" t="str">
        <f t="shared" si="40"/>
        <v>MASTLABOR: SUPERVISORY</v>
      </c>
      <c r="C107" s="220" t="s">
        <v>50</v>
      </c>
      <c r="D107" s="10"/>
      <c r="E107" s="126"/>
      <c r="F107" s="126"/>
      <c r="G107" s="126"/>
      <c r="H107" s="186" t="s">
        <v>35</v>
      </c>
      <c r="I107" s="167"/>
      <c r="J107" s="74"/>
      <c r="K107" s="74"/>
      <c r="L107" s="74"/>
      <c r="M107" s="66"/>
      <c r="N107" s="26"/>
      <c r="O107" s="234"/>
      <c r="P107" s="386"/>
      <c r="Q107" s="37"/>
      <c r="R107" s="186" t="s">
        <v>35</v>
      </c>
      <c r="S107" s="167"/>
      <c r="T107" s="74"/>
      <c r="U107" s="74"/>
      <c r="V107" s="74"/>
      <c r="W107" s="66"/>
      <c r="X107" s="26"/>
      <c r="Y107" s="234"/>
      <c r="Z107" s="386"/>
      <c r="AA107" s="37"/>
      <c r="AB107" s="186" t="s">
        <v>35</v>
      </c>
      <c r="AC107" s="167"/>
      <c r="AD107" s="74"/>
      <c r="AE107" s="74"/>
      <c r="AF107" s="74"/>
      <c r="AG107" s="66"/>
      <c r="AH107" s="26"/>
      <c r="AI107" s="234"/>
      <c r="AJ107" s="167"/>
      <c r="AK107" s="167"/>
    </row>
    <row r="108" spans="1:37" ht="15.6" x14ac:dyDescent="0.3">
      <c r="A108" s="299" t="s">
        <v>5</v>
      </c>
      <c r="B108" s="218" t="str">
        <f t="shared" ref="B108:B109" si="48">A108&amp;H108</f>
        <v>MASTManager (Grade 23)</v>
      </c>
      <c r="C108" s="220"/>
      <c r="D108" s="10"/>
      <c r="E108" s="126"/>
      <c r="F108" s="126"/>
      <c r="G108" s="126"/>
      <c r="H108" s="184" t="s">
        <v>349</v>
      </c>
      <c r="I108" s="158">
        <f t="shared" ref="I108:I109" si="49">J108*K108</f>
        <v>0</v>
      </c>
      <c r="J108" s="42">
        <f>(1/6)*J110</f>
        <v>0</v>
      </c>
      <c r="K108" s="259">
        <v>55.78</v>
      </c>
      <c r="L108" s="43"/>
      <c r="M108" s="40" t="str">
        <f>ROUND(J108,0)&amp;" hrs @ "&amp;K108</f>
        <v>0 hrs @ 55.78</v>
      </c>
      <c r="N108" s="26"/>
      <c r="O108" s="234"/>
      <c r="P108" s="386"/>
      <c r="Q108" s="37"/>
      <c r="R108" s="184" t="s">
        <v>349</v>
      </c>
      <c r="S108" s="158">
        <f t="shared" ref="S108:S109" si="50">T108*U108</f>
        <v>641.47</v>
      </c>
      <c r="T108" s="42">
        <f>(1/6)*T110</f>
        <v>11.5</v>
      </c>
      <c r="U108" s="259">
        <v>55.78</v>
      </c>
      <c r="V108" s="43"/>
      <c r="W108" s="40" t="str">
        <f>ROUND(T108,0)&amp;" hrs @ "&amp;U108</f>
        <v>12 hrs @ 55.78</v>
      </c>
      <c r="X108" s="26"/>
      <c r="Y108" s="234"/>
      <c r="Z108" s="386"/>
      <c r="AA108" s="37"/>
      <c r="AB108" s="184" t="s">
        <v>349</v>
      </c>
      <c r="AC108" s="158">
        <f t="shared" ref="AC108:AC109" si="51">AD108*AE108</f>
        <v>0</v>
      </c>
      <c r="AD108" s="42">
        <f>(1/6)*AD110</f>
        <v>0</v>
      </c>
      <c r="AE108" s="259">
        <v>55.78</v>
      </c>
      <c r="AF108" s="43"/>
      <c r="AG108" s="40" t="str">
        <f>ROUND(AD108,0)&amp;" hrs @ "&amp;AE108</f>
        <v>0 hrs @ 55.78</v>
      </c>
      <c r="AH108" s="26"/>
      <c r="AI108" s="234"/>
      <c r="AJ108" s="158">
        <f>I108+S108+AC108</f>
        <v>641.47</v>
      </c>
      <c r="AK108" s="158"/>
    </row>
    <row r="109" spans="1:37" ht="15.6" x14ac:dyDescent="0.3">
      <c r="A109" s="299" t="s">
        <v>5</v>
      </c>
      <c r="B109" s="218" t="str">
        <f t="shared" si="48"/>
        <v>MASTMAS Supervisor(Grade 21)</v>
      </c>
      <c r="C109" s="220"/>
      <c r="D109" s="10"/>
      <c r="E109" s="126"/>
      <c r="F109" s="126"/>
      <c r="G109" s="126"/>
      <c r="H109" s="184" t="s">
        <v>347</v>
      </c>
      <c r="I109" s="158">
        <f t="shared" si="49"/>
        <v>0</v>
      </c>
      <c r="J109" s="42">
        <f>(1/6)*J112</f>
        <v>0</v>
      </c>
      <c r="K109" s="259">
        <v>45.18</v>
      </c>
      <c r="L109" s="43"/>
      <c r="M109" s="40"/>
      <c r="N109" s="26"/>
      <c r="O109" s="234"/>
      <c r="P109" s="386"/>
      <c r="Q109" s="37"/>
      <c r="R109" s="184" t="s">
        <v>347</v>
      </c>
      <c r="S109" s="158">
        <f t="shared" si="50"/>
        <v>0.15687500000000001</v>
      </c>
      <c r="T109" s="42">
        <f>T101*(T101/(4*1800))</f>
        <v>3.4722222222222225E-3</v>
      </c>
      <c r="U109" s="259">
        <v>45.18</v>
      </c>
      <c r="V109" s="43"/>
      <c r="W109" s="40" t="str">
        <f>ROUND(T109,0)&amp;" hrs @ "&amp;U109</f>
        <v>0 hrs @ 45.18</v>
      </c>
      <c r="X109" s="26"/>
      <c r="Y109" s="234"/>
      <c r="Z109" s="386"/>
      <c r="AA109" s="37"/>
      <c r="AB109" s="184" t="s">
        <v>347</v>
      </c>
      <c r="AC109" s="158">
        <f t="shared" si="51"/>
        <v>0.90359999999999996</v>
      </c>
      <c r="AD109" s="42">
        <f>AD101*(AD101/(4*1800))</f>
        <v>0.02</v>
      </c>
      <c r="AE109" s="259">
        <v>45.18</v>
      </c>
      <c r="AF109" s="43"/>
      <c r="AG109" s="40"/>
      <c r="AH109" s="26"/>
      <c r="AI109" s="234"/>
      <c r="AJ109" s="158">
        <f>I109+S109+AC109</f>
        <v>1.0604750000000001</v>
      </c>
      <c r="AK109" s="158"/>
    </row>
    <row r="110" spans="1:37" ht="15.6" x14ac:dyDescent="0.3">
      <c r="A110" s="299" t="s">
        <v>5</v>
      </c>
      <c r="B110" s="218" t="str">
        <f t="shared" si="40"/>
        <v>MASTSupervisor MAST (Grade 20)</v>
      </c>
      <c r="C110" s="217" t="s">
        <v>48</v>
      </c>
      <c r="D110" s="10"/>
      <c r="E110" s="126"/>
      <c r="F110" s="126"/>
      <c r="G110" s="126"/>
      <c r="H110" s="179" t="s">
        <v>348</v>
      </c>
      <c r="I110" s="173">
        <f t="shared" ref="I110" si="52">J110*K110</f>
        <v>0</v>
      </c>
      <c r="J110" s="174">
        <v>0</v>
      </c>
      <c r="K110" s="175">
        <v>40.5</v>
      </c>
      <c r="L110" s="181"/>
      <c r="M110" s="176" t="str">
        <f t="shared" ref="M110" si="53">J110&amp;" hrs @ "&amp;K110</f>
        <v>0 hrs @ 40.5</v>
      </c>
      <c r="N110" s="26"/>
      <c r="O110" s="235"/>
      <c r="P110" s="386"/>
      <c r="Q110" s="41"/>
      <c r="R110" s="179" t="s">
        <v>348</v>
      </c>
      <c r="S110" s="173">
        <f t="shared" ref="S110" si="54">T110*U110</f>
        <v>2794.5</v>
      </c>
      <c r="T110" s="174">
        <f>+ROUND(('FTE Alloc OR &amp; WA'!N45+'FTE Alloc OR &amp; WA'!N47)*2080,0)</f>
        <v>69</v>
      </c>
      <c r="U110" s="175">
        <v>40.5</v>
      </c>
      <c r="V110" s="181"/>
      <c r="W110" s="176" t="str">
        <f t="shared" ref="W110" si="55">T110&amp;" hrs @ "&amp;U110</f>
        <v>69 hrs @ 40.5</v>
      </c>
      <c r="X110" s="26"/>
      <c r="Y110" s="235"/>
      <c r="Z110" s="386"/>
      <c r="AA110" s="41"/>
      <c r="AB110" s="179" t="s">
        <v>348</v>
      </c>
      <c r="AC110" s="173">
        <f t="shared" ref="AC110" si="56">AD110*AE110</f>
        <v>0</v>
      </c>
      <c r="AD110" s="174">
        <f>+ROUND(('FTE Alloc OR &amp; WA'!O45+'FTE Alloc OR &amp; WA'!O47)*2080,0)</f>
        <v>0</v>
      </c>
      <c r="AE110" s="175">
        <v>40.5</v>
      </c>
      <c r="AF110" s="181"/>
      <c r="AG110" s="176" t="str">
        <f t="shared" ref="AG110" si="57">AD110&amp;" hrs @ "&amp;AE110</f>
        <v>0 hrs @ 40.5</v>
      </c>
      <c r="AH110" s="26"/>
      <c r="AI110" s="235"/>
      <c r="AJ110" s="173">
        <f>I110+S110+AC110</f>
        <v>2794.5</v>
      </c>
      <c r="AK110" s="173"/>
    </row>
    <row r="111" spans="1:37" ht="15.6" x14ac:dyDescent="0.3">
      <c r="A111" s="299" t="s">
        <v>5</v>
      </c>
      <c r="B111" s="10"/>
      <c r="C111" s="38" t="s">
        <v>32</v>
      </c>
      <c r="D111" s="158"/>
      <c r="E111" s="42"/>
      <c r="F111" s="39"/>
      <c r="G111" s="39"/>
      <c r="H111" s="184" t="s">
        <v>32</v>
      </c>
      <c r="I111" s="158">
        <f>SUM(I107:I110)</f>
        <v>0</v>
      </c>
      <c r="J111" s="42"/>
      <c r="K111" s="39"/>
      <c r="L111" s="39"/>
      <c r="M111" s="40"/>
      <c r="N111" s="39"/>
      <c r="O111" s="158"/>
      <c r="P111" s="40"/>
      <c r="Q111" s="35"/>
      <c r="R111" s="184" t="s">
        <v>32</v>
      </c>
      <c r="S111" s="158">
        <f>SUM(S107:S110)</f>
        <v>3436.1268749999999</v>
      </c>
      <c r="T111" s="42"/>
      <c r="U111" s="39"/>
      <c r="V111" s="39"/>
      <c r="W111" s="40"/>
      <c r="X111" s="39"/>
      <c r="Y111" s="158"/>
      <c r="Z111" s="40"/>
      <c r="AA111" s="35"/>
      <c r="AB111" s="184" t="s">
        <v>32</v>
      </c>
      <c r="AC111" s="158">
        <f>SUM(AC107:AC110)</f>
        <v>0.90359999999999996</v>
      </c>
      <c r="AD111" s="42"/>
      <c r="AE111" s="39"/>
      <c r="AF111" s="39"/>
      <c r="AG111" s="40"/>
      <c r="AH111" s="39"/>
      <c r="AI111" s="158"/>
      <c r="AJ111" s="158">
        <f>I111+S111+AC111</f>
        <v>3437.030475</v>
      </c>
      <c r="AK111" s="158"/>
    </row>
    <row r="112" spans="1:37" ht="21" x14ac:dyDescent="0.4">
      <c r="A112" s="299"/>
      <c r="B112" s="218" t="str">
        <f t="shared" si="40"/>
        <v/>
      </c>
      <c r="C112" s="5"/>
      <c r="D112" s="10"/>
      <c r="E112" s="126"/>
      <c r="F112" s="126"/>
      <c r="G112" s="126"/>
      <c r="H112" s="201"/>
      <c r="I112" s="163"/>
      <c r="J112" s="42"/>
      <c r="K112" s="39"/>
      <c r="L112" s="43"/>
      <c r="M112" s="40"/>
      <c r="N112" s="26"/>
      <c r="O112" s="234"/>
      <c r="P112" s="386"/>
      <c r="Q112" s="41"/>
      <c r="R112" s="201"/>
      <c r="S112" s="163"/>
      <c r="T112" s="42"/>
      <c r="U112" s="39"/>
      <c r="V112" s="43"/>
      <c r="W112" s="40"/>
      <c r="X112" s="26"/>
      <c r="Y112" s="234"/>
      <c r="Z112" s="386"/>
      <c r="AA112" s="41"/>
      <c r="AB112" s="201"/>
      <c r="AC112" s="163"/>
      <c r="AD112" s="42"/>
      <c r="AE112" s="39"/>
      <c r="AF112" s="43"/>
      <c r="AG112" s="40"/>
      <c r="AH112" s="26"/>
      <c r="AI112" s="234"/>
      <c r="AJ112" s="163"/>
      <c r="AK112" s="163"/>
    </row>
    <row r="113" spans="1:37" ht="15.6" x14ac:dyDescent="0.3">
      <c r="A113" s="299" t="s">
        <v>5</v>
      </c>
      <c r="B113" s="218" t="str">
        <f t="shared" si="40"/>
        <v>MASTBenefits</v>
      </c>
      <c r="C113" s="217" t="s">
        <v>48</v>
      </c>
      <c r="D113" s="10"/>
      <c r="E113" s="126"/>
      <c r="F113" s="126"/>
      <c r="G113" s="126"/>
      <c r="H113" s="184" t="s">
        <v>33</v>
      </c>
      <c r="I113" s="159">
        <f>I110*$O$2</f>
        <v>0</v>
      </c>
      <c r="J113" s="42"/>
      <c r="K113" s="39"/>
      <c r="L113" s="156"/>
      <c r="M113" s="45" t="str">
        <f>"@ "&amp;$O$2*100&amp;" %"</f>
        <v>@ 98.59 %</v>
      </c>
      <c r="N113" s="26"/>
      <c r="O113" s="236"/>
      <c r="P113" s="386"/>
      <c r="Q113" s="41"/>
      <c r="R113" s="184" t="s">
        <v>33</v>
      </c>
      <c r="S113" s="159">
        <f>S110*$O$2</f>
        <v>2755.09755</v>
      </c>
      <c r="T113" s="42"/>
      <c r="U113" s="39"/>
      <c r="V113" s="156"/>
      <c r="W113" s="45" t="str">
        <f>"@ "&amp;$O$2*100&amp;" %"</f>
        <v>@ 98.59 %</v>
      </c>
      <c r="X113" s="26"/>
      <c r="Y113" s="236"/>
      <c r="Z113" s="386"/>
      <c r="AA113" s="41"/>
      <c r="AB113" s="184" t="s">
        <v>33</v>
      </c>
      <c r="AC113" s="159">
        <f>AC110*$O$2</f>
        <v>0</v>
      </c>
      <c r="AD113" s="42"/>
      <c r="AE113" s="39"/>
      <c r="AF113" s="156"/>
      <c r="AG113" s="45" t="str">
        <f>"@ "&amp;$O$2*100&amp;" %"</f>
        <v>@ 98.59 %</v>
      </c>
      <c r="AH113" s="26"/>
      <c r="AI113" s="236"/>
      <c r="AJ113" s="159">
        <f>I113+S113+AC113</f>
        <v>2755.09755</v>
      </c>
      <c r="AK113" s="159"/>
    </row>
    <row r="114" spans="1:37" ht="15.6" x14ac:dyDescent="0.3">
      <c r="A114" s="299" t="s">
        <v>5</v>
      </c>
      <c r="B114" s="218" t="str">
        <f t="shared" si="40"/>
        <v>MASTTotal</v>
      </c>
      <c r="C114" s="220" t="s">
        <v>50</v>
      </c>
      <c r="D114" s="10"/>
      <c r="E114" s="126"/>
      <c r="F114" s="126"/>
      <c r="G114" s="126"/>
      <c r="H114" s="185" t="s">
        <v>34</v>
      </c>
      <c r="I114" s="165">
        <f>I113+I111</f>
        <v>0</v>
      </c>
      <c r="J114" s="68"/>
      <c r="K114" s="68"/>
      <c r="L114" s="68"/>
      <c r="M114" s="63"/>
      <c r="N114" s="420">
        <f>I114</f>
        <v>0</v>
      </c>
      <c r="O114" s="233" t="e">
        <f>N114/N138</f>
        <v>#DIV/0!</v>
      </c>
      <c r="P114" s="386"/>
      <c r="Q114" s="41"/>
      <c r="R114" s="185" t="s">
        <v>34</v>
      </c>
      <c r="S114" s="397">
        <f>S113+S111</f>
        <v>6191.2244250000003</v>
      </c>
      <c r="T114" s="68"/>
      <c r="U114" s="68"/>
      <c r="V114" s="68"/>
      <c r="W114" s="63"/>
      <c r="X114" s="420">
        <f>S114</f>
        <v>6191.2244250000003</v>
      </c>
      <c r="Y114" s="233">
        <f>X114/X138</f>
        <v>0.20515826814731056</v>
      </c>
      <c r="Z114" s="386"/>
      <c r="AA114" s="41"/>
      <c r="AB114" s="185" t="s">
        <v>34</v>
      </c>
      <c r="AC114" s="397">
        <f>AC113+AC111</f>
        <v>0.90359999999999996</v>
      </c>
      <c r="AD114" s="68"/>
      <c r="AE114" s="68"/>
      <c r="AF114" s="68"/>
      <c r="AG114" s="63"/>
      <c r="AH114" s="420">
        <f>AC114</f>
        <v>0.90359999999999996</v>
      </c>
      <c r="AI114" s="233">
        <f>AH114/AH138</f>
        <v>9.9253029346128689E-4</v>
      </c>
      <c r="AJ114" s="397">
        <f>I114+S114+AC114</f>
        <v>6192.128025</v>
      </c>
      <c r="AK114" s="397"/>
    </row>
    <row r="115" spans="1:37" ht="15.6" x14ac:dyDescent="0.3">
      <c r="A115" s="299" t="s">
        <v>5</v>
      </c>
      <c r="B115" s="218" t="str">
        <f t="shared" si="40"/>
        <v>MAST</v>
      </c>
      <c r="C115" s="217" t="s">
        <v>48</v>
      </c>
      <c r="D115" s="10"/>
      <c r="E115" s="126"/>
      <c r="F115" s="126"/>
      <c r="G115" s="126"/>
      <c r="H115" s="179"/>
      <c r="I115" s="166"/>
      <c r="J115" s="69"/>
      <c r="K115" s="69"/>
      <c r="L115" s="69"/>
      <c r="M115" s="70"/>
      <c r="N115" s="72"/>
      <c r="O115" s="235"/>
      <c r="P115" s="387"/>
      <c r="Q115" s="60"/>
      <c r="R115" s="179"/>
      <c r="S115" s="166"/>
      <c r="T115" s="69"/>
      <c r="U115" s="69"/>
      <c r="V115" s="69"/>
      <c r="W115" s="70"/>
      <c r="X115" s="72"/>
      <c r="Y115" s="235"/>
      <c r="Z115" s="387"/>
      <c r="AA115" s="60"/>
      <c r="AB115" s="179"/>
      <c r="AC115" s="166"/>
      <c r="AD115" s="69"/>
      <c r="AE115" s="69"/>
      <c r="AF115" s="69"/>
      <c r="AG115" s="70"/>
      <c r="AH115" s="72"/>
      <c r="AI115" s="235"/>
      <c r="AJ115" s="166"/>
      <c r="AK115" s="166"/>
    </row>
    <row r="116" spans="1:37" ht="15.6" x14ac:dyDescent="0.3">
      <c r="A116" s="299" t="s">
        <v>5</v>
      </c>
      <c r="B116" s="218" t="str">
        <f t="shared" si="40"/>
        <v>MASTEQUIPMENT</v>
      </c>
      <c r="C116" s="220" t="s">
        <v>50</v>
      </c>
      <c r="D116" s="10"/>
      <c r="E116" s="126"/>
      <c r="F116" s="126"/>
      <c r="G116" s="126"/>
      <c r="H116" s="186" t="s">
        <v>36</v>
      </c>
      <c r="I116" s="167"/>
      <c r="J116" s="74"/>
      <c r="K116" s="74"/>
      <c r="L116" s="74"/>
      <c r="M116" s="66"/>
      <c r="N116" s="76"/>
      <c r="O116" s="237"/>
      <c r="P116" s="386"/>
      <c r="Q116" s="37"/>
      <c r="R116" s="186" t="s">
        <v>36</v>
      </c>
      <c r="S116" s="167"/>
      <c r="T116" s="74"/>
      <c r="U116" s="74"/>
      <c r="V116" s="74"/>
      <c r="W116" s="66"/>
      <c r="X116" s="76"/>
      <c r="Y116" s="237"/>
      <c r="Z116" s="386"/>
      <c r="AA116" s="37"/>
      <c r="AB116" s="186" t="s">
        <v>36</v>
      </c>
      <c r="AC116" s="167"/>
      <c r="AD116" s="74"/>
      <c r="AE116" s="74"/>
      <c r="AF116" s="74"/>
      <c r="AG116" s="66"/>
      <c r="AH116" s="76"/>
      <c r="AI116" s="237"/>
      <c r="AJ116" s="167"/>
      <c r="AK116" s="167"/>
    </row>
    <row r="117" spans="1:37" ht="15.6" x14ac:dyDescent="0.3">
      <c r="A117" s="299" t="s">
        <v>5</v>
      </c>
      <c r="B117" s="218" t="str">
        <f t="shared" si="40"/>
        <v>MAST</v>
      </c>
      <c r="C117" s="217" t="s">
        <v>48</v>
      </c>
      <c r="D117" s="10"/>
      <c r="E117" s="126"/>
      <c r="F117" s="126"/>
      <c r="G117" s="126"/>
      <c r="H117" s="187"/>
      <c r="I117" s="158">
        <f t="shared" ref="I117:I120" si="58">J117*K117</f>
        <v>0</v>
      </c>
      <c r="J117" s="42"/>
      <c r="K117" s="39"/>
      <c r="L117" s="39"/>
      <c r="M117" s="40" t="str">
        <f>J117&amp;" hrs @ "&amp;K117</f>
        <v xml:space="preserve"> hrs @ </v>
      </c>
      <c r="N117" s="76"/>
      <c r="O117" s="237"/>
      <c r="P117" s="386"/>
      <c r="Q117" s="37"/>
      <c r="R117" s="187"/>
      <c r="S117" s="158">
        <f t="shared" ref="S117:S120" si="59">T117*U117</f>
        <v>0</v>
      </c>
      <c r="T117" s="42"/>
      <c r="U117" s="39"/>
      <c r="V117" s="39"/>
      <c r="W117" s="40" t="str">
        <f>T117&amp;" hrs @ "&amp;U117</f>
        <v xml:space="preserve"> hrs @ </v>
      </c>
      <c r="X117" s="76"/>
      <c r="Y117" s="237"/>
      <c r="Z117" s="386"/>
      <c r="AA117" s="37"/>
      <c r="AB117" s="187"/>
      <c r="AC117" s="158">
        <f t="shared" ref="AC117:AC120" si="60">AD117*AE117</f>
        <v>0</v>
      </c>
      <c r="AD117" s="42"/>
      <c r="AE117" s="39"/>
      <c r="AF117" s="39"/>
      <c r="AG117" s="40" t="str">
        <f>AD117&amp;" hrs @ "&amp;AE117</f>
        <v xml:space="preserve"> hrs @ </v>
      </c>
      <c r="AH117" s="76"/>
      <c r="AI117" s="237"/>
      <c r="AJ117" s="158">
        <f>I117+S117+AC117</f>
        <v>0</v>
      </c>
      <c r="AK117" s="158"/>
    </row>
    <row r="118" spans="1:37" ht="15.6" x14ac:dyDescent="0.3">
      <c r="A118" s="299" t="s">
        <v>5</v>
      </c>
      <c r="B118" s="218" t="str">
        <f t="shared" si="40"/>
        <v>MAST</v>
      </c>
      <c r="C118" s="217" t="s">
        <v>48</v>
      </c>
      <c r="D118" s="10"/>
      <c r="E118" s="126"/>
      <c r="F118" s="126"/>
      <c r="G118" s="126"/>
      <c r="H118" s="187"/>
      <c r="I118" s="158">
        <f t="shared" si="58"/>
        <v>0</v>
      </c>
      <c r="J118" s="42"/>
      <c r="K118" s="39"/>
      <c r="L118" s="39"/>
      <c r="M118" s="40" t="str">
        <f t="shared" ref="M118:M120" si="61">J118&amp;" hrs @ "&amp;K118</f>
        <v xml:space="preserve"> hrs @ </v>
      </c>
      <c r="N118" s="79"/>
      <c r="O118" s="238"/>
      <c r="P118" s="388"/>
      <c r="Q118" s="81"/>
      <c r="R118" s="187"/>
      <c r="S118" s="158">
        <f t="shared" si="59"/>
        <v>0</v>
      </c>
      <c r="T118" s="42"/>
      <c r="U118" s="39"/>
      <c r="V118" s="39"/>
      <c r="W118" s="40" t="str">
        <f t="shared" ref="W118:W120" si="62">T118&amp;" hrs @ "&amp;U118</f>
        <v xml:space="preserve"> hrs @ </v>
      </c>
      <c r="X118" s="79"/>
      <c r="Y118" s="238"/>
      <c r="Z118" s="388"/>
      <c r="AA118" s="81"/>
      <c r="AB118" s="187"/>
      <c r="AC118" s="158">
        <f t="shared" si="60"/>
        <v>0</v>
      </c>
      <c r="AD118" s="42"/>
      <c r="AE118" s="39"/>
      <c r="AF118" s="39"/>
      <c r="AG118" s="40" t="str">
        <f t="shared" ref="AG118:AG120" si="63">AD118&amp;" hrs @ "&amp;AE118</f>
        <v xml:space="preserve"> hrs @ </v>
      </c>
      <c r="AH118" s="79"/>
      <c r="AI118" s="238"/>
      <c r="AJ118" s="158">
        <f>I118+S118+AC118</f>
        <v>0</v>
      </c>
      <c r="AK118" s="158"/>
    </row>
    <row r="119" spans="1:37" ht="15.6" x14ac:dyDescent="0.3">
      <c r="A119" s="299" t="s">
        <v>5</v>
      </c>
      <c r="B119" s="218" t="str">
        <f t="shared" si="40"/>
        <v>MAST</v>
      </c>
      <c r="C119" s="217" t="s">
        <v>48</v>
      </c>
      <c r="D119" s="10"/>
      <c r="E119" s="126"/>
      <c r="F119" s="126"/>
      <c r="G119" s="126"/>
      <c r="H119" s="187"/>
      <c r="I119" s="158">
        <f t="shared" si="58"/>
        <v>0</v>
      </c>
      <c r="J119" s="42"/>
      <c r="K119" s="39"/>
      <c r="L119" s="42"/>
      <c r="M119" s="40" t="str">
        <f t="shared" si="61"/>
        <v xml:space="preserve"> hrs @ </v>
      </c>
      <c r="N119" s="79"/>
      <c r="O119" s="238"/>
      <c r="P119" s="388"/>
      <c r="Q119" s="81"/>
      <c r="R119" s="187"/>
      <c r="S119" s="158">
        <f t="shared" si="59"/>
        <v>0</v>
      </c>
      <c r="T119" s="42"/>
      <c r="U119" s="39"/>
      <c r="V119" s="42"/>
      <c r="W119" s="40" t="str">
        <f t="shared" si="62"/>
        <v xml:space="preserve"> hrs @ </v>
      </c>
      <c r="X119" s="79"/>
      <c r="Y119" s="238"/>
      <c r="Z119" s="388"/>
      <c r="AA119" s="81"/>
      <c r="AB119" s="187"/>
      <c r="AC119" s="158">
        <f t="shared" si="60"/>
        <v>0</v>
      </c>
      <c r="AD119" s="42"/>
      <c r="AE119" s="39"/>
      <c r="AF119" s="42"/>
      <c r="AG119" s="40" t="str">
        <f t="shared" si="63"/>
        <v xml:space="preserve"> hrs @ </v>
      </c>
      <c r="AH119" s="79"/>
      <c r="AI119" s="238"/>
      <c r="AJ119" s="158">
        <f>I119+S119+AC119</f>
        <v>0</v>
      </c>
      <c r="AK119" s="158"/>
    </row>
    <row r="120" spans="1:37" ht="15.6" x14ac:dyDescent="0.3">
      <c r="A120" s="299" t="s">
        <v>5</v>
      </c>
      <c r="B120" s="218" t="str">
        <f t="shared" si="40"/>
        <v>MAST</v>
      </c>
      <c r="C120" s="217" t="s">
        <v>48</v>
      </c>
      <c r="D120" s="10"/>
      <c r="E120" s="126"/>
      <c r="F120" s="126"/>
      <c r="G120" s="126"/>
      <c r="H120" s="187"/>
      <c r="I120" s="158">
        <f t="shared" si="58"/>
        <v>0</v>
      </c>
      <c r="J120" s="42"/>
      <c r="K120" s="39"/>
      <c r="L120" s="43"/>
      <c r="M120" s="40" t="str">
        <f t="shared" si="61"/>
        <v xml:space="preserve"> hrs @ </v>
      </c>
      <c r="N120" s="79"/>
      <c r="O120" s="239"/>
      <c r="P120" s="388"/>
      <c r="Q120" s="81"/>
      <c r="R120" s="187"/>
      <c r="S120" s="158">
        <f t="shared" si="59"/>
        <v>0</v>
      </c>
      <c r="T120" s="42"/>
      <c r="U120" s="39"/>
      <c r="V120" s="43"/>
      <c r="W120" s="40" t="str">
        <f t="shared" si="62"/>
        <v xml:space="preserve"> hrs @ </v>
      </c>
      <c r="X120" s="79"/>
      <c r="Y120" s="239"/>
      <c r="Z120" s="388"/>
      <c r="AA120" s="81"/>
      <c r="AB120" s="187"/>
      <c r="AC120" s="158">
        <f t="shared" si="60"/>
        <v>0</v>
      </c>
      <c r="AD120" s="42"/>
      <c r="AE120" s="39"/>
      <c r="AF120" s="43"/>
      <c r="AG120" s="40" t="str">
        <f t="shared" si="63"/>
        <v xml:space="preserve"> hrs @ </v>
      </c>
      <c r="AH120" s="79"/>
      <c r="AI120" s="239"/>
      <c r="AJ120" s="158">
        <f>I120+S120+AC120</f>
        <v>0</v>
      </c>
      <c r="AK120" s="158"/>
    </row>
    <row r="121" spans="1:37" ht="15.6" x14ac:dyDescent="0.3">
      <c r="A121" s="299" t="s">
        <v>5</v>
      </c>
      <c r="B121" s="218" t="str">
        <f t="shared" si="40"/>
        <v>MASTTotal Equipment</v>
      </c>
      <c r="C121" s="220" t="s">
        <v>50</v>
      </c>
      <c r="D121" s="10"/>
      <c r="E121" s="116">
        <f>I121</f>
        <v>0</v>
      </c>
      <c r="F121" s="116">
        <f>S121</f>
        <v>0</v>
      </c>
      <c r="G121" s="116">
        <f>AC121</f>
        <v>0</v>
      </c>
      <c r="H121" s="188" t="s">
        <v>37</v>
      </c>
      <c r="I121" s="165">
        <f>SUM(I117:I120)</f>
        <v>0</v>
      </c>
      <c r="J121" s="68"/>
      <c r="K121" s="68"/>
      <c r="L121" s="68"/>
      <c r="M121" s="66"/>
      <c r="N121" s="420">
        <f>I121</f>
        <v>0</v>
      </c>
      <c r="O121" s="240" t="e">
        <f>N121/N138</f>
        <v>#DIV/0!</v>
      </c>
      <c r="P121" s="388"/>
      <c r="Q121" s="81"/>
      <c r="R121" s="188" t="s">
        <v>37</v>
      </c>
      <c r="S121" s="165">
        <f>SUM(S117:S120)</f>
        <v>0</v>
      </c>
      <c r="T121" s="68"/>
      <c r="U121" s="68"/>
      <c r="V121" s="68"/>
      <c r="W121" s="66"/>
      <c r="X121" s="420">
        <f>S121</f>
        <v>0</v>
      </c>
      <c r="Y121" s="240">
        <f>X121/X138</f>
        <v>0</v>
      </c>
      <c r="Z121" s="388"/>
      <c r="AA121" s="81"/>
      <c r="AB121" s="188" t="s">
        <v>37</v>
      </c>
      <c r="AC121" s="165">
        <f>SUM(AC117:AC120)</f>
        <v>0</v>
      </c>
      <c r="AD121" s="68"/>
      <c r="AE121" s="68"/>
      <c r="AF121" s="68"/>
      <c r="AG121" s="66"/>
      <c r="AH121" s="420">
        <f>AC121</f>
        <v>0</v>
      </c>
      <c r="AI121" s="240">
        <f>AH121/AH138</f>
        <v>0</v>
      </c>
      <c r="AJ121" s="165">
        <f>I121+S121+AC121</f>
        <v>0</v>
      </c>
      <c r="AK121" s="165"/>
    </row>
    <row r="122" spans="1:37" ht="15.6" x14ac:dyDescent="0.3">
      <c r="A122" s="299" t="s">
        <v>5</v>
      </c>
      <c r="B122" s="218" t="str">
        <f t="shared" si="40"/>
        <v>MAST</v>
      </c>
      <c r="C122" s="217" t="s">
        <v>48</v>
      </c>
      <c r="D122" s="10"/>
      <c r="E122" s="126"/>
      <c r="F122" s="126"/>
      <c r="G122" s="126"/>
      <c r="H122" s="189"/>
      <c r="I122" s="166"/>
      <c r="J122" s="69"/>
      <c r="K122" s="69"/>
      <c r="L122" s="69"/>
      <c r="M122" s="70"/>
      <c r="N122" s="88"/>
      <c r="O122" s="241"/>
      <c r="P122" s="389"/>
      <c r="Q122" s="60"/>
      <c r="R122" s="189"/>
      <c r="S122" s="166"/>
      <c r="T122" s="69"/>
      <c r="U122" s="69"/>
      <c r="V122" s="69"/>
      <c r="W122" s="70"/>
      <c r="X122" s="88"/>
      <c r="Y122" s="241"/>
      <c r="Z122" s="389"/>
      <c r="AA122" s="60"/>
      <c r="AB122" s="189"/>
      <c r="AC122" s="166"/>
      <c r="AD122" s="69"/>
      <c r="AE122" s="69"/>
      <c r="AF122" s="69"/>
      <c r="AG122" s="70"/>
      <c r="AH122" s="88"/>
      <c r="AI122" s="241"/>
      <c r="AJ122" s="166"/>
      <c r="AK122" s="166"/>
    </row>
    <row r="123" spans="1:37" ht="15.6" x14ac:dyDescent="0.3">
      <c r="A123" s="299" t="s">
        <v>5</v>
      </c>
      <c r="B123" s="218" t="str">
        <f t="shared" si="40"/>
        <v>MASTIS SUPPORT</v>
      </c>
      <c r="C123" s="220" t="s">
        <v>50</v>
      </c>
      <c r="D123" s="10"/>
      <c r="E123" s="126"/>
      <c r="F123" s="126"/>
      <c r="G123" s="126"/>
      <c r="H123" s="186" t="s">
        <v>38</v>
      </c>
      <c r="I123" s="167"/>
      <c r="J123" s="74"/>
      <c r="K123" s="74"/>
      <c r="L123" s="74"/>
      <c r="M123" s="66"/>
      <c r="N123" s="91"/>
      <c r="O123" s="227"/>
      <c r="P123" s="390"/>
      <c r="Q123" s="37"/>
      <c r="R123" s="186" t="s">
        <v>38</v>
      </c>
      <c r="S123" s="167"/>
      <c r="T123" s="74"/>
      <c r="U123" s="74"/>
      <c r="V123" s="74"/>
      <c r="W123" s="66"/>
      <c r="X123" s="91"/>
      <c r="Y123" s="227"/>
      <c r="Z123" s="390"/>
      <c r="AA123" s="37"/>
      <c r="AB123" s="186" t="s">
        <v>38</v>
      </c>
      <c r="AC123" s="167"/>
      <c r="AD123" s="74"/>
      <c r="AE123" s="74"/>
      <c r="AF123" s="74"/>
      <c r="AG123" s="66"/>
      <c r="AH123" s="91"/>
      <c r="AI123" s="227"/>
      <c r="AJ123" s="167"/>
      <c r="AK123" s="167"/>
    </row>
    <row r="124" spans="1:37" ht="15.6" x14ac:dyDescent="0.3">
      <c r="A124" s="299" t="s">
        <v>5</v>
      </c>
      <c r="B124" s="218" t="str">
        <f t="shared" si="40"/>
        <v>MASTAnalyst Labor</v>
      </c>
      <c r="C124" s="217" t="s">
        <v>48</v>
      </c>
      <c r="D124" s="10"/>
      <c r="E124" s="126"/>
      <c r="F124" s="126"/>
      <c r="G124" s="126"/>
      <c r="H124" s="184" t="s">
        <v>39</v>
      </c>
      <c r="I124" s="162">
        <f>J124*K124</f>
        <v>0</v>
      </c>
      <c r="J124" s="42"/>
      <c r="K124" s="39"/>
      <c r="L124" s="39"/>
      <c r="M124" s="40" t="str">
        <f>J124&amp;" hrs @ "&amp;K124</f>
        <v xml:space="preserve"> hrs @ </v>
      </c>
      <c r="N124" s="94"/>
      <c r="O124" s="242"/>
      <c r="P124" s="390"/>
      <c r="Q124" s="37"/>
      <c r="R124" s="184" t="s">
        <v>39</v>
      </c>
      <c r="S124" s="162">
        <f>T124*U124</f>
        <v>0</v>
      </c>
      <c r="T124" s="42"/>
      <c r="U124" s="39"/>
      <c r="V124" s="39"/>
      <c r="W124" s="40" t="str">
        <f>T124&amp;" hrs @ "&amp;U124</f>
        <v xml:space="preserve"> hrs @ </v>
      </c>
      <c r="X124" s="94"/>
      <c r="Y124" s="242"/>
      <c r="Z124" s="390"/>
      <c r="AA124" s="37"/>
      <c r="AB124" s="184" t="s">
        <v>39</v>
      </c>
      <c r="AC124" s="162">
        <f>AD124*AE124</f>
        <v>0</v>
      </c>
      <c r="AD124" s="42"/>
      <c r="AE124" s="39"/>
      <c r="AF124" s="39"/>
      <c r="AG124" s="40" t="str">
        <f>AD124&amp;" hrs @ "&amp;AE124</f>
        <v xml:space="preserve"> hrs @ </v>
      </c>
      <c r="AH124" s="94"/>
      <c r="AI124" s="242"/>
      <c r="AJ124" s="162"/>
      <c r="AK124" s="162"/>
    </row>
    <row r="125" spans="1:37" ht="15.6" x14ac:dyDescent="0.3">
      <c r="A125" s="299" t="s">
        <v>5</v>
      </c>
      <c r="B125" s="218" t="str">
        <f t="shared" si="40"/>
        <v>MASTAnalyst Benefits</v>
      </c>
      <c r="C125" s="217" t="s">
        <v>48</v>
      </c>
      <c r="D125" s="10"/>
      <c r="E125" s="126"/>
      <c r="F125" s="126"/>
      <c r="G125" s="126"/>
      <c r="H125" s="184" t="s">
        <v>40</v>
      </c>
      <c r="I125" s="159">
        <f>I124*$O$2</f>
        <v>0</v>
      </c>
      <c r="J125" s="42"/>
      <c r="K125" s="39"/>
      <c r="L125" s="156"/>
      <c r="M125" s="45" t="str">
        <f>"@ "&amp;$O$2*100&amp;" %"</f>
        <v>@ 98.59 %</v>
      </c>
      <c r="N125" s="94"/>
      <c r="O125" s="228"/>
      <c r="P125" s="390"/>
      <c r="Q125" s="37"/>
      <c r="R125" s="184" t="s">
        <v>40</v>
      </c>
      <c r="S125" s="159">
        <f>S124*$O$2</f>
        <v>0</v>
      </c>
      <c r="T125" s="42"/>
      <c r="U125" s="39"/>
      <c r="V125" s="156"/>
      <c r="W125" s="45" t="str">
        <f>"@ "&amp;$O$2*100&amp;" %"</f>
        <v>@ 98.59 %</v>
      </c>
      <c r="X125" s="94"/>
      <c r="Y125" s="228"/>
      <c r="Z125" s="390"/>
      <c r="AA125" s="37"/>
      <c r="AB125" s="184" t="s">
        <v>40</v>
      </c>
      <c r="AC125" s="159">
        <f>AC124*$O$2</f>
        <v>0</v>
      </c>
      <c r="AD125" s="42"/>
      <c r="AE125" s="39"/>
      <c r="AF125" s="156"/>
      <c r="AG125" s="45" t="str">
        <f>"@ "&amp;$O$2*100&amp;" %"</f>
        <v>@ 98.59 %</v>
      </c>
      <c r="AH125" s="94"/>
      <c r="AI125" s="228"/>
      <c r="AJ125" s="159"/>
      <c r="AK125" s="159"/>
    </row>
    <row r="126" spans="1:37" ht="15.6" x14ac:dyDescent="0.3">
      <c r="A126" s="299" t="s">
        <v>5</v>
      </c>
      <c r="B126" s="218" t="str">
        <f t="shared" si="40"/>
        <v>MASTTotal IS</v>
      </c>
      <c r="C126" s="220" t="s">
        <v>50</v>
      </c>
      <c r="D126" s="10"/>
      <c r="E126" s="126"/>
      <c r="F126" s="126"/>
      <c r="G126" s="126"/>
      <c r="H126" s="185" t="s">
        <v>41</v>
      </c>
      <c r="I126" s="165">
        <f>I124+I125</f>
        <v>0</v>
      </c>
      <c r="J126" s="68"/>
      <c r="K126" s="68"/>
      <c r="L126" s="68"/>
      <c r="M126" s="66"/>
      <c r="N126" s="420">
        <f>I126</f>
        <v>0</v>
      </c>
      <c r="O126" s="240" t="e">
        <f>N126/N138</f>
        <v>#DIV/0!</v>
      </c>
      <c r="P126" s="390"/>
      <c r="Q126" s="37"/>
      <c r="R126" s="185" t="s">
        <v>41</v>
      </c>
      <c r="S126" s="165">
        <f>S124+S125</f>
        <v>0</v>
      </c>
      <c r="T126" s="68"/>
      <c r="U126" s="68"/>
      <c r="V126" s="68"/>
      <c r="W126" s="66"/>
      <c r="X126" s="420">
        <f>S126</f>
        <v>0</v>
      </c>
      <c r="Y126" s="240">
        <f>X126/X138</f>
        <v>0</v>
      </c>
      <c r="Z126" s="390"/>
      <c r="AA126" s="37"/>
      <c r="AB126" s="185" t="s">
        <v>41</v>
      </c>
      <c r="AC126" s="165">
        <f>AC124+AC125</f>
        <v>0</v>
      </c>
      <c r="AD126" s="68"/>
      <c r="AE126" s="68"/>
      <c r="AF126" s="68"/>
      <c r="AG126" s="66"/>
      <c r="AH126" s="420">
        <f>AC126</f>
        <v>0</v>
      </c>
      <c r="AI126" s="240">
        <f>AH126/AH138</f>
        <v>0</v>
      </c>
      <c r="AJ126" s="165">
        <f>I126+S126+AC126</f>
        <v>0</v>
      </c>
      <c r="AK126" s="165"/>
    </row>
    <row r="127" spans="1:37" ht="15.6" x14ac:dyDescent="0.3">
      <c r="A127" s="299" t="s">
        <v>5</v>
      </c>
      <c r="B127" s="218" t="str">
        <f t="shared" si="40"/>
        <v>MAST</v>
      </c>
      <c r="C127" s="217" t="s">
        <v>48</v>
      </c>
      <c r="D127" s="10"/>
      <c r="E127" s="126"/>
      <c r="F127" s="126"/>
      <c r="G127" s="126"/>
      <c r="H127" s="179"/>
      <c r="I127" s="166"/>
      <c r="J127" s="69"/>
      <c r="K127" s="69"/>
      <c r="L127" s="69"/>
      <c r="M127" s="70"/>
      <c r="N127" s="98"/>
      <c r="O127" s="243"/>
      <c r="P127" s="391"/>
      <c r="Q127" s="60"/>
      <c r="R127" s="179"/>
      <c r="S127" s="166"/>
      <c r="T127" s="69"/>
      <c r="U127" s="69"/>
      <c r="V127" s="69"/>
      <c r="W127" s="70"/>
      <c r="X127" s="98"/>
      <c r="Y127" s="243"/>
      <c r="Z127" s="391"/>
      <c r="AA127" s="60"/>
      <c r="AB127" s="179"/>
      <c r="AC127" s="166"/>
      <c r="AD127" s="69"/>
      <c r="AE127" s="69"/>
      <c r="AF127" s="69"/>
      <c r="AG127" s="70"/>
      <c r="AH127" s="98"/>
      <c r="AI127" s="243"/>
      <c r="AJ127" s="166"/>
      <c r="AK127" s="166"/>
    </row>
    <row r="128" spans="1:37" ht="15.6" x14ac:dyDescent="0.3">
      <c r="A128" s="299" t="s">
        <v>5</v>
      </c>
      <c r="B128" s="218" t="str">
        <f t="shared" si="40"/>
        <v>MASTOTHER</v>
      </c>
      <c r="C128" s="220" t="s">
        <v>50</v>
      </c>
      <c r="D128" s="10"/>
      <c r="E128" s="126"/>
      <c r="F128" s="126"/>
      <c r="G128" s="126"/>
      <c r="H128" s="186" t="s">
        <v>42</v>
      </c>
      <c r="I128" s="167"/>
      <c r="J128" s="74"/>
      <c r="K128" s="74"/>
      <c r="L128" s="74"/>
      <c r="M128" s="66"/>
      <c r="N128" s="91"/>
      <c r="O128" s="227"/>
      <c r="P128" s="390"/>
      <c r="Q128" s="37"/>
      <c r="R128" s="186" t="s">
        <v>42</v>
      </c>
      <c r="S128" s="167"/>
      <c r="T128" s="74"/>
      <c r="U128" s="74"/>
      <c r="V128" s="74"/>
      <c r="W128" s="66"/>
      <c r="X128" s="91"/>
      <c r="Y128" s="227"/>
      <c r="Z128" s="390"/>
      <c r="AA128" s="37"/>
      <c r="AB128" s="186" t="s">
        <v>42</v>
      </c>
      <c r="AC128" s="167"/>
      <c r="AD128" s="74"/>
      <c r="AE128" s="74"/>
      <c r="AF128" s="74"/>
      <c r="AG128" s="66"/>
      <c r="AH128" s="91"/>
      <c r="AI128" s="227"/>
      <c r="AJ128" s="167"/>
      <c r="AK128" s="167"/>
    </row>
    <row r="129" spans="1:37" ht="15.6" customHeight="1" x14ac:dyDescent="0.3">
      <c r="A129" s="299" t="s">
        <v>5</v>
      </c>
      <c r="B129" s="218" t="str">
        <f t="shared" si="40"/>
        <v>MASTManager Non Payroll</v>
      </c>
      <c r="C129" s="217" t="s">
        <v>48</v>
      </c>
      <c r="D129" s="10"/>
      <c r="E129" s="126"/>
      <c r="F129" s="126"/>
      <c r="G129" s="126"/>
      <c r="H129" s="42" t="s">
        <v>578</v>
      </c>
      <c r="I129" s="163">
        <f>ROUND((((I99+I108)*(1+$O$2))/VLOOKUP("MAJ ACCT SERV TEAMPayroll",'Base 2015 actual for Cost Cente'!$A:$F,6,FALSE))*VLOOKUP("MAJ ACCT SERV TEAMNon-Payroll",'Base 2015 actual for Cost Cente'!$A:$F,6,FALSE),0)</f>
        <v>0</v>
      </c>
      <c r="J129" s="74"/>
      <c r="K129" s="74"/>
      <c r="L129" s="74" t="s">
        <v>576</v>
      </c>
      <c r="M129" s="734" t="s">
        <v>372</v>
      </c>
      <c r="N129" s="91"/>
      <c r="O129" s="227"/>
      <c r="P129" s="390"/>
      <c r="Q129" s="37"/>
      <c r="R129" s="42" t="s">
        <v>578</v>
      </c>
      <c r="S129" s="163">
        <f>ROUND((((S99+S108)*(1+$O$2))/VLOOKUP("MAJ ACCT SERV TEAMPayroll",'Base 2015 actual for Cost Cente'!$A:$F,6,FALSE))*VLOOKUP("MAJ ACCT SERV TEAMNon-Payroll",'Base 2015 actual for Cost Cente'!$A:$F,6,FALSE),0)</f>
        <v>717</v>
      </c>
      <c r="T129" s="74"/>
      <c r="U129" s="74"/>
      <c r="V129" s="74" t="s">
        <v>576</v>
      </c>
      <c r="W129" s="734" t="s">
        <v>372</v>
      </c>
      <c r="X129" s="91"/>
      <c r="Y129" s="227"/>
      <c r="Z129" s="390"/>
      <c r="AA129" s="37"/>
      <c r="AB129" s="42" t="s">
        <v>578</v>
      </c>
      <c r="AC129" s="163">
        <f>ROUND((((AC99+AC108)*(1+$O$2))/VLOOKUP("MAJ ACCT SERV TEAMPayroll",'Base 2015 actual for Cost Cente'!$A:$F,6,FALSE))*VLOOKUP("MAJ ACCT SERV TEAMNon-Payroll",'Base 2015 actual for Cost Cente'!$A:$F,6,FALSE),0)</f>
        <v>0</v>
      </c>
      <c r="AD129" s="74"/>
      <c r="AE129" s="74"/>
      <c r="AF129" s="74" t="s">
        <v>576</v>
      </c>
      <c r="AG129" s="734" t="s">
        <v>372</v>
      </c>
      <c r="AH129" s="91"/>
      <c r="AI129" s="227"/>
      <c r="AJ129" s="163">
        <f>I129+S129+AC129</f>
        <v>717</v>
      </c>
      <c r="AK129" s="163"/>
    </row>
    <row r="130" spans="1:37" ht="15.6" x14ac:dyDescent="0.3">
      <c r="A130" s="299" t="s">
        <v>5</v>
      </c>
      <c r="B130" s="218" t="str">
        <f t="shared" si="40"/>
        <v>MASTMAS NonPayroll</v>
      </c>
      <c r="C130" s="217" t="s">
        <v>48</v>
      </c>
      <c r="D130" s="10"/>
      <c r="E130" s="126"/>
      <c r="F130" s="126"/>
      <c r="G130" s="126"/>
      <c r="H130" s="42" t="s">
        <v>579</v>
      </c>
      <c r="I130" s="163">
        <f>ROUND((((I101+I109)*(1+$O$2))/VLOOKUP("FIELD SERVICESPayroll",'Base 2015 actual for Cost Cente'!$A:$F,6,FALSE))*VLOOKUP("FIELD SERVICESNon-Payroll",'Base 2015 actual for Cost Cente'!$A:$F,6,FALSE),0)</f>
        <v>0</v>
      </c>
      <c r="J130" s="42"/>
      <c r="K130" s="39"/>
      <c r="L130" s="42" t="s">
        <v>577</v>
      </c>
      <c r="M130" s="735"/>
      <c r="N130" s="91"/>
      <c r="O130" s="227"/>
      <c r="P130" s="390"/>
      <c r="Q130" s="37"/>
      <c r="R130" s="42" t="s">
        <v>579</v>
      </c>
      <c r="S130" s="163">
        <f>ROUND((((S101+S109)*(1+$O$2))/VLOOKUP("FIELD SERVICESPayroll",'Base 2015 actual for Cost Cente'!$A:$F,6,FALSE))*VLOOKUP("FIELD SERVICESNon-Payroll",'Base 2015 actual for Cost Cente'!$A:$F,6,FALSE),0)</f>
        <v>14</v>
      </c>
      <c r="T130" s="42"/>
      <c r="U130" s="39"/>
      <c r="V130" s="42" t="s">
        <v>577</v>
      </c>
      <c r="W130" s="735"/>
      <c r="X130" s="91"/>
      <c r="Y130" s="227"/>
      <c r="Z130" s="390"/>
      <c r="AA130" s="37"/>
      <c r="AB130" s="42" t="s">
        <v>579</v>
      </c>
      <c r="AC130" s="163">
        <f>ROUND((((AC101+AC109)*(1+$O$2))/VLOOKUP("FIELD SERVICESPayroll",'Base 2015 actual for Cost Cente'!$A:$F,6,FALSE))*VLOOKUP("FIELD SERVICESNon-Payroll",'Base 2015 actual for Cost Cente'!$A:$F,6,FALSE),0)</f>
        <v>33</v>
      </c>
      <c r="AD130" s="42"/>
      <c r="AE130" s="39"/>
      <c r="AF130" s="42" t="s">
        <v>577</v>
      </c>
      <c r="AG130" s="735"/>
      <c r="AH130" s="91"/>
      <c r="AI130" s="227"/>
      <c r="AJ130" s="163">
        <f>I130+S130+AC130</f>
        <v>47</v>
      </c>
      <c r="AK130" s="163"/>
    </row>
    <row r="131" spans="1:37" ht="15.6" x14ac:dyDescent="0.3">
      <c r="A131" s="299" t="s">
        <v>5</v>
      </c>
      <c r="B131" s="218" t="str">
        <f t="shared" si="40"/>
        <v>MASTMAST Payroll</v>
      </c>
      <c r="C131" s="217" t="s">
        <v>48</v>
      </c>
      <c r="D131" s="10"/>
      <c r="E131" s="126"/>
      <c r="F131" s="126"/>
      <c r="G131" s="126"/>
      <c r="H131" s="42" t="s">
        <v>580</v>
      </c>
      <c r="I131" s="163">
        <f>ROUND((((I100+I110)*(1+$O$2))/VLOOKUP("CUST SEG SRVCPayroll",'Base 2015 actual for Cost Cente'!$A:$F,6,FALSE))*VLOOKUP("CUST SEG SRVCNon-Payroll",'Base 2015 actual for Cost Cente'!$A:$F,6,FALSE),0)</f>
        <v>0</v>
      </c>
      <c r="J131" s="42"/>
      <c r="K131" s="39"/>
      <c r="L131" s="42" t="s">
        <v>5</v>
      </c>
      <c r="M131" s="66" t="s">
        <v>574</v>
      </c>
      <c r="N131" s="91"/>
      <c r="O131" s="227"/>
      <c r="P131" s="390"/>
      <c r="Q131" s="37"/>
      <c r="R131" s="42" t="s">
        <v>580</v>
      </c>
      <c r="S131" s="163">
        <f>ROUND((((S100+S110)*(1+$O$2))/VLOOKUP("CUST SEG SRVCPayroll",'Base 2015 actual for Cost Cente'!$A:$F,6,FALSE))*VLOOKUP("CUST SEG SRVCNon-Payroll",'Base 2015 actual for Cost Cente'!$A:$F,6,FALSE),0)</f>
        <v>387</v>
      </c>
      <c r="T131" s="42"/>
      <c r="U131" s="39"/>
      <c r="V131" s="42" t="s">
        <v>5</v>
      </c>
      <c r="W131" s="66" t="s">
        <v>574</v>
      </c>
      <c r="X131" s="91"/>
      <c r="Y131" s="227"/>
      <c r="Z131" s="390"/>
      <c r="AA131" s="37"/>
      <c r="AB131" s="42" t="s">
        <v>580</v>
      </c>
      <c r="AC131" s="163">
        <f>ROUND((((AC100+AC110)*(1+$O$2))/VLOOKUP("CUST SEG SRVCPayroll",'Base 2015 actual for Cost Cente'!$A:$F,6,FALSE))*VLOOKUP("CUST SEG SRVCNon-Payroll",'Base 2015 actual for Cost Cente'!$A:$F,6,FALSE),0)</f>
        <v>0</v>
      </c>
      <c r="AD131" s="42"/>
      <c r="AE131" s="39"/>
      <c r="AF131" s="42" t="s">
        <v>5</v>
      </c>
      <c r="AG131" s="66" t="s">
        <v>574</v>
      </c>
      <c r="AH131" s="91"/>
      <c r="AI131" s="227"/>
      <c r="AJ131" s="163">
        <f>I131+S131+AC131</f>
        <v>387</v>
      </c>
      <c r="AK131" s="163"/>
    </row>
    <row r="132" spans="1:37" ht="15.6" x14ac:dyDescent="0.3">
      <c r="A132" s="299" t="s">
        <v>5</v>
      </c>
      <c r="B132" s="218" t="str">
        <f t="shared" si="40"/>
        <v>MAST</v>
      </c>
      <c r="C132" s="217" t="s">
        <v>48</v>
      </c>
      <c r="D132" s="10"/>
      <c r="E132" s="126"/>
      <c r="F132" s="126"/>
      <c r="G132" s="126"/>
      <c r="H132" s="184"/>
      <c r="I132" s="158">
        <f t="shared" ref="I132:I134" si="64">J132*K132</f>
        <v>0</v>
      </c>
      <c r="J132" s="42"/>
      <c r="K132" s="39"/>
      <c r="L132" s="42"/>
      <c r="M132" s="66"/>
      <c r="N132" s="91"/>
      <c r="O132" s="227"/>
      <c r="P132" s="390"/>
      <c r="Q132" s="37"/>
      <c r="R132" s="184"/>
      <c r="S132" s="158">
        <f t="shared" ref="S132:S134" si="65">T132*U132</f>
        <v>0</v>
      </c>
      <c r="T132" s="42"/>
      <c r="U132" s="39"/>
      <c r="V132" s="42"/>
      <c r="W132" s="66"/>
      <c r="X132" s="91"/>
      <c r="Y132" s="227"/>
      <c r="Z132" s="390"/>
      <c r="AA132" s="37"/>
      <c r="AB132" s="184"/>
      <c r="AC132" s="158">
        <f t="shared" ref="AC132:AC134" si="66">AD132*AE132</f>
        <v>0</v>
      </c>
      <c r="AD132" s="42"/>
      <c r="AE132" s="39"/>
      <c r="AF132" s="42"/>
      <c r="AG132" s="66"/>
      <c r="AH132" s="91"/>
      <c r="AI132" s="227"/>
      <c r="AJ132" s="158"/>
      <c r="AK132" s="158"/>
    </row>
    <row r="133" spans="1:37" ht="15.6" x14ac:dyDescent="0.3">
      <c r="A133" s="299" t="s">
        <v>5</v>
      </c>
      <c r="B133" s="218" t="str">
        <f t="shared" si="40"/>
        <v>MAST</v>
      </c>
      <c r="C133" s="217" t="s">
        <v>48</v>
      </c>
      <c r="D133" s="10"/>
      <c r="E133" s="126"/>
      <c r="F133" s="126"/>
      <c r="G133" s="126"/>
      <c r="H133" s="184"/>
      <c r="I133" s="158">
        <f t="shared" si="64"/>
        <v>0</v>
      </c>
      <c r="J133" s="42"/>
      <c r="K133" s="39"/>
      <c r="L133" s="42"/>
      <c r="M133" s="66"/>
      <c r="N133" s="91"/>
      <c r="O133" s="227"/>
      <c r="P133" s="390"/>
      <c r="Q133" s="37"/>
      <c r="R133" s="184"/>
      <c r="S133" s="158">
        <f t="shared" si="65"/>
        <v>0</v>
      </c>
      <c r="T133" s="42"/>
      <c r="U133" s="39"/>
      <c r="V133" s="42"/>
      <c r="W133" s="66"/>
      <c r="X133" s="91"/>
      <c r="Y133" s="227"/>
      <c r="Z133" s="390"/>
      <c r="AA133" s="37"/>
      <c r="AB133" s="184"/>
      <c r="AC133" s="158">
        <f t="shared" si="66"/>
        <v>0</v>
      </c>
      <c r="AD133" s="42"/>
      <c r="AE133" s="39"/>
      <c r="AF133" s="42"/>
      <c r="AG133" s="66"/>
      <c r="AH133" s="91"/>
      <c r="AI133" s="227"/>
      <c r="AJ133" s="158"/>
      <c r="AK133" s="158"/>
    </row>
    <row r="134" spans="1:37" ht="15.6" x14ac:dyDescent="0.3">
      <c r="A134" s="299" t="s">
        <v>5</v>
      </c>
      <c r="B134" s="218" t="str">
        <f t="shared" si="40"/>
        <v>MAST</v>
      </c>
      <c r="C134" s="217" t="s">
        <v>48</v>
      </c>
      <c r="D134" s="10"/>
      <c r="E134" s="126"/>
      <c r="F134" s="126"/>
      <c r="G134" s="126"/>
      <c r="H134" s="184"/>
      <c r="I134" s="158">
        <f t="shared" si="64"/>
        <v>0</v>
      </c>
      <c r="J134" s="82"/>
      <c r="K134" s="82"/>
      <c r="L134" s="67"/>
      <c r="M134" s="40"/>
      <c r="N134" s="94"/>
      <c r="O134" s="228"/>
      <c r="P134" s="390"/>
      <c r="Q134" s="37"/>
      <c r="R134" s="184"/>
      <c r="S134" s="158">
        <f t="shared" si="65"/>
        <v>0</v>
      </c>
      <c r="T134" s="82"/>
      <c r="U134" s="82"/>
      <c r="V134" s="67"/>
      <c r="W134" s="40"/>
      <c r="X134" s="94"/>
      <c r="Y134" s="228"/>
      <c r="Z134" s="390"/>
      <c r="AA134" s="37"/>
      <c r="AB134" s="184"/>
      <c r="AC134" s="158">
        <f t="shared" si="66"/>
        <v>0</v>
      </c>
      <c r="AD134" s="82"/>
      <c r="AE134" s="82"/>
      <c r="AF134" s="67"/>
      <c r="AG134" s="40"/>
      <c r="AH134" s="94"/>
      <c r="AI134" s="228"/>
      <c r="AJ134" s="158"/>
      <c r="AK134" s="158"/>
    </row>
    <row r="135" spans="1:37" ht="15.6" x14ac:dyDescent="0.3">
      <c r="A135" s="299" t="s">
        <v>5</v>
      </c>
      <c r="B135" s="218" t="str">
        <f t="shared" si="40"/>
        <v>MASTTotal Other</v>
      </c>
      <c r="C135" s="220" t="s">
        <v>50</v>
      </c>
      <c r="D135" s="10"/>
      <c r="E135" s="116">
        <f>I135</f>
        <v>0</v>
      </c>
      <c r="F135" s="116">
        <f>S135</f>
        <v>1118</v>
      </c>
      <c r="G135" s="116">
        <f>AC135</f>
        <v>33</v>
      </c>
      <c r="H135" s="185" t="s">
        <v>45</v>
      </c>
      <c r="I135" s="165">
        <f>SUM(I129:I134)</f>
        <v>0</v>
      </c>
      <c r="J135" s="68"/>
      <c r="K135" s="68"/>
      <c r="L135" s="68"/>
      <c r="M135" s="66"/>
      <c r="N135" s="414">
        <f>I135</f>
        <v>0</v>
      </c>
      <c r="O135" s="240" t="e">
        <f>N135/N138</f>
        <v>#DIV/0!</v>
      </c>
      <c r="P135" s="390"/>
      <c r="Q135" s="68"/>
      <c r="R135" s="185" t="s">
        <v>45</v>
      </c>
      <c r="S135" s="165">
        <f>SUM(S129:S134)</f>
        <v>1118</v>
      </c>
      <c r="T135" s="68"/>
      <c r="U135" s="68"/>
      <c r="V135" s="68"/>
      <c r="W135" s="66"/>
      <c r="X135" s="414">
        <f>S135</f>
        <v>1118</v>
      </c>
      <c r="Y135" s="240">
        <f>X135/X138</f>
        <v>3.7047105393646459E-2</v>
      </c>
      <c r="Z135" s="390"/>
      <c r="AA135" s="68"/>
      <c r="AB135" s="185" t="s">
        <v>45</v>
      </c>
      <c r="AC135" s="165">
        <f>SUM(AC129:AC134)</f>
        <v>33</v>
      </c>
      <c r="AD135" s="68"/>
      <c r="AE135" s="68"/>
      <c r="AF135" s="68"/>
      <c r="AG135" s="66"/>
      <c r="AH135" s="414">
        <f>AC135</f>
        <v>33</v>
      </c>
      <c r="AI135" s="240">
        <f>AH135/AH138</f>
        <v>3.6247786281786702E-2</v>
      </c>
      <c r="AJ135" s="165">
        <f>I135+S135+AC135</f>
        <v>1151</v>
      </c>
      <c r="AK135" s="165"/>
    </row>
    <row r="136" spans="1:37" ht="16.2" thickBot="1" x14ac:dyDescent="0.35">
      <c r="A136" s="299" t="s">
        <v>5</v>
      </c>
      <c r="B136" s="218" t="str">
        <f t="shared" si="40"/>
        <v>MAST</v>
      </c>
      <c r="C136" s="217" t="s">
        <v>48</v>
      </c>
      <c r="D136" s="10"/>
      <c r="E136" s="126"/>
      <c r="F136" s="126"/>
      <c r="G136" s="126"/>
      <c r="H136" s="178"/>
      <c r="I136" s="178"/>
      <c r="J136" s="101"/>
      <c r="K136" s="101"/>
      <c r="L136" s="101"/>
      <c r="M136" s="102"/>
      <c r="N136" s="415"/>
      <c r="O136" s="178"/>
      <c r="P136" s="101"/>
      <c r="Q136" s="101"/>
      <c r="R136" s="178"/>
      <c r="S136" s="178"/>
      <c r="T136" s="101"/>
      <c r="U136" s="101"/>
      <c r="V136" s="101"/>
      <c r="W136" s="102"/>
      <c r="X136" s="415"/>
      <c r="Y136" s="178"/>
      <c r="Z136" s="101"/>
      <c r="AA136" s="101"/>
      <c r="AB136" s="178"/>
      <c r="AC136" s="178"/>
      <c r="AD136" s="101"/>
      <c r="AE136" s="101"/>
      <c r="AF136" s="101"/>
      <c r="AG136" s="102"/>
      <c r="AH136" s="415"/>
      <c r="AI136" s="178"/>
      <c r="AJ136" s="178"/>
      <c r="AK136" s="178"/>
    </row>
    <row r="137" spans="1:37" ht="16.2" thickTop="1" x14ac:dyDescent="0.3">
      <c r="A137" s="299" t="s">
        <v>5</v>
      </c>
      <c r="B137" s="218" t="str">
        <f t="shared" si="40"/>
        <v>MASTTOTALS</v>
      </c>
      <c r="C137" s="217" t="s">
        <v>48</v>
      </c>
      <c r="D137" s="10"/>
      <c r="E137" s="126"/>
      <c r="F137" s="126"/>
      <c r="G137" s="126"/>
      <c r="H137" s="186" t="s">
        <v>28</v>
      </c>
      <c r="I137" s="418"/>
      <c r="J137" s="103"/>
      <c r="K137" s="103"/>
      <c r="L137" s="103"/>
      <c r="M137" s="104"/>
      <c r="N137" s="91"/>
      <c r="O137" s="136"/>
      <c r="P137" s="390"/>
      <c r="Q137" s="37"/>
      <c r="R137" s="186" t="s">
        <v>28</v>
      </c>
      <c r="S137" s="418"/>
      <c r="T137" s="103"/>
      <c r="U137" s="435"/>
      <c r="V137" s="435"/>
      <c r="W137" s="436"/>
      <c r="X137" s="91"/>
      <c r="Y137" s="136"/>
      <c r="Z137" s="390"/>
      <c r="AA137" s="37"/>
      <c r="AB137" s="186" t="s">
        <v>28</v>
      </c>
      <c r="AC137" s="418"/>
      <c r="AD137" s="435"/>
      <c r="AE137" s="435"/>
      <c r="AF137" s="435"/>
      <c r="AG137" s="436"/>
      <c r="AH137" s="91"/>
      <c r="AI137" s="136"/>
      <c r="AJ137" s="418"/>
      <c r="AK137" s="418"/>
    </row>
    <row r="138" spans="1:37" ht="15.6" x14ac:dyDescent="0.3">
      <c r="A138" s="299" t="s">
        <v>5</v>
      </c>
      <c r="B138" s="218" t="str">
        <f t="shared" si="40"/>
        <v>MASTPER YEAR</v>
      </c>
      <c r="C138" s="220" t="s">
        <v>50</v>
      </c>
      <c r="D138" s="10"/>
      <c r="E138" s="116">
        <f>I138</f>
        <v>0</v>
      </c>
      <c r="F138" s="116">
        <f>S138</f>
        <v>30177.796298000001</v>
      </c>
      <c r="G138" s="116">
        <f>S138</f>
        <v>30177.796298000001</v>
      </c>
      <c r="H138" s="190" t="s">
        <v>46</v>
      </c>
      <c r="I138" s="417">
        <f>I105+I114+I121+I126+I135</f>
        <v>0</v>
      </c>
      <c r="J138" s="106"/>
      <c r="K138" s="106"/>
      <c r="L138" s="106"/>
      <c r="M138" s="107"/>
      <c r="N138" s="420">
        <f>SUM(N105:N136)</f>
        <v>0</v>
      </c>
      <c r="O138" s="233" t="e">
        <f>SUM(O105:O136)</f>
        <v>#DIV/0!</v>
      </c>
      <c r="P138" s="390"/>
      <c r="Q138" s="37"/>
      <c r="R138" s="190" t="s">
        <v>46</v>
      </c>
      <c r="S138" s="417">
        <f>S105+S114+S121+S126+S135</f>
        <v>30177.796298000001</v>
      </c>
      <c r="T138" s="106"/>
      <c r="U138" s="106"/>
      <c r="V138" s="106"/>
      <c r="W138" s="107"/>
      <c r="X138" s="420">
        <f>SUM(X105:X136)</f>
        <v>30177.796298000001</v>
      </c>
      <c r="Y138" s="233">
        <f>SUM(Y105:Y136)</f>
        <v>0.99999999999999989</v>
      </c>
      <c r="Z138" s="390"/>
      <c r="AA138" s="37"/>
      <c r="AB138" s="190" t="s">
        <v>46</v>
      </c>
      <c r="AC138" s="417">
        <f>AC105+AC114+AC121+AC126+AC135</f>
        <v>910.40042400000004</v>
      </c>
      <c r="AD138" s="106"/>
      <c r="AE138" s="106"/>
      <c r="AF138" s="106"/>
      <c r="AG138" s="107"/>
      <c r="AH138" s="420">
        <f>SUM(AH105:AH136)</f>
        <v>910.40042400000004</v>
      </c>
      <c r="AI138" s="233">
        <f>SUM(AI105:AI136)</f>
        <v>1</v>
      </c>
      <c r="AJ138" s="417">
        <f>I138+S138+AC138</f>
        <v>31088.196722000001</v>
      </c>
      <c r="AK138" s="417"/>
    </row>
    <row r="139" spans="1:37" ht="15.6" x14ac:dyDescent="0.3">
      <c r="A139" s="299" t="s">
        <v>5</v>
      </c>
      <c r="B139" s="218" t="str">
        <f t="shared" si="40"/>
        <v>MASTPER CUSTOMER</v>
      </c>
      <c r="C139" s="220" t="s">
        <v>50</v>
      </c>
      <c r="D139" s="10"/>
      <c r="E139" s="126"/>
      <c r="F139" s="126"/>
      <c r="G139" s="126"/>
      <c r="H139" s="185" t="s">
        <v>287</v>
      </c>
      <c r="I139" s="419">
        <f>I138/I$6</f>
        <v>0</v>
      </c>
      <c r="J139" s="108"/>
      <c r="K139" s="108"/>
      <c r="L139" s="108"/>
      <c r="M139" s="109"/>
      <c r="N139" s="98"/>
      <c r="O139" s="243"/>
      <c r="P139" s="391"/>
      <c r="Q139" s="60"/>
      <c r="R139" s="185" t="s">
        <v>287</v>
      </c>
      <c r="S139" s="419">
        <f>S138/S$6</f>
        <v>4.2896654297085997</v>
      </c>
      <c r="T139" s="108"/>
      <c r="U139" s="108"/>
      <c r="V139" s="108"/>
      <c r="W139" s="109"/>
      <c r="X139" s="98"/>
      <c r="Y139" s="243"/>
      <c r="Z139" s="391"/>
      <c r="AA139" s="60"/>
      <c r="AB139" s="185" t="s">
        <v>287</v>
      </c>
      <c r="AC139" s="419">
        <f>AC138/AC$6</f>
        <v>39.582627130434787</v>
      </c>
      <c r="AD139" s="108"/>
      <c r="AE139" s="108"/>
      <c r="AF139" s="108"/>
      <c r="AG139" s="109"/>
      <c r="AH139" s="98"/>
      <c r="AI139" s="243"/>
      <c r="AJ139" s="419">
        <f>I139+S139+AC139</f>
        <v>43.872292560143386</v>
      </c>
      <c r="AK139" s="419"/>
    </row>
    <row r="140" spans="1:37" ht="15.6" x14ac:dyDescent="0.3">
      <c r="A140" s="299" t="s">
        <v>5</v>
      </c>
      <c r="B140" s="218"/>
      <c r="C140" s="220"/>
      <c r="D140" s="10"/>
      <c r="E140" s="10"/>
      <c r="F140" s="10"/>
      <c r="G140" s="10"/>
      <c r="H140" s="137" t="s">
        <v>585</v>
      </c>
      <c r="I140" s="659">
        <f>I105+I114</f>
        <v>0</v>
      </c>
      <c r="J140" s="108"/>
      <c r="K140" s="108"/>
      <c r="L140" s="108"/>
      <c r="M140" s="109"/>
      <c r="N140" s="656"/>
      <c r="O140" s="657"/>
      <c r="P140" s="92"/>
      <c r="Q140" s="37"/>
      <c r="R140" s="137" t="s">
        <v>585</v>
      </c>
      <c r="S140" s="659">
        <f>S105+S114</f>
        <v>29059.796298000001</v>
      </c>
      <c r="T140" s="108"/>
      <c r="U140" s="108"/>
      <c r="V140" s="108"/>
      <c r="W140" s="109"/>
      <c r="X140" s="658"/>
      <c r="Y140" s="657"/>
      <c r="Z140" s="92"/>
      <c r="AA140" s="37"/>
      <c r="AB140" s="137" t="s">
        <v>585</v>
      </c>
      <c r="AC140" s="659">
        <f>AC105+AC114</f>
        <v>877.40042400000004</v>
      </c>
      <c r="AD140" s="108"/>
      <c r="AE140" s="108"/>
      <c r="AF140" s="108"/>
      <c r="AG140" s="109"/>
      <c r="AH140" s="656"/>
      <c r="AI140" s="137"/>
      <c r="AJ140" s="659">
        <f>I140+S140+AC140</f>
        <v>29937.196722000001</v>
      </c>
      <c r="AK140" s="659"/>
    </row>
    <row r="141" spans="1:37" ht="15.6" x14ac:dyDescent="0.3">
      <c r="A141" s="299" t="s">
        <v>5</v>
      </c>
      <c r="B141" s="218"/>
      <c r="C141" s="220"/>
      <c r="D141" s="10"/>
      <c r="E141" s="10"/>
      <c r="F141" s="10"/>
      <c r="G141" s="10"/>
      <c r="H141" s="137" t="s">
        <v>586</v>
      </c>
      <c r="I141" s="659">
        <f>I135+I126+I121</f>
        <v>0</v>
      </c>
      <c r="J141" s="108"/>
      <c r="K141" s="659"/>
      <c r="L141" s="108"/>
      <c r="M141" s="109"/>
      <c r="N141" s="656"/>
      <c r="O141" s="657"/>
      <c r="P141" s="92"/>
      <c r="Q141" s="37"/>
      <c r="R141" s="137" t="s">
        <v>586</v>
      </c>
      <c r="S141" s="659">
        <f>S135+S126+S121</f>
        <v>1118</v>
      </c>
      <c r="T141" s="108"/>
      <c r="U141" s="659"/>
      <c r="V141" s="108"/>
      <c r="W141" s="109"/>
      <c r="X141" s="658"/>
      <c r="Y141" s="657"/>
      <c r="Z141" s="92"/>
      <c r="AA141" s="37"/>
      <c r="AB141" s="137" t="s">
        <v>586</v>
      </c>
      <c r="AC141" s="659">
        <f>AC135+AC126+AC121</f>
        <v>33</v>
      </c>
      <c r="AD141" s="108"/>
      <c r="AE141" s="659"/>
      <c r="AF141" s="108"/>
      <c r="AG141" s="109"/>
      <c r="AH141" s="656"/>
      <c r="AI141" s="137"/>
      <c r="AJ141" s="659">
        <f>I141+S141+AC141</f>
        <v>1151</v>
      </c>
      <c r="AK141" s="659"/>
    </row>
    <row r="142" spans="1:37" ht="15.6" x14ac:dyDescent="0.3">
      <c r="A142" s="299" t="s">
        <v>5</v>
      </c>
      <c r="B142" s="218"/>
      <c r="C142" s="220"/>
      <c r="D142" s="10"/>
      <c r="E142" s="10"/>
      <c r="F142" s="10"/>
      <c r="G142" s="10"/>
      <c r="H142" s="137" t="s">
        <v>584</v>
      </c>
      <c r="I142" s="659">
        <f>I138</f>
        <v>0</v>
      </c>
      <c r="J142" s="108"/>
      <c r="K142" s="108"/>
      <c r="L142" s="108"/>
      <c r="M142" s="109"/>
      <c r="N142" s="656"/>
      <c r="O142" s="657"/>
      <c r="P142" s="92"/>
      <c r="Q142" s="37"/>
      <c r="R142" s="137" t="s">
        <v>584</v>
      </c>
      <c r="S142" s="659">
        <f>S138</f>
        <v>30177.796298000001</v>
      </c>
      <c r="T142" s="108"/>
      <c r="U142" s="108"/>
      <c r="V142" s="108"/>
      <c r="W142" s="109"/>
      <c r="X142" s="658"/>
      <c r="Y142" s="657"/>
      <c r="Z142" s="92"/>
      <c r="AA142" s="37"/>
      <c r="AB142" s="137" t="s">
        <v>584</v>
      </c>
      <c r="AC142" s="659">
        <f>AC138</f>
        <v>910.40042400000004</v>
      </c>
      <c r="AD142" s="108"/>
      <c r="AE142" s="108"/>
      <c r="AF142" s="108"/>
      <c r="AG142" s="109"/>
      <c r="AH142" s="656"/>
      <c r="AI142" s="137"/>
      <c r="AJ142" s="659">
        <f>I142+S142+AC142</f>
        <v>31088.196722000001</v>
      </c>
      <c r="AK142" s="659"/>
    </row>
    <row r="143" spans="1:37" ht="93.6" x14ac:dyDescent="0.3">
      <c r="A143" s="299" t="s">
        <v>6</v>
      </c>
      <c r="B143" s="218" t="str">
        <f t="shared" ref="B143:B203" si="67">A143&amp;H143</f>
        <v>RMCLABOR: NON-SUPERVISORY</v>
      </c>
      <c r="C143" s="12" t="s">
        <v>6</v>
      </c>
      <c r="D143" s="10" t="str">
        <f>'2015Summary METER to CASH (Base'!O19</f>
        <v xml:space="preserve">* Forecast, plan &amp; assign all turn of and reconnects.
* Dispatch meter investigation and curb valve installation orders to field personnel
</v>
      </c>
      <c r="E143" s="117">
        <f>N179</f>
        <v>83229.288039999999</v>
      </c>
      <c r="F143" s="117">
        <f>X179</f>
        <v>4048.2711599999998</v>
      </c>
      <c r="G143" s="117">
        <f>AC179</f>
        <v>0</v>
      </c>
      <c r="H143" s="183" t="s">
        <v>31</v>
      </c>
      <c r="I143" s="157"/>
      <c r="J143" s="118"/>
      <c r="K143" s="118"/>
      <c r="L143" s="118"/>
      <c r="M143" s="119"/>
      <c r="N143" s="121"/>
      <c r="O143" s="135"/>
      <c r="P143" s="381"/>
      <c r="Q143" s="123"/>
      <c r="R143" s="183" t="s">
        <v>31</v>
      </c>
      <c r="S143" s="157"/>
      <c r="T143" s="118"/>
      <c r="U143" s="118"/>
      <c r="V143" s="118"/>
      <c r="W143" s="119"/>
      <c r="X143" s="121"/>
      <c r="Y143" s="135"/>
      <c r="Z143" s="381"/>
      <c r="AA143" s="123"/>
      <c r="AB143" s="183" t="s">
        <v>31</v>
      </c>
      <c r="AC143" s="157"/>
      <c r="AD143" s="118"/>
      <c r="AE143" s="118"/>
      <c r="AF143" s="118"/>
      <c r="AG143" s="119"/>
      <c r="AH143" s="121"/>
      <c r="AI143" s="135"/>
      <c r="AJ143" s="157"/>
      <c r="AK143" s="157"/>
    </row>
    <row r="144" spans="1:37" ht="21" x14ac:dyDescent="0.4">
      <c r="A144" s="299" t="s">
        <v>6</v>
      </c>
      <c r="B144" s="218" t="str">
        <f t="shared" si="67"/>
        <v>RMCReso Mgmt Spec (Grade 18)</v>
      </c>
      <c r="C144" s="5" t="s">
        <v>48</v>
      </c>
      <c r="D144" s="10"/>
      <c r="E144" s="116"/>
      <c r="F144" s="116"/>
      <c r="G144" s="116"/>
      <c r="H144" s="184" t="s">
        <v>315</v>
      </c>
      <c r="I144" s="163">
        <f>J144*K144</f>
        <v>36974</v>
      </c>
      <c r="J144" s="42">
        <f>ROUND(1020*(I$6/($I$6+$S$6+$AC$6)),0)</f>
        <v>973</v>
      </c>
      <c r="K144" s="39">
        <v>38</v>
      </c>
      <c r="L144" s="39"/>
      <c r="M144" s="40" t="str">
        <f>J144&amp;" hrs @ "&amp;K144</f>
        <v>973 hrs @ 38</v>
      </c>
      <c r="N144" s="35"/>
      <c r="O144" s="136"/>
      <c r="P144" s="382"/>
      <c r="Q144" s="41"/>
      <c r="R144" s="184" t="s">
        <v>315</v>
      </c>
      <c r="S144" s="163">
        <f>T144*U144</f>
        <v>1786</v>
      </c>
      <c r="T144" s="42">
        <f>ROUND(1020*(S$6/($I$6+$S$6+$AC$6)),0)</f>
        <v>47</v>
      </c>
      <c r="U144" s="39">
        <v>38</v>
      </c>
      <c r="V144" s="39"/>
      <c r="W144" s="40" t="str">
        <f>T144&amp;" hrs @ "&amp;U144</f>
        <v>47 hrs @ 38</v>
      </c>
      <c r="X144" s="35"/>
      <c r="Y144" s="136"/>
      <c r="Z144" s="382"/>
      <c r="AA144" s="41"/>
      <c r="AB144" s="184" t="s">
        <v>315</v>
      </c>
      <c r="AC144" s="163">
        <f>AD144*AE144</f>
        <v>0</v>
      </c>
      <c r="AD144" s="42">
        <f>ROUND(1020*(AC$6/($I$6+$S$6+$AC$6)),0)</f>
        <v>0</v>
      </c>
      <c r="AE144" s="39">
        <v>38</v>
      </c>
      <c r="AF144" s="39"/>
      <c r="AG144" s="40" t="str">
        <f>AD144&amp;" hrs @ "&amp;AE144</f>
        <v>0 hrs @ 38</v>
      </c>
      <c r="AH144" s="35"/>
      <c r="AI144" s="136"/>
      <c r="AJ144" s="163">
        <f>I144+S144+AC144</f>
        <v>38760</v>
      </c>
      <c r="AK144" s="163"/>
    </row>
    <row r="145" spans="1:37" ht="21" x14ac:dyDescent="0.4">
      <c r="A145" s="299" t="s">
        <v>6</v>
      </c>
      <c r="B145" s="218" t="str">
        <f t="shared" si="67"/>
        <v>RMC</v>
      </c>
      <c r="C145" s="5" t="s">
        <v>48</v>
      </c>
      <c r="D145" s="10"/>
      <c r="E145" s="116"/>
      <c r="F145" s="116"/>
      <c r="G145" s="116"/>
      <c r="H145" s="184"/>
      <c r="I145" s="158"/>
      <c r="J145" s="42"/>
      <c r="K145" s="39"/>
      <c r="L145" s="42"/>
      <c r="M145" s="40" t="str">
        <f t="shared" ref="M145:M147" si="68">J145&amp;" hrs @ "&amp;K145</f>
        <v xml:space="preserve"> hrs @ </v>
      </c>
      <c r="N145" s="35"/>
      <c r="O145" s="136"/>
      <c r="P145" s="382"/>
      <c r="Q145" s="3"/>
      <c r="R145" s="184"/>
      <c r="S145" s="158"/>
      <c r="T145" s="42"/>
      <c r="U145" s="39"/>
      <c r="V145" s="42"/>
      <c r="W145" s="40" t="str">
        <f t="shared" ref="W145:W147" si="69">T145&amp;" hrs @ "&amp;U145</f>
        <v xml:space="preserve"> hrs @ </v>
      </c>
      <c r="X145" s="35"/>
      <c r="Y145" s="136"/>
      <c r="Z145" s="382"/>
      <c r="AA145" s="3"/>
      <c r="AB145" s="184"/>
      <c r="AC145" s="158"/>
      <c r="AD145" s="42"/>
      <c r="AE145" s="39"/>
      <c r="AF145" s="42"/>
      <c r="AG145" s="40" t="str">
        <f t="shared" ref="AG145:AG147" si="70">AD145&amp;" hrs @ "&amp;AE145</f>
        <v xml:space="preserve"> hrs @ </v>
      </c>
      <c r="AH145" s="35"/>
      <c r="AI145" s="136"/>
      <c r="AJ145" s="158"/>
      <c r="AK145" s="158"/>
    </row>
    <row r="146" spans="1:37" ht="21" x14ac:dyDescent="0.4">
      <c r="A146" s="299" t="s">
        <v>6</v>
      </c>
      <c r="B146" s="218" t="str">
        <f t="shared" si="67"/>
        <v>RMC</v>
      </c>
      <c r="C146" s="5" t="s">
        <v>48</v>
      </c>
      <c r="D146" s="10"/>
      <c r="E146" s="116"/>
      <c r="F146" s="116"/>
      <c r="G146" s="116"/>
      <c r="H146" s="184"/>
      <c r="I146" s="158"/>
      <c r="J146" s="42"/>
      <c r="K146" s="39"/>
      <c r="L146" s="42"/>
      <c r="M146" s="40" t="str">
        <f t="shared" si="68"/>
        <v xml:space="preserve"> hrs @ </v>
      </c>
      <c r="N146" s="35"/>
      <c r="O146" s="136"/>
      <c r="P146" s="382"/>
      <c r="Q146" s="41"/>
      <c r="R146" s="184"/>
      <c r="S146" s="158"/>
      <c r="T146" s="42"/>
      <c r="U146" s="39"/>
      <c r="V146" s="42"/>
      <c r="W146" s="40" t="str">
        <f t="shared" si="69"/>
        <v xml:space="preserve"> hrs @ </v>
      </c>
      <c r="X146" s="35"/>
      <c r="Y146" s="136"/>
      <c r="Z146" s="382"/>
      <c r="AA146" s="41"/>
      <c r="AB146" s="184"/>
      <c r="AC146" s="158"/>
      <c r="AD146" s="42"/>
      <c r="AE146" s="39"/>
      <c r="AF146" s="42"/>
      <c r="AG146" s="40" t="str">
        <f t="shared" si="70"/>
        <v xml:space="preserve"> hrs @ </v>
      </c>
      <c r="AH146" s="35"/>
      <c r="AI146" s="136"/>
      <c r="AJ146" s="158"/>
      <c r="AK146" s="158"/>
    </row>
    <row r="147" spans="1:37" ht="21" x14ac:dyDescent="0.4">
      <c r="A147" s="299" t="s">
        <v>6</v>
      </c>
      <c r="B147" s="218" t="str">
        <f t="shared" si="67"/>
        <v>RMC</v>
      </c>
      <c r="C147" s="5" t="s">
        <v>48</v>
      </c>
      <c r="D147" s="10"/>
      <c r="E147" s="116"/>
      <c r="F147" s="116"/>
      <c r="G147" s="116"/>
      <c r="H147" s="179"/>
      <c r="I147" s="173"/>
      <c r="J147" s="174"/>
      <c r="K147" s="175"/>
      <c r="L147" s="181">
        <v>7.0000000000000007E-2</v>
      </c>
      <c r="M147" s="176" t="str">
        <f t="shared" si="68"/>
        <v xml:space="preserve"> hrs @ </v>
      </c>
      <c r="N147" s="35"/>
      <c r="O147" s="136"/>
      <c r="P147" s="382"/>
      <c r="Q147" s="44"/>
      <c r="R147" s="179"/>
      <c r="S147" s="173"/>
      <c r="T147" s="174"/>
      <c r="U147" s="175"/>
      <c r="V147" s="181">
        <v>7.0000000000000007E-2</v>
      </c>
      <c r="W147" s="176" t="str">
        <f t="shared" si="69"/>
        <v xml:space="preserve"> hrs @ </v>
      </c>
      <c r="X147" s="35"/>
      <c r="Y147" s="136"/>
      <c r="Z147" s="382"/>
      <c r="AA147" s="44"/>
      <c r="AB147" s="179"/>
      <c r="AC147" s="173"/>
      <c r="AD147" s="174"/>
      <c r="AE147" s="175"/>
      <c r="AF147" s="181"/>
      <c r="AG147" s="176" t="str">
        <f t="shared" si="70"/>
        <v xml:space="preserve"> hrs @ </v>
      </c>
      <c r="AH147" s="35"/>
      <c r="AI147" s="136"/>
      <c r="AJ147" s="173"/>
      <c r="AK147" s="173"/>
    </row>
    <row r="148" spans="1:37" ht="21" x14ac:dyDescent="0.4">
      <c r="A148" s="299" t="s">
        <v>6</v>
      </c>
      <c r="B148" s="218" t="str">
        <f t="shared" si="67"/>
        <v>RMCTotal Wages</v>
      </c>
      <c r="C148" s="5" t="s">
        <v>48</v>
      </c>
      <c r="D148" s="10"/>
      <c r="E148" s="116"/>
      <c r="F148" s="116"/>
      <c r="G148" s="116"/>
      <c r="H148" s="184" t="s">
        <v>32</v>
      </c>
      <c r="I148" s="158">
        <f>SUM(I144:I147)</f>
        <v>36974</v>
      </c>
      <c r="J148" s="42"/>
      <c r="K148" s="39"/>
      <c r="L148" s="39"/>
      <c r="M148" s="40"/>
      <c r="N148" s="35"/>
      <c r="O148" s="136"/>
      <c r="P148" s="382"/>
      <c r="Q148" s="41"/>
      <c r="R148" s="184" t="s">
        <v>32</v>
      </c>
      <c r="S148" s="158">
        <f>SUM(S144:S147)</f>
        <v>1786</v>
      </c>
      <c r="T148" s="42"/>
      <c r="U148" s="39"/>
      <c r="V148" s="39"/>
      <c r="W148" s="40"/>
      <c r="X148" s="35"/>
      <c r="Y148" s="136"/>
      <c r="Z148" s="382"/>
      <c r="AA148" s="41"/>
      <c r="AB148" s="184" t="s">
        <v>32</v>
      </c>
      <c r="AC148" s="158">
        <f>SUM(AC144:AC147)</f>
        <v>0</v>
      </c>
      <c r="AD148" s="42"/>
      <c r="AE148" s="39"/>
      <c r="AF148" s="39"/>
      <c r="AG148" s="40"/>
      <c r="AH148" s="35"/>
      <c r="AI148" s="136"/>
      <c r="AJ148" s="158">
        <f>I148+S148+AC148</f>
        <v>38760</v>
      </c>
      <c r="AK148" s="158"/>
    </row>
    <row r="149" spans="1:37" ht="21" x14ac:dyDescent="0.4">
      <c r="A149" s="299" t="s">
        <v>6</v>
      </c>
      <c r="B149" s="218" t="str">
        <f t="shared" si="67"/>
        <v>RMCBenefits</v>
      </c>
      <c r="C149" s="5" t="s">
        <v>48</v>
      </c>
      <c r="D149" s="10"/>
      <c r="E149" s="116"/>
      <c r="F149" s="116"/>
      <c r="G149" s="116"/>
      <c r="H149" s="184" t="s">
        <v>33</v>
      </c>
      <c r="I149" s="159">
        <f>I148*$O$2</f>
        <v>36452.666599999997</v>
      </c>
      <c r="J149" s="42"/>
      <c r="K149" s="39"/>
      <c r="M149" s="45" t="str">
        <f>"@ "&amp;$O$2*100&amp;" %"</f>
        <v>@ 98.59 %</v>
      </c>
      <c r="N149" s="47"/>
      <c r="O149" s="432"/>
      <c r="P149" s="383"/>
      <c r="Q149" s="41"/>
      <c r="R149" s="184" t="s">
        <v>33</v>
      </c>
      <c r="S149" s="159">
        <f>S148*$O$2</f>
        <v>1760.8173999999999</v>
      </c>
      <c r="T149" s="42"/>
      <c r="U149" s="39"/>
      <c r="W149" s="45" t="str">
        <f>"@ "&amp;$O$2*100&amp;" %"</f>
        <v>@ 98.59 %</v>
      </c>
      <c r="X149" s="47"/>
      <c r="Y149" s="432"/>
      <c r="Z149" s="383"/>
      <c r="AA149" s="41"/>
      <c r="AB149" s="184" t="s">
        <v>33</v>
      </c>
      <c r="AC149" s="159">
        <f>AC148*$O$2</f>
        <v>0</v>
      </c>
      <c r="AD149" s="42"/>
      <c r="AE149" s="39"/>
      <c r="AG149" s="45" t="str">
        <f>"@ "&amp;$O$2*100&amp;" %"</f>
        <v>@ 98.59 %</v>
      </c>
      <c r="AH149" s="47"/>
      <c r="AI149" s="432"/>
      <c r="AJ149" s="159">
        <f>I149+S149+AC149</f>
        <v>38213.483999999997</v>
      </c>
      <c r="AK149" s="159"/>
    </row>
    <row r="150" spans="1:37" ht="21" x14ac:dyDescent="0.3">
      <c r="A150" s="299" t="s">
        <v>6</v>
      </c>
      <c r="B150" s="218" t="str">
        <f t="shared" si="67"/>
        <v>RMCTotal</v>
      </c>
      <c r="C150" s="125" t="s">
        <v>50</v>
      </c>
      <c r="D150" s="10"/>
      <c r="E150" s="116"/>
      <c r="F150" s="116"/>
      <c r="G150" s="116"/>
      <c r="H150" s="185" t="s">
        <v>34</v>
      </c>
      <c r="I150" s="160">
        <f>I148+I149</f>
        <v>73426.666599999997</v>
      </c>
      <c r="J150" s="42"/>
      <c r="K150" s="39"/>
      <c r="L150" s="50"/>
      <c r="M150" s="51"/>
      <c r="N150" s="420">
        <f>I150</f>
        <v>73426.666599999997</v>
      </c>
      <c r="O150" s="233">
        <f>N150/N179</f>
        <v>0.88222149112595005</v>
      </c>
      <c r="P150" s="384"/>
      <c r="Q150" s="37"/>
      <c r="R150" s="185" t="s">
        <v>34</v>
      </c>
      <c r="S150" s="160">
        <f>S148+S149</f>
        <v>3546.8173999999999</v>
      </c>
      <c r="T150" s="42"/>
      <c r="U150" s="39"/>
      <c r="V150" s="50"/>
      <c r="W150" s="51"/>
      <c r="X150" s="420">
        <f>S150</f>
        <v>3546.8173999999999</v>
      </c>
      <c r="Y150" s="233">
        <f>X150/X179</f>
        <v>0.87613138048786243</v>
      </c>
      <c r="Z150" s="384"/>
      <c r="AA150" s="37"/>
      <c r="AB150" s="185" t="s">
        <v>34</v>
      </c>
      <c r="AC150" s="160">
        <f>AC148+AC149</f>
        <v>0</v>
      </c>
      <c r="AD150" s="42"/>
      <c r="AE150" s="39"/>
      <c r="AF150" s="50"/>
      <c r="AG150" s="51"/>
      <c r="AH150" s="420">
        <f>AC150</f>
        <v>0</v>
      </c>
      <c r="AI150" s="233" t="e">
        <f>AH150/AH179</f>
        <v>#DIV/0!</v>
      </c>
      <c r="AJ150" s="160">
        <f>I150+S150+AC150</f>
        <v>76973.483999999997</v>
      </c>
      <c r="AK150" s="160"/>
    </row>
    <row r="151" spans="1:37" ht="21" x14ac:dyDescent="0.4">
      <c r="A151" s="299" t="s">
        <v>6</v>
      </c>
      <c r="B151" s="218" t="str">
        <f t="shared" si="67"/>
        <v>RMC</v>
      </c>
      <c r="C151" s="5" t="s">
        <v>48</v>
      </c>
      <c r="D151" s="10"/>
      <c r="E151" s="116"/>
      <c r="F151" s="116"/>
      <c r="G151" s="116"/>
      <c r="H151" s="179"/>
      <c r="I151" s="166"/>
      <c r="J151" s="69"/>
      <c r="K151" s="69"/>
      <c r="L151" s="69"/>
      <c r="M151" s="70"/>
      <c r="N151" s="58"/>
      <c r="O151" s="231"/>
      <c r="P151" s="385"/>
      <c r="Q151" s="60"/>
      <c r="R151" s="179"/>
      <c r="S151" s="166"/>
      <c r="T151" s="69"/>
      <c r="U151" s="69"/>
      <c r="V151" s="69"/>
      <c r="W151" s="70"/>
      <c r="X151" s="58"/>
      <c r="Y151" s="231"/>
      <c r="Z151" s="385"/>
      <c r="AA151" s="60"/>
      <c r="AB151" s="179"/>
      <c r="AC151" s="166"/>
      <c r="AD151" s="69"/>
      <c r="AE151" s="69"/>
      <c r="AF151" s="69"/>
      <c r="AG151" s="70"/>
      <c r="AH151" s="58"/>
      <c r="AI151" s="231"/>
      <c r="AJ151" s="166"/>
      <c r="AK151" s="166"/>
    </row>
    <row r="152" spans="1:37" ht="21" x14ac:dyDescent="0.4">
      <c r="A152" s="299" t="s">
        <v>6</v>
      </c>
      <c r="B152" s="218" t="str">
        <f t="shared" si="67"/>
        <v>RMCLABOR: SUPERVISORY</v>
      </c>
      <c r="C152" s="124" t="s">
        <v>50</v>
      </c>
      <c r="D152" s="10"/>
      <c r="E152" s="116"/>
      <c r="F152" s="116"/>
      <c r="G152" s="116"/>
      <c r="H152" s="186" t="s">
        <v>35</v>
      </c>
      <c r="I152" s="167"/>
      <c r="J152" s="74"/>
      <c r="K152" s="74"/>
      <c r="L152" s="74"/>
      <c r="M152" s="66"/>
      <c r="N152" s="26"/>
      <c r="O152" s="234"/>
      <c r="P152" s="386"/>
      <c r="Q152" s="37"/>
      <c r="R152" s="186" t="s">
        <v>35</v>
      </c>
      <c r="S152" s="167"/>
      <c r="T152" s="74"/>
      <c r="U152" s="74"/>
      <c r="V152" s="74"/>
      <c r="W152" s="66"/>
      <c r="X152" s="26"/>
      <c r="Y152" s="234"/>
      <c r="Z152" s="386"/>
      <c r="AA152" s="37"/>
      <c r="AB152" s="186" t="s">
        <v>35</v>
      </c>
      <c r="AC152" s="167"/>
      <c r="AD152" s="74"/>
      <c r="AE152" s="74"/>
      <c r="AF152" s="74"/>
      <c r="AG152" s="66"/>
      <c r="AH152" s="26"/>
      <c r="AI152" s="234"/>
      <c r="AJ152" s="167"/>
      <c r="AK152" s="167"/>
    </row>
    <row r="153" spans="1:37" ht="21" x14ac:dyDescent="0.4">
      <c r="A153" s="299" t="s">
        <v>6</v>
      </c>
      <c r="B153" s="218" t="str">
        <f t="shared" si="67"/>
        <v>RMCResource Mgmt Supv</v>
      </c>
      <c r="C153" s="5" t="s">
        <v>48</v>
      </c>
      <c r="D153" s="10"/>
      <c r="E153" s="116"/>
      <c r="F153" s="116"/>
      <c r="G153" s="116"/>
      <c r="H153" s="184" t="s">
        <v>314</v>
      </c>
      <c r="I153" s="163">
        <f>J153*K153</f>
        <v>3161.6</v>
      </c>
      <c r="J153" s="42">
        <f>ROUND(80*(I$6/($I$6+$S$6+$AC$6)),0)</f>
        <v>76</v>
      </c>
      <c r="K153" s="39">
        <v>41.6</v>
      </c>
      <c r="L153" s="43"/>
      <c r="M153" s="40" t="str">
        <f t="shared" ref="M153" si="71">J153&amp;" hrs @ "&amp;K153</f>
        <v>76 hrs @ 41.6</v>
      </c>
      <c r="N153" s="26"/>
      <c r="O153" s="234"/>
      <c r="P153" s="386"/>
      <c r="Q153" s="41"/>
      <c r="R153" s="184" t="s">
        <v>314</v>
      </c>
      <c r="S153" s="163">
        <f>T153*U153</f>
        <v>166.4</v>
      </c>
      <c r="T153" s="42">
        <f>ROUND(80*(S$6/($I$6+$S$6+$AC$6)),0)</f>
        <v>4</v>
      </c>
      <c r="U153" s="39">
        <v>41.6</v>
      </c>
      <c r="V153" s="43"/>
      <c r="W153" s="40" t="str">
        <f t="shared" ref="W153" si="72">T153&amp;" hrs @ "&amp;U153</f>
        <v>4 hrs @ 41.6</v>
      </c>
      <c r="X153" s="26"/>
      <c r="Y153" s="234"/>
      <c r="Z153" s="386"/>
      <c r="AA153" s="41"/>
      <c r="AB153" s="184" t="s">
        <v>314</v>
      </c>
      <c r="AC153" s="163">
        <f>AD153*AE153</f>
        <v>0</v>
      </c>
      <c r="AD153" s="42">
        <f>ROUND(80*(AC$6/($I$6+$S$6+$AC$6)),0)</f>
        <v>0</v>
      </c>
      <c r="AE153" s="39">
        <v>41.6</v>
      </c>
      <c r="AF153" s="43"/>
      <c r="AG153" s="40" t="str">
        <f t="shared" ref="AG153" si="73">AD153&amp;" hrs @ "&amp;AE153</f>
        <v>0 hrs @ 41.6</v>
      </c>
      <c r="AH153" s="26"/>
      <c r="AI153" s="234"/>
      <c r="AJ153" s="163">
        <f>I153+S153+AC153</f>
        <v>3328</v>
      </c>
      <c r="AK153" s="163"/>
    </row>
    <row r="154" spans="1:37" ht="21" x14ac:dyDescent="0.4">
      <c r="A154" s="299" t="s">
        <v>6</v>
      </c>
      <c r="B154" s="218" t="str">
        <f t="shared" si="67"/>
        <v>RMCBenefits</v>
      </c>
      <c r="C154" s="5" t="s">
        <v>48</v>
      </c>
      <c r="D154" s="10"/>
      <c r="E154" s="116"/>
      <c r="F154" s="116"/>
      <c r="G154" s="116"/>
      <c r="H154" s="184" t="s">
        <v>33</v>
      </c>
      <c r="I154" s="159">
        <f>I153*$O$2</f>
        <v>3117.02144</v>
      </c>
      <c r="J154" s="42"/>
      <c r="K154" s="39"/>
      <c r="L154" s="156"/>
      <c r="M154" s="45" t="str">
        <f>"@ "&amp;$O$2*100&amp;" %"</f>
        <v>@ 98.59 %</v>
      </c>
      <c r="N154" s="26"/>
      <c r="O154" s="234"/>
      <c r="P154" s="386"/>
      <c r="Q154" s="41"/>
      <c r="R154" s="184" t="s">
        <v>33</v>
      </c>
      <c r="S154" s="159">
        <f>S153*$O$2</f>
        <v>164.05376000000001</v>
      </c>
      <c r="T154" s="42"/>
      <c r="U154" s="39"/>
      <c r="V154" s="156"/>
      <c r="W154" s="45" t="str">
        <f>"@ "&amp;$O$2*100&amp;" %"</f>
        <v>@ 98.59 %</v>
      </c>
      <c r="X154" s="26"/>
      <c r="Y154" s="234"/>
      <c r="Z154" s="386"/>
      <c r="AA154" s="41"/>
      <c r="AB154" s="184" t="s">
        <v>33</v>
      </c>
      <c r="AC154" s="159">
        <f>AC153*$O$2</f>
        <v>0</v>
      </c>
      <c r="AD154" s="42"/>
      <c r="AE154" s="39"/>
      <c r="AF154" s="156"/>
      <c r="AG154" s="45" t="str">
        <f>"@ "&amp;$O$2*100&amp;" %"</f>
        <v>@ 98.59 %</v>
      </c>
      <c r="AH154" s="26"/>
      <c r="AI154" s="234"/>
      <c r="AJ154" s="159">
        <f>I154+S154+AC154</f>
        <v>3281.0752000000002</v>
      </c>
      <c r="AK154" s="159"/>
    </row>
    <row r="155" spans="1:37" ht="21" x14ac:dyDescent="0.4">
      <c r="A155" s="299" t="s">
        <v>6</v>
      </c>
      <c r="B155" s="218" t="str">
        <f t="shared" si="67"/>
        <v>RMCTotal</v>
      </c>
      <c r="C155" s="124" t="s">
        <v>50</v>
      </c>
      <c r="D155" s="10"/>
      <c r="E155" s="116"/>
      <c r="F155" s="116"/>
      <c r="G155" s="116"/>
      <c r="H155" s="185" t="s">
        <v>34</v>
      </c>
      <c r="I155" s="165">
        <f>I154+I153</f>
        <v>6278.6214399999999</v>
      </c>
      <c r="J155" s="68"/>
      <c r="K155" s="68"/>
      <c r="L155" s="68"/>
      <c r="M155" s="63"/>
      <c r="N155" s="420">
        <f>I155</f>
        <v>6278.6214399999999</v>
      </c>
      <c r="O155" s="233">
        <f>N155/N179</f>
        <v>7.5437644462157283E-2</v>
      </c>
      <c r="P155" s="386"/>
      <c r="Q155" s="41"/>
      <c r="R155" s="185" t="s">
        <v>34</v>
      </c>
      <c r="S155" s="165">
        <f>S154+S153</f>
        <v>330.45375999999999</v>
      </c>
      <c r="T155" s="68"/>
      <c r="U155" s="68"/>
      <c r="V155" s="68"/>
      <c r="W155" s="63"/>
      <c r="X155" s="420">
        <f>S155</f>
        <v>330.45375999999999</v>
      </c>
      <c r="Y155" s="233">
        <f>X155/X179</f>
        <v>8.1628366020817633E-2</v>
      </c>
      <c r="Z155" s="386"/>
      <c r="AA155" s="41"/>
      <c r="AB155" s="185" t="s">
        <v>34</v>
      </c>
      <c r="AC155" s="165">
        <f>AC154+AC153</f>
        <v>0</v>
      </c>
      <c r="AD155" s="68"/>
      <c r="AE155" s="68"/>
      <c r="AF155" s="68"/>
      <c r="AG155" s="63"/>
      <c r="AH155" s="420">
        <f>AC155</f>
        <v>0</v>
      </c>
      <c r="AI155" s="233" t="e">
        <f>AH155/AH179</f>
        <v>#DIV/0!</v>
      </c>
      <c r="AJ155" s="165">
        <f>I155+S155+AC155</f>
        <v>6609.0752000000002</v>
      </c>
      <c r="AK155" s="165"/>
    </row>
    <row r="156" spans="1:37" ht="21" x14ac:dyDescent="0.4">
      <c r="A156" s="299" t="s">
        <v>6</v>
      </c>
      <c r="B156" s="218" t="str">
        <f t="shared" si="67"/>
        <v>RMC</v>
      </c>
      <c r="C156" s="5" t="s">
        <v>48</v>
      </c>
      <c r="D156" s="10"/>
      <c r="E156" s="116"/>
      <c r="F156" s="116"/>
      <c r="G156" s="116"/>
      <c r="H156" s="179"/>
      <c r="I156" s="166"/>
      <c r="J156" s="69"/>
      <c r="K156" s="69"/>
      <c r="L156" s="69"/>
      <c r="M156" s="70"/>
      <c r="N156" s="72"/>
      <c r="O156" s="235"/>
      <c r="P156" s="387"/>
      <c r="Q156" s="60"/>
      <c r="R156" s="179"/>
      <c r="S156" s="166"/>
      <c r="T156" s="69"/>
      <c r="U156" s="69"/>
      <c r="V156" s="69"/>
      <c r="W156" s="70"/>
      <c r="X156" s="72"/>
      <c r="Y156" s="235"/>
      <c r="Z156" s="387"/>
      <c r="AA156" s="60"/>
      <c r="AB156" s="179"/>
      <c r="AC156" s="166"/>
      <c r="AD156" s="69"/>
      <c r="AE156" s="69"/>
      <c r="AF156" s="69"/>
      <c r="AG156" s="70"/>
      <c r="AH156" s="72"/>
      <c r="AI156" s="235"/>
      <c r="AJ156" s="166"/>
      <c r="AK156" s="166"/>
    </row>
    <row r="157" spans="1:37" ht="21" x14ac:dyDescent="0.4">
      <c r="A157" s="299" t="s">
        <v>6</v>
      </c>
      <c r="B157" s="218" t="str">
        <f t="shared" si="67"/>
        <v>RMCEQUIPMENT</v>
      </c>
      <c r="C157" s="124" t="s">
        <v>50</v>
      </c>
      <c r="D157" s="10"/>
      <c r="E157" s="116"/>
      <c r="F157" s="116"/>
      <c r="G157" s="116"/>
      <c r="H157" s="186" t="s">
        <v>36</v>
      </c>
      <c r="I157" s="167"/>
      <c r="J157" s="74"/>
      <c r="K157" s="74"/>
      <c r="L157" s="74"/>
      <c r="M157" s="66"/>
      <c r="N157" s="76"/>
      <c r="O157" s="237"/>
      <c r="P157" s="386"/>
      <c r="Q157" s="37"/>
      <c r="R157" s="186" t="s">
        <v>36</v>
      </c>
      <c r="S157" s="167"/>
      <c r="T157" s="74"/>
      <c r="U157" s="74"/>
      <c r="V157" s="74"/>
      <c r="W157" s="66"/>
      <c r="X157" s="76"/>
      <c r="Y157" s="237"/>
      <c r="Z157" s="386"/>
      <c r="AA157" s="37"/>
      <c r="AB157" s="186" t="s">
        <v>36</v>
      </c>
      <c r="AC157" s="167"/>
      <c r="AD157" s="74"/>
      <c r="AE157" s="74"/>
      <c r="AF157" s="74"/>
      <c r="AG157" s="66"/>
      <c r="AH157" s="76"/>
      <c r="AI157" s="237"/>
      <c r="AJ157" s="167"/>
      <c r="AK157" s="167"/>
    </row>
    <row r="158" spans="1:37" ht="21" x14ac:dyDescent="0.4">
      <c r="A158" s="299" t="s">
        <v>6</v>
      </c>
      <c r="B158" s="218" t="str">
        <f t="shared" si="67"/>
        <v>RMC</v>
      </c>
      <c r="C158" s="5" t="s">
        <v>48</v>
      </c>
      <c r="D158" s="10"/>
      <c r="E158" s="116"/>
      <c r="F158" s="116"/>
      <c r="G158" s="116"/>
      <c r="H158" s="187"/>
      <c r="I158" s="163"/>
      <c r="J158" s="42"/>
      <c r="K158" s="39"/>
      <c r="L158" s="39"/>
      <c r="M158" s="40" t="str">
        <f>J158&amp;" hrs @ "&amp;K158</f>
        <v xml:space="preserve"> hrs @ </v>
      </c>
      <c r="N158" s="76"/>
      <c r="O158" s="237"/>
      <c r="P158" s="386"/>
      <c r="Q158" s="37"/>
      <c r="R158" s="187"/>
      <c r="S158" s="163"/>
      <c r="T158" s="42"/>
      <c r="U158" s="39"/>
      <c r="V158" s="39"/>
      <c r="W158" s="40" t="str">
        <f>T158&amp;" hrs @ "&amp;U158</f>
        <v xml:space="preserve"> hrs @ </v>
      </c>
      <c r="X158" s="76"/>
      <c r="Y158" s="237"/>
      <c r="Z158" s="386"/>
      <c r="AA158" s="37"/>
      <c r="AB158" s="187"/>
      <c r="AC158" s="163"/>
      <c r="AD158" s="42"/>
      <c r="AE158" s="39"/>
      <c r="AF158" s="39"/>
      <c r="AG158" s="40" t="str">
        <f>AD158&amp;" hrs @ "&amp;AE158</f>
        <v xml:space="preserve"> hrs @ </v>
      </c>
      <c r="AH158" s="76"/>
      <c r="AI158" s="237"/>
      <c r="AJ158" s="163"/>
      <c r="AK158" s="163"/>
    </row>
    <row r="159" spans="1:37" ht="21" x14ac:dyDescent="0.4">
      <c r="A159" s="299" t="s">
        <v>6</v>
      </c>
      <c r="B159" s="218" t="str">
        <f t="shared" si="67"/>
        <v>RMC</v>
      </c>
      <c r="C159" s="5" t="s">
        <v>48</v>
      </c>
      <c r="D159" s="10"/>
      <c r="E159" s="116"/>
      <c r="F159" s="116"/>
      <c r="G159" s="116"/>
      <c r="H159" s="187"/>
      <c r="I159" s="163"/>
      <c r="J159" s="42"/>
      <c r="K159" s="39"/>
      <c r="L159" s="39"/>
      <c r="M159" s="40" t="str">
        <f t="shared" ref="M159:M161" si="74">J159&amp;" hrs @ "&amp;K159</f>
        <v xml:space="preserve"> hrs @ </v>
      </c>
      <c r="N159" s="79"/>
      <c r="O159" s="238"/>
      <c r="P159" s="388"/>
      <c r="Q159" s="81"/>
      <c r="R159" s="187"/>
      <c r="S159" s="163"/>
      <c r="T159" s="42"/>
      <c r="U159" s="39"/>
      <c r="V159" s="39"/>
      <c r="W159" s="40" t="str">
        <f t="shared" ref="W159:W161" si="75">T159&amp;" hrs @ "&amp;U159</f>
        <v xml:space="preserve"> hrs @ </v>
      </c>
      <c r="X159" s="79"/>
      <c r="Y159" s="238"/>
      <c r="Z159" s="388"/>
      <c r="AA159" s="81"/>
      <c r="AB159" s="187"/>
      <c r="AC159" s="163"/>
      <c r="AD159" s="42"/>
      <c r="AE159" s="39"/>
      <c r="AF159" s="39"/>
      <c r="AG159" s="40" t="str">
        <f t="shared" ref="AG159:AG161" si="76">AD159&amp;" hrs @ "&amp;AE159</f>
        <v xml:space="preserve"> hrs @ </v>
      </c>
      <c r="AH159" s="79"/>
      <c r="AI159" s="238"/>
      <c r="AJ159" s="163"/>
      <c r="AK159" s="163"/>
    </row>
    <row r="160" spans="1:37" ht="21" x14ac:dyDescent="0.4">
      <c r="A160" s="299" t="s">
        <v>6</v>
      </c>
      <c r="B160" s="218" t="str">
        <f t="shared" si="67"/>
        <v>RMC</v>
      </c>
      <c r="C160" s="5" t="s">
        <v>48</v>
      </c>
      <c r="D160" s="10"/>
      <c r="E160" s="116"/>
      <c r="F160" s="116"/>
      <c r="G160" s="116"/>
      <c r="H160" s="187"/>
      <c r="I160" s="168"/>
      <c r="J160" s="42"/>
      <c r="K160" s="39"/>
      <c r="L160" s="42"/>
      <c r="M160" s="40" t="str">
        <f t="shared" si="74"/>
        <v xml:space="preserve"> hrs @ </v>
      </c>
      <c r="N160" s="79"/>
      <c r="O160" s="238"/>
      <c r="P160" s="388"/>
      <c r="Q160" s="81"/>
      <c r="R160" s="187"/>
      <c r="S160" s="168"/>
      <c r="T160" s="42"/>
      <c r="U160" s="39"/>
      <c r="V160" s="42"/>
      <c r="W160" s="40" t="str">
        <f t="shared" si="75"/>
        <v xml:space="preserve"> hrs @ </v>
      </c>
      <c r="X160" s="79"/>
      <c r="Y160" s="238"/>
      <c r="Z160" s="388"/>
      <c r="AA160" s="81"/>
      <c r="AB160" s="187"/>
      <c r="AC160" s="168"/>
      <c r="AD160" s="42"/>
      <c r="AE160" s="39"/>
      <c r="AF160" s="42"/>
      <c r="AG160" s="40" t="str">
        <f t="shared" si="76"/>
        <v xml:space="preserve"> hrs @ </v>
      </c>
      <c r="AH160" s="79"/>
      <c r="AI160" s="238"/>
      <c r="AJ160" s="168"/>
      <c r="AK160" s="168"/>
    </row>
    <row r="161" spans="1:37" ht="21" x14ac:dyDescent="0.4">
      <c r="A161" s="299" t="s">
        <v>6</v>
      </c>
      <c r="B161" s="218" t="str">
        <f t="shared" si="67"/>
        <v>RMC</v>
      </c>
      <c r="C161" s="5" t="s">
        <v>48</v>
      </c>
      <c r="D161" s="10"/>
      <c r="E161" s="116"/>
      <c r="F161" s="116"/>
      <c r="G161" s="116"/>
      <c r="H161" s="187"/>
      <c r="I161" s="164"/>
      <c r="J161" s="42"/>
      <c r="K161" s="39"/>
      <c r="L161" s="43"/>
      <c r="M161" s="40" t="str">
        <f t="shared" si="74"/>
        <v xml:space="preserve"> hrs @ </v>
      </c>
      <c r="N161" s="79"/>
      <c r="O161" s="238"/>
      <c r="P161" s="388"/>
      <c r="Q161" s="81"/>
      <c r="R161" s="187"/>
      <c r="S161" s="164"/>
      <c r="T161" s="42"/>
      <c r="U161" s="39"/>
      <c r="V161" s="43"/>
      <c r="W161" s="40" t="str">
        <f t="shared" si="75"/>
        <v xml:space="preserve"> hrs @ </v>
      </c>
      <c r="X161" s="79"/>
      <c r="Y161" s="238"/>
      <c r="Z161" s="388"/>
      <c r="AA161" s="81"/>
      <c r="AB161" s="187"/>
      <c r="AC161" s="164"/>
      <c r="AD161" s="42"/>
      <c r="AE161" s="39"/>
      <c r="AF161" s="43"/>
      <c r="AG161" s="40" t="str">
        <f t="shared" si="76"/>
        <v xml:space="preserve"> hrs @ </v>
      </c>
      <c r="AH161" s="79"/>
      <c r="AI161" s="238"/>
      <c r="AJ161" s="164"/>
      <c r="AK161" s="164"/>
    </row>
    <row r="162" spans="1:37" ht="21" x14ac:dyDescent="0.4">
      <c r="A162" s="299" t="s">
        <v>6</v>
      </c>
      <c r="B162" s="218" t="str">
        <f t="shared" si="67"/>
        <v>RMCTotal Equipment</v>
      </c>
      <c r="C162" s="124" t="s">
        <v>50</v>
      </c>
      <c r="D162" s="10"/>
      <c r="E162" s="116">
        <f>I162</f>
        <v>0</v>
      </c>
      <c r="F162" s="116">
        <f>S162</f>
        <v>0</v>
      </c>
      <c r="G162" s="116">
        <f>AC162</f>
        <v>0</v>
      </c>
      <c r="H162" s="188" t="s">
        <v>37</v>
      </c>
      <c r="I162" s="165">
        <f>SUM(I158:I161)</f>
        <v>0</v>
      </c>
      <c r="J162" s="68"/>
      <c r="K162" s="68"/>
      <c r="L162" s="68"/>
      <c r="M162" s="66"/>
      <c r="N162" s="420">
        <f>I162</f>
        <v>0</v>
      </c>
      <c r="O162" s="233">
        <f>N162/N179</f>
        <v>0</v>
      </c>
      <c r="P162" s="388"/>
      <c r="Q162" s="81"/>
      <c r="R162" s="188" t="s">
        <v>37</v>
      </c>
      <c r="S162" s="165">
        <f>SUM(S158:S161)</f>
        <v>0</v>
      </c>
      <c r="T162" s="68"/>
      <c r="U162" s="68"/>
      <c r="V162" s="68"/>
      <c r="W162" s="66"/>
      <c r="X162" s="420">
        <f>S162</f>
        <v>0</v>
      </c>
      <c r="Y162" s="233">
        <f>X162/X179</f>
        <v>0</v>
      </c>
      <c r="Z162" s="388"/>
      <c r="AA162" s="81"/>
      <c r="AB162" s="188" t="s">
        <v>37</v>
      </c>
      <c r="AC162" s="165">
        <f>SUM(AC158:AC161)</f>
        <v>0</v>
      </c>
      <c r="AD162" s="68"/>
      <c r="AE162" s="68"/>
      <c r="AF162" s="68"/>
      <c r="AG162" s="66"/>
      <c r="AH162" s="420">
        <f>AC162</f>
        <v>0</v>
      </c>
      <c r="AI162" s="233" t="e">
        <f>AH162/AH179</f>
        <v>#DIV/0!</v>
      </c>
      <c r="AJ162" s="165">
        <f>I162+S162+AC162</f>
        <v>0</v>
      </c>
      <c r="AK162" s="165"/>
    </row>
    <row r="163" spans="1:37" ht="21" x14ac:dyDescent="0.4">
      <c r="A163" s="299" t="s">
        <v>6</v>
      </c>
      <c r="B163" s="218" t="str">
        <f t="shared" si="67"/>
        <v>RMC</v>
      </c>
      <c r="C163" s="5" t="s">
        <v>48</v>
      </c>
      <c r="D163" s="10"/>
      <c r="E163" s="116"/>
      <c r="F163" s="116"/>
      <c r="G163" s="116"/>
      <c r="H163" s="189"/>
      <c r="I163" s="166"/>
      <c r="J163" s="69"/>
      <c r="K163" s="69"/>
      <c r="L163" s="69"/>
      <c r="M163" s="70"/>
      <c r="N163" s="88"/>
      <c r="O163" s="241"/>
      <c r="P163" s="389"/>
      <c r="Q163" s="60"/>
      <c r="R163" s="189"/>
      <c r="S163" s="166"/>
      <c r="T163" s="69"/>
      <c r="U163" s="69"/>
      <c r="V163" s="69"/>
      <c r="W163" s="70"/>
      <c r="X163" s="88"/>
      <c r="Y163" s="241"/>
      <c r="Z163" s="389"/>
      <c r="AA163" s="60"/>
      <c r="AB163" s="189"/>
      <c r="AC163" s="166"/>
      <c r="AD163" s="69"/>
      <c r="AE163" s="69"/>
      <c r="AF163" s="69"/>
      <c r="AG163" s="70"/>
      <c r="AH163" s="88"/>
      <c r="AI163" s="241"/>
      <c r="AJ163" s="166"/>
      <c r="AK163" s="166"/>
    </row>
    <row r="164" spans="1:37" ht="21" x14ac:dyDescent="0.4">
      <c r="A164" s="299" t="s">
        <v>6</v>
      </c>
      <c r="B164" s="218" t="str">
        <f t="shared" si="67"/>
        <v>RMCIS SUPPORT</v>
      </c>
      <c r="C164" s="124" t="s">
        <v>50</v>
      </c>
      <c r="D164" s="10"/>
      <c r="E164" s="116"/>
      <c r="F164" s="116"/>
      <c r="G164" s="116"/>
      <c r="H164" s="186" t="s">
        <v>38</v>
      </c>
      <c r="I164" s="167"/>
      <c r="J164" s="74"/>
      <c r="K164" s="74"/>
      <c r="L164" s="74"/>
      <c r="M164" s="66"/>
      <c r="N164" s="91"/>
      <c r="O164" s="227"/>
      <c r="P164" s="390"/>
      <c r="Q164" s="37"/>
      <c r="R164" s="186" t="s">
        <v>38</v>
      </c>
      <c r="S164" s="167"/>
      <c r="T164" s="74"/>
      <c r="U164" s="74"/>
      <c r="V164" s="74"/>
      <c r="W164" s="66"/>
      <c r="X164" s="91"/>
      <c r="Y164" s="227"/>
      <c r="Z164" s="390"/>
      <c r="AA164" s="37"/>
      <c r="AB164" s="186" t="s">
        <v>38</v>
      </c>
      <c r="AC164" s="167"/>
      <c r="AD164" s="74"/>
      <c r="AE164" s="74"/>
      <c r="AF164" s="74"/>
      <c r="AG164" s="66"/>
      <c r="AH164" s="91"/>
      <c r="AI164" s="227"/>
      <c r="AJ164" s="167"/>
      <c r="AK164" s="167"/>
    </row>
    <row r="165" spans="1:37" ht="21" x14ac:dyDescent="0.4">
      <c r="A165" s="299" t="s">
        <v>6</v>
      </c>
      <c r="B165" s="218" t="str">
        <f t="shared" si="67"/>
        <v>RMC</v>
      </c>
      <c r="C165" s="5" t="s">
        <v>48</v>
      </c>
      <c r="D165" s="10"/>
      <c r="E165" s="116"/>
      <c r="F165" s="116"/>
      <c r="G165" s="116"/>
      <c r="H165" s="184"/>
      <c r="I165" s="162"/>
      <c r="J165" s="42"/>
      <c r="K165" s="39"/>
      <c r="L165" s="39"/>
      <c r="M165" s="40" t="str">
        <f>J165&amp;" hrs @ "&amp;K165</f>
        <v xml:space="preserve"> hrs @ </v>
      </c>
      <c r="N165" s="94"/>
      <c r="O165" s="242"/>
      <c r="P165" s="390"/>
      <c r="Q165" s="37"/>
      <c r="R165" s="184"/>
      <c r="S165" s="162"/>
      <c r="T165" s="42"/>
      <c r="U165" s="39"/>
      <c r="V165" s="39"/>
      <c r="W165" s="40" t="str">
        <f>T165&amp;" hrs @ "&amp;U165</f>
        <v xml:space="preserve"> hrs @ </v>
      </c>
      <c r="X165" s="94"/>
      <c r="Y165" s="242"/>
      <c r="Z165" s="390"/>
      <c r="AA165" s="37"/>
      <c r="AB165" s="184"/>
      <c r="AC165" s="162"/>
      <c r="AD165" s="42"/>
      <c r="AE165" s="39"/>
      <c r="AF165" s="39"/>
      <c r="AG165" s="40" t="str">
        <f>AD165&amp;" hrs @ "&amp;AE165</f>
        <v xml:space="preserve"> hrs @ </v>
      </c>
      <c r="AH165" s="94"/>
      <c r="AI165" s="242"/>
      <c r="AJ165" s="162"/>
      <c r="AK165" s="162"/>
    </row>
    <row r="166" spans="1:37" ht="21" x14ac:dyDescent="0.4">
      <c r="A166" s="299" t="s">
        <v>6</v>
      </c>
      <c r="B166" s="218" t="str">
        <f t="shared" si="67"/>
        <v>RMCAnalyst Benefits</v>
      </c>
      <c r="C166" s="5" t="s">
        <v>48</v>
      </c>
      <c r="D166" s="10"/>
      <c r="E166" s="116"/>
      <c r="F166" s="116"/>
      <c r="G166" s="116"/>
      <c r="H166" s="184" t="s">
        <v>40</v>
      </c>
      <c r="I166" s="159">
        <f>I165*$O$2</f>
        <v>0</v>
      </c>
      <c r="J166" s="42"/>
      <c r="K166" s="39"/>
      <c r="L166" s="156"/>
      <c r="M166" s="45" t="str">
        <f>"@ "&amp;$O$2*100&amp;" %"</f>
        <v>@ 98.59 %</v>
      </c>
      <c r="N166" s="94"/>
      <c r="O166" s="242"/>
      <c r="P166" s="390"/>
      <c r="Q166" s="37"/>
      <c r="R166" s="184" t="s">
        <v>40</v>
      </c>
      <c r="S166" s="159">
        <f>S165*$O$2</f>
        <v>0</v>
      </c>
      <c r="T166" s="42"/>
      <c r="U166" s="39"/>
      <c r="V166" s="156"/>
      <c r="W166" s="45" t="str">
        <f>"@ "&amp;$O$2*100&amp;" %"</f>
        <v>@ 98.59 %</v>
      </c>
      <c r="X166" s="94"/>
      <c r="Y166" s="242"/>
      <c r="Z166" s="390"/>
      <c r="AA166" s="37"/>
      <c r="AB166" s="184" t="s">
        <v>40</v>
      </c>
      <c r="AC166" s="159">
        <f>AC165*$O$2</f>
        <v>0</v>
      </c>
      <c r="AD166" s="42"/>
      <c r="AE166" s="39"/>
      <c r="AF166" s="156"/>
      <c r="AG166" s="45" t="str">
        <f>"@ "&amp;$O$2*100&amp;" %"</f>
        <v>@ 98.59 %</v>
      </c>
      <c r="AH166" s="94"/>
      <c r="AI166" s="242"/>
      <c r="AJ166" s="159"/>
      <c r="AK166" s="159"/>
    </row>
    <row r="167" spans="1:37" ht="21" x14ac:dyDescent="0.4">
      <c r="A167" s="299" t="s">
        <v>6</v>
      </c>
      <c r="B167" s="218" t="str">
        <f t="shared" si="67"/>
        <v>RMCTotal IS</v>
      </c>
      <c r="C167" s="124" t="s">
        <v>50</v>
      </c>
      <c r="D167" s="10"/>
      <c r="E167" s="116"/>
      <c r="F167" s="116"/>
      <c r="G167" s="116"/>
      <c r="H167" s="185" t="s">
        <v>41</v>
      </c>
      <c r="I167" s="165">
        <f>I165+I166</f>
        <v>0</v>
      </c>
      <c r="J167" s="68"/>
      <c r="K167" s="68"/>
      <c r="L167" s="68"/>
      <c r="M167" s="66"/>
      <c r="N167" s="420">
        <f>I167</f>
        <v>0</v>
      </c>
      <c r="O167" s="233">
        <f>N167/N179</f>
        <v>0</v>
      </c>
      <c r="P167" s="390"/>
      <c r="Q167" s="37"/>
      <c r="R167" s="185" t="s">
        <v>41</v>
      </c>
      <c r="S167" s="165">
        <f>S165+S166</f>
        <v>0</v>
      </c>
      <c r="T167" s="68"/>
      <c r="U167" s="68"/>
      <c r="V167" s="68"/>
      <c r="W167" s="66"/>
      <c r="X167" s="420">
        <f>S167</f>
        <v>0</v>
      </c>
      <c r="Y167" s="233">
        <f>X167/X179</f>
        <v>0</v>
      </c>
      <c r="Z167" s="390"/>
      <c r="AA167" s="37"/>
      <c r="AB167" s="185" t="s">
        <v>41</v>
      </c>
      <c r="AC167" s="165">
        <f>AC165+AC166</f>
        <v>0</v>
      </c>
      <c r="AD167" s="68"/>
      <c r="AE167" s="68"/>
      <c r="AF167" s="68"/>
      <c r="AG167" s="66"/>
      <c r="AH167" s="420">
        <f>AC167</f>
        <v>0</v>
      </c>
      <c r="AI167" s="233" t="e">
        <f>AH167/AH179</f>
        <v>#DIV/0!</v>
      </c>
      <c r="AJ167" s="165">
        <f>I167+S167+AC167</f>
        <v>0</v>
      </c>
      <c r="AK167" s="165"/>
    </row>
    <row r="168" spans="1:37" ht="21" x14ac:dyDescent="0.4">
      <c r="A168" s="299" t="s">
        <v>6</v>
      </c>
      <c r="B168" s="218" t="str">
        <f t="shared" si="67"/>
        <v>RMC</v>
      </c>
      <c r="C168" s="5" t="s">
        <v>48</v>
      </c>
      <c r="D168" s="10"/>
      <c r="E168" s="116"/>
      <c r="F168" s="116"/>
      <c r="G168" s="116"/>
      <c r="H168" s="179"/>
      <c r="I168" s="166"/>
      <c r="J168" s="69"/>
      <c r="K168" s="69"/>
      <c r="L168" s="69"/>
      <c r="M168" s="70"/>
      <c r="N168" s="98"/>
      <c r="O168" s="243"/>
      <c r="P168" s="391"/>
      <c r="Q168" s="60"/>
      <c r="R168" s="179"/>
      <c r="S168" s="166"/>
      <c r="T168" s="69"/>
      <c r="U168" s="69"/>
      <c r="V168" s="69"/>
      <c r="W168" s="70"/>
      <c r="X168" s="98"/>
      <c r="Y168" s="243"/>
      <c r="Z168" s="391"/>
      <c r="AA168" s="60"/>
      <c r="AB168" s="179"/>
      <c r="AC168" s="166"/>
      <c r="AD168" s="69"/>
      <c r="AE168" s="69"/>
      <c r="AF168" s="69"/>
      <c r="AG168" s="70"/>
      <c r="AH168" s="98"/>
      <c r="AI168" s="243"/>
      <c r="AJ168" s="166"/>
      <c r="AK168" s="166"/>
    </row>
    <row r="169" spans="1:37" ht="21" x14ac:dyDescent="0.4">
      <c r="A169" s="299" t="s">
        <v>6</v>
      </c>
      <c r="B169" s="218" t="str">
        <f t="shared" si="67"/>
        <v>RMCOTHER</v>
      </c>
      <c r="C169" s="124" t="s">
        <v>50</v>
      </c>
      <c r="D169" s="10"/>
      <c r="E169" s="116"/>
      <c r="F169" s="116"/>
      <c r="G169" s="116"/>
      <c r="H169" s="186" t="s">
        <v>42</v>
      </c>
      <c r="I169" s="167"/>
      <c r="J169" s="74"/>
      <c r="K169" s="74"/>
      <c r="L169" s="74"/>
      <c r="M169" s="66"/>
      <c r="N169" s="91"/>
      <c r="O169" s="227"/>
      <c r="P169" s="390"/>
      <c r="Q169" s="37"/>
      <c r="R169" s="186" t="s">
        <v>42</v>
      </c>
      <c r="S169" s="167"/>
      <c r="T169" s="74"/>
      <c r="U169" s="74"/>
      <c r="V169" s="74"/>
      <c r="W169" s="66"/>
      <c r="X169" s="91"/>
      <c r="Y169" s="227"/>
      <c r="Z169" s="390"/>
      <c r="AA169" s="37"/>
      <c r="AB169" s="186" t="s">
        <v>42</v>
      </c>
      <c r="AC169" s="167"/>
      <c r="AD169" s="74"/>
      <c r="AE169" s="74"/>
      <c r="AF169" s="74"/>
      <c r="AG169" s="66"/>
      <c r="AH169" s="91"/>
      <c r="AI169" s="227"/>
      <c r="AJ169" s="167"/>
      <c r="AK169" s="167"/>
    </row>
    <row r="170" spans="1:37" ht="21" customHeight="1" x14ac:dyDescent="0.4">
      <c r="A170" s="299" t="s">
        <v>6</v>
      </c>
      <c r="B170" s="218" t="str">
        <f t="shared" si="67"/>
        <v xml:space="preserve">RMCNon-Payroll </v>
      </c>
      <c r="C170" s="5" t="s">
        <v>48</v>
      </c>
      <c r="D170" s="10"/>
      <c r="E170" s="116"/>
      <c r="F170" s="116"/>
      <c r="G170" s="116"/>
      <c r="H170" s="184" t="s">
        <v>337</v>
      </c>
      <c r="I170" s="163">
        <f>ROUND(((I150+I155+I167)/VLOOKUP("RESOURCE MGMT CTRPayroll",'Base 2015 actual for Cost Cente'!$A:$F,6,FALSE))*VLOOKUP("RESOURCE MGMT CTRNon-Payroll",'Base 2015 actual for Cost Cente'!$A:$F,6,FALSE),0)</f>
        <v>3524</v>
      </c>
      <c r="J170" s="42"/>
      <c r="K170" s="39"/>
      <c r="L170" s="43"/>
      <c r="M170" s="734" t="s">
        <v>372</v>
      </c>
      <c r="N170" s="91"/>
      <c r="O170" s="227"/>
      <c r="P170" s="390"/>
      <c r="Q170" s="37"/>
      <c r="R170" s="184" t="s">
        <v>337</v>
      </c>
      <c r="S170" s="163">
        <f>ROUND(((S150+S155+S167)/VLOOKUP("RESOURCE MGMT CTRPayroll",'Base 2015 actual for Cost Cente'!$A:$F,6,FALSE))*VLOOKUP("RESOURCE MGMT CTRNon-Payroll",'Base 2015 actual for Cost Cente'!$A:$F,6,FALSE),0)</f>
        <v>171</v>
      </c>
      <c r="T170" s="42"/>
      <c r="U170" s="39"/>
      <c r="V170" s="43"/>
      <c r="W170" s="734" t="s">
        <v>372</v>
      </c>
      <c r="X170" s="91"/>
      <c r="Y170" s="227"/>
      <c r="Z170" s="390"/>
      <c r="AA170" s="37"/>
      <c r="AB170" s="184" t="s">
        <v>337</v>
      </c>
      <c r="AC170" s="163">
        <f>ROUND(((AC150+AC155+AC167)/VLOOKUP("RESOURCE MGMT CTRPayroll",'Base 2015 actual for Cost Cente'!$A:$F,6,FALSE))*VLOOKUP("RESOURCE MGMT CTRNon-Payroll",'Base 2015 actual for Cost Cente'!$A:$F,6,FALSE),0)</f>
        <v>0</v>
      </c>
      <c r="AD170" s="42"/>
      <c r="AE170" s="39"/>
      <c r="AF170" s="43"/>
      <c r="AG170" s="734" t="s">
        <v>372</v>
      </c>
      <c r="AH170" s="91"/>
      <c r="AI170" s="227"/>
      <c r="AJ170" s="163">
        <f>I170+S170+AC170</f>
        <v>3695</v>
      </c>
      <c r="AK170" s="163"/>
    </row>
    <row r="171" spans="1:37" ht="21" x14ac:dyDescent="0.4">
      <c r="A171" s="299" t="s">
        <v>6</v>
      </c>
      <c r="B171" s="218" t="str">
        <f t="shared" si="67"/>
        <v>RMC</v>
      </c>
      <c r="C171" s="5" t="s">
        <v>48</v>
      </c>
      <c r="D171" s="10"/>
      <c r="E171" s="116"/>
      <c r="F171" s="116"/>
      <c r="G171" s="116"/>
      <c r="H171" s="184"/>
      <c r="I171" s="168"/>
      <c r="J171" s="42"/>
      <c r="K171" s="39"/>
      <c r="L171" s="42"/>
      <c r="M171" s="735"/>
      <c r="N171" s="91"/>
      <c r="O171" s="227"/>
      <c r="P171" s="390"/>
      <c r="Q171" s="37"/>
      <c r="R171" s="184"/>
      <c r="S171" s="168"/>
      <c r="T171" s="42"/>
      <c r="U171" s="39"/>
      <c r="V171" s="42"/>
      <c r="W171" s="734"/>
      <c r="X171" s="91"/>
      <c r="Y171" s="227"/>
      <c r="Z171" s="390"/>
      <c r="AA171" s="37"/>
      <c r="AB171" s="184"/>
      <c r="AC171" s="168"/>
      <c r="AD171" s="42"/>
      <c r="AE171" s="39"/>
      <c r="AF171" s="42"/>
      <c r="AG171" s="734"/>
      <c r="AH171" s="91"/>
      <c r="AI171" s="227"/>
      <c r="AJ171" s="168"/>
      <c r="AK171" s="168"/>
    </row>
    <row r="172" spans="1:37" ht="21" x14ac:dyDescent="0.4">
      <c r="A172" s="299" t="s">
        <v>6</v>
      </c>
      <c r="B172" s="218" t="str">
        <f t="shared" si="67"/>
        <v>RMC</v>
      </c>
      <c r="C172" s="5" t="s">
        <v>48</v>
      </c>
      <c r="D172" s="10"/>
      <c r="E172" s="116"/>
      <c r="F172" s="116"/>
      <c r="G172" s="116"/>
      <c r="H172" s="184"/>
      <c r="I172" s="168"/>
      <c r="J172" s="42"/>
      <c r="K172" s="39"/>
      <c r="L172" s="42"/>
      <c r="M172" s="66"/>
      <c r="N172" s="91"/>
      <c r="O172" s="227"/>
      <c r="P172" s="390"/>
      <c r="Q172" s="37"/>
      <c r="R172" s="184"/>
      <c r="S172" s="168"/>
      <c r="T172" s="42"/>
      <c r="U172" s="39"/>
      <c r="V172" s="42"/>
      <c r="W172" s="66"/>
      <c r="X172" s="91"/>
      <c r="Y172" s="227"/>
      <c r="Z172" s="390"/>
      <c r="AA172" s="37"/>
      <c r="AB172" s="184"/>
      <c r="AC172" s="168"/>
      <c r="AD172" s="42"/>
      <c r="AE172" s="39"/>
      <c r="AF172" s="42"/>
      <c r="AG172" s="66"/>
      <c r="AH172" s="91"/>
      <c r="AI172" s="227"/>
      <c r="AJ172" s="168"/>
      <c r="AK172" s="168"/>
    </row>
    <row r="173" spans="1:37" ht="21" x14ac:dyDescent="0.4">
      <c r="A173" s="299" t="s">
        <v>6</v>
      </c>
      <c r="B173" s="218" t="str">
        <f t="shared" si="67"/>
        <v>RMC</v>
      </c>
      <c r="C173" s="5" t="s">
        <v>48</v>
      </c>
      <c r="D173" s="10"/>
      <c r="E173" s="116"/>
      <c r="F173" s="116"/>
      <c r="G173" s="116"/>
      <c r="H173" s="184"/>
      <c r="I173" s="168"/>
      <c r="J173" s="42"/>
      <c r="K173" s="39"/>
      <c r="L173" s="42"/>
      <c r="M173" s="66"/>
      <c r="N173" s="91"/>
      <c r="O173" s="227"/>
      <c r="P173" s="390"/>
      <c r="Q173" s="37"/>
      <c r="R173" s="184"/>
      <c r="S173" s="168"/>
      <c r="T173" s="42"/>
      <c r="U173" s="39"/>
      <c r="V173" s="42"/>
      <c r="W173" s="66"/>
      <c r="X173" s="91"/>
      <c r="Y173" s="227"/>
      <c r="Z173" s="390"/>
      <c r="AA173" s="37"/>
      <c r="AB173" s="184"/>
      <c r="AC173" s="168"/>
      <c r="AD173" s="42"/>
      <c r="AE173" s="39"/>
      <c r="AF173" s="42"/>
      <c r="AG173" s="66"/>
      <c r="AH173" s="91"/>
      <c r="AI173" s="227"/>
      <c r="AJ173" s="168"/>
      <c r="AK173" s="168"/>
    </row>
    <row r="174" spans="1:37" ht="21" x14ac:dyDescent="0.4">
      <c r="A174" s="299" t="s">
        <v>6</v>
      </c>
      <c r="B174" s="218" t="str">
        <f t="shared" si="67"/>
        <v>RMC</v>
      </c>
      <c r="C174" s="5" t="s">
        <v>48</v>
      </c>
      <c r="D174" s="10"/>
      <c r="E174" s="116"/>
      <c r="F174" s="116"/>
      <c r="G174" s="116"/>
      <c r="H174" s="184"/>
      <c r="I174" s="168"/>
      <c r="J174" s="42"/>
      <c r="K174" s="39"/>
      <c r="L174" s="42"/>
      <c r="M174" s="66"/>
      <c r="N174" s="91"/>
      <c r="O174" s="227"/>
      <c r="P174" s="390"/>
      <c r="Q174" s="37"/>
      <c r="R174" s="184"/>
      <c r="S174" s="168"/>
      <c r="T174" s="42"/>
      <c r="U174" s="39"/>
      <c r="V174" s="42"/>
      <c r="W174" s="66"/>
      <c r="X174" s="91"/>
      <c r="Y174" s="227"/>
      <c r="Z174" s="390"/>
      <c r="AA174" s="37"/>
      <c r="AB174" s="184"/>
      <c r="AC174" s="168"/>
      <c r="AD174" s="42"/>
      <c r="AE174" s="39"/>
      <c r="AF174" s="42"/>
      <c r="AG174" s="66"/>
      <c r="AH174" s="91"/>
      <c r="AI174" s="227"/>
      <c r="AJ174" s="168"/>
      <c r="AK174" s="168"/>
    </row>
    <row r="175" spans="1:37" ht="21" x14ac:dyDescent="0.4">
      <c r="A175" s="299" t="s">
        <v>6</v>
      </c>
      <c r="B175" s="218" t="str">
        <f t="shared" si="67"/>
        <v>RMC</v>
      </c>
      <c r="C175" s="5" t="s">
        <v>48</v>
      </c>
      <c r="D175" s="10"/>
      <c r="E175" s="116"/>
      <c r="F175" s="116"/>
      <c r="G175" s="116"/>
      <c r="H175" s="184"/>
      <c r="I175" s="164"/>
      <c r="J175" s="67"/>
      <c r="K175" s="67"/>
      <c r="L175" s="67"/>
      <c r="M175" s="40" t="str">
        <f>J175&amp;" days @ "&amp;K175</f>
        <v xml:space="preserve"> days @ </v>
      </c>
      <c r="N175" s="94"/>
      <c r="O175" s="242"/>
      <c r="P175" s="390"/>
      <c r="Q175" s="37"/>
      <c r="R175" s="184"/>
      <c r="S175" s="164"/>
      <c r="T175" s="67"/>
      <c r="U175" s="67"/>
      <c r="V175" s="67"/>
      <c r="W175" s="40" t="str">
        <f>T175&amp;" days @ "&amp;U175</f>
        <v xml:space="preserve"> days @ </v>
      </c>
      <c r="X175" s="94"/>
      <c r="Y175" s="242"/>
      <c r="Z175" s="390"/>
      <c r="AA175" s="37"/>
      <c r="AB175" s="184"/>
      <c r="AC175" s="164"/>
      <c r="AD175" s="67"/>
      <c r="AE175" s="67"/>
      <c r="AF175" s="67"/>
      <c r="AG175" s="40" t="str">
        <f>AD175&amp;" days @ "&amp;AE175</f>
        <v xml:space="preserve"> days @ </v>
      </c>
      <c r="AH175" s="94"/>
      <c r="AI175" s="242"/>
      <c r="AJ175" s="164"/>
      <c r="AK175" s="164"/>
    </row>
    <row r="176" spans="1:37" ht="21" x14ac:dyDescent="0.4">
      <c r="A176" s="299" t="s">
        <v>6</v>
      </c>
      <c r="B176" s="218" t="str">
        <f t="shared" si="67"/>
        <v>RMCTotal Other</v>
      </c>
      <c r="C176" s="124" t="s">
        <v>50</v>
      </c>
      <c r="D176" s="10"/>
      <c r="E176" s="116">
        <f>I176</f>
        <v>3524</v>
      </c>
      <c r="F176" s="116">
        <f>S176</f>
        <v>171</v>
      </c>
      <c r="G176" s="116">
        <f>AC176</f>
        <v>0</v>
      </c>
      <c r="H176" s="185" t="s">
        <v>45</v>
      </c>
      <c r="I176" s="165">
        <f>SUM(I170:I175)</f>
        <v>3524</v>
      </c>
      <c r="J176" s="68"/>
      <c r="K176" s="68"/>
      <c r="L176" s="68"/>
      <c r="M176" s="66"/>
      <c r="N176" s="414">
        <f>I176</f>
        <v>3524</v>
      </c>
      <c r="O176" s="233">
        <f>N176/N179</f>
        <v>4.2340864411892665E-2</v>
      </c>
      <c r="P176" s="390"/>
      <c r="Q176" s="68"/>
      <c r="R176" s="185" t="s">
        <v>45</v>
      </c>
      <c r="S176" s="165">
        <f>SUM(S170:S175)</f>
        <v>171</v>
      </c>
      <c r="T176" s="68"/>
      <c r="U176" s="68"/>
      <c r="V176" s="68"/>
      <c r="W176" s="66"/>
      <c r="X176" s="414">
        <f>S176</f>
        <v>171</v>
      </c>
      <c r="Y176" s="233">
        <f>X176/X179</f>
        <v>4.2240253491319983E-2</v>
      </c>
      <c r="Z176" s="390"/>
      <c r="AA176" s="68"/>
      <c r="AB176" s="185" t="s">
        <v>45</v>
      </c>
      <c r="AC176" s="165">
        <f>SUM(AC170:AC175)</f>
        <v>0</v>
      </c>
      <c r="AD176" s="68"/>
      <c r="AE176" s="68"/>
      <c r="AF176" s="68"/>
      <c r="AG176" s="66"/>
      <c r="AH176" s="414">
        <f>AC176</f>
        <v>0</v>
      </c>
      <c r="AI176" s="233" t="e">
        <f>AH176/AH179</f>
        <v>#DIV/0!</v>
      </c>
      <c r="AJ176" s="165">
        <f>I176+S176+AC176</f>
        <v>3695</v>
      </c>
      <c r="AK176" s="165"/>
    </row>
    <row r="177" spans="1:37" ht="21.6" thickBot="1" x14ac:dyDescent="0.45">
      <c r="A177" s="299" t="s">
        <v>6</v>
      </c>
      <c r="B177" s="218" t="str">
        <f t="shared" si="67"/>
        <v>RMC</v>
      </c>
      <c r="C177" s="5" t="s">
        <v>48</v>
      </c>
      <c r="D177" s="10"/>
      <c r="E177" s="116"/>
      <c r="F177" s="116"/>
      <c r="G177" s="116"/>
      <c r="H177" s="178"/>
      <c r="I177" s="178"/>
      <c r="J177" s="101"/>
      <c r="K177" s="101"/>
      <c r="L177" s="101"/>
      <c r="M177" s="102"/>
      <c r="N177" s="415"/>
      <c r="O177" s="178"/>
      <c r="P177" s="101"/>
      <c r="Q177" s="101"/>
      <c r="R177" s="178"/>
      <c r="S177" s="178"/>
      <c r="T177" s="101"/>
      <c r="U177" s="101"/>
      <c r="V177" s="101"/>
      <c r="W177" s="102"/>
      <c r="X177" s="415"/>
      <c r="Y177" s="178"/>
      <c r="Z177" s="101"/>
      <c r="AA177" s="101"/>
      <c r="AB177" s="178"/>
      <c r="AC177" s="178"/>
      <c r="AD177" s="101"/>
      <c r="AE177" s="101"/>
      <c r="AF177" s="101"/>
      <c r="AG177" s="102"/>
      <c r="AH177" s="415"/>
      <c r="AI177" s="178"/>
      <c r="AJ177" s="178"/>
      <c r="AK177" s="178"/>
    </row>
    <row r="178" spans="1:37" ht="21.6" thickTop="1" x14ac:dyDescent="0.4">
      <c r="A178" s="299" t="s">
        <v>6</v>
      </c>
      <c r="B178" s="218" t="str">
        <f t="shared" si="67"/>
        <v>RMCTOTALS</v>
      </c>
      <c r="C178" s="5" t="s">
        <v>48</v>
      </c>
      <c r="D178" s="10"/>
      <c r="E178" s="116"/>
      <c r="F178" s="116"/>
      <c r="G178" s="116"/>
      <c r="H178" s="186" t="s">
        <v>28</v>
      </c>
      <c r="I178" s="418"/>
      <c r="J178" s="103"/>
      <c r="K178" s="103"/>
      <c r="L178" s="103"/>
      <c r="M178" s="104"/>
      <c r="N178" s="91"/>
      <c r="O178" s="136"/>
      <c r="P178" s="390"/>
      <c r="Q178" s="37"/>
      <c r="R178" s="186" t="s">
        <v>28</v>
      </c>
      <c r="S178" s="418"/>
      <c r="T178" s="103"/>
      <c r="U178" s="435"/>
      <c r="V178" s="435"/>
      <c r="W178" s="436"/>
      <c r="X178" s="91"/>
      <c r="Y178" s="136"/>
      <c r="Z178" s="390"/>
      <c r="AA178" s="37"/>
      <c r="AB178" s="186" t="s">
        <v>28</v>
      </c>
      <c r="AC178" s="418"/>
      <c r="AD178" s="435"/>
      <c r="AE178" s="435"/>
      <c r="AF178" s="435"/>
      <c r="AG178" s="436"/>
      <c r="AH178" s="91"/>
      <c r="AI178" s="136"/>
      <c r="AJ178" s="418"/>
      <c r="AK178" s="418"/>
    </row>
    <row r="179" spans="1:37" ht="21" x14ac:dyDescent="0.4">
      <c r="A179" s="299" t="s">
        <v>6</v>
      </c>
      <c r="B179" s="218" t="str">
        <f t="shared" si="67"/>
        <v>RMCPER YEAR</v>
      </c>
      <c r="C179" s="124" t="s">
        <v>50</v>
      </c>
      <c r="D179" s="10"/>
      <c r="E179" s="116"/>
      <c r="F179" s="116"/>
      <c r="G179" s="116"/>
      <c r="H179" s="190" t="s">
        <v>46</v>
      </c>
      <c r="I179" s="417">
        <f>I150+I155+I162+I167+I176</f>
        <v>83229.288039999999</v>
      </c>
      <c r="J179" s="106"/>
      <c r="K179" s="106"/>
      <c r="L179" s="106"/>
      <c r="M179" s="107"/>
      <c r="N179" s="420">
        <f>SUM(N150:N177)</f>
        <v>83229.288039999999</v>
      </c>
      <c r="O179" s="233">
        <f>SUM(O150:O177)</f>
        <v>1</v>
      </c>
      <c r="P179" s="390"/>
      <c r="Q179" s="37"/>
      <c r="R179" s="190" t="s">
        <v>46</v>
      </c>
      <c r="S179" s="417">
        <f>S150+S155+S162+S167+S176</f>
        <v>4048.2711599999998</v>
      </c>
      <c r="T179" s="106"/>
      <c r="U179" s="106"/>
      <c r="V179" s="106"/>
      <c r="W179" s="107"/>
      <c r="X179" s="420">
        <f>SUM(X150:X177)</f>
        <v>4048.2711599999998</v>
      </c>
      <c r="Y179" s="233">
        <f>SUM(Y150:Y177)</f>
        <v>1</v>
      </c>
      <c r="Z179" s="390"/>
      <c r="AA179" s="37"/>
      <c r="AB179" s="190" t="s">
        <v>46</v>
      </c>
      <c r="AC179" s="417">
        <f>AC150+AC155+AC162+AC167+AC176</f>
        <v>0</v>
      </c>
      <c r="AD179" s="106"/>
      <c r="AE179" s="106"/>
      <c r="AF179" s="106"/>
      <c r="AG179" s="107"/>
      <c r="AH179" s="420">
        <f>SUM(AH150:AH177)</f>
        <v>0</v>
      </c>
      <c r="AI179" s="233" t="e">
        <f>SUM(AI150:AI177)</f>
        <v>#DIV/0!</v>
      </c>
      <c r="AJ179" s="417">
        <f>I179+S179+AC179</f>
        <v>87277.559200000003</v>
      </c>
      <c r="AK179" s="417"/>
    </row>
    <row r="180" spans="1:37" ht="21" x14ac:dyDescent="0.4">
      <c r="A180" s="299" t="s">
        <v>6</v>
      </c>
      <c r="B180" s="218" t="str">
        <f t="shared" si="67"/>
        <v>RMCPER PAYMENT</v>
      </c>
      <c r="C180" s="124" t="s">
        <v>50</v>
      </c>
      <c r="D180" s="10"/>
      <c r="E180" s="116"/>
      <c r="F180" s="116"/>
      <c r="G180" s="116"/>
      <c r="H180" s="185" t="s">
        <v>47</v>
      </c>
      <c r="I180" s="419">
        <f>I179/I$6</f>
        <v>0.56698017657397437</v>
      </c>
      <c r="J180" s="108"/>
      <c r="K180" s="108"/>
      <c r="L180" s="108"/>
      <c r="M180" s="109"/>
      <c r="N180" s="98"/>
      <c r="O180" s="243"/>
      <c r="P180" s="391"/>
      <c r="Q180" s="60"/>
      <c r="R180" s="185" t="s">
        <v>47</v>
      </c>
      <c r="S180" s="419">
        <f>S179/S$6</f>
        <v>0.57544721535181231</v>
      </c>
      <c r="T180" s="108"/>
      <c r="U180" s="108"/>
      <c r="V180" s="108"/>
      <c r="W180" s="109"/>
      <c r="X180" s="98"/>
      <c r="Y180" s="243"/>
      <c r="Z180" s="391"/>
      <c r="AA180" s="60"/>
      <c r="AB180" s="185" t="s">
        <v>47</v>
      </c>
      <c r="AC180" s="419">
        <f>AC179/AC$6</f>
        <v>0</v>
      </c>
      <c r="AD180" s="108"/>
      <c r="AE180" s="108"/>
      <c r="AF180" s="108"/>
      <c r="AG180" s="109"/>
      <c r="AH180" s="98"/>
      <c r="AI180" s="243"/>
      <c r="AJ180" s="419">
        <f>I180+S180+AC180</f>
        <v>1.1424273919257866</v>
      </c>
      <c r="AK180" s="419"/>
    </row>
    <row r="181" spans="1:37" ht="15.6" x14ac:dyDescent="0.3">
      <c r="A181" s="301" t="s">
        <v>6</v>
      </c>
      <c r="B181" s="218"/>
      <c r="C181" s="220"/>
      <c r="D181" s="10"/>
      <c r="E181" s="10"/>
      <c r="F181" s="10"/>
      <c r="G181" s="10"/>
      <c r="H181" s="137" t="s">
        <v>585</v>
      </c>
      <c r="I181" s="659">
        <f>I150+I155</f>
        <v>79705.288039999999</v>
      </c>
      <c r="J181" s="108"/>
      <c r="K181" s="108"/>
      <c r="L181" s="108"/>
      <c r="M181" s="109"/>
      <c r="N181" s="656"/>
      <c r="O181" s="657"/>
      <c r="P181" s="92"/>
      <c r="Q181" s="37"/>
      <c r="R181" s="137" t="s">
        <v>585</v>
      </c>
      <c r="S181" s="659">
        <f>S150+S155</f>
        <v>3877.2711599999998</v>
      </c>
      <c r="T181" s="108"/>
      <c r="U181" s="108"/>
      <c r="V181" s="108"/>
      <c r="W181" s="109"/>
      <c r="X181" s="658"/>
      <c r="Y181" s="657"/>
      <c r="Z181" s="92"/>
      <c r="AA181" s="37"/>
      <c r="AB181" s="137" t="s">
        <v>585</v>
      </c>
      <c r="AC181" s="659">
        <f>AC150+AC155</f>
        <v>0</v>
      </c>
      <c r="AD181" s="108"/>
      <c r="AE181" s="108"/>
      <c r="AF181" s="108"/>
      <c r="AG181" s="109"/>
      <c r="AH181" s="656"/>
      <c r="AI181" s="137"/>
      <c r="AJ181" s="659">
        <f>I181+S181+AC181</f>
        <v>83582.559200000003</v>
      </c>
      <c r="AK181" s="659"/>
    </row>
    <row r="182" spans="1:37" ht="15.6" x14ac:dyDescent="0.3">
      <c r="A182" s="301" t="s">
        <v>6</v>
      </c>
      <c r="B182" s="218"/>
      <c r="C182" s="220"/>
      <c r="D182" s="10"/>
      <c r="E182" s="10"/>
      <c r="F182" s="10"/>
      <c r="G182" s="10"/>
      <c r="H182" s="137" t="s">
        <v>586</v>
      </c>
      <c r="I182" s="659">
        <f>I176+I167+I162</f>
        <v>3524</v>
      </c>
      <c r="J182" s="108"/>
      <c r="K182" s="659"/>
      <c r="L182" s="108"/>
      <c r="M182" s="109"/>
      <c r="N182" s="656"/>
      <c r="O182" s="657"/>
      <c r="P182" s="92"/>
      <c r="Q182" s="37"/>
      <c r="R182" s="137" t="s">
        <v>586</v>
      </c>
      <c r="S182" s="659">
        <f>S176+S167+S162</f>
        <v>171</v>
      </c>
      <c r="T182" s="108"/>
      <c r="U182" s="659"/>
      <c r="V182" s="108"/>
      <c r="W182" s="109"/>
      <c r="X182" s="658"/>
      <c r="Y182" s="657"/>
      <c r="Z182" s="92"/>
      <c r="AA182" s="37"/>
      <c r="AB182" s="137" t="s">
        <v>586</v>
      </c>
      <c r="AC182" s="659">
        <f>AC176+AC167+AC162</f>
        <v>0</v>
      </c>
      <c r="AD182" s="108"/>
      <c r="AE182" s="659"/>
      <c r="AF182" s="108"/>
      <c r="AG182" s="109"/>
      <c r="AH182" s="656"/>
      <c r="AI182" s="137"/>
      <c r="AJ182" s="659">
        <f>I182+S182+AC182</f>
        <v>3695</v>
      </c>
      <c r="AK182" s="659"/>
    </row>
    <row r="183" spans="1:37" ht="15.6" x14ac:dyDescent="0.3">
      <c r="A183" s="301" t="s">
        <v>6</v>
      </c>
      <c r="B183" s="218"/>
      <c r="C183" s="220"/>
      <c r="D183" s="10"/>
      <c r="E183" s="10"/>
      <c r="F183" s="10"/>
      <c r="G183" s="10"/>
      <c r="H183" s="137" t="s">
        <v>584</v>
      </c>
      <c r="I183" s="659">
        <f>I179</f>
        <v>83229.288039999999</v>
      </c>
      <c r="J183" s="108"/>
      <c r="K183" s="108"/>
      <c r="L183" s="108"/>
      <c r="M183" s="109"/>
      <c r="N183" s="656"/>
      <c r="O183" s="657"/>
      <c r="P183" s="92"/>
      <c r="Q183" s="37"/>
      <c r="R183" s="137" t="s">
        <v>584</v>
      </c>
      <c r="S183" s="659">
        <f>S179</f>
        <v>4048.2711599999998</v>
      </c>
      <c r="T183" s="108"/>
      <c r="U183" s="108"/>
      <c r="V183" s="108"/>
      <c r="W183" s="109"/>
      <c r="X183" s="658"/>
      <c r="Y183" s="657"/>
      <c r="Z183" s="92"/>
      <c r="AA183" s="37"/>
      <c r="AB183" s="137" t="s">
        <v>584</v>
      </c>
      <c r="AC183" s="659">
        <f>AC179</f>
        <v>0</v>
      </c>
      <c r="AD183" s="108"/>
      <c r="AE183" s="108"/>
      <c r="AF183" s="108"/>
      <c r="AG183" s="109"/>
      <c r="AH183" s="656"/>
      <c r="AI183" s="137"/>
      <c r="AJ183" s="659">
        <f>I183+S183+AC183</f>
        <v>87277.559200000003</v>
      </c>
      <c r="AK183" s="659"/>
    </row>
    <row r="184" spans="1:37" ht="46.8" x14ac:dyDescent="0.3">
      <c r="A184" s="299" t="s">
        <v>52</v>
      </c>
      <c r="B184" s="218" t="str">
        <f t="shared" si="67"/>
        <v>CFSLABOR: NON-SUPERVISORY</v>
      </c>
      <c r="C184" s="12" t="s">
        <v>52</v>
      </c>
      <c r="D184" s="10" t="str">
        <f>'2015Summary METER to CASH (Base'!O22</f>
        <v>* Terminate gas service or pick up payment on credit orders
* Meter Investigation</v>
      </c>
      <c r="E184" s="117">
        <f>N221</f>
        <v>1215213.161278822</v>
      </c>
      <c r="F184" s="117">
        <f>X221</f>
        <v>58238.240238678089</v>
      </c>
      <c r="G184" s="117">
        <f>AC221</f>
        <v>0</v>
      </c>
      <c r="H184" s="183" t="s">
        <v>31</v>
      </c>
      <c r="I184" s="157"/>
      <c r="J184" s="118"/>
      <c r="K184" s="118"/>
      <c r="L184" s="118"/>
      <c r="M184" s="119"/>
      <c r="N184" s="121"/>
      <c r="O184" s="135"/>
      <c r="P184" s="381"/>
      <c r="Q184" s="123"/>
      <c r="R184" s="183" t="s">
        <v>31</v>
      </c>
      <c r="S184" s="157"/>
      <c r="T184" s="118"/>
      <c r="U184" s="118"/>
      <c r="V184" s="118"/>
      <c r="W184" s="119"/>
      <c r="X184" s="121"/>
      <c r="Y184" s="135"/>
      <c r="Z184" s="381"/>
      <c r="AA184" s="123"/>
      <c r="AB184" s="183" t="s">
        <v>31</v>
      </c>
      <c r="AC184" s="157"/>
      <c r="AD184" s="118"/>
      <c r="AE184" s="118"/>
      <c r="AF184" s="118"/>
      <c r="AG184" s="119"/>
      <c r="AH184" s="121"/>
      <c r="AI184" s="135"/>
      <c r="AJ184" s="157"/>
      <c r="AK184" s="157"/>
    </row>
    <row r="185" spans="1:37" ht="21" x14ac:dyDescent="0.4">
      <c r="A185" s="299" t="s">
        <v>52</v>
      </c>
      <c r="B185" s="218" t="str">
        <f t="shared" si="67"/>
        <v>CFSUtility Support 3 &amp; CFS 2</v>
      </c>
      <c r="C185" s="5" t="s">
        <v>48</v>
      </c>
      <c r="D185" s="128"/>
      <c r="E185" s="116"/>
      <c r="F185" s="116"/>
      <c r="G185" s="116"/>
      <c r="H185" s="184" t="s">
        <v>345</v>
      </c>
      <c r="I185" s="158">
        <f>J185*K185</f>
        <v>481302.96148047515</v>
      </c>
      <c r="J185" s="42">
        <f>17267*(I6/($I$6+$S$6))</f>
        <v>16477.335209875902</v>
      </c>
      <c r="K185" s="39">
        <v>29.21</v>
      </c>
      <c r="L185" s="39"/>
      <c r="M185" s="40" t="str">
        <f>ROUND(J185,0)&amp;" hrs @ "&amp;K185</f>
        <v>16477 hrs @ 29.21</v>
      </c>
      <c r="N185" s="35"/>
      <c r="O185" s="136"/>
      <c r="P185" s="382"/>
      <c r="Q185" s="41"/>
      <c r="R185" s="184" t="s">
        <v>345</v>
      </c>
      <c r="S185" s="158">
        <f>T185*U185</f>
        <v>23066.108519524925</v>
      </c>
      <c r="T185" s="42">
        <f>17267*(S6/($I$6+$S$6))</f>
        <v>789.66479012409877</v>
      </c>
      <c r="U185" s="39">
        <v>29.21</v>
      </c>
      <c r="V185" s="39"/>
      <c r="W185" s="40" t="str">
        <f>ROUND(T185,0)&amp;" hrs @ "&amp;U185</f>
        <v>790 hrs @ 29.21</v>
      </c>
      <c r="X185" s="35"/>
      <c r="Y185" s="136"/>
      <c r="Z185" s="382"/>
      <c r="AA185" s="41"/>
      <c r="AB185" s="184" t="s">
        <v>345</v>
      </c>
      <c r="AC185" s="158">
        <f>AD185*AE185</f>
        <v>0</v>
      </c>
      <c r="AD185" s="42"/>
      <c r="AE185" s="39"/>
      <c r="AF185" s="39"/>
      <c r="AG185" s="40" t="str">
        <f>ROUND(AD185,0)&amp;" hrs @ "&amp;AE185</f>
        <v xml:space="preserve">0 hrs @ </v>
      </c>
      <c r="AH185" s="35"/>
      <c r="AI185" s="136"/>
      <c r="AJ185" s="158">
        <f t="shared" ref="AJ185:AJ191" si="77">I185+S185+AC185</f>
        <v>504369.07000000007</v>
      </c>
      <c r="AK185" s="158"/>
    </row>
    <row r="186" spans="1:37" ht="21" x14ac:dyDescent="0.4">
      <c r="A186" s="299" t="s">
        <v>52</v>
      </c>
      <c r="B186" s="218" t="str">
        <f t="shared" si="67"/>
        <v>CFS</v>
      </c>
      <c r="C186" s="5" t="s">
        <v>48</v>
      </c>
      <c r="D186" s="128"/>
      <c r="E186" s="116"/>
      <c r="F186" s="116"/>
      <c r="G186" s="116"/>
      <c r="H186" s="184"/>
      <c r="I186" s="158">
        <f t="shared" ref="I186:I187" si="78">J186*K186</f>
        <v>0</v>
      </c>
      <c r="J186" s="42"/>
      <c r="K186" s="39"/>
      <c r="L186" s="42"/>
      <c r="M186" s="40" t="str">
        <f t="shared" ref="M186:M188" si="79">J186&amp;" hrs @ "&amp;K186</f>
        <v xml:space="preserve"> hrs @ </v>
      </c>
      <c r="N186" s="35"/>
      <c r="O186" s="136"/>
      <c r="P186" s="382"/>
      <c r="Q186" s="3"/>
      <c r="R186" s="184"/>
      <c r="S186" s="158">
        <f t="shared" ref="S186:S187" si="80">T186*U186</f>
        <v>0</v>
      </c>
      <c r="T186" s="42"/>
      <c r="U186" s="39"/>
      <c r="V186" s="42"/>
      <c r="W186" s="40" t="str">
        <f t="shared" ref="W186:W188" si="81">T186&amp;" hrs @ "&amp;U186</f>
        <v xml:space="preserve"> hrs @ </v>
      </c>
      <c r="X186" s="35"/>
      <c r="Y186" s="136"/>
      <c r="Z186" s="382"/>
      <c r="AA186" s="3"/>
      <c r="AB186" s="184"/>
      <c r="AC186" s="158">
        <f t="shared" ref="AC186:AC188" si="82">AD186*AE186</f>
        <v>0</v>
      </c>
      <c r="AD186" s="42"/>
      <c r="AE186" s="39"/>
      <c r="AF186" s="42"/>
      <c r="AG186" s="40" t="str">
        <f t="shared" ref="AG186:AG188" si="83">AD186&amp;" hrs @ "&amp;AE186</f>
        <v xml:space="preserve"> hrs @ </v>
      </c>
      <c r="AH186" s="35"/>
      <c r="AI186" s="136"/>
      <c r="AJ186" s="158">
        <f t="shared" si="77"/>
        <v>0</v>
      </c>
      <c r="AK186" s="158"/>
    </row>
    <row r="187" spans="1:37" ht="21" x14ac:dyDescent="0.4">
      <c r="A187" s="299" t="s">
        <v>52</v>
      </c>
      <c r="B187" s="218" t="str">
        <f t="shared" si="67"/>
        <v>CFS</v>
      </c>
      <c r="C187" s="5" t="s">
        <v>48</v>
      </c>
      <c r="D187" s="128"/>
      <c r="E187" s="116"/>
      <c r="F187" s="116"/>
      <c r="G187" s="116"/>
      <c r="H187" s="184"/>
      <c r="I187" s="158">
        <f t="shared" si="78"/>
        <v>0</v>
      </c>
      <c r="J187" s="42"/>
      <c r="K187" s="39"/>
      <c r="L187" s="42"/>
      <c r="M187" s="40" t="str">
        <f t="shared" si="79"/>
        <v xml:space="preserve"> hrs @ </v>
      </c>
      <c r="N187" s="35"/>
      <c r="O187" s="136"/>
      <c r="P187" s="382"/>
      <c r="Q187" s="41"/>
      <c r="R187" s="184"/>
      <c r="S187" s="158">
        <f t="shared" si="80"/>
        <v>0</v>
      </c>
      <c r="T187" s="42"/>
      <c r="U187" s="39"/>
      <c r="V187" s="42"/>
      <c r="W187" s="40" t="str">
        <f t="shared" si="81"/>
        <v xml:space="preserve"> hrs @ </v>
      </c>
      <c r="X187" s="35"/>
      <c r="Y187" s="136"/>
      <c r="Z187" s="382"/>
      <c r="AA187" s="41"/>
      <c r="AB187" s="184"/>
      <c r="AC187" s="158">
        <f t="shared" si="82"/>
        <v>0</v>
      </c>
      <c r="AD187" s="42"/>
      <c r="AE187" s="39"/>
      <c r="AF187" s="42"/>
      <c r="AG187" s="40" t="str">
        <f t="shared" si="83"/>
        <v xml:space="preserve"> hrs @ </v>
      </c>
      <c r="AH187" s="35"/>
      <c r="AI187" s="136"/>
      <c r="AJ187" s="158">
        <f t="shared" si="77"/>
        <v>0</v>
      </c>
      <c r="AK187" s="158"/>
    </row>
    <row r="188" spans="1:37" ht="21" x14ac:dyDescent="0.4">
      <c r="A188" s="299" t="s">
        <v>52</v>
      </c>
      <c r="B188" s="218" t="str">
        <f t="shared" si="67"/>
        <v>CFS</v>
      </c>
      <c r="C188" s="5" t="s">
        <v>48</v>
      </c>
      <c r="D188" s="128"/>
      <c r="E188" s="116"/>
      <c r="F188" s="116"/>
      <c r="G188" s="116"/>
      <c r="H188" s="179"/>
      <c r="I188" s="173">
        <f>J188*K188*L188</f>
        <v>0</v>
      </c>
      <c r="J188" s="174"/>
      <c r="K188" s="175"/>
      <c r="L188" s="181"/>
      <c r="M188" s="176" t="str">
        <f t="shared" si="79"/>
        <v xml:space="preserve"> hrs @ </v>
      </c>
      <c r="N188" s="35"/>
      <c r="O188" s="136"/>
      <c r="P188" s="382"/>
      <c r="Q188" s="44"/>
      <c r="R188" s="179"/>
      <c r="S188" s="173">
        <f>T188*U188*V188</f>
        <v>0</v>
      </c>
      <c r="T188" s="174"/>
      <c r="U188" s="175"/>
      <c r="V188" s="181"/>
      <c r="W188" s="176" t="str">
        <f t="shared" si="81"/>
        <v xml:space="preserve"> hrs @ </v>
      </c>
      <c r="X188" s="35"/>
      <c r="Y188" s="136"/>
      <c r="Z188" s="382"/>
      <c r="AA188" s="44"/>
      <c r="AB188" s="179"/>
      <c r="AC188" s="173">
        <f t="shared" si="82"/>
        <v>0</v>
      </c>
      <c r="AD188" s="174"/>
      <c r="AE188" s="175"/>
      <c r="AF188" s="181"/>
      <c r="AG188" s="176" t="str">
        <f t="shared" si="83"/>
        <v xml:space="preserve"> hrs @ </v>
      </c>
      <c r="AH188" s="35"/>
      <c r="AI188" s="136"/>
      <c r="AJ188" s="173">
        <f t="shared" si="77"/>
        <v>0</v>
      </c>
      <c r="AK188" s="173"/>
    </row>
    <row r="189" spans="1:37" ht="21" x14ac:dyDescent="0.4">
      <c r="A189" s="299" t="s">
        <v>52</v>
      </c>
      <c r="B189" s="218" t="str">
        <f t="shared" si="67"/>
        <v>CFSTotal Wages</v>
      </c>
      <c r="C189" s="5" t="s">
        <v>48</v>
      </c>
      <c r="D189" s="128"/>
      <c r="E189" s="116"/>
      <c r="F189" s="116"/>
      <c r="G189" s="116"/>
      <c r="H189" s="184" t="s">
        <v>32</v>
      </c>
      <c r="I189" s="158">
        <f>SUM(I185:I188)</f>
        <v>481302.96148047515</v>
      </c>
      <c r="J189" s="42"/>
      <c r="K189" s="39"/>
      <c r="L189" s="39"/>
      <c r="M189" s="40"/>
      <c r="N189" s="35"/>
      <c r="O189" s="136"/>
      <c r="P189" s="382"/>
      <c r="Q189" s="41"/>
      <c r="R189" s="184" t="s">
        <v>32</v>
      </c>
      <c r="S189" s="158">
        <f>SUM(S185:S188)</f>
        <v>23066.108519524925</v>
      </c>
      <c r="T189" s="42"/>
      <c r="U189" s="39"/>
      <c r="V189" s="39"/>
      <c r="W189" s="40"/>
      <c r="X189" s="35"/>
      <c r="Y189" s="136"/>
      <c r="Z189" s="382"/>
      <c r="AA189" s="41"/>
      <c r="AB189" s="184" t="s">
        <v>32</v>
      </c>
      <c r="AC189" s="158">
        <f>SUM(AC185:AC188)</f>
        <v>0</v>
      </c>
      <c r="AD189" s="42"/>
      <c r="AE189" s="39"/>
      <c r="AF189" s="39"/>
      <c r="AG189" s="40"/>
      <c r="AH189" s="35"/>
      <c r="AI189" s="136"/>
      <c r="AJ189" s="158">
        <f t="shared" si="77"/>
        <v>504369.07000000007</v>
      </c>
      <c r="AK189" s="158"/>
    </row>
    <row r="190" spans="1:37" ht="21" x14ac:dyDescent="0.4">
      <c r="A190" s="299" t="s">
        <v>52</v>
      </c>
      <c r="B190" s="218" t="str">
        <f t="shared" si="67"/>
        <v>CFSBenefits</v>
      </c>
      <c r="C190" s="5" t="s">
        <v>48</v>
      </c>
      <c r="D190" s="128"/>
      <c r="E190" s="116"/>
      <c r="F190" s="116"/>
      <c r="G190" s="116"/>
      <c r="H190" s="184" t="s">
        <v>33</v>
      </c>
      <c r="I190" s="159">
        <f>I189*$O$2</f>
        <v>474516.58972360042</v>
      </c>
      <c r="J190" s="42"/>
      <c r="K190" s="39"/>
      <c r="M190" s="45" t="str">
        <f>"@ "&amp;$O$2*100&amp;" %"</f>
        <v>@ 98.59 %</v>
      </c>
      <c r="N190" s="47"/>
      <c r="O190" s="432"/>
      <c r="P190" s="383"/>
      <c r="Q190" s="41"/>
      <c r="R190" s="184" t="s">
        <v>33</v>
      </c>
      <c r="S190" s="159">
        <f>S189*$O$2</f>
        <v>22740.876389399622</v>
      </c>
      <c r="T190" s="42"/>
      <c r="U190" s="39"/>
      <c r="W190" s="45" t="str">
        <f>"@ "&amp;$O$2*100&amp;" %"</f>
        <v>@ 98.59 %</v>
      </c>
      <c r="X190" s="47"/>
      <c r="Y190" s="432"/>
      <c r="Z190" s="383"/>
      <c r="AA190" s="41"/>
      <c r="AB190" s="184" t="s">
        <v>33</v>
      </c>
      <c r="AC190" s="159">
        <f>AC189*$O$2</f>
        <v>0</v>
      </c>
      <c r="AD190" s="42"/>
      <c r="AE190" s="39"/>
      <c r="AG190" s="45" t="str">
        <f>"@ "&amp;$O$2*100&amp;" %"</f>
        <v>@ 98.59 %</v>
      </c>
      <c r="AH190" s="47"/>
      <c r="AI190" s="432"/>
      <c r="AJ190" s="159">
        <f t="shared" si="77"/>
        <v>497257.46611300006</v>
      </c>
      <c r="AK190" s="159"/>
    </row>
    <row r="191" spans="1:37" ht="21" x14ac:dyDescent="0.4">
      <c r="A191" s="299" t="s">
        <v>52</v>
      </c>
      <c r="B191" s="218" t="str">
        <f t="shared" si="67"/>
        <v>CFSTotal</v>
      </c>
      <c r="C191" s="5" t="s">
        <v>48</v>
      </c>
      <c r="D191" s="128"/>
      <c r="E191" s="116"/>
      <c r="F191" s="116"/>
      <c r="G191" s="116"/>
      <c r="H191" s="185" t="s">
        <v>34</v>
      </c>
      <c r="I191" s="160">
        <f>I189+I190</f>
        <v>955819.55120407557</v>
      </c>
      <c r="J191" s="42"/>
      <c r="K191" s="39"/>
      <c r="L191" s="50"/>
      <c r="M191" s="51"/>
      <c r="N191" s="420">
        <f>I191</f>
        <v>955819.55120407557</v>
      </c>
      <c r="O191" s="233">
        <f>N191/N221</f>
        <v>0.78654476569215626</v>
      </c>
      <c r="P191" s="384"/>
      <c r="Q191" s="37"/>
      <c r="R191" s="185" t="s">
        <v>34</v>
      </c>
      <c r="S191" s="160">
        <f>S189+S190</f>
        <v>45806.984908924547</v>
      </c>
      <c r="T191" s="42"/>
      <c r="U191" s="39"/>
      <c r="V191" s="50"/>
      <c r="W191" s="51"/>
      <c r="X191" s="420">
        <f>S191</f>
        <v>45806.984908924547</v>
      </c>
      <c r="Y191" s="233">
        <f>X191/X221</f>
        <v>0.78654479807757816</v>
      </c>
      <c r="Z191" s="384"/>
      <c r="AA191" s="37"/>
      <c r="AB191" s="185" t="s">
        <v>34</v>
      </c>
      <c r="AC191" s="160">
        <f>AC189+AC190</f>
        <v>0</v>
      </c>
      <c r="AD191" s="42"/>
      <c r="AE191" s="39"/>
      <c r="AF191" s="50"/>
      <c r="AG191" s="51"/>
      <c r="AH191" s="420">
        <f>AC191</f>
        <v>0</v>
      </c>
      <c r="AI191" s="233" t="e">
        <f>AH191/AH221</f>
        <v>#DIV/0!</v>
      </c>
      <c r="AJ191" s="160">
        <f t="shared" si="77"/>
        <v>1001626.5361130001</v>
      </c>
      <c r="AK191" s="160"/>
    </row>
    <row r="192" spans="1:37" ht="21" x14ac:dyDescent="0.4">
      <c r="A192" s="299" t="s">
        <v>52</v>
      </c>
      <c r="B192" s="218" t="str">
        <f t="shared" si="67"/>
        <v>CFS</v>
      </c>
      <c r="C192" s="5" t="s">
        <v>48</v>
      </c>
      <c r="D192" s="128"/>
      <c r="E192" s="116"/>
      <c r="F192" s="116"/>
      <c r="G192" s="116"/>
      <c r="H192" s="179"/>
      <c r="I192" s="166"/>
      <c r="J192" s="69"/>
      <c r="K192" s="69"/>
      <c r="L192" s="69"/>
      <c r="M192" s="70"/>
      <c r="N192" s="58"/>
      <c r="O192" s="231"/>
      <c r="P192" s="385"/>
      <c r="Q192" s="60"/>
      <c r="R192" s="179"/>
      <c r="S192" s="166"/>
      <c r="T192" s="69"/>
      <c r="U192" s="69"/>
      <c r="V192" s="69"/>
      <c r="W192" s="70"/>
      <c r="X192" s="58"/>
      <c r="Y192" s="231"/>
      <c r="Z192" s="385"/>
      <c r="AA192" s="60"/>
      <c r="AB192" s="179"/>
      <c r="AC192" s="166"/>
      <c r="AD192" s="69"/>
      <c r="AE192" s="69"/>
      <c r="AF192" s="69"/>
      <c r="AG192" s="70"/>
      <c r="AH192" s="58"/>
      <c r="AI192" s="231"/>
      <c r="AJ192" s="166"/>
      <c r="AK192" s="166"/>
    </row>
    <row r="193" spans="1:37" ht="21" x14ac:dyDescent="0.4">
      <c r="A193" s="299" t="s">
        <v>52</v>
      </c>
      <c r="B193" s="218" t="str">
        <f t="shared" si="67"/>
        <v>CFSLABOR: SUPERVISORY</v>
      </c>
      <c r="C193" s="124" t="s">
        <v>50</v>
      </c>
      <c r="D193" s="128"/>
      <c r="E193" s="116"/>
      <c r="F193" s="116"/>
      <c r="G193" s="116"/>
      <c r="H193" s="186" t="s">
        <v>35</v>
      </c>
      <c r="I193" s="167"/>
      <c r="J193" s="74"/>
      <c r="K193" s="74"/>
      <c r="L193" s="74"/>
      <c r="M193" s="66"/>
      <c r="N193" s="26"/>
      <c r="O193" s="234"/>
      <c r="P193" s="386"/>
      <c r="Q193" s="37"/>
      <c r="R193" s="186" t="s">
        <v>35</v>
      </c>
      <c r="S193" s="167"/>
      <c r="T193" s="74"/>
      <c r="U193" s="74"/>
      <c r="V193" s="74"/>
      <c r="W193" s="66"/>
      <c r="X193" s="26"/>
      <c r="Y193" s="234"/>
      <c r="Z193" s="386"/>
      <c r="AA193" s="37"/>
      <c r="AB193" s="186" t="s">
        <v>35</v>
      </c>
      <c r="AC193" s="167"/>
      <c r="AD193" s="74"/>
      <c r="AE193" s="74"/>
      <c r="AF193" s="74"/>
      <c r="AG193" s="66"/>
      <c r="AH193" s="26"/>
      <c r="AI193" s="234"/>
      <c r="AJ193" s="167"/>
      <c r="AK193" s="167"/>
    </row>
    <row r="194" spans="1:37" ht="21" x14ac:dyDescent="0.4">
      <c r="A194" s="299" t="s">
        <v>52</v>
      </c>
      <c r="B194" s="218" t="str">
        <f t="shared" ref="B194" si="84">A194&amp;H194</f>
        <v>CFSManager (Grade 22)</v>
      </c>
      <c r="C194" s="124"/>
      <c r="D194" s="128"/>
      <c r="E194" s="116"/>
      <c r="F194" s="116"/>
      <c r="G194" s="116"/>
      <c r="H194" s="184" t="s">
        <v>352</v>
      </c>
      <c r="I194" s="158">
        <f t="shared" ref="I194:I195" si="85">J194*K194</f>
        <v>0</v>
      </c>
      <c r="J194" s="42">
        <f>1800*((J184/1800)/12)</f>
        <v>0</v>
      </c>
      <c r="K194" s="39">
        <v>50.91</v>
      </c>
      <c r="L194" s="43"/>
      <c r="M194" s="40" t="str">
        <f>ROUND(J194,0)&amp;" hrs @ "&amp;K194</f>
        <v>0 hrs @ 50.91</v>
      </c>
      <c r="N194" s="26"/>
      <c r="O194" s="234"/>
      <c r="P194" s="386"/>
      <c r="Q194" s="37"/>
      <c r="R194" s="184" t="s">
        <v>352</v>
      </c>
      <c r="S194" s="158">
        <f t="shared" ref="S194:S195" si="86">T194*U194</f>
        <v>0</v>
      </c>
      <c r="T194" s="42">
        <f>1800*((T184/1800)/12)</f>
        <v>0</v>
      </c>
      <c r="U194" s="39">
        <v>50.91</v>
      </c>
      <c r="V194" s="43"/>
      <c r="W194" s="40" t="str">
        <f>ROUND(T194,0)&amp;" hrs @ "&amp;U194</f>
        <v>0 hrs @ 50.91</v>
      </c>
      <c r="X194" s="26"/>
      <c r="Y194" s="234"/>
      <c r="Z194" s="386"/>
      <c r="AA194" s="37"/>
      <c r="AB194" s="184" t="s">
        <v>352</v>
      </c>
      <c r="AC194" s="158">
        <f t="shared" ref="AC194:AC195" si="87">AD194*AE194</f>
        <v>0</v>
      </c>
      <c r="AD194" s="42">
        <f>1800*((AD184/1800)/12)</f>
        <v>0</v>
      </c>
      <c r="AE194" s="39">
        <v>50.91</v>
      </c>
      <c r="AF194" s="43"/>
      <c r="AG194" s="40" t="str">
        <f>ROUND(AD194,0)&amp;" hrs @ "&amp;AE194</f>
        <v>0 hrs @ 50.91</v>
      </c>
      <c r="AH194" s="26"/>
      <c r="AI194" s="234"/>
      <c r="AJ194" s="158">
        <f>I194+S194+AC194</f>
        <v>0</v>
      </c>
      <c r="AK194" s="158"/>
    </row>
    <row r="195" spans="1:37" ht="21" x14ac:dyDescent="0.4">
      <c r="A195" s="299" t="s">
        <v>52</v>
      </c>
      <c r="B195" s="218" t="str">
        <f t="shared" si="67"/>
        <v>CFSGas Operations Supervisor (Grade 21)</v>
      </c>
      <c r="C195" s="5" t="s">
        <v>48</v>
      </c>
      <c r="D195" s="128"/>
      <c r="E195" s="116"/>
      <c r="F195" s="116"/>
      <c r="G195" s="116"/>
      <c r="H195" s="184" t="s">
        <v>351</v>
      </c>
      <c r="I195" s="158">
        <f t="shared" si="85"/>
        <v>62037.167065182774</v>
      </c>
      <c r="J195" s="42">
        <f>1800*((J185/1800)/12)</f>
        <v>1373.1112674896585</v>
      </c>
      <c r="K195" s="39">
        <v>45.18</v>
      </c>
      <c r="L195" s="43"/>
      <c r="M195" s="40" t="str">
        <f>ROUND(J195,0)&amp;" hrs @ "&amp;K195</f>
        <v>1373 hrs @ 45.18</v>
      </c>
      <c r="N195" s="26"/>
      <c r="O195" s="234"/>
      <c r="P195" s="386"/>
      <c r="Q195" s="41"/>
      <c r="R195" s="184" t="s">
        <v>351</v>
      </c>
      <c r="S195" s="158">
        <f t="shared" si="86"/>
        <v>2973.0879348172316</v>
      </c>
      <c r="T195" s="42">
        <f>1800*((T185/1800)/12)</f>
        <v>65.805399177008226</v>
      </c>
      <c r="U195" s="39">
        <v>45.18</v>
      </c>
      <c r="V195" s="43"/>
      <c r="W195" s="40" t="str">
        <f>ROUND(T195,0)&amp;" hrs @ "&amp;U195</f>
        <v>66 hrs @ 45.18</v>
      </c>
      <c r="X195" s="26"/>
      <c r="Y195" s="234"/>
      <c r="Z195" s="386"/>
      <c r="AA195" s="41"/>
      <c r="AB195" s="184" t="s">
        <v>351</v>
      </c>
      <c r="AC195" s="158">
        <f t="shared" si="87"/>
        <v>0</v>
      </c>
      <c r="AD195" s="42">
        <f>1800*((AD185/1800)/12)</f>
        <v>0</v>
      </c>
      <c r="AE195" s="39">
        <v>45.18</v>
      </c>
      <c r="AF195" s="43"/>
      <c r="AG195" s="40" t="str">
        <f>ROUND(AD195,0)&amp;" hrs @ "&amp;AE195</f>
        <v>0 hrs @ 45.18</v>
      </c>
      <c r="AH195" s="26"/>
      <c r="AI195" s="234"/>
      <c r="AJ195" s="158">
        <f>I195+S195+AC195</f>
        <v>65010.255000000005</v>
      </c>
      <c r="AK195" s="158"/>
    </row>
    <row r="196" spans="1:37" ht="21" x14ac:dyDescent="0.4">
      <c r="A196" s="299" t="s">
        <v>52</v>
      </c>
      <c r="B196" s="218" t="str">
        <f t="shared" si="67"/>
        <v>CFSBenefits</v>
      </c>
      <c r="C196" s="5" t="s">
        <v>48</v>
      </c>
      <c r="D196" s="128"/>
      <c r="E196" s="116"/>
      <c r="F196" s="116"/>
      <c r="G196" s="116"/>
      <c r="H196" s="184" t="s">
        <v>33</v>
      </c>
      <c r="I196" s="159">
        <f>SUM(I194:I195)*$O$2</f>
        <v>61162.4430095637</v>
      </c>
      <c r="J196" s="42"/>
      <c r="K196" s="39"/>
      <c r="L196" s="156"/>
      <c r="M196" s="45" t="str">
        <f>"@ "&amp;$O$2*100&amp;" %"</f>
        <v>@ 98.59 %</v>
      </c>
      <c r="N196" s="26"/>
      <c r="O196" s="234"/>
      <c r="P196" s="386"/>
      <c r="Q196" s="41"/>
      <c r="R196" s="184" t="s">
        <v>33</v>
      </c>
      <c r="S196" s="159">
        <f>SUM(S194:S195)*$O$2</f>
        <v>2931.1673949363085</v>
      </c>
      <c r="T196" s="42"/>
      <c r="U196" s="39"/>
      <c r="V196" s="156"/>
      <c r="W196" s="45" t="str">
        <f>"@ "&amp;$O$2*100&amp;" %"</f>
        <v>@ 98.59 %</v>
      </c>
      <c r="X196" s="26"/>
      <c r="Y196" s="234"/>
      <c r="Z196" s="386"/>
      <c r="AA196" s="41"/>
      <c r="AB196" s="184" t="s">
        <v>33</v>
      </c>
      <c r="AC196" s="159">
        <f>AC195*$O$2</f>
        <v>0</v>
      </c>
      <c r="AD196" s="42"/>
      <c r="AE196" s="39"/>
      <c r="AF196" s="156"/>
      <c r="AG196" s="45" t="str">
        <f>"@ "&amp;$O$2*100&amp;" %"</f>
        <v>@ 98.59 %</v>
      </c>
      <c r="AH196" s="26"/>
      <c r="AI196" s="234"/>
      <c r="AJ196" s="159">
        <f>I196+S196+AC196</f>
        <v>64093.61040450001</v>
      </c>
      <c r="AK196" s="159"/>
    </row>
    <row r="197" spans="1:37" ht="21" x14ac:dyDescent="0.4">
      <c r="A197" s="299" t="s">
        <v>52</v>
      </c>
      <c r="B197" s="218" t="str">
        <f t="shared" si="67"/>
        <v>CFSTotal</v>
      </c>
      <c r="C197" s="124" t="s">
        <v>50</v>
      </c>
      <c r="D197" s="129"/>
      <c r="E197" s="116"/>
      <c r="F197" s="116"/>
      <c r="G197" s="116"/>
      <c r="H197" s="185" t="s">
        <v>34</v>
      </c>
      <c r="I197" s="165">
        <f>I194+I196+I195</f>
        <v>123199.61007474648</v>
      </c>
      <c r="J197" s="68"/>
      <c r="K197" s="68"/>
      <c r="L197" s="68"/>
      <c r="M197" s="63"/>
      <c r="N197" s="420">
        <f>I197</f>
        <v>123199.61007474648</v>
      </c>
      <c r="O197" s="233">
        <f>N197/N221</f>
        <v>0.10138106959366548</v>
      </c>
      <c r="P197" s="386"/>
      <c r="Q197" s="41"/>
      <c r="R197" s="185" t="s">
        <v>34</v>
      </c>
      <c r="S197" s="165">
        <f>S194+S196+S195</f>
        <v>5904.2553297535396</v>
      </c>
      <c r="T197" s="68"/>
      <c r="U197" s="68"/>
      <c r="V197" s="68"/>
      <c r="W197" s="63"/>
      <c r="X197" s="420">
        <f>S197</f>
        <v>5904.2553297535396</v>
      </c>
      <c r="Y197" s="233">
        <f>X197/X221</f>
        <v>0.10138107376795896</v>
      </c>
      <c r="Z197" s="386"/>
      <c r="AA197" s="41"/>
      <c r="AB197" s="185" t="s">
        <v>34</v>
      </c>
      <c r="AC197" s="165">
        <f>AC196+AC195</f>
        <v>0</v>
      </c>
      <c r="AD197" s="68"/>
      <c r="AE197" s="68"/>
      <c r="AF197" s="68"/>
      <c r="AG197" s="63"/>
      <c r="AH197" s="420">
        <f>AC197</f>
        <v>0</v>
      </c>
      <c r="AI197" s="233" t="e">
        <f>AH197/AH221</f>
        <v>#DIV/0!</v>
      </c>
      <c r="AJ197" s="165">
        <f>I197+S197+AC197</f>
        <v>129103.86540450001</v>
      </c>
      <c r="AK197" s="165"/>
    </row>
    <row r="198" spans="1:37" ht="21" x14ac:dyDescent="0.4">
      <c r="A198" s="299" t="s">
        <v>52</v>
      </c>
      <c r="B198" s="218" t="str">
        <f t="shared" si="67"/>
        <v>CFS</v>
      </c>
      <c r="C198" s="5" t="s">
        <v>48</v>
      </c>
      <c r="D198" s="129"/>
      <c r="E198" s="116"/>
      <c r="F198" s="116"/>
      <c r="G198" s="116"/>
      <c r="H198" s="179"/>
      <c r="I198" s="166"/>
      <c r="J198" s="69"/>
      <c r="K198" s="69"/>
      <c r="L198" s="69"/>
      <c r="M198" s="70"/>
      <c r="N198" s="72"/>
      <c r="O198" s="235"/>
      <c r="P198" s="387"/>
      <c r="Q198" s="60"/>
      <c r="R198" s="179"/>
      <c r="S198" s="166"/>
      <c r="T198" s="69"/>
      <c r="U198" s="69"/>
      <c r="V198" s="69"/>
      <c r="W198" s="70"/>
      <c r="X198" s="72"/>
      <c r="Y198" s="235"/>
      <c r="Z198" s="387"/>
      <c r="AA198" s="60"/>
      <c r="AB198" s="179"/>
      <c r="AC198" s="166"/>
      <c r="AD198" s="69"/>
      <c r="AE198" s="69"/>
      <c r="AF198" s="69"/>
      <c r="AG198" s="70"/>
      <c r="AH198" s="72"/>
      <c r="AI198" s="235"/>
      <c r="AJ198" s="166"/>
      <c r="AK198" s="166"/>
    </row>
    <row r="199" spans="1:37" ht="21" x14ac:dyDescent="0.4">
      <c r="A199" s="299" t="s">
        <v>52</v>
      </c>
      <c r="B199" s="218" t="str">
        <f t="shared" si="67"/>
        <v>CFSEQUIPMENT</v>
      </c>
      <c r="C199" s="124" t="s">
        <v>50</v>
      </c>
      <c r="D199" s="129"/>
      <c r="E199" s="116"/>
      <c r="F199" s="116"/>
      <c r="G199" s="116"/>
      <c r="H199" s="186" t="s">
        <v>36</v>
      </c>
      <c r="I199" s="167"/>
      <c r="J199" s="74"/>
      <c r="K199" s="74"/>
      <c r="L199" s="74"/>
      <c r="M199" s="66"/>
      <c r="N199" s="76"/>
      <c r="O199" s="237"/>
      <c r="P199" s="386"/>
      <c r="Q199" s="37"/>
      <c r="R199" s="186" t="s">
        <v>36</v>
      </c>
      <c r="S199" s="167"/>
      <c r="T199" s="74"/>
      <c r="U199" s="74"/>
      <c r="V199" s="74"/>
      <c r="W199" s="66"/>
      <c r="X199" s="76"/>
      <c r="Y199" s="237"/>
      <c r="Z199" s="386"/>
      <c r="AA199" s="37"/>
      <c r="AB199" s="186" t="s">
        <v>36</v>
      </c>
      <c r="AC199" s="167"/>
      <c r="AD199" s="74"/>
      <c r="AE199" s="74"/>
      <c r="AF199" s="74"/>
      <c r="AG199" s="66"/>
      <c r="AH199" s="76"/>
      <c r="AI199" s="237"/>
      <c r="AJ199" s="167"/>
      <c r="AK199" s="167"/>
    </row>
    <row r="200" spans="1:37" ht="21" x14ac:dyDescent="0.4">
      <c r="A200" s="299" t="s">
        <v>52</v>
      </c>
      <c r="B200" s="218" t="str">
        <f t="shared" si="67"/>
        <v>CFS</v>
      </c>
      <c r="C200" s="5" t="s">
        <v>48</v>
      </c>
      <c r="D200" s="129"/>
      <c r="E200" s="116"/>
      <c r="F200" s="116"/>
      <c r="G200" s="116"/>
      <c r="H200" s="187"/>
      <c r="I200" s="163"/>
      <c r="J200" s="42"/>
      <c r="K200" s="39"/>
      <c r="L200" s="39"/>
      <c r="M200" s="40" t="str">
        <f>J200&amp;" hrs @ "&amp;K200</f>
        <v xml:space="preserve"> hrs @ </v>
      </c>
      <c r="N200" s="76"/>
      <c r="O200" s="237"/>
      <c r="P200" s="386"/>
      <c r="Q200" s="37"/>
      <c r="R200" s="187"/>
      <c r="S200" s="163"/>
      <c r="T200" s="42"/>
      <c r="U200" s="39"/>
      <c r="V200" s="39"/>
      <c r="W200" s="40" t="str">
        <f>T200&amp;" hrs @ "&amp;U200</f>
        <v xml:space="preserve"> hrs @ </v>
      </c>
      <c r="X200" s="76"/>
      <c r="Y200" s="237"/>
      <c r="Z200" s="386"/>
      <c r="AA200" s="37"/>
      <c r="AB200" s="187"/>
      <c r="AC200" s="163"/>
      <c r="AD200" s="42"/>
      <c r="AE200" s="39"/>
      <c r="AF200" s="39"/>
      <c r="AG200" s="40" t="str">
        <f>AD200&amp;" hrs @ "&amp;AE200</f>
        <v xml:space="preserve"> hrs @ </v>
      </c>
      <c r="AH200" s="76"/>
      <c r="AI200" s="237"/>
      <c r="AJ200" s="163"/>
      <c r="AK200" s="163"/>
    </row>
    <row r="201" spans="1:37" ht="21" x14ac:dyDescent="0.4">
      <c r="A201" s="299" t="s">
        <v>52</v>
      </c>
      <c r="B201" s="218" t="str">
        <f t="shared" si="67"/>
        <v>CFS</v>
      </c>
      <c r="C201" s="5" t="s">
        <v>48</v>
      </c>
      <c r="D201" s="129"/>
      <c r="E201" s="116"/>
      <c r="F201" s="116"/>
      <c r="G201" s="116"/>
      <c r="H201" s="187"/>
      <c r="I201" s="163"/>
      <c r="J201" s="42"/>
      <c r="K201" s="39"/>
      <c r="L201" s="39"/>
      <c r="M201" s="40" t="str">
        <f t="shared" ref="M201:M203" si="88">J201&amp;" hrs @ "&amp;K201</f>
        <v xml:space="preserve"> hrs @ </v>
      </c>
      <c r="N201" s="79"/>
      <c r="O201" s="238"/>
      <c r="P201" s="388"/>
      <c r="Q201" s="81"/>
      <c r="R201" s="187"/>
      <c r="S201" s="163"/>
      <c r="T201" s="42"/>
      <c r="U201" s="39"/>
      <c r="V201" s="39"/>
      <c r="W201" s="40" t="str">
        <f t="shared" ref="W201:W203" si="89">T201&amp;" hrs @ "&amp;U201</f>
        <v xml:space="preserve"> hrs @ </v>
      </c>
      <c r="X201" s="79"/>
      <c r="Y201" s="238"/>
      <c r="Z201" s="388"/>
      <c r="AA201" s="81"/>
      <c r="AB201" s="187"/>
      <c r="AC201" s="163"/>
      <c r="AD201" s="42"/>
      <c r="AE201" s="39"/>
      <c r="AF201" s="39"/>
      <c r="AG201" s="40" t="str">
        <f t="shared" ref="AG201:AG203" si="90">AD201&amp;" hrs @ "&amp;AE201</f>
        <v xml:space="preserve"> hrs @ </v>
      </c>
      <c r="AH201" s="79"/>
      <c r="AI201" s="238"/>
      <c r="AJ201" s="163"/>
      <c r="AK201" s="163"/>
    </row>
    <row r="202" spans="1:37" ht="21" x14ac:dyDescent="0.4">
      <c r="A202" s="299" t="s">
        <v>52</v>
      </c>
      <c r="B202" s="218" t="str">
        <f t="shared" si="67"/>
        <v>CFS</v>
      </c>
      <c r="C202" s="5" t="s">
        <v>48</v>
      </c>
      <c r="D202" s="131"/>
      <c r="E202" s="116"/>
      <c r="F202" s="116"/>
      <c r="G202" s="116"/>
      <c r="H202" s="187"/>
      <c r="I202" s="168"/>
      <c r="J202" s="42"/>
      <c r="K202" s="39"/>
      <c r="L202" s="42"/>
      <c r="M202" s="40" t="str">
        <f t="shared" si="88"/>
        <v xml:space="preserve"> hrs @ </v>
      </c>
      <c r="N202" s="79"/>
      <c r="O202" s="238"/>
      <c r="P202" s="388"/>
      <c r="Q202" s="81"/>
      <c r="R202" s="187"/>
      <c r="S202" s="168"/>
      <c r="T202" s="42"/>
      <c r="U202" s="39"/>
      <c r="V202" s="42"/>
      <c r="W202" s="40" t="str">
        <f t="shared" si="89"/>
        <v xml:space="preserve"> hrs @ </v>
      </c>
      <c r="X202" s="79"/>
      <c r="Y202" s="238"/>
      <c r="Z202" s="388"/>
      <c r="AA202" s="81"/>
      <c r="AB202" s="187"/>
      <c r="AC202" s="168"/>
      <c r="AD202" s="42"/>
      <c r="AE202" s="39"/>
      <c r="AF202" s="42"/>
      <c r="AG202" s="40" t="str">
        <f t="shared" si="90"/>
        <v xml:space="preserve"> hrs @ </v>
      </c>
      <c r="AH202" s="79"/>
      <c r="AI202" s="238"/>
      <c r="AJ202" s="168"/>
      <c r="AK202" s="168"/>
    </row>
    <row r="203" spans="1:37" ht="21" x14ac:dyDescent="0.4">
      <c r="A203" s="299" t="s">
        <v>52</v>
      </c>
      <c r="B203" s="218" t="str">
        <f t="shared" si="67"/>
        <v>CFS</v>
      </c>
      <c r="C203" s="5" t="s">
        <v>48</v>
      </c>
      <c r="D203" s="131"/>
      <c r="E203" s="116"/>
      <c r="F203" s="116"/>
      <c r="G203" s="116"/>
      <c r="H203" s="187"/>
      <c r="I203" s="164"/>
      <c r="J203" s="42"/>
      <c r="K203" s="39"/>
      <c r="L203" s="43"/>
      <c r="M203" s="40" t="str">
        <f t="shared" si="88"/>
        <v xml:space="preserve"> hrs @ </v>
      </c>
      <c r="N203" s="79"/>
      <c r="O203" s="238"/>
      <c r="P203" s="388"/>
      <c r="Q203" s="81"/>
      <c r="R203" s="187"/>
      <c r="S203" s="164"/>
      <c r="T203" s="42"/>
      <c r="U203" s="39"/>
      <c r="V203" s="43"/>
      <c r="W203" s="40" t="str">
        <f t="shared" si="89"/>
        <v xml:space="preserve"> hrs @ </v>
      </c>
      <c r="X203" s="79"/>
      <c r="Y203" s="238"/>
      <c r="Z203" s="388"/>
      <c r="AA203" s="81"/>
      <c r="AB203" s="187"/>
      <c r="AC203" s="164"/>
      <c r="AD203" s="42"/>
      <c r="AE203" s="39"/>
      <c r="AF203" s="43"/>
      <c r="AG203" s="40" t="str">
        <f t="shared" si="90"/>
        <v xml:space="preserve"> hrs @ </v>
      </c>
      <c r="AH203" s="79"/>
      <c r="AI203" s="238"/>
      <c r="AJ203" s="164"/>
      <c r="AK203" s="164"/>
    </row>
    <row r="204" spans="1:37" ht="21" x14ac:dyDescent="0.4">
      <c r="A204" s="299" t="s">
        <v>52</v>
      </c>
      <c r="B204" s="218" t="str">
        <f t="shared" ref="B204:B262" si="91">A204&amp;H204</f>
        <v>CFSTotal Equipment</v>
      </c>
      <c r="C204" s="124" t="s">
        <v>50</v>
      </c>
      <c r="D204" s="132"/>
      <c r="E204" s="116">
        <f>I204</f>
        <v>0</v>
      </c>
      <c r="F204" s="116">
        <f>S204</f>
        <v>0</v>
      </c>
      <c r="G204" s="116">
        <f>AC204</f>
        <v>0</v>
      </c>
      <c r="H204" s="188" t="s">
        <v>37</v>
      </c>
      <c r="I204" s="165">
        <f>SUM(I200:I203)</f>
        <v>0</v>
      </c>
      <c r="J204" s="68"/>
      <c r="K204" s="68"/>
      <c r="L204" s="68"/>
      <c r="M204" s="66"/>
      <c r="N204" s="420">
        <f>I204</f>
        <v>0</v>
      </c>
      <c r="O204" s="233">
        <f>N204/N221</f>
        <v>0</v>
      </c>
      <c r="P204" s="388"/>
      <c r="Q204" s="81"/>
      <c r="R204" s="188" t="s">
        <v>37</v>
      </c>
      <c r="S204" s="165">
        <f>SUM(S200:S203)</f>
        <v>0</v>
      </c>
      <c r="T204" s="68"/>
      <c r="U204" s="68"/>
      <c r="V204" s="68"/>
      <c r="W204" s="66"/>
      <c r="X204" s="420">
        <f>S204</f>
        <v>0</v>
      </c>
      <c r="Y204" s="233">
        <f>X204/X221</f>
        <v>0</v>
      </c>
      <c r="Z204" s="388"/>
      <c r="AA204" s="81"/>
      <c r="AB204" s="188" t="s">
        <v>37</v>
      </c>
      <c r="AC204" s="165">
        <f>SUM(AC200:AC203)</f>
        <v>0</v>
      </c>
      <c r="AD204" s="68"/>
      <c r="AE204" s="68"/>
      <c r="AF204" s="68"/>
      <c r="AG204" s="66"/>
      <c r="AH204" s="420">
        <f>AC204</f>
        <v>0</v>
      </c>
      <c r="AI204" s="233" t="e">
        <f>AH204/AH221</f>
        <v>#DIV/0!</v>
      </c>
      <c r="AJ204" s="165">
        <f>I204+S204+AC204</f>
        <v>0</v>
      </c>
      <c r="AK204" s="165"/>
    </row>
    <row r="205" spans="1:37" ht="21" x14ac:dyDescent="0.4">
      <c r="A205" s="299" t="s">
        <v>52</v>
      </c>
      <c r="B205" s="218" t="str">
        <f t="shared" si="91"/>
        <v>CFS</v>
      </c>
      <c r="C205" s="5" t="s">
        <v>48</v>
      </c>
      <c r="D205" s="132"/>
      <c r="E205" s="116"/>
      <c r="F205" s="116"/>
      <c r="G205" s="116"/>
      <c r="H205" s="189"/>
      <c r="I205" s="166"/>
      <c r="J205" s="69"/>
      <c r="K205" s="69"/>
      <c r="L205" s="69"/>
      <c r="M205" s="70"/>
      <c r="N205" s="88"/>
      <c r="O205" s="241"/>
      <c r="P205" s="389"/>
      <c r="Q205" s="60"/>
      <c r="R205" s="189"/>
      <c r="S205" s="166"/>
      <c r="T205" s="69"/>
      <c r="U205" s="69"/>
      <c r="V205" s="69"/>
      <c r="W205" s="70"/>
      <c r="X205" s="88"/>
      <c r="Y205" s="241"/>
      <c r="Z205" s="389"/>
      <c r="AA205" s="60"/>
      <c r="AB205" s="189"/>
      <c r="AC205" s="166"/>
      <c r="AD205" s="69"/>
      <c r="AE205" s="69"/>
      <c r="AF205" s="69"/>
      <c r="AG205" s="70"/>
      <c r="AH205" s="88"/>
      <c r="AI205" s="241"/>
      <c r="AJ205" s="166"/>
      <c r="AK205" s="166"/>
    </row>
    <row r="206" spans="1:37" ht="21" x14ac:dyDescent="0.4">
      <c r="A206" s="299" t="s">
        <v>52</v>
      </c>
      <c r="B206" s="218" t="str">
        <f t="shared" si="91"/>
        <v>CFSIS SUPPORT</v>
      </c>
      <c r="C206" s="124" t="s">
        <v>50</v>
      </c>
      <c r="D206" s="130"/>
      <c r="E206" s="116"/>
      <c r="F206" s="116"/>
      <c r="G206" s="116"/>
      <c r="H206" s="186" t="s">
        <v>38</v>
      </c>
      <c r="I206" s="167"/>
      <c r="J206" s="74"/>
      <c r="K206" s="74"/>
      <c r="L206" s="74"/>
      <c r="M206" s="66"/>
      <c r="N206" s="91"/>
      <c r="O206" s="227"/>
      <c r="P206" s="390"/>
      <c r="Q206" s="37"/>
      <c r="R206" s="186" t="s">
        <v>38</v>
      </c>
      <c r="S206" s="167"/>
      <c r="T206" s="74"/>
      <c r="U206" s="74"/>
      <c r="V206" s="74"/>
      <c r="W206" s="66"/>
      <c r="X206" s="91"/>
      <c r="Y206" s="227"/>
      <c r="Z206" s="390"/>
      <c r="AA206" s="37"/>
      <c r="AB206" s="186" t="s">
        <v>38</v>
      </c>
      <c r="AC206" s="167"/>
      <c r="AD206" s="74"/>
      <c r="AE206" s="74"/>
      <c r="AF206" s="74"/>
      <c r="AG206" s="66"/>
      <c r="AH206" s="91"/>
      <c r="AI206" s="227"/>
      <c r="AJ206" s="167"/>
      <c r="AK206" s="167"/>
    </row>
    <row r="207" spans="1:37" ht="21" x14ac:dyDescent="0.4">
      <c r="A207" s="299" t="s">
        <v>52</v>
      </c>
      <c r="B207" s="218" t="str">
        <f t="shared" si="91"/>
        <v>CFS</v>
      </c>
      <c r="C207" s="5" t="s">
        <v>48</v>
      </c>
      <c r="D207" s="128"/>
      <c r="E207" s="116"/>
      <c r="F207" s="116"/>
      <c r="G207" s="116"/>
      <c r="H207" s="184"/>
      <c r="I207" s="162"/>
      <c r="J207" s="42"/>
      <c r="K207" s="39"/>
      <c r="L207" s="39"/>
      <c r="M207" s="40" t="str">
        <f>J207&amp;" hrs @ "&amp;K207</f>
        <v xml:space="preserve"> hrs @ </v>
      </c>
      <c r="N207" s="94"/>
      <c r="O207" s="242"/>
      <c r="P207" s="390"/>
      <c r="Q207" s="37"/>
      <c r="R207" s="184"/>
      <c r="S207" s="162">
        <f>T207*U207</f>
        <v>0</v>
      </c>
      <c r="T207" s="42"/>
      <c r="U207" s="39"/>
      <c r="V207" s="39"/>
      <c r="W207" s="40" t="str">
        <f>T207&amp;" hrs @ "&amp;U207</f>
        <v xml:space="preserve"> hrs @ </v>
      </c>
      <c r="X207" s="94"/>
      <c r="Y207" s="242"/>
      <c r="Z207" s="390"/>
      <c r="AA207" s="37"/>
      <c r="AB207" s="184"/>
      <c r="AC207" s="162">
        <f>AD207*AE207</f>
        <v>0</v>
      </c>
      <c r="AD207" s="42"/>
      <c r="AE207" s="39"/>
      <c r="AF207" s="39"/>
      <c r="AG207" s="40" t="str">
        <f>AD207&amp;" hrs @ "&amp;AE207</f>
        <v xml:space="preserve"> hrs @ </v>
      </c>
      <c r="AH207" s="94"/>
      <c r="AI207" s="242"/>
      <c r="AJ207" s="162">
        <f>I207+S207+AC207</f>
        <v>0</v>
      </c>
      <c r="AK207" s="162"/>
    </row>
    <row r="208" spans="1:37" ht="21" x14ac:dyDescent="0.4">
      <c r="A208" s="299" t="s">
        <v>52</v>
      </c>
      <c r="B208" s="218" t="str">
        <f t="shared" si="91"/>
        <v>CFS</v>
      </c>
      <c r="C208" s="5" t="s">
        <v>48</v>
      </c>
      <c r="D208" s="128"/>
      <c r="E208" s="116"/>
      <c r="F208" s="116"/>
      <c r="G208" s="116"/>
      <c r="H208" s="184"/>
      <c r="I208" s="159"/>
      <c r="J208" s="42"/>
      <c r="K208" s="39"/>
      <c r="L208" s="156"/>
      <c r="M208" s="45" t="str">
        <f>"@ "&amp;$O$2*100&amp;" %"</f>
        <v>@ 98.59 %</v>
      </c>
      <c r="N208" s="94"/>
      <c r="O208" s="242"/>
      <c r="P208" s="390"/>
      <c r="Q208" s="37"/>
      <c r="R208" s="184"/>
      <c r="S208" s="159">
        <f>S207*$O$2</f>
        <v>0</v>
      </c>
      <c r="T208" s="42"/>
      <c r="U208" s="39"/>
      <c r="V208" s="156"/>
      <c r="W208" s="45" t="str">
        <f>"@ "&amp;$O$2*100&amp;" %"</f>
        <v>@ 98.59 %</v>
      </c>
      <c r="X208" s="94"/>
      <c r="Y208" s="242"/>
      <c r="Z208" s="390"/>
      <c r="AA208" s="37"/>
      <c r="AB208" s="184"/>
      <c r="AC208" s="159">
        <f>AC207*$O$2</f>
        <v>0</v>
      </c>
      <c r="AD208" s="42"/>
      <c r="AE208" s="39"/>
      <c r="AF208" s="156"/>
      <c r="AG208" s="45" t="str">
        <f>"@ "&amp;$O$2*100&amp;" %"</f>
        <v>@ 98.59 %</v>
      </c>
      <c r="AH208" s="94"/>
      <c r="AI208" s="242"/>
      <c r="AJ208" s="159">
        <f>I208+S208+AC208</f>
        <v>0</v>
      </c>
      <c r="AK208" s="159"/>
    </row>
    <row r="209" spans="1:37" ht="21" x14ac:dyDescent="0.4">
      <c r="A209" s="299" t="s">
        <v>52</v>
      </c>
      <c r="B209" s="218" t="str">
        <f t="shared" si="91"/>
        <v>CFSTotal IS</v>
      </c>
      <c r="C209" s="124" t="s">
        <v>50</v>
      </c>
      <c r="D209" s="128"/>
      <c r="E209" s="116"/>
      <c r="F209" s="116"/>
      <c r="G209" s="116"/>
      <c r="H209" s="185" t="s">
        <v>41</v>
      </c>
      <c r="I209" s="165">
        <f>I207+I208</f>
        <v>0</v>
      </c>
      <c r="J209" s="68"/>
      <c r="K209" s="68"/>
      <c r="L209" s="68"/>
      <c r="M209" s="66"/>
      <c r="N209" s="420">
        <f>I209</f>
        <v>0</v>
      </c>
      <c r="O209" s="233">
        <f>N209/N221</f>
        <v>0</v>
      </c>
      <c r="P209" s="390"/>
      <c r="Q209" s="37"/>
      <c r="R209" s="185" t="s">
        <v>41</v>
      </c>
      <c r="S209" s="165">
        <f>S207+S208</f>
        <v>0</v>
      </c>
      <c r="T209" s="68"/>
      <c r="U209" s="68"/>
      <c r="V209" s="68"/>
      <c r="W209" s="66"/>
      <c r="X209" s="420">
        <f>S209</f>
        <v>0</v>
      </c>
      <c r="Y209" s="233">
        <f>X209/X221</f>
        <v>0</v>
      </c>
      <c r="Z209" s="390"/>
      <c r="AA209" s="37"/>
      <c r="AB209" s="185" t="s">
        <v>41</v>
      </c>
      <c r="AC209" s="165">
        <f>AC207+AC208</f>
        <v>0</v>
      </c>
      <c r="AD209" s="68"/>
      <c r="AE209" s="68"/>
      <c r="AF209" s="68"/>
      <c r="AG209" s="66"/>
      <c r="AH209" s="420">
        <f>AC209</f>
        <v>0</v>
      </c>
      <c r="AI209" s="233" t="e">
        <f>AH209/AH221</f>
        <v>#DIV/0!</v>
      </c>
      <c r="AJ209" s="165">
        <f>I209+S209+AC209</f>
        <v>0</v>
      </c>
      <c r="AK209" s="165"/>
    </row>
    <row r="210" spans="1:37" ht="21" x14ac:dyDescent="0.4">
      <c r="A210" s="299" t="s">
        <v>52</v>
      </c>
      <c r="B210" s="218" t="str">
        <f t="shared" si="91"/>
        <v>CFS</v>
      </c>
      <c r="C210" s="5" t="s">
        <v>48</v>
      </c>
      <c r="D210" s="128"/>
      <c r="E210" s="116"/>
      <c r="F210" s="116"/>
      <c r="G210" s="116"/>
      <c r="H210" s="179"/>
      <c r="I210" s="166"/>
      <c r="J210" s="69"/>
      <c r="K210" s="69"/>
      <c r="L210" s="69"/>
      <c r="M210" s="70"/>
      <c r="N210" s="98"/>
      <c r="O210" s="243"/>
      <c r="P210" s="391"/>
      <c r="Q210" s="60"/>
      <c r="R210" s="179"/>
      <c r="S210" s="166"/>
      <c r="T210" s="69"/>
      <c r="U210" s="69"/>
      <c r="V210" s="69"/>
      <c r="W210" s="70"/>
      <c r="X210" s="98"/>
      <c r="Y210" s="243"/>
      <c r="Z210" s="391"/>
      <c r="AA210" s="60"/>
      <c r="AB210" s="179"/>
      <c r="AC210" s="166"/>
      <c r="AD210" s="69"/>
      <c r="AE210" s="69"/>
      <c r="AF210" s="69"/>
      <c r="AG210" s="70"/>
      <c r="AH210" s="98"/>
      <c r="AI210" s="243"/>
      <c r="AJ210" s="166"/>
      <c r="AK210" s="166"/>
    </row>
    <row r="211" spans="1:37" ht="21" customHeight="1" x14ac:dyDescent="0.4">
      <c r="A211" s="299" t="s">
        <v>52</v>
      </c>
      <c r="B211" s="218" t="str">
        <f t="shared" si="91"/>
        <v>CFSOTHER</v>
      </c>
      <c r="C211" s="124" t="s">
        <v>50</v>
      </c>
      <c r="D211" s="132"/>
      <c r="E211" s="116"/>
      <c r="F211" s="116"/>
      <c r="G211" s="116"/>
      <c r="H211" s="186" t="s">
        <v>42</v>
      </c>
      <c r="I211" s="167"/>
      <c r="J211" s="74"/>
      <c r="K211" s="74"/>
      <c r="L211" s="74"/>
      <c r="M211" s="66"/>
      <c r="N211" s="91"/>
      <c r="O211" s="227"/>
      <c r="P211" s="390"/>
      <c r="Q211" s="37"/>
      <c r="R211" s="186" t="s">
        <v>42</v>
      </c>
      <c r="S211" s="167"/>
      <c r="T211" s="74"/>
      <c r="U211" s="74"/>
      <c r="V211" s="74"/>
      <c r="W211" s="66"/>
      <c r="X211" s="91"/>
      <c r="Y211" s="227"/>
      <c r="Z211" s="390"/>
      <c r="AA211" s="37"/>
      <c r="AB211" s="186" t="s">
        <v>42</v>
      </c>
      <c r="AC211" s="167"/>
      <c r="AD211" s="74"/>
      <c r="AE211" s="74"/>
      <c r="AF211" s="74"/>
      <c r="AG211" s="66"/>
      <c r="AH211" s="91"/>
      <c r="AI211" s="227"/>
      <c r="AJ211" s="167"/>
      <c r="AK211" s="167"/>
    </row>
    <row r="212" spans="1:37" ht="21" x14ac:dyDescent="0.4">
      <c r="A212" s="299" t="s">
        <v>52</v>
      </c>
      <c r="B212" s="218" t="str">
        <f t="shared" si="91"/>
        <v xml:space="preserve">CFSNon-Payroll </v>
      </c>
      <c r="C212" s="5" t="s">
        <v>48</v>
      </c>
      <c r="D212" s="128"/>
      <c r="E212" s="116"/>
      <c r="F212" s="116"/>
      <c r="G212" s="116"/>
      <c r="H212" s="38" t="s">
        <v>337</v>
      </c>
      <c r="I212" s="163">
        <f>ROUND(((I191+I197+I209)/VLOOKUP("CUST FIELD SERVICESPayroll",'Base 2015 actual for Cost Cente'!$A:$F,6,FALSE))*VLOOKUP("CUST FIELD SERVICESNon-Payroll",'Base 2015 actual for Cost Cente'!$A:$F,6,FALSE),0)</f>
        <v>136194</v>
      </c>
      <c r="J212" s="74"/>
      <c r="K212" s="74"/>
      <c r="L212" s="74"/>
      <c r="M212" s="734" t="s">
        <v>372</v>
      </c>
      <c r="N212" s="91"/>
      <c r="O212" s="227"/>
      <c r="P212" s="390"/>
      <c r="Q212" s="37"/>
      <c r="R212" s="38" t="s">
        <v>337</v>
      </c>
      <c r="S212" s="163">
        <f>ROUND(((S191+S197+S209)/VLOOKUP("CUST FIELD SERVICESPayroll",'Base 2015 actual for Cost Cente'!$A:$F,6,FALSE))*VLOOKUP("CUST FIELD SERVICESNon-Payroll",'Base 2015 actual for Cost Cente'!$A:$F,6,FALSE),0)</f>
        <v>6527</v>
      </c>
      <c r="T212" s="74"/>
      <c r="U212" s="74"/>
      <c r="V212" s="74"/>
      <c r="W212" s="734" t="s">
        <v>372</v>
      </c>
      <c r="X212" s="91"/>
      <c r="Y212" s="227"/>
      <c r="Z212" s="390"/>
      <c r="AA212" s="37"/>
      <c r="AB212" s="38" t="s">
        <v>337</v>
      </c>
      <c r="AC212" s="163">
        <f>ROUND(((AC191+AC197+AC209)/VLOOKUP("CUST FIELD SERVICESPayroll",'Base 2015 actual for Cost Cente'!$A:$F,6,FALSE))*VLOOKUP("CUST FIELD SERVICESNon-Payroll",'Base 2015 actual for Cost Cente'!$A:$F,6,FALSE),0)</f>
        <v>0</v>
      </c>
      <c r="AD212" s="74"/>
      <c r="AE212" s="74"/>
      <c r="AF212" s="74"/>
      <c r="AG212" s="734" t="s">
        <v>372</v>
      </c>
      <c r="AH212" s="91"/>
      <c r="AI212" s="227"/>
      <c r="AJ212" s="163"/>
      <c r="AK212" s="163"/>
    </row>
    <row r="213" spans="1:37" ht="21" x14ac:dyDescent="0.4">
      <c r="A213" s="299" t="s">
        <v>52</v>
      </c>
      <c r="B213" s="218" t="str">
        <f t="shared" si="91"/>
        <v>CFS</v>
      </c>
      <c r="C213" s="5" t="s">
        <v>48</v>
      </c>
      <c r="D213" s="129"/>
      <c r="E213" s="116"/>
      <c r="F213" s="116"/>
      <c r="G213" s="116"/>
      <c r="H213" s="38"/>
      <c r="I213" s="168"/>
      <c r="J213" s="42"/>
      <c r="K213" s="39"/>
      <c r="L213" s="42"/>
      <c r="M213" s="735"/>
      <c r="N213" s="91"/>
      <c r="O213" s="227"/>
      <c r="P213" s="390"/>
      <c r="Q213" s="37"/>
      <c r="R213" s="38"/>
      <c r="S213" s="168"/>
      <c r="T213" s="42"/>
      <c r="U213" s="39"/>
      <c r="V213" s="42"/>
      <c r="W213" s="735"/>
      <c r="X213" s="91"/>
      <c r="Y213" s="227"/>
      <c r="Z213" s="390"/>
      <c r="AA213" s="37"/>
      <c r="AB213" s="38"/>
      <c r="AC213" s="168"/>
      <c r="AD213" s="42"/>
      <c r="AE213" s="39"/>
      <c r="AF213" s="42"/>
      <c r="AG213" s="735"/>
      <c r="AH213" s="91"/>
      <c r="AI213" s="227"/>
      <c r="AJ213" s="168"/>
      <c r="AK213" s="168"/>
    </row>
    <row r="214" spans="1:37" ht="21" x14ac:dyDescent="0.4">
      <c r="A214" s="299" t="s">
        <v>52</v>
      </c>
      <c r="B214" s="218" t="str">
        <f t="shared" si="91"/>
        <v>CFS</v>
      </c>
      <c r="C214" s="5" t="s">
        <v>48</v>
      </c>
      <c r="D214" s="129"/>
      <c r="E214" s="116"/>
      <c r="F214" s="116"/>
      <c r="G214" s="116"/>
      <c r="H214" s="38"/>
      <c r="I214" s="168"/>
      <c r="J214" s="42"/>
      <c r="K214" s="39"/>
      <c r="L214" s="42"/>
      <c r="M214" s="66" t="s">
        <v>574</v>
      </c>
      <c r="N214" s="91"/>
      <c r="O214" s="227"/>
      <c r="P214" s="390"/>
      <c r="Q214" s="37"/>
      <c r="R214" s="38"/>
      <c r="S214" s="168"/>
      <c r="T214" s="42"/>
      <c r="U214" s="39"/>
      <c r="V214" s="42"/>
      <c r="W214" s="66" t="s">
        <v>574</v>
      </c>
      <c r="X214" s="91"/>
      <c r="Y214" s="227"/>
      <c r="Z214" s="390"/>
      <c r="AA214" s="37"/>
      <c r="AB214" s="38"/>
      <c r="AC214" s="168"/>
      <c r="AD214" s="42"/>
      <c r="AE214" s="39"/>
      <c r="AF214" s="42"/>
      <c r="AG214" s="66" t="s">
        <v>574</v>
      </c>
      <c r="AH214" s="91"/>
      <c r="AI214" s="227"/>
      <c r="AJ214" s="168"/>
      <c r="AK214" s="168"/>
    </row>
    <row r="215" spans="1:37" ht="21" x14ac:dyDescent="0.4">
      <c r="A215" s="299" t="s">
        <v>52</v>
      </c>
      <c r="B215" s="218" t="str">
        <f t="shared" si="91"/>
        <v>CFS</v>
      </c>
      <c r="C215" s="5" t="s">
        <v>48</v>
      </c>
      <c r="D215" s="129"/>
      <c r="E215" s="116"/>
      <c r="F215" s="116"/>
      <c r="G215" s="116"/>
      <c r="H215" s="38"/>
      <c r="I215" s="168"/>
      <c r="J215" s="42"/>
      <c r="K215" s="39"/>
      <c r="L215" s="42"/>
      <c r="M215" s="66"/>
      <c r="N215" s="91"/>
      <c r="O215" s="227"/>
      <c r="P215" s="390"/>
      <c r="Q215" s="37"/>
      <c r="R215" s="38"/>
      <c r="S215" s="168"/>
      <c r="T215" s="42"/>
      <c r="U215" s="39"/>
      <c r="V215" s="42"/>
      <c r="W215" s="66"/>
      <c r="X215" s="91"/>
      <c r="Y215" s="227"/>
      <c r="Z215" s="390"/>
      <c r="AA215" s="37"/>
      <c r="AB215" s="38"/>
      <c r="AC215" s="168"/>
      <c r="AD215" s="42"/>
      <c r="AE215" s="39"/>
      <c r="AF215" s="42"/>
      <c r="AG215" s="66"/>
      <c r="AH215" s="91"/>
      <c r="AI215" s="227"/>
      <c r="AJ215" s="168"/>
      <c r="AK215" s="168"/>
    </row>
    <row r="216" spans="1:37" ht="21" x14ac:dyDescent="0.4">
      <c r="A216" s="299" t="s">
        <v>52</v>
      </c>
      <c r="B216" s="218" t="str">
        <f t="shared" si="91"/>
        <v>CFS</v>
      </c>
      <c r="C216" s="5" t="s">
        <v>48</v>
      </c>
      <c r="D216" s="129"/>
      <c r="E216" s="116"/>
      <c r="F216" s="116"/>
      <c r="G216" s="116"/>
      <c r="H216" s="38"/>
      <c r="I216" s="168"/>
      <c r="J216" s="42"/>
      <c r="K216" s="39"/>
      <c r="L216" s="42"/>
      <c r="M216" s="66"/>
      <c r="N216" s="91"/>
      <c r="O216" s="227"/>
      <c r="P216" s="390"/>
      <c r="Q216" s="37"/>
      <c r="R216" s="38"/>
      <c r="S216" s="168"/>
      <c r="T216" s="42"/>
      <c r="U216" s="39"/>
      <c r="V216" s="42"/>
      <c r="W216" s="66"/>
      <c r="X216" s="91"/>
      <c r="Y216" s="227"/>
      <c r="Z216" s="390"/>
      <c r="AA216" s="37"/>
      <c r="AB216" s="38"/>
      <c r="AC216" s="168"/>
      <c r="AD216" s="42"/>
      <c r="AE216" s="39"/>
      <c r="AF216" s="42"/>
      <c r="AG216" s="66"/>
      <c r="AH216" s="91"/>
      <c r="AI216" s="227"/>
      <c r="AJ216" s="168"/>
      <c r="AK216" s="168"/>
    </row>
    <row r="217" spans="1:37" ht="21" x14ac:dyDescent="0.4">
      <c r="A217" s="299" t="s">
        <v>52</v>
      </c>
      <c r="B217" s="218" t="str">
        <f t="shared" si="91"/>
        <v>CFS</v>
      </c>
      <c r="C217" s="5" t="s">
        <v>48</v>
      </c>
      <c r="D217" s="129"/>
      <c r="E217" s="116"/>
      <c r="F217" s="116"/>
      <c r="G217" s="116"/>
      <c r="H217" s="38"/>
      <c r="I217" s="164"/>
      <c r="J217" s="67"/>
      <c r="K217" s="67"/>
      <c r="L217" s="67"/>
      <c r="M217" s="40" t="str">
        <f>J217&amp;" days @ "&amp;K217</f>
        <v xml:space="preserve"> days @ </v>
      </c>
      <c r="N217" s="94"/>
      <c r="O217" s="242"/>
      <c r="P217" s="390"/>
      <c r="Q217" s="37"/>
      <c r="R217" s="38"/>
      <c r="S217" s="164"/>
      <c r="T217" s="67"/>
      <c r="U217" s="67"/>
      <c r="V217" s="67"/>
      <c r="W217" s="40" t="str">
        <f>T217&amp;" days @ "&amp;U217</f>
        <v xml:space="preserve"> days @ </v>
      </c>
      <c r="X217" s="94"/>
      <c r="Y217" s="242"/>
      <c r="Z217" s="390"/>
      <c r="AA217" s="37"/>
      <c r="AB217" s="38"/>
      <c r="AC217" s="164"/>
      <c r="AD217" s="67"/>
      <c r="AE217" s="67"/>
      <c r="AF217" s="67"/>
      <c r="AG217" s="40" t="str">
        <f>AD217&amp;" days @ "&amp;AE217</f>
        <v xml:space="preserve"> days @ </v>
      </c>
      <c r="AH217" s="94"/>
      <c r="AI217" s="242"/>
      <c r="AJ217" s="164"/>
      <c r="AK217" s="164"/>
    </row>
    <row r="218" spans="1:37" ht="21" x14ac:dyDescent="0.4">
      <c r="A218" s="299" t="s">
        <v>52</v>
      </c>
      <c r="B218" s="218" t="str">
        <f t="shared" si="91"/>
        <v>CFSTotal Other</v>
      </c>
      <c r="C218" s="124" t="s">
        <v>50</v>
      </c>
      <c r="D218" s="129"/>
      <c r="E218" s="116">
        <f>I218</f>
        <v>136194</v>
      </c>
      <c r="F218" s="116">
        <f>S218</f>
        <v>6527</v>
      </c>
      <c r="G218" s="116">
        <f>AC218</f>
        <v>0</v>
      </c>
      <c r="H218" s="185" t="s">
        <v>45</v>
      </c>
      <c r="I218" s="165">
        <f>SUM(I212:I217)</f>
        <v>136194</v>
      </c>
      <c r="J218" s="68"/>
      <c r="K218" s="68"/>
      <c r="L218" s="68"/>
      <c r="M218" s="66"/>
      <c r="N218" s="414">
        <f>I218</f>
        <v>136194</v>
      </c>
      <c r="O218" s="233">
        <f>N218/N221</f>
        <v>0.11207416471417829</v>
      </c>
      <c r="P218" s="390"/>
      <c r="Q218" s="68"/>
      <c r="R218" s="185" t="s">
        <v>45</v>
      </c>
      <c r="S218" s="165">
        <f>SUM(S212:S217)</f>
        <v>6527</v>
      </c>
      <c r="T218" s="68"/>
      <c r="U218" s="68"/>
      <c r="V218" s="68"/>
      <c r="W218" s="66"/>
      <c r="X218" s="414">
        <f>S218</f>
        <v>6527</v>
      </c>
      <c r="Y218" s="233">
        <f>X218/X221</f>
        <v>0.1120741281544628</v>
      </c>
      <c r="Z218" s="390"/>
      <c r="AA218" s="68"/>
      <c r="AB218" s="185" t="s">
        <v>45</v>
      </c>
      <c r="AC218" s="165">
        <f>SUM(AC212:AC217)</f>
        <v>0</v>
      </c>
      <c r="AD218" s="68"/>
      <c r="AE218" s="68"/>
      <c r="AF218" s="68"/>
      <c r="AG218" s="66"/>
      <c r="AH218" s="414">
        <f>AC218</f>
        <v>0</v>
      </c>
      <c r="AI218" s="233" t="e">
        <f>AH218/AH221</f>
        <v>#DIV/0!</v>
      </c>
      <c r="AJ218" s="165">
        <f>I218+S218+AC218</f>
        <v>142721</v>
      </c>
      <c r="AK218" s="165"/>
    </row>
    <row r="219" spans="1:37" ht="21.6" thickBot="1" x14ac:dyDescent="0.45">
      <c r="A219" s="299" t="s">
        <v>52</v>
      </c>
      <c r="B219" s="218" t="str">
        <f t="shared" si="91"/>
        <v>CFS</v>
      </c>
      <c r="C219" s="5" t="s">
        <v>48</v>
      </c>
      <c r="D219" s="129"/>
      <c r="E219" s="116"/>
      <c r="F219" s="116"/>
      <c r="G219" s="116"/>
      <c r="H219" s="178"/>
      <c r="I219" s="178"/>
      <c r="J219" s="101"/>
      <c r="K219" s="101"/>
      <c r="L219" s="101"/>
      <c r="M219" s="102"/>
      <c r="N219" s="415"/>
      <c r="O219" s="178"/>
      <c r="P219" s="101"/>
      <c r="Q219" s="101"/>
      <c r="R219" s="178"/>
      <c r="S219" s="178"/>
      <c r="T219" s="101"/>
      <c r="U219" s="101"/>
      <c r="V219" s="101"/>
      <c r="W219" s="102"/>
      <c r="X219" s="415"/>
      <c r="Y219" s="178"/>
      <c r="Z219" s="101"/>
      <c r="AA219" s="101"/>
      <c r="AB219" s="178"/>
      <c r="AC219" s="178"/>
      <c r="AD219" s="101"/>
      <c r="AE219" s="101"/>
      <c r="AF219" s="101"/>
      <c r="AG219" s="102"/>
      <c r="AH219" s="415"/>
      <c r="AI219" s="178"/>
      <c r="AJ219" s="178"/>
      <c r="AK219" s="178"/>
    </row>
    <row r="220" spans="1:37" ht="21.6" thickTop="1" x14ac:dyDescent="0.4">
      <c r="A220" s="299" t="s">
        <v>52</v>
      </c>
      <c r="B220" s="218" t="str">
        <f t="shared" si="91"/>
        <v>CFSTOTALS</v>
      </c>
      <c r="C220" s="5" t="s">
        <v>48</v>
      </c>
      <c r="D220" s="129"/>
      <c r="E220" s="116"/>
      <c r="F220" s="116"/>
      <c r="G220" s="116"/>
      <c r="H220" s="186" t="s">
        <v>28</v>
      </c>
      <c r="I220" s="103"/>
      <c r="J220" s="103"/>
      <c r="K220" s="103"/>
      <c r="L220" s="103"/>
      <c r="M220" s="104"/>
      <c r="N220" s="91"/>
      <c r="O220" s="136"/>
      <c r="P220" s="390"/>
      <c r="Q220" s="37"/>
      <c r="R220" s="186" t="s">
        <v>28</v>
      </c>
      <c r="S220" s="103"/>
      <c r="T220" s="103"/>
      <c r="U220" s="103"/>
      <c r="V220" s="103"/>
      <c r="W220" s="104"/>
      <c r="X220" s="91"/>
      <c r="Y220" s="136"/>
      <c r="Z220" s="390"/>
      <c r="AA220" s="37"/>
      <c r="AB220" s="186" t="s">
        <v>28</v>
      </c>
      <c r="AC220" s="103"/>
      <c r="AD220" s="435"/>
      <c r="AE220" s="435"/>
      <c r="AF220" s="435"/>
      <c r="AG220" s="436"/>
      <c r="AH220" s="91"/>
      <c r="AI220" s="136"/>
      <c r="AJ220" s="103"/>
      <c r="AK220" s="103"/>
    </row>
    <row r="221" spans="1:37" ht="21" x14ac:dyDescent="0.4">
      <c r="A221" s="299" t="s">
        <v>52</v>
      </c>
      <c r="B221" s="218" t="str">
        <f t="shared" si="91"/>
        <v>CFSPER YEAR</v>
      </c>
      <c r="C221" s="124" t="s">
        <v>50</v>
      </c>
      <c r="D221" s="129"/>
      <c r="E221" s="116"/>
      <c r="F221" s="116"/>
      <c r="G221" s="116"/>
      <c r="H221" s="190" t="s">
        <v>46</v>
      </c>
      <c r="I221" s="417">
        <f>I191+I197+I204+I209+I218</f>
        <v>1215213.161278822</v>
      </c>
      <c r="J221" s="106"/>
      <c r="K221" s="106"/>
      <c r="L221" s="106"/>
      <c r="M221" s="107"/>
      <c r="N221" s="420">
        <f>SUM(N191:N219)</f>
        <v>1215213.161278822</v>
      </c>
      <c r="O221" s="233">
        <f>SUM(O191:O219)</f>
        <v>1</v>
      </c>
      <c r="P221" s="390"/>
      <c r="Q221" s="37"/>
      <c r="R221" s="190" t="s">
        <v>46</v>
      </c>
      <c r="S221" s="417">
        <f>S191+S197+S204+S209+S218</f>
        <v>58238.240238678089</v>
      </c>
      <c r="T221" s="106"/>
      <c r="U221" s="106"/>
      <c r="V221" s="106"/>
      <c r="W221" s="107"/>
      <c r="X221" s="420">
        <f>SUM(X191:X219)</f>
        <v>58238.240238678089</v>
      </c>
      <c r="Y221" s="233">
        <f>SUM(Y191:Y219)</f>
        <v>1</v>
      </c>
      <c r="Z221" s="390"/>
      <c r="AA221" s="37"/>
      <c r="AB221" s="190" t="s">
        <v>46</v>
      </c>
      <c r="AC221" s="417">
        <f>AC191+AC197+AC204+AC209+AC218</f>
        <v>0</v>
      </c>
      <c r="AD221" s="106"/>
      <c r="AE221" s="106"/>
      <c r="AF221" s="106"/>
      <c r="AG221" s="107"/>
      <c r="AH221" s="420">
        <f>SUM(AH191:AH219)</f>
        <v>0</v>
      </c>
      <c r="AI221" s="233" t="e">
        <f>SUM(AI191:AI219)</f>
        <v>#DIV/0!</v>
      </c>
      <c r="AJ221" s="417">
        <f>I221+S221+AC221</f>
        <v>1273451.4015175002</v>
      </c>
      <c r="AK221" s="417"/>
    </row>
    <row r="222" spans="1:37" ht="21" x14ac:dyDescent="0.4">
      <c r="A222" s="299" t="s">
        <v>52</v>
      </c>
      <c r="B222" s="218" t="str">
        <f t="shared" si="91"/>
        <v>CFSPER PAYMENT</v>
      </c>
      <c r="C222" s="124" t="s">
        <v>50</v>
      </c>
      <c r="D222" s="129"/>
      <c r="E222" s="116"/>
      <c r="F222" s="116"/>
      <c r="G222" s="116"/>
      <c r="H222" s="185" t="s">
        <v>47</v>
      </c>
      <c r="I222" s="419">
        <f>I221/I$6</f>
        <v>8.2783571622738119</v>
      </c>
      <c r="J222" s="108"/>
      <c r="K222" s="108"/>
      <c r="L222" s="108"/>
      <c r="M222" s="109"/>
      <c r="N222" s="98"/>
      <c r="O222" s="243"/>
      <c r="P222" s="391"/>
      <c r="Q222" s="60"/>
      <c r="R222" s="185" t="s">
        <v>47</v>
      </c>
      <c r="S222" s="419">
        <f>S221/S$6</f>
        <v>8.2783568214183489</v>
      </c>
      <c r="T222" s="108"/>
      <c r="U222" s="108"/>
      <c r="V222" s="108"/>
      <c r="W222" s="109"/>
      <c r="X222" s="98"/>
      <c r="Y222" s="243"/>
      <c r="Z222" s="391"/>
      <c r="AA222" s="60"/>
      <c r="AB222" s="185" t="s">
        <v>47</v>
      </c>
      <c r="AC222" s="419">
        <f>AC221/AC$6</f>
        <v>0</v>
      </c>
      <c r="AD222" s="108"/>
      <c r="AE222" s="108"/>
      <c r="AF222" s="108"/>
      <c r="AG222" s="109"/>
      <c r="AH222" s="98"/>
      <c r="AI222" s="243"/>
      <c r="AJ222" s="419">
        <f>I222+S222+AC222</f>
        <v>16.556713983692163</v>
      </c>
      <c r="AK222" s="419"/>
    </row>
    <row r="223" spans="1:37" ht="15.6" x14ac:dyDescent="0.3">
      <c r="A223" s="301" t="s">
        <v>52</v>
      </c>
      <c r="B223" s="218"/>
      <c r="C223" s="220"/>
      <c r="D223" s="10"/>
      <c r="E223" s="10"/>
      <c r="F223" s="10"/>
      <c r="G223" s="10"/>
      <c r="H223" s="137" t="s">
        <v>585</v>
      </c>
      <c r="I223" s="659">
        <f>I191+I197</f>
        <v>1079019.161278822</v>
      </c>
      <c r="J223" s="108"/>
      <c r="K223" s="108"/>
      <c r="L223" s="108"/>
      <c r="M223" s="109"/>
      <c r="N223" s="656"/>
      <c r="O223" s="657"/>
      <c r="P223" s="92"/>
      <c r="Q223" s="37"/>
      <c r="R223" s="137" t="s">
        <v>585</v>
      </c>
      <c r="S223" s="659">
        <f>S191+S197</f>
        <v>51711.240238678089</v>
      </c>
      <c r="T223" s="108"/>
      <c r="U223" s="108"/>
      <c r="V223" s="108"/>
      <c r="W223" s="109"/>
      <c r="X223" s="658"/>
      <c r="Y223" s="657"/>
      <c r="Z223" s="92"/>
      <c r="AA223" s="37"/>
      <c r="AB223" s="137" t="s">
        <v>585</v>
      </c>
      <c r="AC223" s="659">
        <f>AC191+AC197</f>
        <v>0</v>
      </c>
      <c r="AD223" s="108"/>
      <c r="AE223" s="108"/>
      <c r="AF223" s="108"/>
      <c r="AG223" s="109"/>
      <c r="AH223" s="656"/>
      <c r="AI223" s="137"/>
      <c r="AJ223" s="659">
        <f>I223+S223+AC223</f>
        <v>1130730.4015175002</v>
      </c>
      <c r="AK223" s="659"/>
    </row>
    <row r="224" spans="1:37" ht="15.6" x14ac:dyDescent="0.3">
      <c r="A224" s="301" t="s">
        <v>52</v>
      </c>
      <c r="B224" s="218"/>
      <c r="C224" s="220"/>
      <c r="D224" s="10"/>
      <c r="E224" s="10"/>
      <c r="F224" s="10"/>
      <c r="G224" s="10"/>
      <c r="H224" s="137" t="s">
        <v>586</v>
      </c>
      <c r="I224" s="659">
        <f>I218+I209+I204</f>
        <v>136194</v>
      </c>
      <c r="J224" s="108"/>
      <c r="K224" s="659"/>
      <c r="L224" s="108"/>
      <c r="M224" s="109"/>
      <c r="N224" s="656"/>
      <c r="O224" s="657"/>
      <c r="P224" s="92"/>
      <c r="Q224" s="37"/>
      <c r="R224" s="137" t="s">
        <v>586</v>
      </c>
      <c r="S224" s="659">
        <f>S218+S209+S204</f>
        <v>6527</v>
      </c>
      <c r="T224" s="108"/>
      <c r="U224" s="659"/>
      <c r="V224" s="108"/>
      <c r="W224" s="109"/>
      <c r="X224" s="658"/>
      <c r="Y224" s="657"/>
      <c r="Z224" s="92"/>
      <c r="AA224" s="37"/>
      <c r="AB224" s="137" t="s">
        <v>586</v>
      </c>
      <c r="AC224" s="659">
        <f>AC218+AC209+AC204</f>
        <v>0</v>
      </c>
      <c r="AD224" s="108"/>
      <c r="AE224" s="659"/>
      <c r="AF224" s="108"/>
      <c r="AG224" s="109"/>
      <c r="AH224" s="656"/>
      <c r="AI224" s="137"/>
      <c r="AJ224" s="659">
        <f>I224+S224+AC224</f>
        <v>142721</v>
      </c>
      <c r="AK224" s="659"/>
    </row>
    <row r="225" spans="1:37" ht="15.6" x14ac:dyDescent="0.3">
      <c r="A225" s="301" t="s">
        <v>52</v>
      </c>
      <c r="B225" s="218"/>
      <c r="C225" s="220"/>
      <c r="D225" s="10"/>
      <c r="E225" s="10"/>
      <c r="F225" s="10"/>
      <c r="G225" s="10"/>
      <c r="H225" s="137" t="s">
        <v>584</v>
      </c>
      <c r="I225" s="659">
        <f>I221</f>
        <v>1215213.161278822</v>
      </c>
      <c r="J225" s="108"/>
      <c r="K225" s="108"/>
      <c r="L225" s="108"/>
      <c r="M225" s="109"/>
      <c r="N225" s="656"/>
      <c r="O225" s="657"/>
      <c r="P225" s="92"/>
      <c r="Q225" s="37"/>
      <c r="R225" s="137" t="s">
        <v>584</v>
      </c>
      <c r="S225" s="659">
        <f>S221</f>
        <v>58238.240238678089</v>
      </c>
      <c r="T225" s="108"/>
      <c r="U225" s="108"/>
      <c r="V225" s="108"/>
      <c r="W225" s="109"/>
      <c r="X225" s="658"/>
      <c r="Y225" s="657"/>
      <c r="Z225" s="92"/>
      <c r="AA225" s="37"/>
      <c r="AB225" s="137" t="s">
        <v>584</v>
      </c>
      <c r="AC225" s="659">
        <f>AC221</f>
        <v>0</v>
      </c>
      <c r="AD225" s="108"/>
      <c r="AE225" s="108"/>
      <c r="AF225" s="108"/>
      <c r="AG225" s="109"/>
      <c r="AH225" s="656"/>
      <c r="AI225" s="137"/>
      <c r="AJ225" s="659">
        <f>I225+S225+AC225</f>
        <v>1273451.4015175002</v>
      </c>
      <c r="AK225" s="659"/>
    </row>
    <row r="226" spans="1:37" ht="78" x14ac:dyDescent="0.3">
      <c r="A226" s="299" t="s">
        <v>7</v>
      </c>
      <c r="B226" s="218" t="str">
        <f t="shared" si="91"/>
        <v>Office ServiceLABOR: NON-SUPERVISORY</v>
      </c>
      <c r="C226" s="12" t="s">
        <v>7</v>
      </c>
      <c r="D226" s="10" t="str">
        <f>'2015Summary METER to CASH (Base'!O25</f>
        <v>* Print, insert &amp; mail delinquent notices
* Printer &amp; Inserter equipment maint
* RFQ</v>
      </c>
      <c r="E226" s="117">
        <f>N262</f>
        <v>10420.0173</v>
      </c>
      <c r="F226" s="117">
        <f>X262</f>
        <v>1286.8632</v>
      </c>
      <c r="G226" s="117">
        <f>AC262</f>
        <v>0</v>
      </c>
      <c r="H226" s="183" t="s">
        <v>31</v>
      </c>
      <c r="I226" s="157"/>
      <c r="J226" s="118"/>
      <c r="K226" s="118"/>
      <c r="L226" s="118"/>
      <c r="M226" s="119"/>
      <c r="N226" s="121"/>
      <c r="O226" s="135"/>
      <c r="P226" s="381"/>
      <c r="Q226" s="123"/>
      <c r="R226" s="183" t="s">
        <v>31</v>
      </c>
      <c r="S226" s="157"/>
      <c r="T226" s="118"/>
      <c r="U226" s="118"/>
      <c r="V226" s="118"/>
      <c r="W226" s="119"/>
      <c r="X226" s="121"/>
      <c r="Y226" s="135"/>
      <c r="Z226" s="381"/>
      <c r="AA226" s="123"/>
      <c r="AB226" s="183" t="s">
        <v>31</v>
      </c>
      <c r="AC226" s="157"/>
      <c r="AD226" s="118"/>
      <c r="AE226" s="118"/>
      <c r="AF226" s="118"/>
      <c r="AG226" s="119"/>
      <c r="AH226" s="121"/>
      <c r="AI226" s="135"/>
      <c r="AJ226" s="157"/>
      <c r="AK226" s="157"/>
    </row>
    <row r="227" spans="1:37" ht="21" x14ac:dyDescent="0.4">
      <c r="A227" s="299" t="s">
        <v>7</v>
      </c>
      <c r="B227" s="218" t="str">
        <f t="shared" si="91"/>
        <v>Office ServiceComputer Support 1</v>
      </c>
      <c r="C227" s="5" t="s">
        <v>48</v>
      </c>
      <c r="D227" s="129"/>
      <c r="E227" s="117"/>
      <c r="F227" s="117"/>
      <c r="G227" s="117"/>
      <c r="H227" s="184" t="s">
        <v>317</v>
      </c>
      <c r="I227" s="158">
        <f>J227*K227</f>
        <v>4212</v>
      </c>
      <c r="J227" s="42">
        <v>156</v>
      </c>
      <c r="K227" s="39">
        <v>27</v>
      </c>
      <c r="L227" s="39"/>
      <c r="M227" s="40" t="str">
        <f>J227&amp;" hrs @ "&amp;K227</f>
        <v>156 hrs @ 27</v>
      </c>
      <c r="N227" s="35"/>
      <c r="O227" s="136"/>
      <c r="P227" s="382"/>
      <c r="Q227" s="41"/>
      <c r="R227" s="184" t="s">
        <v>317</v>
      </c>
      <c r="S227" s="158">
        <f>T227*U227</f>
        <v>513</v>
      </c>
      <c r="T227" s="42">
        <v>19</v>
      </c>
      <c r="U227" s="39">
        <v>27</v>
      </c>
      <c r="V227" s="39"/>
      <c r="W227" s="40" t="str">
        <f>T227&amp;" hrs @ "&amp;U227</f>
        <v>19 hrs @ 27</v>
      </c>
      <c r="X227" s="35"/>
      <c r="Y227" s="136"/>
      <c r="Z227" s="382"/>
      <c r="AA227" s="41"/>
      <c r="AB227" s="184"/>
      <c r="AC227" s="158">
        <f>AD227*AE227</f>
        <v>0</v>
      </c>
      <c r="AD227" s="42"/>
      <c r="AE227" s="39"/>
      <c r="AF227" s="39"/>
      <c r="AG227" s="40" t="str">
        <f>AD227&amp;" hrs @ "&amp;AE227</f>
        <v xml:space="preserve"> hrs @ </v>
      </c>
      <c r="AH227" s="35"/>
      <c r="AI227" s="136"/>
      <c r="AJ227" s="158">
        <f>I227+S227+AC227</f>
        <v>4725</v>
      </c>
      <c r="AK227" s="158"/>
    </row>
    <row r="228" spans="1:37" ht="21" x14ac:dyDescent="0.4">
      <c r="A228" s="299" t="s">
        <v>7</v>
      </c>
      <c r="B228" s="218" t="str">
        <f t="shared" si="91"/>
        <v>Office Service</v>
      </c>
      <c r="C228" s="5" t="s">
        <v>48</v>
      </c>
      <c r="D228" s="129"/>
      <c r="E228" s="117"/>
      <c r="F228" s="117"/>
      <c r="G228" s="117"/>
      <c r="H228" s="184"/>
      <c r="I228" s="158">
        <f t="shared" ref="I228:I229" si="92">J228*K228</f>
        <v>0</v>
      </c>
      <c r="J228" s="42"/>
      <c r="K228" s="39"/>
      <c r="L228" s="42"/>
      <c r="M228" s="40" t="str">
        <f t="shared" ref="M228:M230" si="93">J228&amp;" hrs @ "&amp;K228</f>
        <v xml:space="preserve"> hrs @ </v>
      </c>
      <c r="N228" s="35"/>
      <c r="O228" s="136"/>
      <c r="P228" s="382"/>
      <c r="Q228" s="3"/>
      <c r="R228" s="184"/>
      <c r="S228" s="158">
        <f t="shared" ref="S228" si="94">T228*U228</f>
        <v>0</v>
      </c>
      <c r="T228" s="42"/>
      <c r="U228" s="39"/>
      <c r="V228" s="42"/>
      <c r="W228" s="40" t="str">
        <f t="shared" ref="W228:W230" si="95">T228&amp;" hrs @ "&amp;U228</f>
        <v xml:space="preserve"> hrs @ </v>
      </c>
      <c r="X228" s="35"/>
      <c r="Y228" s="136"/>
      <c r="Z228" s="382"/>
      <c r="AA228" s="3"/>
      <c r="AB228" s="184"/>
      <c r="AC228" s="158">
        <f t="shared" ref="AC228" si="96">AD228*AE228</f>
        <v>0</v>
      </c>
      <c r="AD228" s="42"/>
      <c r="AE228" s="39"/>
      <c r="AF228" s="42"/>
      <c r="AG228" s="40" t="str">
        <f t="shared" ref="AG228:AG230" si="97">AD228&amp;" hrs @ "&amp;AE228</f>
        <v xml:space="preserve"> hrs @ </v>
      </c>
      <c r="AH228" s="35"/>
      <c r="AI228" s="136"/>
      <c r="AJ228" s="158"/>
      <c r="AK228" s="158"/>
    </row>
    <row r="229" spans="1:37" ht="21" x14ac:dyDescent="0.4">
      <c r="A229" s="299" t="s">
        <v>7</v>
      </c>
      <c r="B229" s="218" t="str">
        <f t="shared" si="91"/>
        <v>Office Service</v>
      </c>
      <c r="C229" s="5" t="s">
        <v>48</v>
      </c>
      <c r="D229" s="129"/>
      <c r="E229" s="117"/>
      <c r="F229" s="117"/>
      <c r="G229" s="117"/>
      <c r="H229" s="184"/>
      <c r="I229" s="158">
        <f t="shared" si="92"/>
        <v>0</v>
      </c>
      <c r="J229" s="42"/>
      <c r="K229" s="39"/>
      <c r="L229" s="42"/>
      <c r="M229" s="40" t="str">
        <f t="shared" si="93"/>
        <v xml:space="preserve"> hrs @ </v>
      </c>
      <c r="N229" s="35"/>
      <c r="O229" s="136"/>
      <c r="P229" s="382"/>
      <c r="Q229" s="41"/>
      <c r="R229" s="184"/>
      <c r="S229" s="158">
        <f t="shared" ref="S229:S230" si="98">T229*U229</f>
        <v>0</v>
      </c>
      <c r="T229" s="42"/>
      <c r="U229" s="39"/>
      <c r="V229" s="42"/>
      <c r="W229" s="40" t="str">
        <f t="shared" si="95"/>
        <v xml:space="preserve"> hrs @ </v>
      </c>
      <c r="X229" s="35"/>
      <c r="Y229" s="136"/>
      <c r="Z229" s="382"/>
      <c r="AA229" s="41"/>
      <c r="AB229" s="184"/>
      <c r="AC229" s="158">
        <f t="shared" ref="AC229:AC230" si="99">AD229*AE229</f>
        <v>0</v>
      </c>
      <c r="AD229" s="42"/>
      <c r="AE229" s="39"/>
      <c r="AF229" s="42"/>
      <c r="AG229" s="40" t="str">
        <f t="shared" si="97"/>
        <v xml:space="preserve"> hrs @ </v>
      </c>
      <c r="AH229" s="35"/>
      <c r="AI229" s="136"/>
      <c r="AJ229" s="158"/>
      <c r="AK229" s="158"/>
    </row>
    <row r="230" spans="1:37" ht="21" x14ac:dyDescent="0.4">
      <c r="A230" s="299" t="s">
        <v>7</v>
      </c>
      <c r="B230" s="218" t="str">
        <f t="shared" si="91"/>
        <v>Office Service</v>
      </c>
      <c r="C230" s="5" t="s">
        <v>48</v>
      </c>
      <c r="D230" s="129"/>
      <c r="E230" s="117"/>
      <c r="F230" s="117"/>
      <c r="G230" s="117"/>
      <c r="H230" s="179"/>
      <c r="I230" s="173">
        <f>J230*K230*L230</f>
        <v>0</v>
      </c>
      <c r="J230" s="174"/>
      <c r="K230" s="175"/>
      <c r="L230" s="181"/>
      <c r="M230" s="176" t="str">
        <f t="shared" si="93"/>
        <v xml:space="preserve"> hrs @ </v>
      </c>
      <c r="N230" s="35"/>
      <c r="O230" s="136"/>
      <c r="P230" s="382"/>
      <c r="Q230" s="44"/>
      <c r="R230" s="179"/>
      <c r="S230" s="173">
        <f t="shared" si="98"/>
        <v>0</v>
      </c>
      <c r="T230" s="174"/>
      <c r="U230" s="175"/>
      <c r="V230" s="181"/>
      <c r="W230" s="176" t="str">
        <f t="shared" si="95"/>
        <v xml:space="preserve"> hrs @ </v>
      </c>
      <c r="X230" s="35"/>
      <c r="Y230" s="136"/>
      <c r="Z230" s="382"/>
      <c r="AA230" s="44"/>
      <c r="AB230" s="179"/>
      <c r="AC230" s="173">
        <f t="shared" si="99"/>
        <v>0</v>
      </c>
      <c r="AD230" s="174"/>
      <c r="AE230" s="175"/>
      <c r="AF230" s="181"/>
      <c r="AG230" s="176" t="str">
        <f t="shared" si="97"/>
        <v xml:space="preserve"> hrs @ </v>
      </c>
      <c r="AH230" s="35"/>
      <c r="AI230" s="136"/>
      <c r="AJ230" s="173"/>
      <c r="AK230" s="173"/>
    </row>
    <row r="231" spans="1:37" ht="21" x14ac:dyDescent="0.4">
      <c r="A231" s="299" t="s">
        <v>7</v>
      </c>
      <c r="B231" s="218" t="str">
        <f t="shared" si="91"/>
        <v>Office ServiceTotal Wages</v>
      </c>
      <c r="C231" s="5" t="s">
        <v>48</v>
      </c>
      <c r="D231" s="129"/>
      <c r="E231" s="117"/>
      <c r="F231" s="117"/>
      <c r="G231" s="117"/>
      <c r="H231" s="184" t="s">
        <v>32</v>
      </c>
      <c r="I231" s="158">
        <f>SUM(I227:I230)</f>
        <v>4212</v>
      </c>
      <c r="J231" s="42"/>
      <c r="K231" s="39"/>
      <c r="L231" s="39"/>
      <c r="M231" s="40"/>
      <c r="N231" s="35"/>
      <c r="O231" s="136"/>
      <c r="P231" s="382"/>
      <c r="Q231" s="41"/>
      <c r="R231" s="184" t="s">
        <v>32</v>
      </c>
      <c r="S231" s="158">
        <f>SUM(S227:S230)</f>
        <v>513</v>
      </c>
      <c r="T231" s="42"/>
      <c r="U231" s="39"/>
      <c r="V231" s="39"/>
      <c r="W231" s="40"/>
      <c r="X231" s="35"/>
      <c r="Y231" s="136"/>
      <c r="Z231" s="382"/>
      <c r="AA231" s="41"/>
      <c r="AB231" s="184" t="s">
        <v>32</v>
      </c>
      <c r="AC231" s="158">
        <f>SUM(AC227:AC230)</f>
        <v>0</v>
      </c>
      <c r="AD231" s="42"/>
      <c r="AE231" s="39"/>
      <c r="AF231" s="39"/>
      <c r="AG231" s="40"/>
      <c r="AH231" s="35"/>
      <c r="AI231" s="136"/>
      <c r="AJ231" s="158">
        <f>I231+S231+AC231</f>
        <v>4725</v>
      </c>
      <c r="AK231" s="158"/>
    </row>
    <row r="232" spans="1:37" ht="21" x14ac:dyDescent="0.4">
      <c r="A232" s="299" t="s">
        <v>7</v>
      </c>
      <c r="B232" s="218" t="str">
        <f t="shared" si="91"/>
        <v>Office ServiceBenefits</v>
      </c>
      <c r="C232" s="5" t="s">
        <v>48</v>
      </c>
      <c r="D232" s="129"/>
      <c r="E232" s="117"/>
      <c r="F232" s="117"/>
      <c r="G232" s="117"/>
      <c r="H232" s="184" t="s">
        <v>33</v>
      </c>
      <c r="I232" s="159">
        <f>I231*$O$2</f>
        <v>4152.6108000000004</v>
      </c>
      <c r="J232" s="42"/>
      <c r="K232" s="39"/>
      <c r="M232" s="45" t="str">
        <f>"@ "&amp;$O$2*100&amp;" %"</f>
        <v>@ 98.59 %</v>
      </c>
      <c r="N232" s="47"/>
      <c r="O232" s="432"/>
      <c r="P232" s="383"/>
      <c r="Q232" s="41"/>
      <c r="R232" s="184" t="s">
        <v>33</v>
      </c>
      <c r="S232" s="159">
        <f>S231*$O$2</f>
        <v>505.76670000000001</v>
      </c>
      <c r="T232" s="42"/>
      <c r="U232" s="39"/>
      <c r="W232" s="45" t="str">
        <f>"@ "&amp;$O$2*100&amp;" %"</f>
        <v>@ 98.59 %</v>
      </c>
      <c r="X232" s="47"/>
      <c r="Y232" s="432"/>
      <c r="Z232" s="383"/>
      <c r="AA232" s="41"/>
      <c r="AB232" s="184" t="s">
        <v>33</v>
      </c>
      <c r="AC232" s="159">
        <f>AC231*$O$2</f>
        <v>0</v>
      </c>
      <c r="AD232" s="42"/>
      <c r="AE232" s="39"/>
      <c r="AG232" s="45" t="str">
        <f>"@ "&amp;$O$2*100&amp;" %"</f>
        <v>@ 98.59 %</v>
      </c>
      <c r="AH232" s="47"/>
      <c r="AI232" s="432"/>
      <c r="AJ232" s="159">
        <f>I232+S232+AC232</f>
        <v>4658.3775000000005</v>
      </c>
      <c r="AK232" s="159"/>
    </row>
    <row r="233" spans="1:37" ht="21" x14ac:dyDescent="0.3">
      <c r="A233" s="299" t="s">
        <v>7</v>
      </c>
      <c r="B233" s="218" t="str">
        <f t="shared" si="91"/>
        <v>Office ServiceTotal</v>
      </c>
      <c r="C233" s="125" t="s">
        <v>50</v>
      </c>
      <c r="D233" s="129"/>
      <c r="E233" s="117"/>
      <c r="F233" s="117"/>
      <c r="G233" s="117"/>
      <c r="H233" s="185" t="s">
        <v>34</v>
      </c>
      <c r="I233" s="160">
        <f>I231+I232</f>
        <v>8364.6108000000004</v>
      </c>
      <c r="J233" s="42"/>
      <c r="K233" s="39"/>
      <c r="L233" s="50"/>
      <c r="M233" s="51"/>
      <c r="N233" s="420">
        <f>I233</f>
        <v>8364.6108000000004</v>
      </c>
      <c r="O233" s="233">
        <f>N233/N262</f>
        <v>0.80274442538593493</v>
      </c>
      <c r="P233" s="384"/>
      <c r="Q233" s="37"/>
      <c r="R233" s="185" t="s">
        <v>34</v>
      </c>
      <c r="S233" s="160">
        <f>S231+S232</f>
        <v>1018.7667</v>
      </c>
      <c r="T233" s="42"/>
      <c r="U233" s="39"/>
      <c r="V233" s="50"/>
      <c r="W233" s="51"/>
      <c r="X233" s="420">
        <f>S233</f>
        <v>1018.7667</v>
      </c>
      <c r="Y233" s="233">
        <f>X233/X262</f>
        <v>0.79166666666666663</v>
      </c>
      <c r="Z233" s="384"/>
      <c r="AA233" s="37"/>
      <c r="AB233" s="185" t="s">
        <v>34</v>
      </c>
      <c r="AC233" s="160">
        <f>AC231+AC232</f>
        <v>0</v>
      </c>
      <c r="AD233" s="42"/>
      <c r="AE233" s="39"/>
      <c r="AF233" s="50"/>
      <c r="AG233" s="51"/>
      <c r="AH233" s="420">
        <f>AC233</f>
        <v>0</v>
      </c>
      <c r="AI233" s="233" t="e">
        <f>AH233/AH262</f>
        <v>#DIV/0!</v>
      </c>
      <c r="AJ233" s="160">
        <f>I233+S233+AC233</f>
        <v>9383.3775000000005</v>
      </c>
      <c r="AK233" s="160"/>
    </row>
    <row r="234" spans="1:37" ht="21" x14ac:dyDescent="0.4">
      <c r="A234" s="299" t="s">
        <v>7</v>
      </c>
      <c r="B234" s="218" t="str">
        <f t="shared" si="91"/>
        <v>Office Service</v>
      </c>
      <c r="C234" s="5" t="s">
        <v>48</v>
      </c>
      <c r="D234" s="129"/>
      <c r="E234" s="117"/>
      <c r="F234" s="117"/>
      <c r="G234" s="117"/>
      <c r="H234" s="179"/>
      <c r="I234" s="166"/>
      <c r="J234" s="69"/>
      <c r="K234" s="69"/>
      <c r="L234" s="69"/>
      <c r="M234" s="70"/>
      <c r="N234" s="58"/>
      <c r="O234" s="231"/>
      <c r="P234" s="385"/>
      <c r="Q234" s="60"/>
      <c r="R234" s="179"/>
      <c r="S234" s="166"/>
      <c r="T234" s="69"/>
      <c r="U234" s="69"/>
      <c r="V234" s="69"/>
      <c r="W234" s="70"/>
      <c r="X234" s="58"/>
      <c r="Y234" s="231"/>
      <c r="Z234" s="385"/>
      <c r="AA234" s="60"/>
      <c r="AB234" s="179"/>
      <c r="AC234" s="166"/>
      <c r="AD234" s="69"/>
      <c r="AE234" s="69"/>
      <c r="AF234" s="69"/>
      <c r="AG234" s="70"/>
      <c r="AH234" s="58"/>
      <c r="AI234" s="231"/>
      <c r="AJ234" s="166"/>
      <c r="AK234" s="166"/>
    </row>
    <row r="235" spans="1:37" ht="21" x14ac:dyDescent="0.4">
      <c r="A235" s="299" t="s">
        <v>7</v>
      </c>
      <c r="B235" s="218" t="str">
        <f t="shared" si="91"/>
        <v>Office ServiceLABOR: SUPERVISORY</v>
      </c>
      <c r="C235" s="124" t="s">
        <v>50</v>
      </c>
      <c r="D235" s="129"/>
      <c r="E235" s="117"/>
      <c r="F235" s="117"/>
      <c r="G235" s="117"/>
      <c r="H235" s="186" t="s">
        <v>35</v>
      </c>
      <c r="I235" s="167"/>
      <c r="J235" s="74"/>
      <c r="K235" s="74"/>
      <c r="L235" s="74"/>
      <c r="M235" s="66"/>
      <c r="N235" s="26"/>
      <c r="O235" s="234"/>
      <c r="P235" s="386"/>
      <c r="Q235" s="37"/>
      <c r="R235" s="186" t="s">
        <v>35</v>
      </c>
      <c r="S235" s="167"/>
      <c r="T235" s="74"/>
      <c r="U235" s="74"/>
      <c r="V235" s="74"/>
      <c r="W235" s="66"/>
      <c r="X235" s="26"/>
      <c r="Y235" s="234"/>
      <c r="Z235" s="386"/>
      <c r="AA235" s="37"/>
      <c r="AB235" s="186" t="s">
        <v>35</v>
      </c>
      <c r="AC235" s="167"/>
      <c r="AD235" s="74"/>
      <c r="AE235" s="74"/>
      <c r="AF235" s="74"/>
      <c r="AG235" s="66"/>
      <c r="AH235" s="26"/>
      <c r="AI235" s="234"/>
      <c r="AJ235" s="167"/>
      <c r="AK235" s="167"/>
    </row>
    <row r="236" spans="1:37" ht="21" x14ac:dyDescent="0.4">
      <c r="A236" s="299" t="s">
        <v>7</v>
      </c>
      <c r="B236" s="218" t="str">
        <f t="shared" si="91"/>
        <v xml:space="preserve">Office ServiceSalary </v>
      </c>
      <c r="C236" s="5" t="s">
        <v>48</v>
      </c>
      <c r="D236" s="129"/>
      <c r="E236" s="117"/>
      <c r="F236" s="117"/>
      <c r="G236" s="117"/>
      <c r="H236" s="184" t="s">
        <v>319</v>
      </c>
      <c r="I236" s="158">
        <f t="shared" ref="I236" si="100">J236*K236</f>
        <v>1035</v>
      </c>
      <c r="J236" s="42">
        <v>23</v>
      </c>
      <c r="K236" s="39">
        <v>45</v>
      </c>
      <c r="L236" s="43"/>
      <c r="M236" s="40" t="str">
        <f t="shared" ref="M236" si="101">J236&amp;" hrs @ "&amp;K236</f>
        <v>23 hrs @ 45</v>
      </c>
      <c r="N236" s="26"/>
      <c r="O236" s="234"/>
      <c r="P236" s="386"/>
      <c r="Q236" s="41"/>
      <c r="R236" s="184" t="s">
        <v>319</v>
      </c>
      <c r="S236" s="158">
        <f t="shared" ref="S236" si="102">T236*U236</f>
        <v>135</v>
      </c>
      <c r="T236" s="42">
        <v>3</v>
      </c>
      <c r="U236" s="39">
        <v>45</v>
      </c>
      <c r="V236" s="43"/>
      <c r="W236" s="40" t="str">
        <f t="shared" ref="W236" si="103">T236&amp;" hrs @ "&amp;U236</f>
        <v>3 hrs @ 45</v>
      </c>
      <c r="X236" s="26"/>
      <c r="Y236" s="234"/>
      <c r="Z236" s="386"/>
      <c r="AA236" s="41"/>
      <c r="AB236" s="184" t="s">
        <v>319</v>
      </c>
      <c r="AC236" s="158">
        <f t="shared" ref="AC236" si="104">AD236*AE236</f>
        <v>0</v>
      </c>
      <c r="AD236" s="42"/>
      <c r="AE236" s="39"/>
      <c r="AF236" s="43"/>
      <c r="AG236" s="40" t="str">
        <f t="shared" ref="AG236" si="105">AD236&amp;" hrs @ "&amp;AE236</f>
        <v xml:space="preserve"> hrs @ </v>
      </c>
      <c r="AH236" s="26"/>
      <c r="AI236" s="234"/>
      <c r="AJ236" s="158">
        <f>I236+S236+AC236</f>
        <v>1170</v>
      </c>
      <c r="AK236" s="158"/>
    </row>
    <row r="237" spans="1:37" ht="21" x14ac:dyDescent="0.4">
      <c r="A237" s="299" t="s">
        <v>7</v>
      </c>
      <c r="B237" s="218" t="str">
        <f t="shared" si="91"/>
        <v>Office ServiceBenefits</v>
      </c>
      <c r="C237" s="5" t="s">
        <v>48</v>
      </c>
      <c r="D237" s="129"/>
      <c r="E237" s="117"/>
      <c r="F237" s="117"/>
      <c r="G237" s="117"/>
      <c r="H237" s="184" t="s">
        <v>33</v>
      </c>
      <c r="I237" s="159">
        <f>I236*$O$2</f>
        <v>1020.4065000000001</v>
      </c>
      <c r="J237" s="42"/>
      <c r="K237" s="39"/>
      <c r="L237" s="156"/>
      <c r="M237" s="45" t="str">
        <f>"@ "&amp;$O$2*100&amp;" %"</f>
        <v>@ 98.59 %</v>
      </c>
      <c r="N237" s="26"/>
      <c r="O237" s="234"/>
      <c r="P237" s="386"/>
      <c r="Q237" s="41"/>
      <c r="R237" s="184" t="s">
        <v>33</v>
      </c>
      <c r="S237" s="159">
        <f>S236*$O$2</f>
        <v>133.09649999999999</v>
      </c>
      <c r="T237" s="42"/>
      <c r="U237" s="39"/>
      <c r="V237" s="156"/>
      <c r="W237" s="45" t="str">
        <f>"@ "&amp;$O$2*100&amp;" %"</f>
        <v>@ 98.59 %</v>
      </c>
      <c r="X237" s="26"/>
      <c r="Y237" s="234"/>
      <c r="Z237" s="386"/>
      <c r="AA237" s="41"/>
      <c r="AB237" s="184" t="s">
        <v>33</v>
      </c>
      <c r="AC237" s="159">
        <f>AC236*$O$2</f>
        <v>0</v>
      </c>
      <c r="AD237" s="42"/>
      <c r="AE237" s="39"/>
      <c r="AF237" s="156"/>
      <c r="AG237" s="45" t="str">
        <f>"@ "&amp;$O$2*100&amp;" %"</f>
        <v>@ 98.59 %</v>
      </c>
      <c r="AH237" s="26"/>
      <c r="AI237" s="234"/>
      <c r="AJ237" s="159">
        <f>I237+S237+AC237</f>
        <v>1153.5030000000002</v>
      </c>
      <c r="AK237" s="159"/>
    </row>
    <row r="238" spans="1:37" ht="21" x14ac:dyDescent="0.4">
      <c r="A238" s="299" t="s">
        <v>7</v>
      </c>
      <c r="B238" s="218" t="str">
        <f t="shared" si="91"/>
        <v>Office ServiceTotal</v>
      </c>
      <c r="C238" s="124" t="s">
        <v>50</v>
      </c>
      <c r="D238" s="129"/>
      <c r="E238" s="117"/>
      <c r="F238" s="117"/>
      <c r="G238" s="117"/>
      <c r="H238" s="185" t="s">
        <v>34</v>
      </c>
      <c r="I238" s="165">
        <f>I237+I236</f>
        <v>2055.4065000000001</v>
      </c>
      <c r="J238" s="68"/>
      <c r="K238" s="68"/>
      <c r="L238" s="68"/>
      <c r="M238" s="63"/>
      <c r="N238" s="420">
        <f>I238</f>
        <v>2055.4065000000001</v>
      </c>
      <c r="O238" s="233">
        <f>N238/N262</f>
        <v>0.1972555746140652</v>
      </c>
      <c r="P238" s="386"/>
      <c r="Q238" s="41"/>
      <c r="R238" s="185" t="s">
        <v>34</v>
      </c>
      <c r="S238" s="165">
        <f>S237+S236</f>
        <v>268.09649999999999</v>
      </c>
      <c r="T238" s="68"/>
      <c r="U238" s="68"/>
      <c r="V238" s="68"/>
      <c r="W238" s="63"/>
      <c r="X238" s="420">
        <f>S238</f>
        <v>268.09649999999999</v>
      </c>
      <c r="Y238" s="233">
        <f>X238/X262</f>
        <v>0.20833333333333331</v>
      </c>
      <c r="Z238" s="386"/>
      <c r="AA238" s="41"/>
      <c r="AB238" s="185" t="s">
        <v>34</v>
      </c>
      <c r="AC238" s="165">
        <f>AC237+AC236</f>
        <v>0</v>
      </c>
      <c r="AD238" s="68"/>
      <c r="AE238" s="68"/>
      <c r="AF238" s="68"/>
      <c r="AG238" s="63"/>
      <c r="AH238" s="420">
        <f>AC238</f>
        <v>0</v>
      </c>
      <c r="AI238" s="233" t="e">
        <f>AH238/AH262</f>
        <v>#DIV/0!</v>
      </c>
      <c r="AJ238" s="165">
        <f>I238+S238+AC238</f>
        <v>2323.5030000000002</v>
      </c>
      <c r="AK238" s="165"/>
    </row>
    <row r="239" spans="1:37" ht="21" x14ac:dyDescent="0.4">
      <c r="A239" s="299" t="s">
        <v>7</v>
      </c>
      <c r="B239" s="218" t="str">
        <f t="shared" si="91"/>
        <v>Office Service</v>
      </c>
      <c r="C239" s="5" t="s">
        <v>48</v>
      </c>
      <c r="D239" s="129"/>
      <c r="E239" s="117"/>
      <c r="F239" s="117"/>
      <c r="G239" s="117"/>
      <c r="H239" s="179"/>
      <c r="I239" s="166"/>
      <c r="J239" s="69"/>
      <c r="K239" s="69"/>
      <c r="L239" s="69"/>
      <c r="M239" s="70"/>
      <c r="N239" s="72"/>
      <c r="O239" s="235"/>
      <c r="P239" s="387"/>
      <c r="Q239" s="60"/>
      <c r="R239" s="179"/>
      <c r="S239" s="166"/>
      <c r="T239" s="69"/>
      <c r="U239" s="69"/>
      <c r="V239" s="69"/>
      <c r="W239" s="70"/>
      <c r="X239" s="72"/>
      <c r="Y239" s="235"/>
      <c r="Z239" s="387"/>
      <c r="AA239" s="60"/>
      <c r="AB239" s="179"/>
      <c r="AC239" s="166"/>
      <c r="AD239" s="69"/>
      <c r="AE239" s="69"/>
      <c r="AF239" s="69"/>
      <c r="AG239" s="70"/>
      <c r="AH239" s="72"/>
      <c r="AI239" s="235"/>
      <c r="AJ239" s="166"/>
      <c r="AK239" s="166"/>
    </row>
    <row r="240" spans="1:37" ht="21" x14ac:dyDescent="0.4">
      <c r="A240" s="299" t="s">
        <v>7</v>
      </c>
      <c r="B240" s="218" t="str">
        <f t="shared" si="91"/>
        <v>Office ServiceEQUIPMENT</v>
      </c>
      <c r="C240" s="124" t="s">
        <v>50</v>
      </c>
      <c r="D240" s="129"/>
      <c r="E240" s="117"/>
      <c r="F240" s="117"/>
      <c r="G240" s="117"/>
      <c r="H240" s="186" t="s">
        <v>36</v>
      </c>
      <c r="I240" s="167"/>
      <c r="J240" s="74"/>
      <c r="K240" s="74"/>
      <c r="L240" s="74"/>
      <c r="M240" s="66"/>
      <c r="N240" s="76"/>
      <c r="O240" s="237"/>
      <c r="P240" s="386"/>
      <c r="Q240" s="37"/>
      <c r="R240" s="186" t="s">
        <v>36</v>
      </c>
      <c r="S240" s="167"/>
      <c r="T240" s="74"/>
      <c r="U240" s="74"/>
      <c r="V240" s="74"/>
      <c r="W240" s="66"/>
      <c r="X240" s="76"/>
      <c r="Y240" s="237"/>
      <c r="Z240" s="386"/>
      <c r="AA240" s="37"/>
      <c r="AB240" s="186" t="s">
        <v>36</v>
      </c>
      <c r="AC240" s="167"/>
      <c r="AD240" s="74"/>
      <c r="AE240" s="74"/>
      <c r="AF240" s="74"/>
      <c r="AG240" s="66"/>
      <c r="AH240" s="76"/>
      <c r="AI240" s="237"/>
      <c r="AJ240" s="167"/>
      <c r="AK240" s="167"/>
    </row>
    <row r="241" spans="1:37" ht="21" x14ac:dyDescent="0.4">
      <c r="A241" s="299" t="s">
        <v>7</v>
      </c>
      <c r="B241" s="218" t="str">
        <f t="shared" si="91"/>
        <v>Office ServiceInserter</v>
      </c>
      <c r="C241" s="5" t="s">
        <v>48</v>
      </c>
      <c r="D241" s="129"/>
      <c r="E241" s="117"/>
      <c r="F241" s="117"/>
      <c r="G241" s="117"/>
      <c r="H241" s="187" t="s">
        <v>320</v>
      </c>
      <c r="I241" s="158">
        <f>J241*K241</f>
        <v>0</v>
      </c>
      <c r="J241" s="42">
        <v>1</v>
      </c>
      <c r="K241" s="39"/>
      <c r="L241" s="39"/>
      <c r="M241" s="66"/>
      <c r="N241" s="76"/>
      <c r="O241" s="237"/>
      <c r="P241" s="386"/>
      <c r="Q241" s="37"/>
      <c r="R241" s="187" t="s">
        <v>320</v>
      </c>
      <c r="S241" s="158">
        <f>T241*U241</f>
        <v>0</v>
      </c>
      <c r="T241" s="42">
        <v>1</v>
      </c>
      <c r="U241" s="39"/>
      <c r="V241" s="39"/>
      <c r="W241" s="66"/>
      <c r="X241" s="76"/>
      <c r="Y241" s="237"/>
      <c r="Z241" s="386"/>
      <c r="AA241" s="37"/>
      <c r="AB241" s="187" t="s">
        <v>320</v>
      </c>
      <c r="AC241" s="158">
        <f>AD241*AE241</f>
        <v>0</v>
      </c>
      <c r="AD241" s="42">
        <v>1</v>
      </c>
      <c r="AE241" s="39"/>
      <c r="AF241" s="39"/>
      <c r="AG241" s="66"/>
      <c r="AH241" s="76"/>
      <c r="AI241" s="237"/>
      <c r="AJ241" s="158">
        <f>I241+S241+AC241</f>
        <v>0</v>
      </c>
      <c r="AK241" s="158"/>
    </row>
    <row r="242" spans="1:37" ht="21" x14ac:dyDescent="0.4">
      <c r="A242" s="299" t="s">
        <v>7</v>
      </c>
      <c r="B242" s="218" t="str">
        <f t="shared" si="91"/>
        <v>Office ServicePrinter</v>
      </c>
      <c r="C242" s="5" t="s">
        <v>48</v>
      </c>
      <c r="D242" s="129"/>
      <c r="E242" s="117"/>
      <c r="F242" s="117"/>
      <c r="G242" s="117"/>
      <c r="H242" s="187" t="s">
        <v>321</v>
      </c>
      <c r="I242" s="158">
        <f t="shared" ref="I242:I243" si="106">J242*K242</f>
        <v>0</v>
      </c>
      <c r="J242" s="42">
        <v>1</v>
      </c>
      <c r="K242" s="39"/>
      <c r="L242" s="39"/>
      <c r="M242" s="66"/>
      <c r="N242" s="79"/>
      <c r="O242" s="238"/>
      <c r="P242" s="388"/>
      <c r="Q242" s="81"/>
      <c r="R242" s="187" t="s">
        <v>321</v>
      </c>
      <c r="S242" s="158">
        <f t="shared" ref="S242:S243" si="107">T242*U242</f>
        <v>0</v>
      </c>
      <c r="T242" s="42">
        <v>1</v>
      </c>
      <c r="U242" s="39"/>
      <c r="V242" s="39"/>
      <c r="W242" s="66"/>
      <c r="X242" s="79"/>
      <c r="Y242" s="238"/>
      <c r="Z242" s="388"/>
      <c r="AA242" s="81"/>
      <c r="AB242" s="187" t="s">
        <v>321</v>
      </c>
      <c r="AC242" s="158">
        <f t="shared" ref="AC242:AC243" si="108">AD242*AE242</f>
        <v>0</v>
      </c>
      <c r="AD242" s="42">
        <v>1</v>
      </c>
      <c r="AE242" s="39"/>
      <c r="AF242" s="39"/>
      <c r="AG242" s="66"/>
      <c r="AH242" s="79"/>
      <c r="AI242" s="238"/>
      <c r="AJ242" s="158">
        <f>I242+S242+AC242</f>
        <v>0</v>
      </c>
      <c r="AK242" s="158"/>
    </row>
    <row r="243" spans="1:37" ht="21" x14ac:dyDescent="0.4">
      <c r="A243" s="299" t="s">
        <v>7</v>
      </c>
      <c r="B243" s="218" t="str">
        <f t="shared" si="91"/>
        <v>Office ServiceMeter bases</v>
      </c>
      <c r="C243" s="5" t="s">
        <v>48</v>
      </c>
      <c r="D243" s="129"/>
      <c r="E243" s="117"/>
      <c r="F243" s="117"/>
      <c r="G243" s="117"/>
      <c r="H243" s="187" t="s">
        <v>322</v>
      </c>
      <c r="I243" s="158">
        <f t="shared" si="106"/>
        <v>0</v>
      </c>
      <c r="J243" s="42">
        <v>1</v>
      </c>
      <c r="K243" s="39"/>
      <c r="L243" s="42"/>
      <c r="M243" s="66"/>
      <c r="N243" s="79"/>
      <c r="O243" s="238"/>
      <c r="P243" s="388"/>
      <c r="Q243" s="81"/>
      <c r="R243" s="187" t="s">
        <v>322</v>
      </c>
      <c r="S243" s="158">
        <f t="shared" si="107"/>
        <v>0</v>
      </c>
      <c r="T243" s="42">
        <v>1</v>
      </c>
      <c r="U243" s="39"/>
      <c r="V243" s="42"/>
      <c r="W243" s="66"/>
      <c r="X243" s="79"/>
      <c r="Y243" s="238"/>
      <c r="Z243" s="388"/>
      <c r="AA243" s="81"/>
      <c r="AB243" s="187" t="s">
        <v>322</v>
      </c>
      <c r="AC243" s="158">
        <f t="shared" si="108"/>
        <v>0</v>
      </c>
      <c r="AD243" s="42">
        <v>1</v>
      </c>
      <c r="AE243" s="39"/>
      <c r="AF243" s="42"/>
      <c r="AG243" s="66"/>
      <c r="AH243" s="79"/>
      <c r="AI243" s="238"/>
      <c r="AJ243" s="158">
        <f>I243+S243+AC243</f>
        <v>0</v>
      </c>
      <c r="AK243" s="158"/>
    </row>
    <row r="244" spans="1:37" ht="21" x14ac:dyDescent="0.4">
      <c r="A244" s="299" t="s">
        <v>7</v>
      </c>
      <c r="B244" s="218" t="str">
        <f t="shared" si="91"/>
        <v>Office Service</v>
      </c>
      <c r="C244" s="5" t="s">
        <v>48</v>
      </c>
      <c r="D244" s="129"/>
      <c r="E244" s="117"/>
      <c r="F244" s="117"/>
      <c r="G244" s="117"/>
      <c r="H244" s="187"/>
      <c r="I244" s="158"/>
      <c r="J244" s="42"/>
      <c r="K244" s="39"/>
      <c r="L244" s="43"/>
      <c r="M244" s="66"/>
      <c r="N244" s="79"/>
      <c r="O244" s="238"/>
      <c r="P244" s="388"/>
      <c r="Q244" s="81"/>
      <c r="R244" s="187"/>
      <c r="S244" s="158"/>
      <c r="T244" s="42"/>
      <c r="U244" s="39"/>
      <c r="V244" s="43"/>
      <c r="W244" s="66"/>
      <c r="X244" s="79"/>
      <c r="Y244" s="238"/>
      <c r="Z244" s="388"/>
      <c r="AA244" s="81"/>
      <c r="AB244" s="187"/>
      <c r="AC244" s="158"/>
      <c r="AD244" s="42"/>
      <c r="AE244" s="39"/>
      <c r="AF244" s="43"/>
      <c r="AG244" s="66"/>
      <c r="AH244" s="79"/>
      <c r="AI244" s="238"/>
      <c r="AJ244" s="158"/>
      <c r="AK244" s="158"/>
    </row>
    <row r="245" spans="1:37" ht="21" x14ac:dyDescent="0.4">
      <c r="A245" s="299" t="s">
        <v>7</v>
      </c>
      <c r="B245" s="218" t="str">
        <f t="shared" si="91"/>
        <v>Office ServiceTotal Equipment</v>
      </c>
      <c r="C245" s="124" t="s">
        <v>50</v>
      </c>
      <c r="D245" s="129"/>
      <c r="E245" s="116">
        <f>I245</f>
        <v>0</v>
      </c>
      <c r="F245" s="116">
        <f>S245</f>
        <v>0</v>
      </c>
      <c r="G245" s="116">
        <f>AC245</f>
        <v>0</v>
      </c>
      <c r="H245" s="188" t="s">
        <v>37</v>
      </c>
      <c r="I245" s="165">
        <f>SUM(I241:I244)</f>
        <v>0</v>
      </c>
      <c r="J245" s="68"/>
      <c r="K245" s="68"/>
      <c r="L245" s="68"/>
      <c r="M245" s="66"/>
      <c r="N245" s="420">
        <f>I245</f>
        <v>0</v>
      </c>
      <c r="O245" s="233">
        <f>N245/N262</f>
        <v>0</v>
      </c>
      <c r="P245" s="388"/>
      <c r="Q245" s="81"/>
      <c r="R245" s="188" t="s">
        <v>37</v>
      </c>
      <c r="S245" s="165">
        <f>SUM(S241:S244)</f>
        <v>0</v>
      </c>
      <c r="T245" s="68"/>
      <c r="U245" s="68"/>
      <c r="V245" s="68"/>
      <c r="W245" s="66"/>
      <c r="X245" s="420">
        <f>S245</f>
        <v>0</v>
      </c>
      <c r="Y245" s="233">
        <f>X245/X262</f>
        <v>0</v>
      </c>
      <c r="Z245" s="388"/>
      <c r="AA245" s="81"/>
      <c r="AB245" s="188" t="s">
        <v>37</v>
      </c>
      <c r="AC245" s="165">
        <f>SUM(AC241:AC244)</f>
        <v>0</v>
      </c>
      <c r="AD245" s="68"/>
      <c r="AE245" s="68"/>
      <c r="AF245" s="68"/>
      <c r="AG245" s="66"/>
      <c r="AH245" s="420">
        <f>AC245</f>
        <v>0</v>
      </c>
      <c r="AI245" s="233" t="e">
        <f>AH245/AH262</f>
        <v>#DIV/0!</v>
      </c>
      <c r="AJ245" s="165">
        <f>I245+S245+AC245</f>
        <v>0</v>
      </c>
      <c r="AK245" s="165"/>
    </row>
    <row r="246" spans="1:37" ht="21" x14ac:dyDescent="0.4">
      <c r="A246" s="299" t="s">
        <v>7</v>
      </c>
      <c r="B246" s="218" t="str">
        <f t="shared" si="91"/>
        <v>Office Service</v>
      </c>
      <c r="C246" s="5" t="s">
        <v>48</v>
      </c>
      <c r="D246" s="129"/>
      <c r="E246" s="117"/>
      <c r="F246" s="117"/>
      <c r="G246" s="117"/>
      <c r="H246" s="189"/>
      <c r="I246" s="166"/>
      <c r="J246" s="69"/>
      <c r="K246" s="69"/>
      <c r="L246" s="69"/>
      <c r="M246" s="70"/>
      <c r="N246" s="88"/>
      <c r="O246" s="241"/>
      <c r="P246" s="389"/>
      <c r="Q246" s="60"/>
      <c r="R246" s="189"/>
      <c r="S246" s="166"/>
      <c r="T246" s="69"/>
      <c r="U246" s="69"/>
      <c r="V246" s="69"/>
      <c r="W246" s="70"/>
      <c r="X246" s="88"/>
      <c r="Y246" s="241"/>
      <c r="Z246" s="389"/>
      <c r="AA246" s="60"/>
      <c r="AB246" s="189"/>
      <c r="AC246" s="166"/>
      <c r="AD246" s="69"/>
      <c r="AE246" s="69"/>
      <c r="AF246" s="69"/>
      <c r="AG246" s="70"/>
      <c r="AH246" s="88"/>
      <c r="AI246" s="241"/>
      <c r="AJ246" s="166"/>
      <c r="AK246" s="166"/>
    </row>
    <row r="247" spans="1:37" ht="21" x14ac:dyDescent="0.4">
      <c r="A247" s="299" t="s">
        <v>7</v>
      </c>
      <c r="B247" s="218" t="str">
        <f t="shared" si="91"/>
        <v>Office ServiceIS SUPPORT</v>
      </c>
      <c r="C247" s="124" t="s">
        <v>50</v>
      </c>
      <c r="D247" s="129"/>
      <c r="E247" s="117"/>
      <c r="F247" s="117"/>
      <c r="G247" s="117"/>
      <c r="H247" s="186" t="s">
        <v>38</v>
      </c>
      <c r="I247" s="167"/>
      <c r="J247" s="74"/>
      <c r="K247" s="74"/>
      <c r="L247" s="74"/>
      <c r="M247" s="66"/>
      <c r="N247" s="91"/>
      <c r="O247" s="227"/>
      <c r="P247" s="390"/>
      <c r="Q247" s="37"/>
      <c r="R247" s="186" t="s">
        <v>38</v>
      </c>
      <c r="S247" s="167"/>
      <c r="T247" s="74"/>
      <c r="U247" s="74"/>
      <c r="V247" s="74"/>
      <c r="W247" s="66"/>
      <c r="X247" s="91"/>
      <c r="Y247" s="227"/>
      <c r="Z247" s="390"/>
      <c r="AA247" s="37"/>
      <c r="AB247" s="186" t="s">
        <v>38</v>
      </c>
      <c r="AC247" s="167"/>
      <c r="AD247" s="74"/>
      <c r="AE247" s="74"/>
      <c r="AF247" s="74"/>
      <c r="AG247" s="66"/>
      <c r="AH247" s="91"/>
      <c r="AI247" s="227"/>
      <c r="AJ247" s="167"/>
      <c r="AK247" s="167"/>
    </row>
    <row r="248" spans="1:37" ht="21" x14ac:dyDescent="0.4">
      <c r="A248" s="299" t="s">
        <v>7</v>
      </c>
      <c r="B248" s="218" t="str">
        <f t="shared" si="91"/>
        <v>Office ServiceAnalyst Labor</v>
      </c>
      <c r="C248" s="5" t="s">
        <v>48</v>
      </c>
      <c r="D248" s="129"/>
      <c r="E248" s="117"/>
      <c r="F248" s="117"/>
      <c r="G248" s="117"/>
      <c r="H248" s="184" t="s">
        <v>39</v>
      </c>
      <c r="I248" s="162">
        <f>J248*K248</f>
        <v>0</v>
      </c>
      <c r="J248" s="42"/>
      <c r="K248" s="39"/>
      <c r="L248" s="39"/>
      <c r="M248" s="40" t="str">
        <f>J248&amp;" hrs @ "&amp;K248</f>
        <v xml:space="preserve"> hrs @ </v>
      </c>
      <c r="N248" s="94"/>
      <c r="O248" s="242"/>
      <c r="P248" s="390"/>
      <c r="Q248" s="37"/>
      <c r="R248" s="184" t="s">
        <v>39</v>
      </c>
      <c r="S248" s="162">
        <f>T248*U248</f>
        <v>0</v>
      </c>
      <c r="T248" s="42"/>
      <c r="U248" s="39"/>
      <c r="V248" s="39"/>
      <c r="W248" s="40" t="str">
        <f>T248&amp;" hrs @ "&amp;U248</f>
        <v xml:space="preserve"> hrs @ </v>
      </c>
      <c r="X248" s="94"/>
      <c r="Y248" s="242"/>
      <c r="Z248" s="390"/>
      <c r="AA248" s="37"/>
      <c r="AB248" s="184" t="s">
        <v>39</v>
      </c>
      <c r="AC248" s="162">
        <f>AD248*AE248</f>
        <v>0</v>
      </c>
      <c r="AD248" s="42"/>
      <c r="AE248" s="39"/>
      <c r="AF248" s="39"/>
      <c r="AG248" s="40" t="str">
        <f>AD248&amp;" hrs @ "&amp;AE248</f>
        <v xml:space="preserve"> hrs @ </v>
      </c>
      <c r="AH248" s="94"/>
      <c r="AI248" s="242"/>
      <c r="AJ248" s="162">
        <f>I248+S248+AC248</f>
        <v>0</v>
      </c>
      <c r="AK248" s="162"/>
    </row>
    <row r="249" spans="1:37" ht="21" x14ac:dyDescent="0.4">
      <c r="A249" s="299" t="s">
        <v>7</v>
      </c>
      <c r="B249" s="218" t="str">
        <f t="shared" si="91"/>
        <v>Office ServiceAnalyst Benefits</v>
      </c>
      <c r="C249" s="5" t="s">
        <v>48</v>
      </c>
      <c r="D249" s="129"/>
      <c r="E249" s="117"/>
      <c r="F249" s="117"/>
      <c r="G249" s="117"/>
      <c r="H249" s="184" t="s">
        <v>40</v>
      </c>
      <c r="I249" s="159">
        <f>I248*$O$2</f>
        <v>0</v>
      </c>
      <c r="J249" s="42"/>
      <c r="K249" s="39"/>
      <c r="L249" s="156"/>
      <c r="M249" s="45" t="str">
        <f>"@ "&amp;$O$2*100&amp;" %"</f>
        <v>@ 98.59 %</v>
      </c>
      <c r="N249" s="94"/>
      <c r="O249" s="242"/>
      <c r="P249" s="390"/>
      <c r="Q249" s="37"/>
      <c r="R249" s="184" t="s">
        <v>40</v>
      </c>
      <c r="S249" s="159">
        <f>S248*$O$2</f>
        <v>0</v>
      </c>
      <c r="T249" s="42"/>
      <c r="U249" s="39"/>
      <c r="V249" s="156"/>
      <c r="W249" s="45" t="str">
        <f>"@ "&amp;$O$2*100&amp;" %"</f>
        <v>@ 98.59 %</v>
      </c>
      <c r="X249" s="94"/>
      <c r="Y249" s="242"/>
      <c r="Z249" s="390"/>
      <c r="AA249" s="37"/>
      <c r="AB249" s="184" t="s">
        <v>40</v>
      </c>
      <c r="AC249" s="159">
        <f>AC248*$O$2</f>
        <v>0</v>
      </c>
      <c r="AD249" s="42"/>
      <c r="AE249" s="39"/>
      <c r="AF249" s="156"/>
      <c r="AG249" s="45" t="str">
        <f>"@ "&amp;$O$2*100&amp;" %"</f>
        <v>@ 98.59 %</v>
      </c>
      <c r="AH249" s="94"/>
      <c r="AI249" s="242"/>
      <c r="AJ249" s="159">
        <f>I249+S249+AC249</f>
        <v>0</v>
      </c>
      <c r="AK249" s="159"/>
    </row>
    <row r="250" spans="1:37" ht="21" x14ac:dyDescent="0.4">
      <c r="A250" s="299" t="s">
        <v>7</v>
      </c>
      <c r="B250" s="218" t="str">
        <f t="shared" si="91"/>
        <v>Office ServiceTotal IS</v>
      </c>
      <c r="C250" s="124" t="s">
        <v>50</v>
      </c>
      <c r="D250" s="129"/>
      <c r="E250" s="117"/>
      <c r="F250" s="117"/>
      <c r="G250" s="117"/>
      <c r="H250" s="185" t="s">
        <v>41</v>
      </c>
      <c r="I250" s="165">
        <f>I248+I249</f>
        <v>0</v>
      </c>
      <c r="J250" s="68"/>
      <c r="K250" s="68"/>
      <c r="L250" s="68"/>
      <c r="M250" s="66"/>
      <c r="N250" s="420">
        <f>I250</f>
        <v>0</v>
      </c>
      <c r="O250" s="233">
        <f>N250/N262</f>
        <v>0</v>
      </c>
      <c r="P250" s="390"/>
      <c r="Q250" s="37"/>
      <c r="R250" s="185" t="s">
        <v>41</v>
      </c>
      <c r="S250" s="165">
        <f>S248+S249</f>
        <v>0</v>
      </c>
      <c r="T250" s="68"/>
      <c r="U250" s="68"/>
      <c r="V250" s="68"/>
      <c r="W250" s="66"/>
      <c r="X250" s="420">
        <f>S250</f>
        <v>0</v>
      </c>
      <c r="Y250" s="233">
        <f>X250/X262</f>
        <v>0</v>
      </c>
      <c r="Z250" s="390"/>
      <c r="AA250" s="37"/>
      <c r="AB250" s="185" t="s">
        <v>41</v>
      </c>
      <c r="AC250" s="165">
        <f>AC248+AC249</f>
        <v>0</v>
      </c>
      <c r="AD250" s="68"/>
      <c r="AE250" s="68"/>
      <c r="AF250" s="68"/>
      <c r="AG250" s="66"/>
      <c r="AH250" s="420">
        <f>AC250</f>
        <v>0</v>
      </c>
      <c r="AI250" s="233" t="e">
        <f>AH250/AH262</f>
        <v>#DIV/0!</v>
      </c>
      <c r="AJ250" s="165">
        <f>I250+S250+AC250</f>
        <v>0</v>
      </c>
      <c r="AK250" s="165"/>
    </row>
    <row r="251" spans="1:37" ht="21" x14ac:dyDescent="0.4">
      <c r="A251" s="299" t="s">
        <v>7</v>
      </c>
      <c r="B251" s="218" t="str">
        <f t="shared" si="91"/>
        <v>Office Service</v>
      </c>
      <c r="C251" s="5" t="s">
        <v>48</v>
      </c>
      <c r="D251" s="129"/>
      <c r="E251" s="117"/>
      <c r="F251" s="117"/>
      <c r="G251" s="117"/>
      <c r="H251" s="179"/>
      <c r="I251" s="166"/>
      <c r="J251" s="69"/>
      <c r="K251" s="69"/>
      <c r="L251" s="69"/>
      <c r="M251" s="70"/>
      <c r="N251" s="98"/>
      <c r="O251" s="243"/>
      <c r="P251" s="391"/>
      <c r="Q251" s="60"/>
      <c r="R251" s="179"/>
      <c r="S251" s="166"/>
      <c r="T251" s="69"/>
      <c r="U251" s="69"/>
      <c r="V251" s="69"/>
      <c r="W251" s="70"/>
      <c r="X251" s="98"/>
      <c r="Y251" s="243"/>
      <c r="Z251" s="391"/>
      <c r="AA251" s="60"/>
      <c r="AB251" s="179"/>
      <c r="AC251" s="166"/>
      <c r="AD251" s="69"/>
      <c r="AE251" s="69"/>
      <c r="AF251" s="69"/>
      <c r="AG251" s="70"/>
      <c r="AH251" s="98"/>
      <c r="AI251" s="243"/>
      <c r="AJ251" s="166"/>
      <c r="AK251" s="166"/>
    </row>
    <row r="252" spans="1:37" ht="21" x14ac:dyDescent="0.4">
      <c r="A252" s="299" t="s">
        <v>7</v>
      </c>
      <c r="B252" s="218" t="str">
        <f t="shared" si="91"/>
        <v>Office ServiceOTHER</v>
      </c>
      <c r="C252" s="124" t="s">
        <v>50</v>
      </c>
      <c r="D252" s="129"/>
      <c r="E252" s="117"/>
      <c r="F252" s="117"/>
      <c r="G252" s="117"/>
      <c r="H252" s="186" t="s">
        <v>42</v>
      </c>
      <c r="I252" s="167"/>
      <c r="J252" s="74"/>
      <c r="K252" s="74"/>
      <c r="L252" s="74"/>
      <c r="M252" s="66"/>
      <c r="N252" s="91"/>
      <c r="O252" s="227"/>
      <c r="P252" s="390"/>
      <c r="Q252" s="37"/>
      <c r="R252" s="186" t="s">
        <v>42</v>
      </c>
      <c r="S252" s="167"/>
      <c r="T252" s="74"/>
      <c r="U252" s="74"/>
      <c r="V252" s="74"/>
      <c r="W252" s="66"/>
      <c r="X252" s="91"/>
      <c r="Y252" s="227"/>
      <c r="Z252" s="390"/>
      <c r="AA252" s="37"/>
      <c r="AB252" s="186" t="s">
        <v>42</v>
      </c>
      <c r="AC252" s="167"/>
      <c r="AD252" s="74"/>
      <c r="AE252" s="74"/>
      <c r="AF252" s="74"/>
      <c r="AG252" s="66"/>
      <c r="AH252" s="91"/>
      <c r="AI252" s="227"/>
      <c r="AJ252" s="167"/>
      <c r="AK252" s="167"/>
    </row>
    <row r="253" spans="1:37" ht="21" x14ac:dyDescent="0.4">
      <c r="A253" s="299" t="s">
        <v>7</v>
      </c>
      <c r="B253" s="218" t="str">
        <f t="shared" si="91"/>
        <v>Office ServiceMeter bases</v>
      </c>
      <c r="C253" s="5" t="s">
        <v>48</v>
      </c>
      <c r="D253" s="129"/>
      <c r="E253" s="117"/>
      <c r="F253" s="117"/>
      <c r="G253" s="117"/>
      <c r="H253" s="184" t="s">
        <v>322</v>
      </c>
      <c r="I253" s="158">
        <f t="shared" ref="I253:I258" si="109">J253*K253</f>
        <v>0</v>
      </c>
      <c r="J253" s="42"/>
      <c r="K253" s="39"/>
      <c r="L253" s="42"/>
      <c r="M253" s="66"/>
      <c r="N253" s="91"/>
      <c r="O253" s="227"/>
      <c r="P253" s="390"/>
      <c r="Q253" s="37"/>
      <c r="R253" s="184" t="s">
        <v>322</v>
      </c>
      <c r="S253" s="158">
        <f t="shared" ref="S253:S258" si="110">T253*U253</f>
        <v>0</v>
      </c>
      <c r="T253" s="42"/>
      <c r="U253" s="39"/>
      <c r="V253" s="42"/>
      <c r="W253" s="66"/>
      <c r="X253" s="91"/>
      <c r="Y253" s="227"/>
      <c r="Z253" s="390"/>
      <c r="AA253" s="37"/>
      <c r="AB253" s="184" t="s">
        <v>322</v>
      </c>
      <c r="AC253" s="158">
        <f t="shared" ref="AC253:AC258" si="111">AD253*AE253</f>
        <v>0</v>
      </c>
      <c r="AD253" s="42"/>
      <c r="AE253" s="39"/>
      <c r="AF253" s="42"/>
      <c r="AG253" s="66"/>
      <c r="AH253" s="91"/>
      <c r="AI253" s="227"/>
      <c r="AJ253" s="158"/>
      <c r="AK253" s="158"/>
    </row>
    <row r="254" spans="1:37" ht="21" x14ac:dyDescent="0.4">
      <c r="A254" s="299" t="s">
        <v>7</v>
      </c>
      <c r="B254" s="218" t="str">
        <f t="shared" si="91"/>
        <v>Office ServicePrinter</v>
      </c>
      <c r="C254" s="5" t="s">
        <v>48</v>
      </c>
      <c r="D254" s="129"/>
      <c r="E254" s="117"/>
      <c r="F254" s="117"/>
      <c r="G254" s="117"/>
      <c r="H254" s="184" t="s">
        <v>321</v>
      </c>
      <c r="I254" s="158">
        <f t="shared" si="109"/>
        <v>0</v>
      </c>
      <c r="J254" s="42"/>
      <c r="K254" s="39"/>
      <c r="L254" s="42"/>
      <c r="M254" s="66"/>
      <c r="N254" s="91"/>
      <c r="O254" s="227"/>
      <c r="P254" s="390"/>
      <c r="Q254" s="37"/>
      <c r="R254" s="184" t="s">
        <v>321</v>
      </c>
      <c r="S254" s="158">
        <f t="shared" si="110"/>
        <v>0</v>
      </c>
      <c r="T254" s="42"/>
      <c r="U254" s="39"/>
      <c r="V254" s="42"/>
      <c r="W254" s="66"/>
      <c r="X254" s="91"/>
      <c r="Y254" s="227"/>
      <c r="Z254" s="390"/>
      <c r="AA254" s="37"/>
      <c r="AB254" s="184" t="s">
        <v>321</v>
      </c>
      <c r="AC254" s="158">
        <f t="shared" si="111"/>
        <v>0</v>
      </c>
      <c r="AD254" s="42"/>
      <c r="AE254" s="39"/>
      <c r="AF254" s="42"/>
      <c r="AG254" s="66"/>
      <c r="AH254" s="91"/>
      <c r="AI254" s="227"/>
      <c r="AJ254" s="158"/>
      <c r="AK254" s="158"/>
    </row>
    <row r="255" spans="1:37" ht="21" x14ac:dyDescent="0.4">
      <c r="A255" s="299" t="s">
        <v>7</v>
      </c>
      <c r="B255" s="218" t="str">
        <f t="shared" si="91"/>
        <v>Office Service</v>
      </c>
      <c r="C255" s="5" t="s">
        <v>48</v>
      </c>
      <c r="D255" s="129"/>
      <c r="E255" s="117"/>
      <c r="F255" s="117"/>
      <c r="G255" s="117"/>
      <c r="H255" s="184"/>
      <c r="I255" s="158">
        <f t="shared" si="109"/>
        <v>0</v>
      </c>
      <c r="J255" s="42"/>
      <c r="K255" s="39"/>
      <c r="L255" s="42"/>
      <c r="M255" s="66"/>
      <c r="N255" s="91"/>
      <c r="O255" s="227"/>
      <c r="P255" s="390"/>
      <c r="Q255" s="37"/>
      <c r="R255" s="184"/>
      <c r="S255" s="158">
        <f t="shared" si="110"/>
        <v>0</v>
      </c>
      <c r="T255" s="42"/>
      <c r="U255" s="39"/>
      <c r="V255" s="42"/>
      <c r="W255" s="66"/>
      <c r="X255" s="91"/>
      <c r="Y255" s="227"/>
      <c r="Z255" s="390"/>
      <c r="AA255" s="37"/>
      <c r="AB255" s="184"/>
      <c r="AC255" s="158">
        <f t="shared" si="111"/>
        <v>0</v>
      </c>
      <c r="AD255" s="42"/>
      <c r="AE255" s="39"/>
      <c r="AF255" s="42"/>
      <c r="AG255" s="66"/>
      <c r="AH255" s="91"/>
      <c r="AI255" s="227"/>
      <c r="AJ255" s="158"/>
      <c r="AK255" s="158"/>
    </row>
    <row r="256" spans="1:37" ht="21" x14ac:dyDescent="0.4">
      <c r="A256" s="299" t="s">
        <v>7</v>
      </c>
      <c r="B256" s="218" t="str">
        <f t="shared" si="91"/>
        <v>Office Service</v>
      </c>
      <c r="C256" s="5" t="s">
        <v>48</v>
      </c>
      <c r="D256" s="129"/>
      <c r="E256" s="117"/>
      <c r="F256" s="117"/>
      <c r="G256" s="117"/>
      <c r="H256" s="184"/>
      <c r="I256" s="158">
        <f t="shared" si="109"/>
        <v>0</v>
      </c>
      <c r="J256" s="42"/>
      <c r="K256" s="39"/>
      <c r="L256" s="42"/>
      <c r="M256" s="66"/>
      <c r="N256" s="91"/>
      <c r="O256" s="227"/>
      <c r="P256" s="390"/>
      <c r="Q256" s="37"/>
      <c r="R256" s="184"/>
      <c r="S256" s="158">
        <f t="shared" si="110"/>
        <v>0</v>
      </c>
      <c r="T256" s="42"/>
      <c r="U256" s="39"/>
      <c r="V256" s="42"/>
      <c r="W256" s="66"/>
      <c r="X256" s="91"/>
      <c r="Y256" s="227"/>
      <c r="Z256" s="390"/>
      <c r="AA256" s="37"/>
      <c r="AB256" s="184"/>
      <c r="AC256" s="158">
        <f t="shared" si="111"/>
        <v>0</v>
      </c>
      <c r="AD256" s="42"/>
      <c r="AE256" s="39"/>
      <c r="AF256" s="42"/>
      <c r="AG256" s="66"/>
      <c r="AH256" s="91"/>
      <c r="AI256" s="227"/>
      <c r="AJ256" s="158"/>
      <c r="AK256" s="158"/>
    </row>
    <row r="257" spans="1:37" ht="21" x14ac:dyDescent="0.4">
      <c r="A257" s="299" t="s">
        <v>7</v>
      </c>
      <c r="B257" s="218" t="str">
        <f t="shared" si="91"/>
        <v>Office Service</v>
      </c>
      <c r="C257" s="5" t="s">
        <v>48</v>
      </c>
      <c r="D257" s="129"/>
      <c r="E257" s="117"/>
      <c r="F257" s="117"/>
      <c r="G257" s="117"/>
      <c r="H257" s="184"/>
      <c r="I257" s="158">
        <f t="shared" si="109"/>
        <v>0</v>
      </c>
      <c r="J257" s="42"/>
      <c r="K257" s="39"/>
      <c r="L257" s="42"/>
      <c r="M257" s="66"/>
      <c r="N257" s="91"/>
      <c r="O257" s="227"/>
      <c r="P257" s="390"/>
      <c r="Q257" s="37"/>
      <c r="R257" s="184"/>
      <c r="S257" s="158">
        <f t="shared" si="110"/>
        <v>0</v>
      </c>
      <c r="T257" s="42"/>
      <c r="U257" s="39"/>
      <c r="V257" s="42"/>
      <c r="W257" s="66"/>
      <c r="X257" s="91"/>
      <c r="Y257" s="227"/>
      <c r="Z257" s="390"/>
      <c r="AA257" s="37"/>
      <c r="AB257" s="184"/>
      <c r="AC257" s="158">
        <f t="shared" si="111"/>
        <v>0</v>
      </c>
      <c r="AD257" s="42"/>
      <c r="AE257" s="39"/>
      <c r="AF257" s="42"/>
      <c r="AG257" s="66"/>
      <c r="AH257" s="91"/>
      <c r="AI257" s="227"/>
      <c r="AJ257" s="158"/>
      <c r="AK257" s="158"/>
    </row>
    <row r="258" spans="1:37" ht="21" x14ac:dyDescent="0.4">
      <c r="A258" s="299" t="s">
        <v>7</v>
      </c>
      <c r="B258" s="218" t="str">
        <f t="shared" si="91"/>
        <v>Office Service</v>
      </c>
      <c r="C258" s="5" t="s">
        <v>48</v>
      </c>
      <c r="D258" s="129"/>
      <c r="E258" s="117"/>
      <c r="F258" s="117"/>
      <c r="G258" s="117"/>
      <c r="H258" s="184"/>
      <c r="I258" s="158">
        <f t="shared" si="109"/>
        <v>0</v>
      </c>
      <c r="J258" s="67"/>
      <c r="K258" s="67"/>
      <c r="L258" s="67"/>
      <c r="M258" s="40"/>
      <c r="N258" s="94"/>
      <c r="O258" s="242"/>
      <c r="P258" s="390"/>
      <c r="Q258" s="37"/>
      <c r="R258" s="184"/>
      <c r="S258" s="158">
        <f t="shared" si="110"/>
        <v>0</v>
      </c>
      <c r="T258" s="67"/>
      <c r="U258" s="67"/>
      <c r="V258" s="67"/>
      <c r="W258" s="40"/>
      <c r="X258" s="94"/>
      <c r="Y258" s="242"/>
      <c r="Z258" s="390"/>
      <c r="AA258" s="37"/>
      <c r="AB258" s="184"/>
      <c r="AC258" s="158">
        <f t="shared" si="111"/>
        <v>0</v>
      </c>
      <c r="AD258" s="67"/>
      <c r="AE258" s="67"/>
      <c r="AF258" s="67"/>
      <c r="AG258" s="40"/>
      <c r="AH258" s="94"/>
      <c r="AI258" s="242"/>
      <c r="AJ258" s="158"/>
      <c r="AK258" s="158"/>
    </row>
    <row r="259" spans="1:37" ht="21" x14ac:dyDescent="0.4">
      <c r="A259" s="299" t="s">
        <v>7</v>
      </c>
      <c r="B259" s="218" t="str">
        <f t="shared" si="91"/>
        <v>Office ServiceTotal Other</v>
      </c>
      <c r="C259" s="124" t="s">
        <v>50</v>
      </c>
      <c r="D259" s="129"/>
      <c r="E259" s="116">
        <f>I259</f>
        <v>0</v>
      </c>
      <c r="F259" s="116">
        <f>S259</f>
        <v>0</v>
      </c>
      <c r="G259" s="116">
        <f>AC259</f>
        <v>0</v>
      </c>
      <c r="H259" s="185" t="s">
        <v>45</v>
      </c>
      <c r="I259" s="165">
        <f>SUM(I253:I258)</f>
        <v>0</v>
      </c>
      <c r="J259" s="68"/>
      <c r="K259" s="68"/>
      <c r="L259" s="68"/>
      <c r="M259" s="66"/>
      <c r="N259" s="414">
        <f>I259</f>
        <v>0</v>
      </c>
      <c r="O259" s="233">
        <f>N259/N262</f>
        <v>0</v>
      </c>
      <c r="P259" s="390"/>
      <c r="Q259" s="68"/>
      <c r="R259" s="185" t="s">
        <v>45</v>
      </c>
      <c r="S259" s="165">
        <f>SUM(S253:S258)</f>
        <v>0</v>
      </c>
      <c r="T259" s="68"/>
      <c r="U259" s="68"/>
      <c r="V259" s="68"/>
      <c r="W259" s="66"/>
      <c r="X259" s="414">
        <f>S259</f>
        <v>0</v>
      </c>
      <c r="Y259" s="233">
        <f>X259/X262</f>
        <v>0</v>
      </c>
      <c r="Z259" s="390"/>
      <c r="AA259" s="68"/>
      <c r="AB259" s="185" t="s">
        <v>45</v>
      </c>
      <c r="AC259" s="165">
        <f>SUM(AC253:AC258)</f>
        <v>0</v>
      </c>
      <c r="AD259" s="68"/>
      <c r="AE259" s="68"/>
      <c r="AF259" s="68"/>
      <c r="AG259" s="66"/>
      <c r="AH259" s="414">
        <f>AC259</f>
        <v>0</v>
      </c>
      <c r="AI259" s="233" t="e">
        <f>AH259/AH262</f>
        <v>#DIV/0!</v>
      </c>
      <c r="AJ259" s="165">
        <f>I259+S259+AC259</f>
        <v>0</v>
      </c>
      <c r="AK259" s="165"/>
    </row>
    <row r="260" spans="1:37" ht="21.6" thickBot="1" x14ac:dyDescent="0.45">
      <c r="A260" s="299" t="s">
        <v>7</v>
      </c>
      <c r="B260" s="218" t="str">
        <f t="shared" si="91"/>
        <v>Office Service</v>
      </c>
      <c r="C260" s="5" t="s">
        <v>48</v>
      </c>
      <c r="D260" s="129"/>
      <c r="E260" s="117"/>
      <c r="F260" s="117"/>
      <c r="G260" s="117"/>
      <c r="H260" s="178"/>
      <c r="I260" s="178"/>
      <c r="J260" s="101"/>
      <c r="K260" s="101"/>
      <c r="L260" s="101"/>
      <c r="M260" s="102"/>
      <c r="N260" s="415"/>
      <c r="O260" s="178"/>
      <c r="P260" s="101"/>
      <c r="Q260" s="101"/>
      <c r="R260" s="178"/>
      <c r="S260" s="178"/>
      <c r="T260" s="101"/>
      <c r="U260" s="101"/>
      <c r="V260" s="101"/>
      <c r="W260" s="102"/>
      <c r="X260" s="415"/>
      <c r="Y260" s="178"/>
      <c r="Z260" s="101"/>
      <c r="AA260" s="101"/>
      <c r="AB260" s="178"/>
      <c r="AC260" s="178"/>
      <c r="AD260" s="101"/>
      <c r="AE260" s="101"/>
      <c r="AF260" s="101"/>
      <c r="AG260" s="102"/>
      <c r="AH260" s="415"/>
      <c r="AI260" s="178"/>
      <c r="AJ260" s="178"/>
      <c r="AK260" s="178"/>
    </row>
    <row r="261" spans="1:37" ht="21.6" thickTop="1" x14ac:dyDescent="0.4">
      <c r="A261" s="299" t="s">
        <v>7</v>
      </c>
      <c r="B261" s="218" t="str">
        <f t="shared" si="91"/>
        <v>Office ServiceTOTALS</v>
      </c>
      <c r="C261" s="5" t="s">
        <v>48</v>
      </c>
      <c r="D261" s="129"/>
      <c r="E261" s="117"/>
      <c r="F261" s="117"/>
      <c r="G261" s="117"/>
      <c r="H261" s="186" t="s">
        <v>28</v>
      </c>
      <c r="I261" s="418"/>
      <c r="J261" s="103"/>
      <c r="K261" s="103"/>
      <c r="L261" s="103"/>
      <c r="M261" s="104"/>
      <c r="N261" s="91"/>
      <c r="O261" s="136"/>
      <c r="P261" s="390"/>
      <c r="Q261" s="37"/>
      <c r="R261" s="186" t="s">
        <v>28</v>
      </c>
      <c r="S261" s="418"/>
      <c r="T261" s="103"/>
      <c r="U261" s="435"/>
      <c r="V261" s="435"/>
      <c r="W261" s="436"/>
      <c r="X261" s="91"/>
      <c r="Y261" s="136"/>
      <c r="Z261" s="390"/>
      <c r="AA261" s="37"/>
      <c r="AB261" s="186" t="s">
        <v>28</v>
      </c>
      <c r="AC261" s="418"/>
      <c r="AD261" s="435"/>
      <c r="AE261" s="435"/>
      <c r="AF261" s="435"/>
      <c r="AG261" s="436"/>
      <c r="AH261" s="91"/>
      <c r="AI261" s="136"/>
      <c r="AJ261" s="418"/>
      <c r="AK261" s="418"/>
    </row>
    <row r="262" spans="1:37" ht="21" x14ac:dyDescent="0.4">
      <c r="A262" s="299" t="s">
        <v>7</v>
      </c>
      <c r="B262" s="218" t="str">
        <f t="shared" si="91"/>
        <v>Office ServicePER YEAR</v>
      </c>
      <c r="C262" s="124" t="s">
        <v>50</v>
      </c>
      <c r="D262" s="129"/>
      <c r="E262" s="117"/>
      <c r="F262" s="117"/>
      <c r="G262" s="117"/>
      <c r="H262" s="190" t="s">
        <v>46</v>
      </c>
      <c r="I262" s="417">
        <f>I233+I238+I245+I250+I259</f>
        <v>10420.0173</v>
      </c>
      <c r="J262" s="106"/>
      <c r="K262" s="106"/>
      <c r="L262" s="106"/>
      <c r="M262" s="107"/>
      <c r="N262" s="420">
        <f>SUM(N233:N260)</f>
        <v>10420.0173</v>
      </c>
      <c r="O262" s="233">
        <f>SUM(O233:O260)</f>
        <v>1.0000000000000002</v>
      </c>
      <c r="P262" s="390"/>
      <c r="Q262" s="37"/>
      <c r="R262" s="190" t="s">
        <v>46</v>
      </c>
      <c r="S262" s="417">
        <f>S233+S238+S245+S250+S259</f>
        <v>1286.8632</v>
      </c>
      <c r="T262" s="106"/>
      <c r="U262" s="433"/>
      <c r="V262" s="433"/>
      <c r="W262" s="434"/>
      <c r="X262" s="420">
        <f>SUM(X233:X260)</f>
        <v>1286.8632</v>
      </c>
      <c r="Y262" s="233">
        <f>SUM(Y233:Y260)</f>
        <v>1</v>
      </c>
      <c r="Z262" s="390"/>
      <c r="AA262" s="37"/>
      <c r="AB262" s="190" t="s">
        <v>46</v>
      </c>
      <c r="AC262" s="417">
        <f>AC233+AC238+AC245+AC250+AC259</f>
        <v>0</v>
      </c>
      <c r="AD262" s="433"/>
      <c r="AE262" s="433"/>
      <c r="AF262" s="433"/>
      <c r="AG262" s="434"/>
      <c r="AH262" s="420">
        <f>SUM(AH233:AH260)</f>
        <v>0</v>
      </c>
      <c r="AI262" s="233" t="e">
        <f>SUM(AI233:AI260)</f>
        <v>#DIV/0!</v>
      </c>
      <c r="AJ262" s="417">
        <f>I262+S262+AC262</f>
        <v>11706.880499999999</v>
      </c>
      <c r="AK262" s="417"/>
    </row>
    <row r="263" spans="1:37" ht="21" x14ac:dyDescent="0.4">
      <c r="A263" s="299" t="s">
        <v>7</v>
      </c>
      <c r="B263" s="218" t="str">
        <f t="shared" ref="B263" si="112">A263&amp;H263</f>
        <v>Office ServicePER PAYMENT</v>
      </c>
      <c r="C263" s="124" t="s">
        <v>50</v>
      </c>
      <c r="D263" s="129"/>
      <c r="E263" s="117"/>
      <c r="F263" s="117"/>
      <c r="G263" s="117"/>
      <c r="H263" s="185" t="s">
        <v>47</v>
      </c>
      <c r="I263" s="419">
        <f>I262/I$6</f>
        <v>7.0983945529108819E-2</v>
      </c>
      <c r="J263" s="108"/>
      <c r="K263" s="108"/>
      <c r="L263" s="108"/>
      <c r="M263" s="109"/>
      <c r="N263" s="98"/>
      <c r="O263" s="243"/>
      <c r="P263" s="391"/>
      <c r="Q263" s="60"/>
      <c r="R263" s="185" t="s">
        <v>47</v>
      </c>
      <c r="S263" s="419">
        <f>S262/S$6</f>
        <v>0.18292298507462687</v>
      </c>
      <c r="T263" s="108"/>
      <c r="U263" s="437"/>
      <c r="V263" s="437"/>
      <c r="W263" s="438"/>
      <c r="X263" s="98"/>
      <c r="Y263" s="243"/>
      <c r="Z263" s="391"/>
      <c r="AA263" s="60"/>
      <c r="AB263" s="185" t="s">
        <v>47</v>
      </c>
      <c r="AC263" s="419">
        <f>AC262/AC$6</f>
        <v>0</v>
      </c>
      <c r="AD263" s="437"/>
      <c r="AE263" s="437"/>
      <c r="AF263" s="437"/>
      <c r="AG263" s="438"/>
      <c r="AH263" s="98"/>
      <c r="AI263" s="243"/>
      <c r="AJ263" s="419">
        <f>I263+S263+AC263</f>
        <v>0.2539069306037357</v>
      </c>
      <c r="AK263" s="419"/>
    </row>
    <row r="264" spans="1:37" ht="15.6" x14ac:dyDescent="0.3">
      <c r="A264" s="299" t="s">
        <v>7</v>
      </c>
      <c r="B264" s="218"/>
      <c r="C264" s="220"/>
      <c r="D264" s="129"/>
      <c r="E264" s="10"/>
      <c r="F264" s="10"/>
      <c r="G264" s="10"/>
      <c r="H264" s="137" t="s">
        <v>585</v>
      </c>
      <c r="I264" s="659">
        <f>I233+I238</f>
        <v>10420.0173</v>
      </c>
      <c r="J264" s="108"/>
      <c r="K264" s="108"/>
      <c r="L264" s="108"/>
      <c r="M264" s="109"/>
      <c r="N264" s="656"/>
      <c r="O264" s="657"/>
      <c r="P264" s="92"/>
      <c r="Q264" s="37"/>
      <c r="R264" s="137" t="s">
        <v>585</v>
      </c>
      <c r="S264" s="659">
        <f>S233+S238</f>
        <v>1286.8632</v>
      </c>
      <c r="T264" s="108"/>
      <c r="U264" s="108"/>
      <c r="V264" s="108"/>
      <c r="W264" s="109"/>
      <c r="X264" s="658"/>
      <c r="Y264" s="657"/>
      <c r="Z264" s="92"/>
      <c r="AA264" s="37"/>
      <c r="AB264" s="137" t="s">
        <v>585</v>
      </c>
      <c r="AC264" s="659">
        <f>AC233+AC238</f>
        <v>0</v>
      </c>
      <c r="AD264" s="108"/>
      <c r="AE264" s="108"/>
      <c r="AF264" s="108"/>
      <c r="AG264" s="109"/>
      <c r="AH264" s="656"/>
      <c r="AI264" s="137"/>
      <c r="AJ264" s="659">
        <f>I264+S264+AC264</f>
        <v>11706.880499999999</v>
      </c>
      <c r="AK264" s="659"/>
    </row>
    <row r="265" spans="1:37" ht="15.6" x14ac:dyDescent="0.3">
      <c r="A265" s="299" t="s">
        <v>7</v>
      </c>
      <c r="B265" s="218"/>
      <c r="C265" s="220"/>
      <c r="D265" s="129"/>
      <c r="E265" s="10"/>
      <c r="F265" s="10"/>
      <c r="G265" s="10"/>
      <c r="H265" s="137" t="s">
        <v>586</v>
      </c>
      <c r="I265" s="659">
        <f>I259+I250+I245</f>
        <v>0</v>
      </c>
      <c r="J265" s="108"/>
      <c r="K265" s="659"/>
      <c r="L265" s="108"/>
      <c r="M265" s="109"/>
      <c r="N265" s="656"/>
      <c r="O265" s="657"/>
      <c r="P265" s="92"/>
      <c r="Q265" s="37"/>
      <c r="R265" s="137" t="s">
        <v>586</v>
      </c>
      <c r="S265" s="659">
        <f>S259+S250+S245</f>
        <v>0</v>
      </c>
      <c r="T265" s="108"/>
      <c r="U265" s="659"/>
      <c r="V265" s="108"/>
      <c r="W265" s="109"/>
      <c r="X265" s="658"/>
      <c r="Y265" s="657"/>
      <c r="Z265" s="92"/>
      <c r="AA265" s="37"/>
      <c r="AB265" s="137" t="s">
        <v>586</v>
      </c>
      <c r="AC265" s="659">
        <f>AC259+AC250+AC245</f>
        <v>0</v>
      </c>
      <c r="AD265" s="108"/>
      <c r="AE265" s="659"/>
      <c r="AF265" s="108"/>
      <c r="AG265" s="109"/>
      <c r="AH265" s="656"/>
      <c r="AI265" s="137"/>
      <c r="AJ265" s="659">
        <f>I265+S265+AC265</f>
        <v>0</v>
      </c>
      <c r="AK265" s="659"/>
    </row>
    <row r="266" spans="1:37" ht="15.6" x14ac:dyDescent="0.3">
      <c r="A266" s="299" t="s">
        <v>7</v>
      </c>
      <c r="B266" s="218"/>
      <c r="C266" s="220"/>
      <c r="D266" s="129"/>
      <c r="E266" s="10"/>
      <c r="F266" s="10"/>
      <c r="G266" s="10"/>
      <c r="H266" s="137" t="s">
        <v>584</v>
      </c>
      <c r="I266" s="659">
        <f>I262</f>
        <v>10420.0173</v>
      </c>
      <c r="J266" s="108"/>
      <c r="K266" s="108"/>
      <c r="L266" s="108"/>
      <c r="M266" s="109"/>
      <c r="N266" s="656"/>
      <c r="O266" s="657"/>
      <c r="P266" s="92"/>
      <c r="Q266" s="37"/>
      <c r="R266" s="137" t="s">
        <v>584</v>
      </c>
      <c r="S266" s="659">
        <f>S262</f>
        <v>1286.8632</v>
      </c>
      <c r="T266" s="108"/>
      <c r="U266" s="108"/>
      <c r="V266" s="108"/>
      <c r="W266" s="109"/>
      <c r="X266" s="658"/>
      <c r="Y266" s="657"/>
      <c r="Z266" s="92"/>
      <c r="AA266" s="37"/>
      <c r="AB266" s="137" t="s">
        <v>584</v>
      </c>
      <c r="AC266" s="659">
        <f>AC262</f>
        <v>0</v>
      </c>
      <c r="AD266" s="108"/>
      <c r="AE266" s="108"/>
      <c r="AF266" s="108"/>
      <c r="AG266" s="109"/>
      <c r="AH266" s="656"/>
      <c r="AI266" s="137"/>
      <c r="AJ266" s="659">
        <f>I266+S266+AC266</f>
        <v>11706.880499999999</v>
      </c>
      <c r="AK266" s="659"/>
    </row>
    <row r="267" spans="1:37" ht="16.2" customHeight="1" x14ac:dyDescent="0.3">
      <c r="A267" s="2" t="s">
        <v>50</v>
      </c>
      <c r="D267" s="655"/>
      <c r="E267" s="655"/>
      <c r="F267" s="655"/>
      <c r="G267" s="655"/>
    </row>
    <row r="268" spans="1:37" ht="15.6" x14ac:dyDescent="0.3">
      <c r="A268" s="261"/>
      <c r="D268" s="655"/>
      <c r="E268" s="655"/>
      <c r="F268" s="655"/>
      <c r="G268" s="655"/>
      <c r="H268" s="261" t="s">
        <v>67</v>
      </c>
      <c r="I268" s="667">
        <f>I264+I223+I181+I140+I95+I47</f>
        <v>2288360.2970152674</v>
      </c>
      <c r="R268" s="261" t="s">
        <v>67</v>
      </c>
      <c r="S268" s="667">
        <f>S264+S223+S181+S140+S95+S47</f>
        <v>149477.48080620181</v>
      </c>
      <c r="AB268" s="261" t="s">
        <v>67</v>
      </c>
      <c r="AC268" s="667">
        <f>AC264+AC223+AC181+AC140+AC95+AC47</f>
        <v>1028.0626580825938</v>
      </c>
      <c r="AJ268" s="667">
        <f>I268+S268+AC268</f>
        <v>2438865.8404795518</v>
      </c>
    </row>
    <row r="269" spans="1:37" ht="15.6" x14ac:dyDescent="0.3">
      <c r="A269" s="261"/>
      <c r="D269" s="655"/>
      <c r="E269" s="655"/>
      <c r="F269" s="655"/>
      <c r="G269" s="655"/>
      <c r="H269" s="261" t="s">
        <v>583</v>
      </c>
      <c r="I269" s="667">
        <f t="shared" ref="I269:I270" si="113">I265+I224+I182+I141+I96+I48</f>
        <v>563399.12744690117</v>
      </c>
      <c r="R269" s="261" t="s">
        <v>583</v>
      </c>
      <c r="S269" s="667">
        <f t="shared" ref="S269:S270" si="114">S265+S224+S182+S141+S96+S48</f>
        <v>28735.492491443449</v>
      </c>
      <c r="AB269" s="261" t="s">
        <v>583</v>
      </c>
      <c r="AC269" s="667">
        <f t="shared" ref="AC269:AC270" si="115">AC265+AC224+AC182+AC141+AC96+AC48</f>
        <v>78.917260455323301</v>
      </c>
      <c r="AJ269" s="667">
        <f>I269+S269+AC269</f>
        <v>592213.5371987999</v>
      </c>
    </row>
    <row r="270" spans="1:37" ht="15.6" x14ac:dyDescent="0.3">
      <c r="A270" s="261"/>
      <c r="D270" s="655"/>
      <c r="E270" s="655"/>
      <c r="F270" s="655"/>
      <c r="G270" s="655"/>
      <c r="H270" s="261" t="s">
        <v>584</v>
      </c>
      <c r="I270" s="667">
        <f t="shared" si="113"/>
        <v>2851759.4244621689</v>
      </c>
      <c r="R270" s="261" t="s">
        <v>584</v>
      </c>
      <c r="S270" s="667">
        <f t="shared" si="114"/>
        <v>178212.97329764528</v>
      </c>
      <c r="AB270" s="261" t="s">
        <v>584</v>
      </c>
      <c r="AC270" s="667">
        <f t="shared" si="115"/>
        <v>1106.979918537917</v>
      </c>
      <c r="AJ270" s="667">
        <f>I270+S270+AC270</f>
        <v>3031079.3776783524</v>
      </c>
    </row>
    <row r="271" spans="1:37" ht="15.6" x14ac:dyDescent="0.3">
      <c r="A271" s="261" t="s">
        <v>50</v>
      </c>
      <c r="D271" s="655"/>
      <c r="E271" s="655"/>
      <c r="F271" s="655"/>
      <c r="G271" s="655"/>
    </row>
    <row r="272" spans="1:37" ht="15.6" x14ac:dyDescent="0.3">
      <c r="A272" s="261"/>
      <c r="D272" s="655"/>
      <c r="E272" s="655"/>
      <c r="F272" s="655"/>
      <c r="G272" s="655"/>
      <c r="H272" s="261" t="s">
        <v>588</v>
      </c>
      <c r="I272" s="667">
        <f>SUM(I270,S270,AC270)</f>
        <v>3031079.3776783524</v>
      </c>
    </row>
    <row r="273" spans="23:27" x14ac:dyDescent="0.3">
      <c r="W273" s="103"/>
      <c r="X273" s="103"/>
      <c r="Y273" s="103"/>
      <c r="Z273" s="103"/>
      <c r="AA273" s="104"/>
    </row>
  </sheetData>
  <autoFilter ref="A6:AU272"/>
  <mergeCells count="13">
    <mergeCell ref="H4:Q4"/>
    <mergeCell ref="R4:AA4"/>
    <mergeCell ref="AB4:AL4"/>
    <mergeCell ref="I5:M5"/>
    <mergeCell ref="M170:M171"/>
    <mergeCell ref="W170:W171"/>
    <mergeCell ref="AG170:AG171"/>
    <mergeCell ref="M212:M213"/>
    <mergeCell ref="W212:W213"/>
    <mergeCell ref="AG212:AG213"/>
    <mergeCell ref="M129:M130"/>
    <mergeCell ref="W129:W130"/>
    <mergeCell ref="AG129:AG130"/>
  </mergeCells>
  <printOptions horizontalCentered="1"/>
  <pageMargins left="0.28999999999999998" right="0.35" top="0.52" bottom="0.38" header="0.2" footer="0.17"/>
  <pageSetup paperSize="17" scale="10" orientation="landscape" r:id="rId1"/>
  <headerFooter>
    <oddHeader>&amp;C&amp;"-,Bold"&amp;22METER TO CASH MATRIX</oddHeader>
    <oddFooter>&amp;L&amp;Z&amp;F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55"/>
  <sheetViews>
    <sheetView topLeftCell="A13" workbookViewId="0">
      <selection activeCell="R2" sqref="R2"/>
    </sheetView>
  </sheetViews>
  <sheetFormatPr defaultRowHeight="15.6" x14ac:dyDescent="0.3"/>
  <cols>
    <col min="1" max="1" width="3.88671875" style="261" customWidth="1"/>
    <col min="2" max="2" width="16.6640625" customWidth="1"/>
    <col min="3" max="3" width="6.44140625" customWidth="1"/>
    <col min="4" max="16" width="9.6640625" customWidth="1"/>
    <col min="18" max="18" width="5.5546875" style="212" customWidth="1"/>
    <col min="19" max="19" width="61" customWidth="1"/>
  </cols>
  <sheetData>
    <row r="3" spans="1:19" s="2" customFormat="1" ht="15" customHeight="1" x14ac:dyDescent="0.3">
      <c r="A3" s="261"/>
      <c r="C3" s="740" t="s">
        <v>248</v>
      </c>
      <c r="D3" s="741" t="s">
        <v>249</v>
      </c>
      <c r="E3" s="741"/>
      <c r="F3" s="741"/>
      <c r="G3" s="741"/>
      <c r="H3" s="741"/>
      <c r="I3" s="741"/>
      <c r="J3" s="741"/>
      <c r="K3" s="741"/>
      <c r="L3" s="741"/>
      <c r="M3" s="741"/>
      <c r="N3" s="741"/>
      <c r="O3" s="741"/>
      <c r="P3" s="741"/>
      <c r="Q3" s="742" t="s">
        <v>250</v>
      </c>
      <c r="R3" s="213"/>
      <c r="S3" s="262"/>
    </row>
    <row r="4" spans="1:19" s="2" customFormat="1" ht="15" customHeight="1" x14ac:dyDescent="0.3">
      <c r="A4" s="261"/>
      <c r="C4" s="740"/>
      <c r="D4" s="741" t="s">
        <v>251</v>
      </c>
      <c r="E4" s="741"/>
      <c r="F4" s="741"/>
      <c r="G4" s="741" t="s">
        <v>1</v>
      </c>
      <c r="H4" s="741"/>
      <c r="I4" s="741"/>
      <c r="J4" s="741" t="s">
        <v>252</v>
      </c>
      <c r="K4" s="741"/>
      <c r="L4" s="741"/>
      <c r="M4" s="741" t="s">
        <v>253</v>
      </c>
      <c r="N4" s="741"/>
      <c r="O4" s="741"/>
      <c r="P4" s="743" t="s">
        <v>254</v>
      </c>
      <c r="Q4" s="742"/>
      <c r="R4" s="213"/>
      <c r="S4" s="262" t="s">
        <v>255</v>
      </c>
    </row>
    <row r="5" spans="1:19" s="264" customFormat="1" x14ac:dyDescent="0.3">
      <c r="A5" s="263"/>
      <c r="C5" s="740"/>
      <c r="D5" s="265" t="s">
        <v>256</v>
      </c>
      <c r="E5" s="265" t="s">
        <v>257</v>
      </c>
      <c r="F5" s="265" t="s">
        <v>258</v>
      </c>
      <c r="G5" s="265" t="s">
        <v>256</v>
      </c>
      <c r="H5" s="265" t="s">
        <v>257</v>
      </c>
      <c r="I5" s="265" t="s">
        <v>258</v>
      </c>
      <c r="J5" s="265" t="s">
        <v>256</v>
      </c>
      <c r="K5" s="265" t="s">
        <v>257</v>
      </c>
      <c r="L5" s="265" t="s">
        <v>258</v>
      </c>
      <c r="M5" s="265" t="s">
        <v>256</v>
      </c>
      <c r="N5" s="265" t="s">
        <v>257</v>
      </c>
      <c r="O5" s="265" t="s">
        <v>258</v>
      </c>
      <c r="P5" s="743"/>
      <c r="Q5" s="742"/>
      <c r="R5" s="266"/>
      <c r="S5" s="262"/>
    </row>
    <row r="6" spans="1:19" x14ac:dyDescent="0.3">
      <c r="A6" s="261" t="s">
        <v>259</v>
      </c>
    </row>
    <row r="7" spans="1:19" ht="36.6" customHeight="1" x14ac:dyDescent="0.3">
      <c r="B7" s="267" t="s">
        <v>263</v>
      </c>
      <c r="C7" s="268">
        <v>2</v>
      </c>
      <c r="D7" s="269">
        <f>'FTE Alloc OREGON'!D7*D$55</f>
        <v>0</v>
      </c>
      <c r="E7" s="269">
        <f>'FTE Alloc OREGON'!E7*E$55</f>
        <v>0</v>
      </c>
      <c r="F7" s="269">
        <f>'FTE Alloc OREGON'!F7*F$55</f>
        <v>0</v>
      </c>
      <c r="G7" s="269">
        <f>'FTE Alloc OREGON'!G7*G$55</f>
        <v>0.53221190629800663</v>
      </c>
      <c r="H7" s="269">
        <f>'FTE Alloc OREGON'!H7*H$55</f>
        <v>4.5780962607277972E-2</v>
      </c>
      <c r="I7" s="269">
        <f>'FTE Alloc OREGON'!I7*I$55</f>
        <v>0</v>
      </c>
      <c r="J7" s="269">
        <f>'FTE Alloc OREGON'!J7*J$55</f>
        <v>2.2163895695000834E-2</v>
      </c>
      <c r="K7" s="269">
        <f>'FTE Alloc OREGON'!K7*K$55</f>
        <v>0</v>
      </c>
      <c r="L7" s="269">
        <f>'FTE Alloc OREGON'!L7*L$55</f>
        <v>0</v>
      </c>
      <c r="M7" s="269">
        <f>'FTE Alloc OREGON'!M7*M$55</f>
        <v>1.01945776745595E-2</v>
      </c>
      <c r="N7" s="269">
        <f>'FTE Alloc OREGON'!N7*N$55</f>
        <v>1.1004805591961556E-3</v>
      </c>
      <c r="O7" s="269"/>
      <c r="P7" s="269">
        <v>0.52</v>
      </c>
      <c r="Q7" s="269">
        <f>+SUM(D7:P7)</f>
        <v>1.1314518228340411</v>
      </c>
      <c r="S7" s="270" t="s">
        <v>261</v>
      </c>
    </row>
    <row r="8" spans="1:19" ht="36.6" customHeight="1" x14ac:dyDescent="0.3">
      <c r="B8" s="267" t="s">
        <v>262</v>
      </c>
      <c r="C8" s="268">
        <v>3</v>
      </c>
      <c r="D8" s="269">
        <f>'FTE Alloc OREGON'!D8*D$55</f>
        <v>2.5512732354262872E-2</v>
      </c>
      <c r="E8" s="269">
        <f>'FTE Alloc OREGON'!E8*E$55</f>
        <v>3.2700687576627122E-3</v>
      </c>
      <c r="F8" s="269">
        <f>'FTE Alloc OREGON'!F8*F$55</f>
        <v>0</v>
      </c>
      <c r="G8" s="269">
        <f>'FTE Alloc OREGON'!G8*G$55</f>
        <v>0.91917431316884901</v>
      </c>
      <c r="H8" s="269">
        <f>'FTE Alloc OREGON'!H8*H$55</f>
        <v>9.2651948133776862E-2</v>
      </c>
      <c r="I8" s="269">
        <f>'FTE Alloc OREGON'!I8*I$55</f>
        <v>0</v>
      </c>
      <c r="J8" s="269">
        <f>'FTE Alloc OREGON'!J8*J$55</f>
        <v>2.2163895695000834E-2</v>
      </c>
      <c r="K8" s="269">
        <f>'FTE Alloc OREGON'!K8*K$55</f>
        <v>0</v>
      </c>
      <c r="L8" s="269">
        <f>'FTE Alloc OREGON'!L8*L$55</f>
        <v>0</v>
      </c>
      <c r="M8" s="269">
        <f>'FTE Alloc OREGON'!M8*M$55</f>
        <v>1.01945776745595E-2</v>
      </c>
      <c r="N8" s="269">
        <f>'FTE Alloc OREGON'!N8*N$55</f>
        <v>1.1004805591961556E-3</v>
      </c>
      <c r="O8" s="269"/>
      <c r="P8" s="269">
        <v>0.03</v>
      </c>
      <c r="Q8" s="269">
        <f t="shared" ref="Q8" si="0">+SUM(D8:P8)</f>
        <v>1.1040680163433079</v>
      </c>
      <c r="S8" s="270" t="s">
        <v>261</v>
      </c>
    </row>
    <row r="9" spans="1:19" ht="36.6" customHeight="1" x14ac:dyDescent="0.3">
      <c r="B9" s="267" t="s">
        <v>260</v>
      </c>
      <c r="C9" s="268">
        <v>3</v>
      </c>
      <c r="D9" s="269">
        <f>'FTE Alloc OREGON'!D9*D$55</f>
        <v>5.2134713941319785E-2</v>
      </c>
      <c r="E9" s="269">
        <f>'FTE Alloc OREGON'!E9*E$55</f>
        <v>5.4501145961045206E-3</v>
      </c>
      <c r="F9" s="269">
        <f>'FTE Alloc OREGON'!F9*F$55</f>
        <v>0</v>
      </c>
      <c r="G9" s="269">
        <f>'FTE Alloc OREGON'!G9*G$55</f>
        <v>0.90919533992576129</v>
      </c>
      <c r="H9" s="269">
        <f>'FTE Alloc OREGON'!H9*H$55</f>
        <v>9.592201689143956E-2</v>
      </c>
      <c r="I9" s="269">
        <f>'FTE Alloc OREGON'!I9*I$55</f>
        <v>0</v>
      </c>
      <c r="J9" s="269">
        <f>'FTE Alloc OREGON'!J9*J$55</f>
        <v>0</v>
      </c>
      <c r="K9" s="269">
        <f>'FTE Alloc OREGON'!K9*K$55</f>
        <v>0</v>
      </c>
      <c r="L9" s="269">
        <f>'FTE Alloc OREGON'!L9*L$55</f>
        <v>0</v>
      </c>
      <c r="M9" s="269">
        <f>'FTE Alloc OREGON'!M9*M$55</f>
        <v>1.01945776745595E-2</v>
      </c>
      <c r="N9" s="269">
        <f>'FTE Alloc OREGON'!N9*N$55</f>
        <v>1.1004805591961556E-3</v>
      </c>
      <c r="O9" s="269"/>
      <c r="P9" s="269">
        <v>0.03</v>
      </c>
      <c r="Q9" s="269">
        <f>+SUM(D9:P9)</f>
        <v>1.1039972435883809</v>
      </c>
      <c r="S9" s="270" t="s">
        <v>261</v>
      </c>
    </row>
    <row r="11" spans="1:19" x14ac:dyDescent="0.3">
      <c r="B11" s="267" t="s">
        <v>264</v>
      </c>
      <c r="C11" s="268">
        <v>3</v>
      </c>
      <c r="D11" s="274">
        <f>'FTE Alloc OREGON'!D11*D$55</f>
        <v>0</v>
      </c>
      <c r="E11" s="274">
        <f>'FTE Alloc OREGON'!E11*E$55</f>
        <v>0</v>
      </c>
      <c r="F11" s="274">
        <f>'FTE Alloc OREGON'!F11*F$55</f>
        <v>0</v>
      </c>
      <c r="G11" s="274">
        <f>'FTE Alloc OREGON'!G11*G$55</f>
        <v>0</v>
      </c>
      <c r="H11" s="274">
        <f>'FTE Alloc OREGON'!H11*H$55</f>
        <v>0</v>
      </c>
      <c r="I11" s="274">
        <f>'FTE Alloc OREGON'!I11*I$55</f>
        <v>0</v>
      </c>
      <c r="J11" s="274">
        <f>'FTE Alloc OREGON'!J11*J$55</f>
        <v>1.0018080854140377</v>
      </c>
      <c r="K11" s="274">
        <f>'FTE Alloc OREGON'!K11*K$55</f>
        <v>9.8616797715318394E-2</v>
      </c>
      <c r="L11" s="274">
        <f>'FTE Alloc OREGON'!L11*L$55</f>
        <v>6.4585544957496913E-3</v>
      </c>
      <c r="M11" s="274">
        <f>'FTE Alloc OREGON'!M11*M$55</f>
        <v>0</v>
      </c>
      <c r="N11" s="274">
        <f>'FTE Alloc OREGON'!N11*N$55</f>
        <v>0</v>
      </c>
      <c r="O11" s="274"/>
      <c r="P11" s="274">
        <f>'FTE Alloc OREGON'!P11*P$55</f>
        <v>0</v>
      </c>
      <c r="Q11" s="274">
        <f>+SUM(D11:P11)</f>
        <v>1.1068834376251058</v>
      </c>
      <c r="S11" s="270" t="s">
        <v>265</v>
      </c>
    </row>
    <row r="12" spans="1:19" x14ac:dyDescent="0.3">
      <c r="B12" s="275"/>
      <c r="C12" s="271"/>
      <c r="D12" s="272"/>
      <c r="E12" s="272"/>
      <c r="F12" s="272"/>
      <c r="G12" s="272"/>
      <c r="H12" s="272"/>
      <c r="I12" s="272"/>
      <c r="J12" s="272"/>
      <c r="K12" s="272"/>
      <c r="L12" s="272"/>
      <c r="M12" s="272"/>
      <c r="N12" s="272"/>
      <c r="O12" s="272"/>
      <c r="P12" s="272"/>
      <c r="Q12" s="272"/>
      <c r="S12" s="273"/>
    </row>
    <row r="13" spans="1:19" x14ac:dyDescent="0.3">
      <c r="B13" s="267" t="s">
        <v>266</v>
      </c>
      <c r="C13" s="268">
        <v>1</v>
      </c>
      <c r="D13" s="276"/>
      <c r="E13" s="276"/>
      <c r="F13" s="276"/>
      <c r="G13" s="276"/>
      <c r="H13" s="276"/>
      <c r="I13" s="276"/>
      <c r="J13" s="276"/>
      <c r="K13" s="276"/>
      <c r="L13" s="276"/>
      <c r="M13" s="274">
        <f>'FTE Alloc OREGON'!M13*M$55</f>
        <v>1.0613688090069169</v>
      </c>
      <c r="N13" s="274">
        <f>'FTE Alloc OREGON'!N13*N$55</f>
        <v>6.9330275229357793E-2</v>
      </c>
      <c r="O13" s="274">
        <v>0</v>
      </c>
      <c r="P13" s="274"/>
      <c r="Q13" s="274">
        <f t="shared" ref="Q13" si="1">+SUM(D13:P13)</f>
        <v>1.1306990842362747</v>
      </c>
      <c r="S13" s="270" t="s">
        <v>267</v>
      </c>
    </row>
    <row r="14" spans="1:19" x14ac:dyDescent="0.3">
      <c r="B14" s="275"/>
      <c r="C14" s="271"/>
      <c r="D14" s="272"/>
      <c r="E14" s="272"/>
      <c r="F14" s="272"/>
      <c r="G14" s="272"/>
      <c r="H14" s="272"/>
      <c r="I14" s="272"/>
      <c r="J14" s="272"/>
      <c r="K14" s="272"/>
      <c r="L14" s="272"/>
      <c r="M14" s="272"/>
      <c r="N14" s="272"/>
      <c r="O14" s="272"/>
      <c r="P14" s="272"/>
      <c r="Q14" s="277"/>
      <c r="S14" s="273"/>
    </row>
    <row r="15" spans="1:19" x14ac:dyDescent="0.3">
      <c r="A15" s="261" t="s">
        <v>5</v>
      </c>
      <c r="B15" s="275"/>
      <c r="C15" s="271"/>
      <c r="D15" s="272"/>
      <c r="E15" s="272"/>
      <c r="F15" s="272">
        <v>0.1</v>
      </c>
      <c r="G15" s="272"/>
      <c r="H15" s="272"/>
      <c r="I15" s="272">
        <v>0.62</v>
      </c>
      <c r="J15" s="272"/>
      <c r="K15" s="272"/>
      <c r="L15" s="272"/>
      <c r="M15" s="272"/>
      <c r="N15" s="272"/>
      <c r="O15" s="272">
        <v>0.08</v>
      </c>
      <c r="P15" s="272">
        <v>0.2</v>
      </c>
      <c r="Q15" s="277"/>
      <c r="S15" s="273"/>
    </row>
    <row r="16" spans="1:19" ht="48.6" customHeight="1" x14ac:dyDescent="0.3">
      <c r="B16" s="267" t="s">
        <v>268</v>
      </c>
      <c r="C16" s="268">
        <v>3</v>
      </c>
      <c r="D16" s="274">
        <f>'FTE Alloc OREGON'!D16*D$55</f>
        <v>0</v>
      </c>
      <c r="E16" s="274">
        <f>'FTE Alloc OREGON'!E16*E$55</f>
        <v>0</v>
      </c>
      <c r="F16" s="274">
        <f>'FTE Alloc OREGON'!F16*F$55</f>
        <v>0.10764257492916152</v>
      </c>
      <c r="G16" s="274">
        <f>'FTE Alloc OREGON'!G16*G$55</f>
        <v>0</v>
      </c>
      <c r="H16" s="274">
        <f>'FTE Alloc OREGON'!H16*H$55</f>
        <v>0.16895355247924013</v>
      </c>
      <c r="I16" s="274">
        <f>'FTE Alloc OREGON'!I16*I$55</f>
        <v>0.50053797342060102</v>
      </c>
      <c r="J16" s="274">
        <f>'FTE Alloc OREGON'!J16*J$55</f>
        <v>0</v>
      </c>
      <c r="K16" s="274">
        <f>'FTE Alloc OREGON'!K16*K$55</f>
        <v>0</v>
      </c>
      <c r="L16" s="274">
        <f>'FTE Alloc OREGON'!L16*L$55</f>
        <v>0</v>
      </c>
      <c r="M16" s="274">
        <f>'FTE Alloc OREGON'!M16*M$55</f>
        <v>0</v>
      </c>
      <c r="N16" s="274">
        <f>'FTE Alloc OREGON'!N16*N$55</f>
        <v>7.0430755788553956E-2</v>
      </c>
      <c r="O16" s="274"/>
      <c r="P16" s="274">
        <f>'FTE Alloc OREGON'!P16*P$55</f>
        <v>0</v>
      </c>
      <c r="Q16" s="274">
        <f t="shared" ref="Q16:Q17" si="2">+SUM(D16:P16)</f>
        <v>0.84756485661755665</v>
      </c>
      <c r="S16" s="270" t="s">
        <v>269</v>
      </c>
    </row>
    <row r="17" spans="1:19" ht="36.6" customHeight="1" x14ac:dyDescent="0.3">
      <c r="B17" s="267" t="s">
        <v>280</v>
      </c>
      <c r="C17" s="268">
        <v>1</v>
      </c>
      <c r="D17" s="274">
        <f>'FTE Alloc OREGON'!D17*D$55</f>
        <v>0</v>
      </c>
      <c r="E17" s="274">
        <f>'FTE Alloc OREGON'!E17*E$55</f>
        <v>0</v>
      </c>
      <c r="F17" s="274">
        <f>'FTE Alloc OREGON'!F17*F$55</f>
        <v>0</v>
      </c>
      <c r="G17" s="274">
        <f>'FTE Alloc OREGON'!G17*G$55</f>
        <v>0</v>
      </c>
      <c r="H17" s="274">
        <f>'FTE Alloc OREGON'!H17*H$55</f>
        <v>4.3600916768836165E-2</v>
      </c>
      <c r="I17" s="274">
        <f>'FTE Alloc OREGON'!I17*I$55</f>
        <v>0.17222811988665843</v>
      </c>
      <c r="J17" s="274">
        <f>'FTE Alloc OREGON'!J17*J$55</f>
        <v>0.11081947847500417</v>
      </c>
      <c r="K17" s="274">
        <f>'FTE Alloc OREGON'!K17*K$55</f>
        <v>2.191484393673742E-2</v>
      </c>
      <c r="L17" s="274">
        <f>'FTE Alloc OREGON'!L17*L$55</f>
        <v>0</v>
      </c>
      <c r="M17" s="274">
        <f>'FTE Alloc OREGON'!M17*M$55</f>
        <v>0</v>
      </c>
      <c r="N17" s="274">
        <f>'FTE Alloc OREGON'!N17*N$55</f>
        <v>0</v>
      </c>
      <c r="O17" s="274"/>
      <c r="P17" s="274">
        <f>'FTE Alloc OREGON'!P17*P$55</f>
        <v>0</v>
      </c>
      <c r="Q17" s="274">
        <f t="shared" si="2"/>
        <v>0.34856335906723618</v>
      </c>
      <c r="S17" s="270" t="s">
        <v>270</v>
      </c>
    </row>
    <row r="18" spans="1:19" x14ac:dyDescent="0.3">
      <c r="B18" s="275"/>
      <c r="C18" s="271"/>
      <c r="D18" s="272"/>
      <c r="E18" s="272"/>
      <c r="F18" s="272"/>
      <c r="G18" s="272"/>
      <c r="H18" s="272"/>
      <c r="I18" s="272"/>
      <c r="J18" s="272"/>
      <c r="K18" s="272"/>
      <c r="L18" s="272"/>
      <c r="M18" s="272"/>
      <c r="N18" s="272"/>
      <c r="O18" s="272"/>
      <c r="P18" s="272"/>
      <c r="Q18" s="277"/>
      <c r="S18" s="273"/>
    </row>
    <row r="19" spans="1:19" ht="15.75" customHeight="1" x14ac:dyDescent="0.3">
      <c r="A19" s="261" t="s">
        <v>271</v>
      </c>
      <c r="B19" s="275"/>
      <c r="C19" s="271"/>
      <c r="D19" s="272"/>
      <c r="E19" s="272"/>
      <c r="F19" s="272"/>
      <c r="G19" s="272"/>
      <c r="H19" s="272"/>
      <c r="I19" s="272"/>
      <c r="J19" s="272"/>
      <c r="K19" s="272"/>
      <c r="L19" s="272"/>
      <c r="M19" s="272"/>
      <c r="N19" s="272"/>
      <c r="O19" s="272"/>
      <c r="P19" s="272"/>
      <c r="Q19" s="277"/>
      <c r="S19" s="273"/>
    </row>
    <row r="20" spans="1:19" ht="24.75" customHeight="1" x14ac:dyDescent="0.3">
      <c r="B20" s="267" t="s">
        <v>368</v>
      </c>
      <c r="C20" s="268">
        <v>1</v>
      </c>
      <c r="D20" s="274">
        <f>'FTE Alloc OREGON'!D20*D$55</f>
        <v>0</v>
      </c>
      <c r="E20" s="274">
        <f>'FTE Alloc OREGON'!E20*E$55</f>
        <v>0</v>
      </c>
      <c r="F20" s="274">
        <f>'FTE Alloc OREGON'!F20*F$55</f>
        <v>0</v>
      </c>
      <c r="G20" s="274">
        <f>'FTE Alloc OREGON'!G20*G$55</f>
        <v>0.40248525413786751</v>
      </c>
      <c r="H20" s="274">
        <f>'FTE Alloc OREGON'!H20*H$55</f>
        <v>5.1231077203382491E-2</v>
      </c>
      <c r="I20" s="274">
        <f>'FTE Alloc OREGON'!I20*I$55</f>
        <v>0</v>
      </c>
      <c r="J20" s="274">
        <f>'FTE Alloc OREGON'!J20*J$55</f>
        <v>0.25156021613825946</v>
      </c>
      <c r="K20" s="274">
        <f>'FTE Alloc OREGON'!K20*K$55</f>
        <v>2.5202070527248033E-2</v>
      </c>
      <c r="L20" s="274">
        <f>'FTE Alloc OREGON'!L20*L$55</f>
        <v>0</v>
      </c>
      <c r="M20" s="274">
        <f>'FTE Alloc OREGON'!M20*M$55</f>
        <v>0.25712990356944515</v>
      </c>
      <c r="N20" s="274">
        <f>'FTE Alloc OREGON'!N20*N$55</f>
        <v>2.5311052861511578E-2</v>
      </c>
      <c r="O20" s="274"/>
      <c r="P20" s="274">
        <f>'FTE Alloc OREGON'!P20*P$55</f>
        <v>0</v>
      </c>
      <c r="Q20" s="274">
        <f t="shared" ref="Q20:Q23" si="3">+SUM(D20:P20)</f>
        <v>1.0129195744377142</v>
      </c>
      <c r="S20" s="270" t="s">
        <v>285</v>
      </c>
    </row>
    <row r="21" spans="1:19" ht="15.75" customHeight="1" x14ac:dyDescent="0.3">
      <c r="B21" s="267" t="s">
        <v>369</v>
      </c>
      <c r="C21" s="268">
        <v>1</v>
      </c>
      <c r="D21" s="377">
        <f>'FTE Alloc OREGON'!D21*D$55</f>
        <v>0</v>
      </c>
      <c r="E21" s="377">
        <f>'FTE Alloc OREGON'!E21*E$55</f>
        <v>0</v>
      </c>
      <c r="F21" s="377">
        <f>'FTE Alloc OREGON'!F21*F$55</f>
        <v>0</v>
      </c>
      <c r="G21" s="377">
        <f>'FTE Alloc OREGON'!G21*G$55</f>
        <v>0</v>
      </c>
      <c r="H21" s="377">
        <f>'FTE Alloc OREGON'!H21*H$55</f>
        <v>0</v>
      </c>
      <c r="I21" s="377">
        <f>'FTE Alloc OREGON'!I21*I$55</f>
        <v>0</v>
      </c>
      <c r="J21" s="377">
        <f>'FTE Alloc OREGON'!J21*J$55</f>
        <v>0</v>
      </c>
      <c r="K21" s="377">
        <f>'FTE Alloc OREGON'!K21*K$55</f>
        <v>0</v>
      </c>
      <c r="L21" s="377">
        <f>'FTE Alloc OREGON'!L21*L$55</f>
        <v>0</v>
      </c>
      <c r="M21" s="377">
        <f>'FTE Alloc OREGON'!M21*M$55</f>
        <v>0</v>
      </c>
      <c r="N21" s="377">
        <f>'FTE Alloc OREGON'!N21*N$55</f>
        <v>0</v>
      </c>
      <c r="O21" s="377"/>
      <c r="P21" s="377">
        <f>'FTE Alloc OREGON'!P21*P$55</f>
        <v>0</v>
      </c>
      <c r="Q21" s="274">
        <f t="shared" si="3"/>
        <v>0</v>
      </c>
      <c r="S21" s="270"/>
    </row>
    <row r="22" spans="1:19" ht="15.75" customHeight="1" x14ac:dyDescent="0.3">
      <c r="B22" s="267" t="s">
        <v>272</v>
      </c>
      <c r="C22" s="268">
        <v>1.5</v>
      </c>
      <c r="D22" s="296">
        <f>'FTE Alloc OREGON'!D22*D$55</f>
        <v>3.1058978518233065E-2</v>
      </c>
      <c r="E22" s="296">
        <f>'FTE Alloc OREGON'!E22*E$55</f>
        <v>1.0900229192209042E-3</v>
      </c>
      <c r="F22" s="274">
        <f>'FTE Alloc OREGON'!F22*F$55</f>
        <v>0</v>
      </c>
      <c r="G22" s="296">
        <f>'FTE Alloc OREGON'!G22*G$55</f>
        <v>0.48231704008256854</v>
      </c>
      <c r="H22" s="296">
        <f>'FTE Alloc OREGON'!H22*H$55</f>
        <v>4.9051031364940684E-2</v>
      </c>
      <c r="I22" s="274">
        <f>'FTE Alloc OREGON'!I22*I$55</f>
        <v>0</v>
      </c>
      <c r="J22" s="295">
        <f>'FTE Alloc OREGON'!J22*J$55</f>
        <v>0.33135024064026247</v>
      </c>
      <c r="K22" s="295">
        <f>'FTE Alloc OREGON'!K22*K$55</f>
        <v>3.3968008101943004E-2</v>
      </c>
      <c r="L22" s="274">
        <f>'FTE Alloc OREGON'!L22*L$55</f>
        <v>0</v>
      </c>
      <c r="M22" s="296">
        <f>'FTE Alloc OREGON'!M22*M$55</f>
        <v>5.4371080930984E-2</v>
      </c>
      <c r="N22" s="296">
        <f>'FTE Alloc OREGON'!N22*N$55</f>
        <v>3.3014416775884667E-2</v>
      </c>
      <c r="O22" s="274"/>
      <c r="P22" s="296">
        <f>'FTE Alloc OREGON'!P22*P$55</f>
        <v>0</v>
      </c>
      <c r="Q22" s="274">
        <f t="shared" si="3"/>
        <v>1.0162208193340372</v>
      </c>
      <c r="S22" s="270" t="s">
        <v>284</v>
      </c>
    </row>
    <row r="23" spans="1:19" x14ac:dyDescent="0.3">
      <c r="B23" s="267" t="s">
        <v>273</v>
      </c>
      <c r="C23" s="268">
        <v>0.5</v>
      </c>
      <c r="D23" s="274">
        <f>'FTE Alloc OREGON'!D23*D$55</f>
        <v>0</v>
      </c>
      <c r="E23" s="274">
        <f>'FTE Alloc OREGON'!E23*E$55</f>
        <v>0</v>
      </c>
      <c r="F23" s="274">
        <f>'FTE Alloc OREGON'!F23*F$55</f>
        <v>0.10764257492916152</v>
      </c>
      <c r="G23" s="274">
        <f>'FTE Alloc OREGON'!G23*G$55</f>
        <v>0</v>
      </c>
      <c r="H23" s="274">
        <f>'FTE Alloc OREGON'!H23*H$55</f>
        <v>0.16895355247924013</v>
      </c>
      <c r="I23" s="274">
        <f>'FTE Alloc OREGON'!I23*I$55</f>
        <v>0.50053797342060102</v>
      </c>
      <c r="J23" s="274">
        <f>'FTE Alloc OREGON'!J23*J$55</f>
        <v>0</v>
      </c>
      <c r="K23" s="274">
        <f>'FTE Alloc OREGON'!K23*K$55</f>
        <v>0</v>
      </c>
      <c r="L23" s="274">
        <f>'FTE Alloc OREGON'!L23*L$55</f>
        <v>0</v>
      </c>
      <c r="M23" s="274">
        <f>'FTE Alloc OREGON'!M23*M$55</f>
        <v>0</v>
      </c>
      <c r="N23" s="274">
        <f>'FTE Alloc OREGON'!N23*N$55</f>
        <v>7.0430755788553956E-2</v>
      </c>
      <c r="O23" s="274"/>
      <c r="P23" s="274">
        <f>'FTE Alloc OREGON'!P23*P$55</f>
        <v>0</v>
      </c>
      <c r="Q23" s="274">
        <f t="shared" si="3"/>
        <v>0.84756485661755665</v>
      </c>
      <c r="S23" s="270" t="s">
        <v>283</v>
      </c>
    </row>
    <row r="24" spans="1:19" x14ac:dyDescent="0.3">
      <c r="C24" s="271"/>
    </row>
    <row r="25" spans="1:19" x14ac:dyDescent="0.3">
      <c r="C25" s="271"/>
    </row>
    <row r="26" spans="1:19" ht="16.2" customHeight="1" x14ac:dyDescent="0.3">
      <c r="C26" s="271"/>
    </row>
    <row r="27" spans="1:19" ht="15.6" customHeight="1" x14ac:dyDescent="0.3">
      <c r="B27" s="2"/>
      <c r="C27" s="740" t="s">
        <v>274</v>
      </c>
      <c r="D27" s="741" t="s">
        <v>275</v>
      </c>
      <c r="E27" s="741"/>
      <c r="F27" s="741"/>
      <c r="G27" s="741"/>
      <c r="H27" s="741"/>
      <c r="I27" s="741"/>
      <c r="J27" s="741"/>
      <c r="K27" s="741"/>
      <c r="L27" s="741"/>
      <c r="M27" s="741"/>
      <c r="N27" s="741"/>
      <c r="O27" s="741"/>
      <c r="P27" s="741"/>
      <c r="Q27" s="742" t="s">
        <v>276</v>
      </c>
    </row>
    <row r="28" spans="1:19" ht="15.6" customHeight="1" x14ac:dyDescent="0.3">
      <c r="B28" s="2"/>
      <c r="C28" s="740"/>
      <c r="D28" s="741" t="s">
        <v>251</v>
      </c>
      <c r="E28" s="741"/>
      <c r="F28" s="741"/>
      <c r="G28" s="741" t="s">
        <v>1</v>
      </c>
      <c r="H28" s="741"/>
      <c r="I28" s="741"/>
      <c r="J28" s="741" t="s">
        <v>252</v>
      </c>
      <c r="K28" s="741"/>
      <c r="L28" s="741"/>
      <c r="M28" s="741" t="s">
        <v>277</v>
      </c>
      <c r="N28" s="741"/>
      <c r="O28" s="741"/>
      <c r="P28" s="743" t="s">
        <v>254</v>
      </c>
      <c r="Q28" s="742"/>
    </row>
    <row r="29" spans="1:19" x14ac:dyDescent="0.3">
      <c r="A29" s="263"/>
      <c r="B29" s="264"/>
      <c r="C29" s="740"/>
      <c r="D29" s="358" t="s">
        <v>256</v>
      </c>
      <c r="E29" s="358" t="s">
        <v>257</v>
      </c>
      <c r="F29" s="358" t="s">
        <v>258</v>
      </c>
      <c r="G29" s="358" t="s">
        <v>256</v>
      </c>
      <c r="H29" s="358" t="s">
        <v>257</v>
      </c>
      <c r="I29" s="358" t="s">
        <v>258</v>
      </c>
      <c r="J29" s="358" t="s">
        <v>256</v>
      </c>
      <c r="K29" s="358" t="s">
        <v>257</v>
      </c>
      <c r="L29" s="358" t="s">
        <v>258</v>
      </c>
      <c r="M29" s="358" t="s">
        <v>256</v>
      </c>
      <c r="N29" s="358" t="s">
        <v>257</v>
      </c>
      <c r="O29" s="358" t="s">
        <v>258</v>
      </c>
      <c r="P29" s="743"/>
      <c r="Q29" s="742"/>
      <c r="R29" s="212" t="s">
        <v>278</v>
      </c>
    </row>
    <row r="30" spans="1:19" x14ac:dyDescent="0.3">
      <c r="A30" s="261" t="s">
        <v>259</v>
      </c>
      <c r="C30" s="271"/>
    </row>
    <row r="31" spans="1:19" x14ac:dyDescent="0.3">
      <c r="B31" s="278" t="s">
        <v>263</v>
      </c>
      <c r="C31" s="268">
        <f>+ROUND(C7*$H$50,2)</f>
        <v>1.78</v>
      </c>
      <c r="D31" s="406">
        <f>'FTE Alloc OREGON'!D31*D$55</f>
        <v>0</v>
      </c>
      <c r="E31" s="406">
        <f>'FTE Alloc OREGON'!E31*E$55</f>
        <v>0</v>
      </c>
      <c r="F31" s="406">
        <f>'FTE Alloc OREGON'!F31*F$55</f>
        <v>0</v>
      </c>
      <c r="G31" s="406">
        <f>'FTE Alloc OREGON'!G31*G$55</f>
        <v>0.95354633211726192</v>
      </c>
      <c r="H31" s="406">
        <f>'FTE Alloc OREGON'!H31*H$55</f>
        <v>7.6301604345463292E-2</v>
      </c>
      <c r="I31" s="406">
        <f>'FTE Alloc OREGON'!I31*I$55</f>
        <v>0</v>
      </c>
      <c r="J31" s="406">
        <f>'FTE Alloc OREGON'!J31*J$55</f>
        <v>4.4327791390001668E-2</v>
      </c>
      <c r="K31" s="406">
        <f>'FTE Alloc OREGON'!K31*K$55</f>
        <v>0</v>
      </c>
      <c r="L31" s="406">
        <f>'FTE Alloc OREGON'!L31*L$55</f>
        <v>0</v>
      </c>
      <c r="M31" s="406">
        <f>'FTE Alloc OREGON'!M31*M$55</f>
        <v>2.2654617054576668E-2</v>
      </c>
      <c r="N31" s="406">
        <f>'FTE Alloc OREGON'!N31*N$55</f>
        <v>0</v>
      </c>
      <c r="O31" s="406"/>
      <c r="P31" s="406">
        <f>'FTE Alloc OREGON'!P31*P$55</f>
        <v>0</v>
      </c>
      <c r="Q31" s="279">
        <f>+SUM(D31:P31)</f>
        <v>1.0968303449073038</v>
      </c>
      <c r="R31" s="280">
        <f>+C31-Q31</f>
        <v>0.68316965509269623</v>
      </c>
    </row>
    <row r="32" spans="1:19" x14ac:dyDescent="0.3">
      <c r="B32" s="278" t="s">
        <v>262</v>
      </c>
      <c r="C32" s="268">
        <f>+ROUND(C8*$H$50,2)</f>
        <v>2.68</v>
      </c>
      <c r="D32" s="406">
        <f>'FTE Alloc OREGON'!D32*D$55</f>
        <v>6.6554953967642272E-2</v>
      </c>
      <c r="E32" s="406">
        <f>'FTE Alloc OREGON'!E32*E$55</f>
        <v>1.0900229192209041E-2</v>
      </c>
      <c r="F32" s="406">
        <f>'FTE Alloc OREGON'!F32*F$55</f>
        <v>0</v>
      </c>
      <c r="G32" s="406">
        <f>'FTE Alloc OREGON'!G32*G$55</f>
        <v>2.461480066628281</v>
      </c>
      <c r="H32" s="406">
        <f>'FTE Alloc OREGON'!H32*H$55</f>
        <v>0.25070527142080795</v>
      </c>
      <c r="I32" s="406">
        <f>'FTE Alloc OREGON'!I32*I$55</f>
        <v>0</v>
      </c>
      <c r="J32" s="406">
        <f>'FTE Alloc OREGON'!J32*J$55</f>
        <v>5.5409739237502087E-2</v>
      </c>
      <c r="K32" s="406">
        <f>'FTE Alloc OREGON'!K32*K$55</f>
        <v>0</v>
      </c>
      <c r="L32" s="406">
        <f>'FTE Alloc OREGON'!L32*L$55</f>
        <v>0</v>
      </c>
      <c r="M32" s="406">
        <f>'FTE Alloc OREGON'!M32*M$55</f>
        <v>2.2654617054576668E-2</v>
      </c>
      <c r="N32" s="406">
        <f>'FTE Alloc OREGON'!N32*N$55</f>
        <v>0</v>
      </c>
      <c r="O32" s="406"/>
      <c r="P32" s="406">
        <f>'FTE Alloc OREGON'!P32*P$55</f>
        <v>0</v>
      </c>
      <c r="Q32" s="279">
        <f t="shared" ref="Q32" si="4">+SUM(D32:P32)</f>
        <v>2.8677048775010188</v>
      </c>
      <c r="R32" s="280">
        <f>+C32-Q32</f>
        <v>-0.18770487750101861</v>
      </c>
    </row>
    <row r="33" spans="1:18" x14ac:dyDescent="0.3">
      <c r="B33" s="278" t="s">
        <v>260</v>
      </c>
      <c r="C33" s="268">
        <f>+ROUND(C9*$H$50,2)</f>
        <v>2.68</v>
      </c>
      <c r="D33" s="406">
        <f>'FTE Alloc OREGON'!D33*D$55</f>
        <v>0.14420240026322495</v>
      </c>
      <c r="E33" s="406">
        <f>'FTE Alloc OREGON'!E33*E$55</f>
        <v>1.0900229192209041E-2</v>
      </c>
      <c r="F33" s="406">
        <f>'FTE Alloc OREGON'!F33*F$55</f>
        <v>0</v>
      </c>
      <c r="G33" s="406">
        <f>'FTE Alloc OREGON'!G33*G$55</f>
        <v>2.4282168224846554</v>
      </c>
      <c r="H33" s="406">
        <f>'FTE Alloc OREGON'!H33*H$55</f>
        <v>0.26160550061301696</v>
      </c>
      <c r="I33" s="406">
        <f>'FTE Alloc OREGON'!I33*I$55</f>
        <v>0</v>
      </c>
      <c r="J33" s="406">
        <f>'FTE Alloc OREGON'!J33*J$55</f>
        <v>0</v>
      </c>
      <c r="K33" s="406">
        <f>'FTE Alloc OREGON'!K33*K$55</f>
        <v>0</v>
      </c>
      <c r="L33" s="406">
        <f>'FTE Alloc OREGON'!L33*L$55</f>
        <v>0</v>
      </c>
      <c r="M33" s="406">
        <f>'FTE Alloc OREGON'!M33*M$55</f>
        <v>2.2654617054576668E-2</v>
      </c>
      <c r="N33" s="406">
        <f>'FTE Alloc OREGON'!N33*N$55</f>
        <v>0</v>
      </c>
      <c r="O33" s="406"/>
      <c r="P33" s="406">
        <f>'FTE Alloc OREGON'!P33*P$55</f>
        <v>0</v>
      </c>
      <c r="Q33" s="279">
        <f>+SUM(D33:P33)</f>
        <v>2.8675795696076829</v>
      </c>
      <c r="R33" s="280">
        <f>+C33-Q33</f>
        <v>-0.18757956960768274</v>
      </c>
    </row>
    <row r="34" spans="1:18" x14ac:dyDescent="0.3">
      <c r="D34" s="407"/>
      <c r="E34" s="407"/>
      <c r="F34" s="407"/>
      <c r="G34" s="407"/>
      <c r="H34" s="407"/>
      <c r="I34" s="407"/>
      <c r="J34" s="407"/>
      <c r="K34" s="407"/>
      <c r="L34" s="407"/>
      <c r="M34" s="407"/>
      <c r="N34" s="407"/>
      <c r="O34" s="407"/>
      <c r="P34" s="407"/>
    </row>
    <row r="35" spans="1:18" x14ac:dyDescent="0.3">
      <c r="B35" s="278" t="s">
        <v>264</v>
      </c>
      <c r="C35" s="268">
        <f>+ROUND(C11*$H$50,2)</f>
        <v>2.68</v>
      </c>
      <c r="D35" s="406">
        <f>'FTE Alloc OREGON'!D35*D$55</f>
        <v>0</v>
      </c>
      <c r="E35" s="406">
        <f>'FTE Alloc OREGON'!E35*E$55</f>
        <v>0</v>
      </c>
      <c r="F35" s="406">
        <f>'FTE Alloc OREGON'!F35*F$55</f>
        <v>0</v>
      </c>
      <c r="G35" s="406">
        <f>'FTE Alloc OREGON'!G35*G$55</f>
        <v>0</v>
      </c>
      <c r="H35" s="406">
        <f>'FTE Alloc OREGON'!H35*H$55</f>
        <v>0</v>
      </c>
      <c r="I35" s="406">
        <f>'FTE Alloc OREGON'!I35*I$55</f>
        <v>0</v>
      </c>
      <c r="J35" s="406">
        <f>'FTE Alloc OREGON'!J35*J$55</f>
        <v>2.6818313790951009</v>
      </c>
      <c r="K35" s="406">
        <f>'FTE Alloc OREGON'!K35*K$55</f>
        <v>0.26297812724084901</v>
      </c>
      <c r="L35" s="406">
        <f>'FTE Alloc OREGON'!L35*L$55</f>
        <v>2.1528514985832303E-2</v>
      </c>
      <c r="M35" s="406">
        <f>'FTE Alloc OREGON'!M35*M$55</f>
        <v>0</v>
      </c>
      <c r="N35" s="406">
        <f>'FTE Alloc OREGON'!N35*N$55</f>
        <v>0</v>
      </c>
      <c r="O35" s="406"/>
      <c r="P35" s="406">
        <f t="shared" ref="P35" si="5">+ROUND($C11*P11*$H$50,2)</f>
        <v>0</v>
      </c>
      <c r="Q35" s="279">
        <f t="shared" ref="Q35" si="6">+SUM(D35:P35)</f>
        <v>2.966338021321782</v>
      </c>
      <c r="R35" s="280">
        <f>+C35-Q35</f>
        <v>-0.28633802132178188</v>
      </c>
    </row>
    <row r="36" spans="1:18" x14ac:dyDescent="0.3">
      <c r="C36" s="271"/>
      <c r="D36" s="407"/>
      <c r="E36" s="407"/>
      <c r="F36" s="407"/>
      <c r="G36" s="407"/>
      <c r="H36" s="407"/>
      <c r="I36" s="407"/>
      <c r="J36" s="407"/>
      <c r="K36" s="407"/>
      <c r="L36" s="407"/>
      <c r="M36" s="407"/>
      <c r="N36" s="407"/>
      <c r="O36" s="407"/>
      <c r="P36" s="407"/>
      <c r="Q36" s="281"/>
      <c r="R36" s="280"/>
    </row>
    <row r="37" spans="1:18" x14ac:dyDescent="0.3">
      <c r="B37" s="278" t="s">
        <v>266</v>
      </c>
      <c r="C37" s="268">
        <f>+ROUND(C13*$H$50,2)</f>
        <v>0.89</v>
      </c>
      <c r="D37" s="406">
        <f>'FTE Alloc OREGON'!D37*D$55</f>
        <v>0</v>
      </c>
      <c r="E37" s="406">
        <f>'FTE Alloc OREGON'!E37*E$55</f>
        <v>0</v>
      </c>
      <c r="F37" s="406">
        <f>'FTE Alloc OREGON'!F37*F$55</f>
        <v>0</v>
      </c>
      <c r="G37" s="406">
        <f>'FTE Alloc OREGON'!G37*G$55</f>
        <v>0</v>
      </c>
      <c r="H37" s="406">
        <f>'FTE Alloc OREGON'!H37*H$55</f>
        <v>0</v>
      </c>
      <c r="I37" s="406">
        <f>'FTE Alloc OREGON'!I37*I$55</f>
        <v>0</v>
      </c>
      <c r="J37" s="406">
        <f>'FTE Alloc OREGON'!J37*J$55</f>
        <v>0</v>
      </c>
      <c r="K37" s="406">
        <f>'FTE Alloc OREGON'!K37*K$55</f>
        <v>0</v>
      </c>
      <c r="L37" s="406">
        <f>'FTE Alloc OREGON'!L37*L$55</f>
        <v>0</v>
      </c>
      <c r="M37" s="406">
        <f>'FTE Alloc OREGON'!M37*M$55</f>
        <v>0.95149391629222002</v>
      </c>
      <c r="N37" s="406">
        <f>'FTE Alloc OREGON'!N37*N$55</f>
        <v>6.6028833551769334E-2</v>
      </c>
      <c r="O37" s="406"/>
      <c r="P37" s="406">
        <f t="shared" ref="P37" si="7">+ROUND($C13*P13*$H$50,2)</f>
        <v>0</v>
      </c>
      <c r="Q37" s="279">
        <f t="shared" ref="Q37" si="8">+SUM(D37:P37)</f>
        <v>1.0175227498439894</v>
      </c>
      <c r="R37" s="280">
        <f>+C37-Q37</f>
        <v>-0.12752274984398937</v>
      </c>
    </row>
    <row r="38" spans="1:18" x14ac:dyDescent="0.3">
      <c r="C38" s="271"/>
      <c r="D38" s="407"/>
      <c r="E38" s="407"/>
      <c r="F38" s="407"/>
      <c r="G38" s="407"/>
      <c r="H38" s="407"/>
      <c r="I38" s="407"/>
      <c r="J38" s="407"/>
      <c r="K38" s="407"/>
      <c r="L38" s="407"/>
      <c r="M38" s="407"/>
      <c r="N38" s="407"/>
      <c r="O38" s="407"/>
      <c r="P38" s="407"/>
      <c r="Q38" s="281"/>
      <c r="R38" s="280"/>
    </row>
    <row r="39" spans="1:18" x14ac:dyDescent="0.3">
      <c r="A39" s="261" t="s">
        <v>5</v>
      </c>
      <c r="C39" s="271"/>
      <c r="D39" s="407"/>
      <c r="E39" s="407"/>
      <c r="F39" s="407"/>
      <c r="G39" s="407"/>
      <c r="H39" s="407"/>
      <c r="I39" s="407"/>
      <c r="J39" s="407"/>
      <c r="K39" s="407"/>
      <c r="L39" s="407"/>
      <c r="M39" s="407"/>
      <c r="N39" s="407"/>
      <c r="O39" s="407"/>
      <c r="P39" s="407"/>
      <c r="Q39" s="281"/>
      <c r="R39" s="280"/>
    </row>
    <row r="40" spans="1:18" x14ac:dyDescent="0.3">
      <c r="B40" s="278" t="s">
        <v>268</v>
      </c>
      <c r="C40" s="268">
        <f>+ROUND(C16*$H$50,2)</f>
        <v>2.68</v>
      </c>
      <c r="D40" s="406">
        <f>'FTE Alloc OREGON'!D40*D$55</f>
        <v>0</v>
      </c>
      <c r="E40" s="406">
        <f>'FTE Alloc OREGON'!E40*E$55</f>
        <v>0</v>
      </c>
      <c r="F40" s="406">
        <f>'FTE Alloc OREGON'!F40*F$55</f>
        <v>0.29063495230873609</v>
      </c>
      <c r="G40" s="406">
        <f>'FTE Alloc OREGON'!G40*G$55</f>
        <v>0</v>
      </c>
      <c r="H40" s="406">
        <f>'FTE Alloc OREGON'!H40*H$55</f>
        <v>0.44690939688057063</v>
      </c>
      <c r="I40" s="406">
        <f>'FTE Alloc OREGON'!I40*I$55</f>
        <v>1.3347679291216028</v>
      </c>
      <c r="J40" s="406">
        <f>'FTE Alloc OREGON'!J40*J$55</f>
        <v>0</v>
      </c>
      <c r="K40" s="406">
        <f>'FTE Alloc OREGON'!K40*K$55</f>
        <v>0</v>
      </c>
      <c r="L40" s="406">
        <f>'FTE Alloc OREGON'!L40*L$55</f>
        <v>0</v>
      </c>
      <c r="M40" s="406">
        <f>'FTE Alloc OREGON'!M40*M$55</f>
        <v>0</v>
      </c>
      <c r="N40" s="406">
        <f>'FTE Alloc OREGON'!N40*N$55</f>
        <v>0.18708169506334646</v>
      </c>
      <c r="O40" s="406">
        <f t="shared" ref="O40:P41" si="9">+ROUND($C16*O16*$H$50,2)</f>
        <v>0</v>
      </c>
      <c r="P40" s="406">
        <f t="shared" si="9"/>
        <v>0</v>
      </c>
      <c r="Q40" s="279">
        <f t="shared" ref="Q40:Q41" si="10">+SUM(D40:P40)</f>
        <v>2.2593939733742561</v>
      </c>
      <c r="R40" s="280">
        <f>+C40-Q40</f>
        <v>0.42060602662574409</v>
      </c>
    </row>
    <row r="41" spans="1:18" x14ac:dyDescent="0.3">
      <c r="B41" s="278" t="s">
        <v>280</v>
      </c>
      <c r="C41" s="268">
        <f>+ROUND(C17*$H$50,2)</f>
        <v>0.89</v>
      </c>
      <c r="D41" s="406">
        <f>'FTE Alloc OREGON'!D41*D$55</f>
        <v>0</v>
      </c>
      <c r="E41" s="406">
        <f>'FTE Alloc OREGON'!E41*E$55</f>
        <v>0</v>
      </c>
      <c r="F41" s="406">
        <f>'FTE Alloc OREGON'!F41*F$55</f>
        <v>0</v>
      </c>
      <c r="G41" s="406">
        <f>'FTE Alloc OREGON'!G41*G$55</f>
        <v>0</v>
      </c>
      <c r="H41" s="406">
        <f>'FTE Alloc OREGON'!H41*H$55</f>
        <v>4.3600916768836165E-2</v>
      </c>
      <c r="I41" s="406">
        <f>'FTE Alloc OREGON'!I41*I$55</f>
        <v>0.15069960490082615</v>
      </c>
      <c r="J41" s="406">
        <f>'FTE Alloc OREGON'!J41*J$55</f>
        <v>9.9737530627503748E-2</v>
      </c>
      <c r="K41" s="406">
        <f>'FTE Alloc OREGON'!K41*K$55</f>
        <v>2.191484393673742E-2</v>
      </c>
      <c r="L41" s="406">
        <f>'FTE Alloc OREGON'!L41*L$55</f>
        <v>0</v>
      </c>
      <c r="M41" s="406">
        <f>'FTE Alloc OREGON'!M41*M$55</f>
        <v>0</v>
      </c>
      <c r="N41" s="406">
        <f>'FTE Alloc OREGON'!N41*N$55</f>
        <v>0</v>
      </c>
      <c r="O41" s="406">
        <f t="shared" si="9"/>
        <v>0</v>
      </c>
      <c r="P41" s="406">
        <f t="shared" si="9"/>
        <v>0</v>
      </c>
      <c r="Q41" s="279">
        <f t="shared" si="10"/>
        <v>0.31595289623390349</v>
      </c>
      <c r="R41" s="280">
        <f>+C41-Q41</f>
        <v>0.57404710376609658</v>
      </c>
    </row>
    <row r="42" spans="1:18" x14ac:dyDescent="0.3">
      <c r="C42" s="271"/>
      <c r="D42" s="407"/>
      <c r="E42" s="407"/>
      <c r="F42" s="407"/>
      <c r="G42" s="407"/>
      <c r="H42" s="407"/>
      <c r="I42" s="407"/>
      <c r="J42" s="407"/>
      <c r="K42" s="407"/>
      <c r="L42" s="407"/>
      <c r="M42" s="407"/>
      <c r="N42" s="407"/>
      <c r="O42" s="407"/>
      <c r="P42" s="407"/>
      <c r="Q42" s="281"/>
      <c r="R42" s="280"/>
    </row>
    <row r="43" spans="1:18" x14ac:dyDescent="0.3">
      <c r="A43" s="261" t="s">
        <v>271</v>
      </c>
      <c r="C43" s="271"/>
      <c r="D43" s="407"/>
      <c r="E43" s="407"/>
      <c r="F43" s="407"/>
      <c r="G43" s="407"/>
      <c r="H43" s="407"/>
      <c r="I43" s="407"/>
      <c r="J43" s="407"/>
      <c r="K43" s="407"/>
      <c r="L43" s="407"/>
      <c r="M43" s="407"/>
      <c r="N43" s="407"/>
      <c r="O43" s="407"/>
      <c r="P43" s="407"/>
      <c r="Q43" s="281"/>
      <c r="R43" s="280"/>
    </row>
    <row r="44" spans="1:18" x14ac:dyDescent="0.3">
      <c r="B44" s="278" t="s">
        <v>370</v>
      </c>
      <c r="C44" s="268">
        <f>+ROUND(C20*$H$50,2)</f>
        <v>0.89</v>
      </c>
      <c r="D44" s="406">
        <f>'FTE Alloc OREGON'!D44*D$55</f>
        <v>0</v>
      </c>
      <c r="E44" s="406">
        <f>'FTE Alloc OREGON'!E44*E$55</f>
        <v>0</v>
      </c>
      <c r="F44" s="406">
        <f>'FTE Alloc OREGON'!F44*F$55</f>
        <v>0</v>
      </c>
      <c r="G44" s="406">
        <f>'FTE Alloc OREGON'!G44*G$55</f>
        <v>0.35480793753200446</v>
      </c>
      <c r="H44" s="406">
        <f>'FTE Alloc OREGON'!H44*H$55</f>
        <v>4.3600916768836165E-2</v>
      </c>
      <c r="I44" s="406">
        <f>'FTE Alloc OREGON'!I44*I$55</f>
        <v>0</v>
      </c>
      <c r="J44" s="406">
        <f>'FTE Alloc OREGON'!J44*J$55</f>
        <v>0.22163895695000835</v>
      </c>
      <c r="K44" s="406">
        <f>'FTE Alloc OREGON'!K44*K$55</f>
        <v>2.191484393673742E-2</v>
      </c>
      <c r="L44" s="406">
        <f>'FTE Alloc OREGON'!L44*L$55</f>
        <v>0</v>
      </c>
      <c r="M44" s="406">
        <f>'FTE Alloc OREGON'!M44*M$55</f>
        <v>0.22654617054576667</v>
      </c>
      <c r="N44" s="406">
        <f>'FTE Alloc OREGON'!N44*N$55</f>
        <v>2.2009611183923111E-2</v>
      </c>
      <c r="O44" s="406"/>
      <c r="P44" s="406">
        <f t="shared" ref="P44:P47" si="11">+ROUND($C20*P20*$H$50,2)</f>
        <v>0</v>
      </c>
      <c r="Q44" s="279">
        <f t="shared" ref="Q44:Q47" si="12">+SUM(D44:P44)</f>
        <v>0.89051843691727606</v>
      </c>
      <c r="R44" s="280">
        <f>+C44-Q44</f>
        <v>-5.1843691727604391E-4</v>
      </c>
    </row>
    <row r="45" spans="1:18" x14ac:dyDescent="0.3">
      <c r="B45" s="278" t="s">
        <v>371</v>
      </c>
      <c r="C45" s="268">
        <f t="shared" ref="C45:C47" si="13">+ROUND(C21*$H$50,2)</f>
        <v>0.89</v>
      </c>
      <c r="D45" s="406">
        <f>'FTE Alloc OREGON'!D45*D$55</f>
        <v>0</v>
      </c>
      <c r="E45" s="406">
        <f>'FTE Alloc OREGON'!E45*E$55</f>
        <v>0</v>
      </c>
      <c r="F45" s="406">
        <f>'FTE Alloc OREGON'!F45*F$55</f>
        <v>0</v>
      </c>
      <c r="G45" s="406">
        <f>'FTE Alloc OREGON'!G45*G$55</f>
        <v>0</v>
      </c>
      <c r="H45" s="406">
        <f>'FTE Alloc OREGON'!H45*H$55</f>
        <v>0</v>
      </c>
      <c r="I45" s="406">
        <f>'FTE Alloc OREGON'!I45*I$55</f>
        <v>0</v>
      </c>
      <c r="J45" s="406">
        <f>'FTE Alloc OREGON'!J45*J$55</f>
        <v>0</v>
      </c>
      <c r="K45" s="406">
        <f>'FTE Alloc OREGON'!K45*K$55</f>
        <v>0</v>
      </c>
      <c r="L45" s="406">
        <f>'FTE Alloc OREGON'!L45*L$55</f>
        <v>0</v>
      </c>
      <c r="M45" s="406">
        <f>'FTE Alloc OREGON'!M45*M$55</f>
        <v>0</v>
      </c>
      <c r="N45" s="406">
        <f>'FTE Alloc OREGON'!N45*N$55</f>
        <v>0</v>
      </c>
      <c r="O45" s="406"/>
      <c r="P45" s="406">
        <f t="shared" si="11"/>
        <v>0</v>
      </c>
      <c r="Q45" s="279">
        <f t="shared" ref="Q45" si="14">+SUM(D45:P45)</f>
        <v>0</v>
      </c>
      <c r="R45" s="280">
        <f>+C45-Q45</f>
        <v>0.89</v>
      </c>
    </row>
    <row r="46" spans="1:18" x14ac:dyDescent="0.3">
      <c r="B46" s="278" t="s">
        <v>272</v>
      </c>
      <c r="C46" s="268">
        <f t="shared" si="13"/>
        <v>1.34</v>
      </c>
      <c r="D46" s="406">
        <f>'FTE Alloc OREGON'!D46*D$55</f>
        <v>4.4369969311761522E-2</v>
      </c>
      <c r="E46" s="406">
        <f>'FTE Alloc OREGON'!E46*E$55</f>
        <v>0</v>
      </c>
      <c r="F46" s="406">
        <f>'FTE Alloc OREGON'!F46*F$55</f>
        <v>0</v>
      </c>
      <c r="G46" s="406">
        <f>'FTE Alloc OREGON'!G46*G$55</f>
        <v>0.64308938677675798</v>
      </c>
      <c r="H46" s="406">
        <f>'FTE Alloc OREGON'!H46*H$55</f>
        <v>6.540137515325424E-2</v>
      </c>
      <c r="I46" s="406">
        <f>'FTE Alloc OREGON'!I46*I$55</f>
        <v>0</v>
      </c>
      <c r="J46" s="406">
        <f>'FTE Alloc OREGON'!J46*J$55</f>
        <v>0.4432779139000167</v>
      </c>
      <c r="K46" s="406">
        <f>'FTE Alloc OREGON'!K46*K$55</f>
        <v>4.382968787347484E-2</v>
      </c>
      <c r="L46" s="406">
        <f>'FTE Alloc OREGON'!L46*L$55</f>
        <v>0</v>
      </c>
      <c r="M46" s="406">
        <f>'FTE Alloc OREGON'!M46*M$55</f>
        <v>6.7963851163729994E-2</v>
      </c>
      <c r="N46" s="406">
        <f>'FTE Alloc OREGON'!N46*N$55</f>
        <v>4.4019222367846222E-2</v>
      </c>
      <c r="O46" s="406"/>
      <c r="P46" s="406">
        <f t="shared" si="11"/>
        <v>0</v>
      </c>
      <c r="Q46" s="279">
        <f t="shared" si="12"/>
        <v>1.3519514065468414</v>
      </c>
      <c r="R46" s="280">
        <f>+C46-Q46</f>
        <v>-1.1951406546841348E-2</v>
      </c>
    </row>
    <row r="47" spans="1:18" x14ac:dyDescent="0.3">
      <c r="B47" s="278" t="s">
        <v>273</v>
      </c>
      <c r="C47" s="268">
        <f t="shared" si="13"/>
        <v>0.45</v>
      </c>
      <c r="D47" s="406">
        <f>'FTE Alloc OREGON'!D47*D$55</f>
        <v>0</v>
      </c>
      <c r="E47" s="406">
        <f>'FTE Alloc OREGON'!E47*E$55</f>
        <v>0</v>
      </c>
      <c r="F47" s="406">
        <f>'FTE Alloc OREGON'!F47*F$55</f>
        <v>4.3057029971664607E-2</v>
      </c>
      <c r="G47" s="406">
        <f>'FTE Alloc OREGON'!G47*G$55</f>
        <v>0</v>
      </c>
      <c r="H47" s="406">
        <f>'FTE Alloc OREGON'!H47*H$55</f>
        <v>7.6301604345463292E-2</v>
      </c>
      <c r="I47" s="406">
        <f>'FTE Alloc OREGON'!I47*I$55</f>
        <v>0.22604940735123918</v>
      </c>
      <c r="J47" s="406">
        <f>'FTE Alloc OREGON'!J47*J$55</f>
        <v>0</v>
      </c>
      <c r="K47" s="406">
        <f>'FTE Alloc OREGON'!K47*K$55</f>
        <v>0</v>
      </c>
      <c r="L47" s="406">
        <f>'FTE Alloc OREGON'!L47*L$55</f>
        <v>0</v>
      </c>
      <c r="M47" s="406">
        <f>'FTE Alloc OREGON'!M47*M$55</f>
        <v>0</v>
      </c>
      <c r="N47" s="406">
        <f>'FTE Alloc OREGON'!N47*N$55</f>
        <v>3.3014416775884667E-2</v>
      </c>
      <c r="O47" s="406"/>
      <c r="P47" s="406">
        <f t="shared" si="11"/>
        <v>0</v>
      </c>
      <c r="Q47" s="279">
        <f t="shared" si="12"/>
        <v>0.37842245844425176</v>
      </c>
      <c r="R47" s="280">
        <f>+C47-Q47</f>
        <v>7.1577541555748248E-2</v>
      </c>
    </row>
    <row r="48" spans="1:18" s="284" customFormat="1" x14ac:dyDescent="0.3">
      <c r="A48" s="261"/>
      <c r="B48"/>
      <c r="C48"/>
      <c r="D48"/>
      <c r="E48"/>
      <c r="F48"/>
      <c r="G48"/>
      <c r="H48"/>
      <c r="I48"/>
      <c r="J48"/>
      <c r="K48"/>
      <c r="L48"/>
      <c r="M48"/>
      <c r="N48"/>
      <c r="O48"/>
      <c r="P48"/>
      <c r="Q48"/>
      <c r="R48" s="212"/>
    </row>
    <row r="50" spans="1:18" x14ac:dyDescent="0.3">
      <c r="A50" s="282"/>
      <c r="B50" s="283" t="s">
        <v>279</v>
      </c>
      <c r="C50" s="284"/>
      <c r="D50" s="284"/>
      <c r="E50" s="284"/>
      <c r="F50" s="284"/>
      <c r="G50" s="284"/>
      <c r="H50" s="285">
        <v>0.89200000000000002</v>
      </c>
      <c r="I50" s="284"/>
      <c r="J50" s="284"/>
      <c r="K50" s="284"/>
      <c r="L50" s="284"/>
      <c r="M50" s="284"/>
      <c r="N50" s="284"/>
      <c r="O50" s="284"/>
      <c r="P50" s="284"/>
      <c r="Q50" s="284"/>
      <c r="R50" s="286"/>
    </row>
    <row r="52" spans="1:18" ht="21" x14ac:dyDescent="0.4">
      <c r="A52" s="7" t="s">
        <v>356</v>
      </c>
      <c r="B52" s="8"/>
      <c r="C52" s="9"/>
      <c r="D52" s="403">
        <v>6957485</v>
      </c>
      <c r="E52" s="371">
        <v>693226</v>
      </c>
      <c r="F52" s="371">
        <v>23142</v>
      </c>
      <c r="G52" s="403">
        <v>6937370</v>
      </c>
      <c r="H52" s="372">
        <v>693226</v>
      </c>
      <c r="I52" s="372">
        <v>23142</v>
      </c>
      <c r="J52" s="403">
        <v>6139122</v>
      </c>
      <c r="K52" s="372">
        <v>654481</v>
      </c>
      <c r="L52" s="401">
        <v>23142</v>
      </c>
      <c r="M52" s="403">
        <v>17178</v>
      </c>
      <c r="N52" s="372">
        <v>2059</v>
      </c>
      <c r="O52" s="372">
        <v>0</v>
      </c>
      <c r="R52"/>
    </row>
    <row r="53" spans="1:18" ht="21.6" thickBot="1" x14ac:dyDescent="0.45">
      <c r="A53" s="7" t="s">
        <v>357</v>
      </c>
      <c r="B53" s="8"/>
      <c r="C53" s="9"/>
      <c r="D53" s="404">
        <v>853325</v>
      </c>
      <c r="E53" s="400">
        <v>68580</v>
      </c>
      <c r="F53" s="400">
        <v>1915</v>
      </c>
      <c r="G53" s="404">
        <v>846712</v>
      </c>
      <c r="H53" s="400">
        <v>68580</v>
      </c>
      <c r="I53" s="400">
        <v>1915</v>
      </c>
      <c r="J53" s="404">
        <v>744805</v>
      </c>
      <c r="K53" s="400">
        <v>69296</v>
      </c>
      <c r="L53" s="402">
        <v>1915</v>
      </c>
      <c r="M53" s="404">
        <v>2629</v>
      </c>
      <c r="N53" s="400">
        <v>230</v>
      </c>
      <c r="O53" s="400">
        <v>0</v>
      </c>
      <c r="R53"/>
    </row>
    <row r="54" spans="1:18" ht="18" x14ac:dyDescent="0.35">
      <c r="C54" s="398" t="s">
        <v>34</v>
      </c>
      <c r="D54" s="405">
        <f>SUM(D52:D53)</f>
        <v>7810810</v>
      </c>
      <c r="E54" s="399">
        <f t="shared" ref="E54:F54" si="15">SUM(E52:E53)</f>
        <v>761806</v>
      </c>
      <c r="F54" s="399">
        <f t="shared" si="15"/>
        <v>25057</v>
      </c>
      <c r="G54" s="405">
        <f>SUM(G52:G53)</f>
        <v>7784082</v>
      </c>
      <c r="H54" s="399">
        <f t="shared" ref="H54" si="16">SUM(H52:H53)</f>
        <v>761806</v>
      </c>
      <c r="I54" s="399">
        <f t="shared" ref="I54" si="17">SUM(I52:I53)</f>
        <v>25057</v>
      </c>
      <c r="J54" s="405">
        <f>SUM(J52:J53)</f>
        <v>6883927</v>
      </c>
      <c r="K54" s="399">
        <f t="shared" ref="K54" si="18">SUM(K52:K53)</f>
        <v>723777</v>
      </c>
      <c r="L54" s="399">
        <f t="shared" ref="L54" si="19">SUM(L52:L53)</f>
        <v>25057</v>
      </c>
      <c r="M54" s="405">
        <f>SUM(M52:M53)</f>
        <v>19807</v>
      </c>
      <c r="N54" s="399">
        <f t="shared" ref="N54" si="20">SUM(N52:N53)</f>
        <v>2289</v>
      </c>
      <c r="O54" s="399">
        <f t="shared" ref="O54" si="21">SUM(O52:O53)</f>
        <v>0</v>
      </c>
      <c r="R54"/>
    </row>
    <row r="55" spans="1:18" ht="14.4" x14ac:dyDescent="0.3">
      <c r="A55" s="2" t="s">
        <v>377</v>
      </c>
      <c r="D55">
        <f>(1+D53/D54)</f>
        <v>1.109249232794038</v>
      </c>
      <c r="E55">
        <f t="shared" ref="E55:O55" si="22">(1+E53/E54)</f>
        <v>1.0900229192209041</v>
      </c>
      <c r="F55">
        <f t="shared" si="22"/>
        <v>1.0764257492916152</v>
      </c>
      <c r="G55">
        <f t="shared" si="22"/>
        <v>1.1087748047875139</v>
      </c>
      <c r="H55">
        <f t="shared" si="22"/>
        <v>1.0900229192209041</v>
      </c>
      <c r="I55">
        <f t="shared" si="22"/>
        <v>1.0764257492916152</v>
      </c>
      <c r="J55">
        <f t="shared" si="22"/>
        <v>1.1081947847500417</v>
      </c>
      <c r="K55">
        <f t="shared" si="22"/>
        <v>1.095742196836871</v>
      </c>
      <c r="L55">
        <f t="shared" si="22"/>
        <v>1.0764257492916152</v>
      </c>
      <c r="M55">
        <f t="shared" si="22"/>
        <v>1.1327308527288333</v>
      </c>
      <c r="N55">
        <f t="shared" si="22"/>
        <v>1.1004805591961555</v>
      </c>
      <c r="O55" t="e">
        <f t="shared" si="22"/>
        <v>#DIV/0!</v>
      </c>
    </row>
  </sheetData>
  <mergeCells count="16">
    <mergeCell ref="C3:C5"/>
    <mergeCell ref="D3:P3"/>
    <mergeCell ref="Q3:Q5"/>
    <mergeCell ref="D4:F4"/>
    <mergeCell ref="G4:I4"/>
    <mergeCell ref="J4:L4"/>
    <mergeCell ref="M4:O4"/>
    <mergeCell ref="P4:P5"/>
    <mergeCell ref="C27:C29"/>
    <mergeCell ref="D27:P27"/>
    <mergeCell ref="Q27:Q29"/>
    <mergeCell ref="D28:F28"/>
    <mergeCell ref="G28:I28"/>
    <mergeCell ref="J28:L28"/>
    <mergeCell ref="M28:O28"/>
    <mergeCell ref="P28:P29"/>
  </mergeCells>
  <printOptions horizontalCentered="1"/>
  <pageMargins left="0.7" right="0.7" top="0.75" bottom="0.75" header="0.3" footer="0.3"/>
  <pageSetup scale="72" orientation="landscape" r:id="rId1"/>
  <headerFooter>
    <oddFooter>&amp;L&amp;Z&amp;F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50"/>
  <sheetViews>
    <sheetView topLeftCell="A28" workbookViewId="0">
      <selection activeCell="Q47" sqref="D7:Q47"/>
    </sheetView>
  </sheetViews>
  <sheetFormatPr defaultRowHeight="15.6" x14ac:dyDescent="0.3"/>
  <cols>
    <col min="1" max="1" width="3.88671875" style="261" customWidth="1"/>
    <col min="2" max="2" width="16.6640625" customWidth="1"/>
    <col min="3" max="3" width="6.44140625" customWidth="1"/>
    <col min="4" max="16" width="9.6640625" customWidth="1"/>
    <col min="18" max="18" width="5.5546875" style="212" customWidth="1"/>
    <col min="19" max="19" width="61" customWidth="1"/>
  </cols>
  <sheetData>
    <row r="3" spans="1:19" s="2" customFormat="1" ht="15" customHeight="1" x14ac:dyDescent="0.3">
      <c r="A3" s="261"/>
      <c r="C3" s="740" t="s">
        <v>248</v>
      </c>
      <c r="D3" s="741" t="s">
        <v>249</v>
      </c>
      <c r="E3" s="741"/>
      <c r="F3" s="741"/>
      <c r="G3" s="741"/>
      <c r="H3" s="741"/>
      <c r="I3" s="741"/>
      <c r="J3" s="741"/>
      <c r="K3" s="741"/>
      <c r="L3" s="741"/>
      <c r="M3" s="741"/>
      <c r="N3" s="741"/>
      <c r="O3" s="741"/>
      <c r="P3" s="741"/>
      <c r="Q3" s="742" t="s">
        <v>250</v>
      </c>
      <c r="R3" s="213"/>
      <c r="S3" s="262"/>
    </row>
    <row r="4" spans="1:19" s="2" customFormat="1" ht="15" customHeight="1" x14ac:dyDescent="0.3">
      <c r="A4" s="261"/>
      <c r="C4" s="740"/>
      <c r="D4" s="741" t="s">
        <v>251</v>
      </c>
      <c r="E4" s="741"/>
      <c r="F4" s="741"/>
      <c r="G4" s="741" t="s">
        <v>1</v>
      </c>
      <c r="H4" s="741"/>
      <c r="I4" s="741"/>
      <c r="J4" s="741" t="s">
        <v>252</v>
      </c>
      <c r="K4" s="741"/>
      <c r="L4" s="741"/>
      <c r="M4" s="741" t="s">
        <v>253</v>
      </c>
      <c r="N4" s="741"/>
      <c r="O4" s="741"/>
      <c r="P4" s="743" t="s">
        <v>254</v>
      </c>
      <c r="Q4" s="742"/>
      <c r="R4" s="213"/>
      <c r="S4" s="262" t="s">
        <v>255</v>
      </c>
    </row>
    <row r="5" spans="1:19" s="264" customFormat="1" x14ac:dyDescent="0.3">
      <c r="A5" s="263"/>
      <c r="C5" s="740"/>
      <c r="D5" s="358" t="s">
        <v>256</v>
      </c>
      <c r="E5" s="358" t="s">
        <v>257</v>
      </c>
      <c r="F5" s="358" t="s">
        <v>258</v>
      </c>
      <c r="G5" s="358" t="s">
        <v>256</v>
      </c>
      <c r="H5" s="358" t="s">
        <v>257</v>
      </c>
      <c r="I5" s="358" t="s">
        <v>258</v>
      </c>
      <c r="J5" s="358" t="s">
        <v>256</v>
      </c>
      <c r="K5" s="358" t="s">
        <v>257</v>
      </c>
      <c r="L5" s="358" t="s">
        <v>258</v>
      </c>
      <c r="M5" s="358" t="s">
        <v>256</v>
      </c>
      <c r="N5" s="358" t="s">
        <v>257</v>
      </c>
      <c r="O5" s="358" t="s">
        <v>258</v>
      </c>
      <c r="P5" s="743"/>
      <c r="Q5" s="742"/>
      <c r="R5" s="266"/>
      <c r="S5" s="262"/>
    </row>
    <row r="6" spans="1:19" ht="15.75" x14ac:dyDescent="0.25">
      <c r="A6" s="261" t="s">
        <v>259</v>
      </c>
    </row>
    <row r="7" spans="1:19" ht="36.6" x14ac:dyDescent="0.3">
      <c r="B7" s="267" t="s">
        <v>263</v>
      </c>
      <c r="C7" s="268">
        <v>2</v>
      </c>
      <c r="D7" s="269"/>
      <c r="E7" s="269"/>
      <c r="F7" s="269"/>
      <c r="G7" s="269">
        <v>0.48</v>
      </c>
      <c r="H7" s="269">
        <v>4.2000000000000003E-2</v>
      </c>
      <c r="I7" s="269"/>
      <c r="J7" s="269">
        <v>0.02</v>
      </c>
      <c r="K7" s="269"/>
      <c r="L7" s="269"/>
      <c r="M7" s="269">
        <v>8.9999999999999993E-3</v>
      </c>
      <c r="N7" s="269">
        <v>1E-3</v>
      </c>
      <c r="O7" s="269"/>
      <c r="P7" s="269">
        <v>0.52</v>
      </c>
      <c r="Q7" s="269">
        <f>+SUM(D7:P7)</f>
        <v>1.0720000000000001</v>
      </c>
      <c r="S7" s="270" t="s">
        <v>261</v>
      </c>
    </row>
    <row r="8" spans="1:19" ht="36.6" x14ac:dyDescent="0.3">
      <c r="B8" s="267" t="s">
        <v>262</v>
      </c>
      <c r="C8" s="268">
        <v>3</v>
      </c>
      <c r="D8" s="269">
        <v>2.3E-2</v>
      </c>
      <c r="E8" s="269">
        <v>3.0000000000000001E-3</v>
      </c>
      <c r="F8" s="269"/>
      <c r="G8" s="269">
        <v>0.82899999999999996</v>
      </c>
      <c r="H8" s="269">
        <v>8.5000000000000006E-2</v>
      </c>
      <c r="I8" s="269"/>
      <c r="J8" s="269">
        <v>0.02</v>
      </c>
      <c r="K8" s="269"/>
      <c r="L8" s="269"/>
      <c r="M8" s="269">
        <v>8.9999999999999993E-3</v>
      </c>
      <c r="N8" s="269">
        <v>1E-3</v>
      </c>
      <c r="O8" s="269"/>
      <c r="P8" s="269">
        <v>0.03</v>
      </c>
      <c r="Q8" s="269">
        <f t="shared" ref="Q8" si="0">+SUM(D8:P8)</f>
        <v>1</v>
      </c>
      <c r="S8" s="270" t="s">
        <v>261</v>
      </c>
    </row>
    <row r="9" spans="1:19" ht="36.6" x14ac:dyDescent="0.3">
      <c r="B9" s="267" t="s">
        <v>260</v>
      </c>
      <c r="C9" s="268">
        <v>3</v>
      </c>
      <c r="D9" s="269">
        <v>4.7E-2</v>
      </c>
      <c r="E9" s="269">
        <v>5.0000000000000001E-3</v>
      </c>
      <c r="F9" s="269"/>
      <c r="G9" s="269">
        <v>0.82</v>
      </c>
      <c r="H9" s="269">
        <v>8.7999999999999995E-2</v>
      </c>
      <c r="I9" s="269"/>
      <c r="J9" s="269"/>
      <c r="K9" s="269"/>
      <c r="L9" s="269"/>
      <c r="M9" s="269">
        <v>8.9999999999999993E-3</v>
      </c>
      <c r="N9" s="269">
        <v>1E-3</v>
      </c>
      <c r="O9" s="269"/>
      <c r="P9" s="269">
        <v>0.03</v>
      </c>
      <c r="Q9" s="269">
        <f>+SUM(D9:P9)</f>
        <v>1</v>
      </c>
      <c r="S9" s="270" t="s">
        <v>261</v>
      </c>
    </row>
    <row r="11" spans="1:19" x14ac:dyDescent="0.3">
      <c r="B11" s="267" t="s">
        <v>264</v>
      </c>
      <c r="C11" s="268">
        <v>3</v>
      </c>
      <c r="D11" s="274"/>
      <c r="E11" s="274"/>
      <c r="F11" s="274"/>
      <c r="G11" s="274"/>
      <c r="H11" s="274"/>
      <c r="I11" s="274"/>
      <c r="J11" s="274">
        <v>0.90400000000000003</v>
      </c>
      <c r="K11" s="274">
        <v>0.09</v>
      </c>
      <c r="L11" s="274">
        <v>6.0000000000000001E-3</v>
      </c>
      <c r="M11" s="274"/>
      <c r="N11" s="274"/>
      <c r="O11" s="274"/>
      <c r="P11" s="274"/>
      <c r="Q11" s="274">
        <f t="shared" ref="Q11:Q13" si="1">+SUM(D11:P11)</f>
        <v>1</v>
      </c>
      <c r="S11" s="270" t="s">
        <v>265</v>
      </c>
    </row>
    <row r="12" spans="1:19" x14ac:dyDescent="0.3">
      <c r="B12" s="275"/>
      <c r="C12" s="271"/>
      <c r="D12" s="272"/>
      <c r="E12" s="272"/>
      <c r="F12" s="272"/>
      <c r="G12" s="272"/>
      <c r="H12" s="272"/>
      <c r="I12" s="272"/>
      <c r="J12" s="272"/>
      <c r="K12" s="272"/>
      <c r="L12" s="272"/>
      <c r="M12" s="272"/>
      <c r="N12" s="272"/>
      <c r="O12" s="272"/>
      <c r="P12" s="272"/>
      <c r="Q12" s="272"/>
      <c r="S12" s="273"/>
    </row>
    <row r="13" spans="1:19" x14ac:dyDescent="0.3">
      <c r="B13" s="267" t="s">
        <v>266</v>
      </c>
      <c r="C13" s="268">
        <v>1</v>
      </c>
      <c r="D13" s="276"/>
      <c r="E13" s="276"/>
      <c r="F13" s="276"/>
      <c r="G13" s="276"/>
      <c r="H13" s="276"/>
      <c r="I13" s="276"/>
      <c r="J13" s="276"/>
      <c r="K13" s="276"/>
      <c r="L13" s="276"/>
      <c r="M13" s="274">
        <v>0.93700000000000006</v>
      </c>
      <c r="N13" s="274">
        <v>6.3E-2</v>
      </c>
      <c r="O13" s="274">
        <v>0</v>
      </c>
      <c r="P13" s="274"/>
      <c r="Q13" s="274">
        <f t="shared" si="1"/>
        <v>1</v>
      </c>
      <c r="S13" s="270" t="s">
        <v>267</v>
      </c>
    </row>
    <row r="14" spans="1:19" x14ac:dyDescent="0.3">
      <c r="B14" s="275"/>
      <c r="C14" s="271"/>
      <c r="D14" s="272"/>
      <c r="E14" s="272"/>
      <c r="F14" s="272"/>
      <c r="G14" s="272"/>
      <c r="H14" s="272"/>
      <c r="I14" s="272"/>
      <c r="J14" s="272"/>
      <c r="K14" s="272"/>
      <c r="L14" s="272"/>
      <c r="M14" s="272"/>
      <c r="N14" s="272"/>
      <c r="O14" s="272"/>
      <c r="P14" s="272"/>
      <c r="Q14" s="277"/>
      <c r="S14" s="273"/>
    </row>
    <row r="15" spans="1:19" x14ac:dyDescent="0.3">
      <c r="A15" s="261" t="s">
        <v>5</v>
      </c>
      <c r="B15" s="275"/>
      <c r="C15" s="271"/>
      <c r="D15" s="272"/>
      <c r="E15" s="272"/>
      <c r="F15" s="272">
        <v>0.1</v>
      </c>
      <c r="G15" s="272"/>
      <c r="H15" s="272"/>
      <c r="I15" s="272">
        <v>0.62</v>
      </c>
      <c r="J15" s="272"/>
      <c r="K15" s="272"/>
      <c r="L15" s="272"/>
      <c r="M15" s="272"/>
      <c r="N15" s="272"/>
      <c r="O15" s="272">
        <v>0.08</v>
      </c>
      <c r="P15" s="272">
        <v>0.2</v>
      </c>
      <c r="Q15" s="277"/>
      <c r="S15" s="273"/>
    </row>
    <row r="16" spans="1:19" ht="48.6" x14ac:dyDescent="0.3">
      <c r="B16" s="267" t="s">
        <v>268</v>
      </c>
      <c r="C16" s="268">
        <v>3</v>
      </c>
      <c r="D16" s="274"/>
      <c r="E16" s="274"/>
      <c r="F16" s="274">
        <v>0.1</v>
      </c>
      <c r="G16" s="274"/>
      <c r="H16" s="274">
        <v>0.155</v>
      </c>
      <c r="I16" s="274">
        <v>0.46500000000000002</v>
      </c>
      <c r="J16" s="274"/>
      <c r="K16" s="274"/>
      <c r="L16" s="274"/>
      <c r="M16" s="274"/>
      <c r="N16" s="274">
        <v>6.4000000000000001E-2</v>
      </c>
      <c r="O16" s="274">
        <v>1.6E-2</v>
      </c>
      <c r="P16" s="274">
        <v>0.2</v>
      </c>
      <c r="Q16" s="274">
        <f t="shared" ref="Q16:Q17" si="2">+SUM(D16:P16)</f>
        <v>1</v>
      </c>
      <c r="S16" s="270" t="s">
        <v>269</v>
      </c>
    </row>
    <row r="17" spans="1:19" ht="36.6" x14ac:dyDescent="0.3">
      <c r="B17" s="267" t="s">
        <v>280</v>
      </c>
      <c r="C17" s="268">
        <v>1</v>
      </c>
      <c r="D17" s="274"/>
      <c r="E17" s="274"/>
      <c r="F17" s="274"/>
      <c r="G17" s="274"/>
      <c r="H17" s="274">
        <v>0.04</v>
      </c>
      <c r="I17" s="274">
        <v>0.16</v>
      </c>
      <c r="J17" s="274">
        <v>0.1</v>
      </c>
      <c r="K17" s="274">
        <v>0.02</v>
      </c>
      <c r="L17" s="274"/>
      <c r="M17" s="274"/>
      <c r="N17" s="274"/>
      <c r="O17" s="274"/>
      <c r="P17" s="274">
        <v>0.68</v>
      </c>
      <c r="Q17" s="274">
        <f t="shared" si="2"/>
        <v>1</v>
      </c>
      <c r="S17" s="270" t="s">
        <v>270</v>
      </c>
    </row>
    <row r="18" spans="1:19" x14ac:dyDescent="0.3">
      <c r="B18" s="275"/>
      <c r="C18" s="271"/>
      <c r="D18" s="272"/>
      <c r="E18" s="272"/>
      <c r="F18" s="272"/>
      <c r="G18" s="272"/>
      <c r="H18" s="272"/>
      <c r="I18" s="272"/>
      <c r="J18" s="272"/>
      <c r="K18" s="272"/>
      <c r="L18" s="272"/>
      <c r="M18" s="272"/>
      <c r="N18" s="272"/>
      <c r="O18" s="272"/>
      <c r="P18" s="272"/>
      <c r="Q18" s="277"/>
      <c r="S18" s="273"/>
    </row>
    <row r="19" spans="1:19" ht="15.75" customHeight="1" x14ac:dyDescent="0.3">
      <c r="A19" s="261" t="s">
        <v>271</v>
      </c>
      <c r="B19" s="275"/>
      <c r="C19" s="271"/>
      <c r="D19" s="272"/>
      <c r="E19" s="272"/>
      <c r="F19" s="272"/>
      <c r="G19" s="272"/>
      <c r="H19" s="272"/>
      <c r="I19" s="272"/>
      <c r="J19" s="272"/>
      <c r="K19" s="272"/>
      <c r="L19" s="272"/>
      <c r="M19" s="272"/>
      <c r="N19" s="272"/>
      <c r="O19" s="272"/>
      <c r="P19" s="272"/>
      <c r="Q19" s="277"/>
      <c r="S19" s="273"/>
    </row>
    <row r="20" spans="1:19" ht="24.75" customHeight="1" x14ac:dyDescent="0.3">
      <c r="B20" s="267" t="s">
        <v>368</v>
      </c>
      <c r="C20" s="268">
        <v>1</v>
      </c>
      <c r="D20" s="274"/>
      <c r="E20" s="274"/>
      <c r="F20" s="274"/>
      <c r="G20" s="274">
        <v>0.36299999999999999</v>
      </c>
      <c r="H20" s="274">
        <v>4.7E-2</v>
      </c>
      <c r="I20" s="274"/>
      <c r="J20" s="274">
        <v>0.22700000000000001</v>
      </c>
      <c r="K20" s="274">
        <v>2.3E-2</v>
      </c>
      <c r="L20" s="274"/>
      <c r="M20" s="274">
        <v>0.22700000000000001</v>
      </c>
      <c r="N20" s="274">
        <v>2.3E-2</v>
      </c>
      <c r="O20" s="274"/>
      <c r="P20" s="274">
        <v>0.1</v>
      </c>
      <c r="Q20" s="274">
        <f t="shared" ref="Q20:Q23" si="3">+SUM(D20:P20)</f>
        <v>1.01</v>
      </c>
      <c r="S20" s="270" t="s">
        <v>285</v>
      </c>
    </row>
    <row r="21" spans="1:19" ht="15.75" customHeight="1" x14ac:dyDescent="0.3">
      <c r="B21" s="267" t="s">
        <v>369</v>
      </c>
      <c r="C21" s="268">
        <v>1</v>
      </c>
      <c r="D21" s="377"/>
      <c r="E21" s="377"/>
      <c r="F21" s="377"/>
      <c r="G21" s="377"/>
      <c r="H21" s="377"/>
      <c r="I21" s="377"/>
      <c r="J21" s="377"/>
      <c r="K21" s="377"/>
      <c r="L21" s="377"/>
      <c r="M21" s="377"/>
      <c r="N21" s="377"/>
      <c r="O21" s="377"/>
      <c r="P21" s="377"/>
      <c r="Q21" s="274">
        <f t="shared" si="3"/>
        <v>0</v>
      </c>
      <c r="S21" s="270"/>
    </row>
    <row r="22" spans="1:19" ht="15.75" customHeight="1" x14ac:dyDescent="0.3">
      <c r="B22" s="267" t="s">
        <v>272</v>
      </c>
      <c r="C22" s="268">
        <v>1.5</v>
      </c>
      <c r="D22" s="296">
        <v>2.8000000000000001E-2</v>
      </c>
      <c r="E22" s="296">
        <v>1E-3</v>
      </c>
      <c r="F22" s="274"/>
      <c r="G22" s="296">
        <v>0.435</v>
      </c>
      <c r="H22" s="296">
        <v>4.4999999999999998E-2</v>
      </c>
      <c r="I22" s="274"/>
      <c r="J22" s="295">
        <v>0.29899999999999999</v>
      </c>
      <c r="K22" s="295">
        <v>3.1E-2</v>
      </c>
      <c r="L22" s="274"/>
      <c r="M22" s="296">
        <v>4.8000000000000001E-2</v>
      </c>
      <c r="N22" s="296">
        <v>0.03</v>
      </c>
      <c r="O22" s="274"/>
      <c r="P22" s="296">
        <v>8.3000000000000004E-2</v>
      </c>
      <c r="Q22" s="274">
        <f t="shared" si="3"/>
        <v>1.0000000000000002</v>
      </c>
      <c r="S22" s="270" t="s">
        <v>284</v>
      </c>
    </row>
    <row r="23" spans="1:19" x14ac:dyDescent="0.3">
      <c r="B23" s="267" t="s">
        <v>273</v>
      </c>
      <c r="C23" s="268">
        <v>0.5</v>
      </c>
      <c r="D23" s="274"/>
      <c r="E23" s="274"/>
      <c r="F23" s="274">
        <f>+F16</f>
        <v>0.1</v>
      </c>
      <c r="G23" s="274"/>
      <c r="H23" s="274">
        <f t="shared" ref="H23:I23" si="4">+H16</f>
        <v>0.155</v>
      </c>
      <c r="I23" s="274">
        <f t="shared" si="4"/>
        <v>0.46500000000000002</v>
      </c>
      <c r="J23" s="274"/>
      <c r="K23" s="274"/>
      <c r="L23" s="274"/>
      <c r="M23" s="274"/>
      <c r="N23" s="274">
        <f t="shared" ref="N23:P23" si="5">+N16</f>
        <v>6.4000000000000001E-2</v>
      </c>
      <c r="O23" s="274">
        <f t="shared" si="5"/>
        <v>1.6E-2</v>
      </c>
      <c r="P23" s="274">
        <f t="shared" si="5"/>
        <v>0.2</v>
      </c>
      <c r="Q23" s="274">
        <f t="shared" si="3"/>
        <v>1</v>
      </c>
      <c r="S23" s="270" t="s">
        <v>283</v>
      </c>
    </row>
    <row r="24" spans="1:19" x14ac:dyDescent="0.3">
      <c r="C24" s="271"/>
    </row>
    <row r="25" spans="1:19" x14ac:dyDescent="0.3">
      <c r="C25" s="271"/>
    </row>
    <row r="26" spans="1:19" ht="16.2" customHeight="1" x14ac:dyDescent="0.3">
      <c r="C26" s="271"/>
    </row>
    <row r="27" spans="1:19" ht="15.6" customHeight="1" x14ac:dyDescent="0.3">
      <c r="B27" s="2"/>
      <c r="C27" s="740" t="s">
        <v>274</v>
      </c>
      <c r="D27" s="741" t="s">
        <v>275</v>
      </c>
      <c r="E27" s="741"/>
      <c r="F27" s="741"/>
      <c r="G27" s="741"/>
      <c r="H27" s="741"/>
      <c r="I27" s="741"/>
      <c r="J27" s="741"/>
      <c r="K27" s="741"/>
      <c r="L27" s="741"/>
      <c r="M27" s="741"/>
      <c r="N27" s="741"/>
      <c r="O27" s="741"/>
      <c r="P27" s="741"/>
      <c r="Q27" s="742" t="s">
        <v>276</v>
      </c>
    </row>
    <row r="28" spans="1:19" x14ac:dyDescent="0.3">
      <c r="B28" s="2"/>
      <c r="C28" s="740"/>
      <c r="D28" s="741" t="s">
        <v>251</v>
      </c>
      <c r="E28" s="741"/>
      <c r="F28" s="741"/>
      <c r="G28" s="741" t="s">
        <v>1</v>
      </c>
      <c r="H28" s="741"/>
      <c r="I28" s="741"/>
      <c r="J28" s="741" t="s">
        <v>252</v>
      </c>
      <c r="K28" s="741"/>
      <c r="L28" s="741"/>
      <c r="M28" s="741" t="s">
        <v>277</v>
      </c>
      <c r="N28" s="741"/>
      <c r="O28" s="741"/>
      <c r="P28" s="743" t="s">
        <v>254</v>
      </c>
      <c r="Q28" s="742"/>
    </row>
    <row r="29" spans="1:19" x14ac:dyDescent="0.3">
      <c r="A29" s="263"/>
      <c r="B29" s="264"/>
      <c r="C29" s="740"/>
      <c r="D29" s="358" t="s">
        <v>256</v>
      </c>
      <c r="E29" s="358" t="s">
        <v>257</v>
      </c>
      <c r="F29" s="358" t="s">
        <v>258</v>
      </c>
      <c r="G29" s="358" t="s">
        <v>256</v>
      </c>
      <c r="H29" s="358" t="s">
        <v>257</v>
      </c>
      <c r="I29" s="358" t="s">
        <v>258</v>
      </c>
      <c r="J29" s="358" t="s">
        <v>256</v>
      </c>
      <c r="K29" s="358" t="s">
        <v>257</v>
      </c>
      <c r="L29" s="358" t="s">
        <v>258</v>
      </c>
      <c r="M29" s="358" t="s">
        <v>256</v>
      </c>
      <c r="N29" s="358" t="s">
        <v>257</v>
      </c>
      <c r="O29" s="358" t="s">
        <v>258</v>
      </c>
      <c r="P29" s="743"/>
      <c r="Q29" s="742"/>
      <c r="R29" s="212" t="s">
        <v>278</v>
      </c>
    </row>
    <row r="30" spans="1:19" x14ac:dyDescent="0.3">
      <c r="A30" s="261" t="s">
        <v>259</v>
      </c>
      <c r="C30" s="271"/>
    </row>
    <row r="31" spans="1:19" x14ac:dyDescent="0.3">
      <c r="B31" s="278" t="s">
        <v>263</v>
      </c>
      <c r="C31" s="268">
        <f>+ROUND(C7*$H$50,2)</f>
        <v>1.78</v>
      </c>
      <c r="D31" s="278">
        <f t="shared" ref="D31:P33" si="6">+ROUND($C7*D7*$H$50,2)</f>
        <v>0</v>
      </c>
      <c r="E31" s="278">
        <f t="shared" si="6"/>
        <v>0</v>
      </c>
      <c r="F31" s="278">
        <f t="shared" si="6"/>
        <v>0</v>
      </c>
      <c r="G31" s="278">
        <f t="shared" si="6"/>
        <v>0.86</v>
      </c>
      <c r="H31" s="278">
        <f t="shared" si="6"/>
        <v>7.0000000000000007E-2</v>
      </c>
      <c r="I31" s="278">
        <f t="shared" si="6"/>
        <v>0</v>
      </c>
      <c r="J31" s="278">
        <f t="shared" si="6"/>
        <v>0.04</v>
      </c>
      <c r="K31" s="278">
        <f t="shared" si="6"/>
        <v>0</v>
      </c>
      <c r="L31" s="278">
        <f t="shared" si="6"/>
        <v>0</v>
      </c>
      <c r="M31" s="278">
        <f t="shared" si="6"/>
        <v>0.02</v>
      </c>
      <c r="N31" s="278">
        <f t="shared" si="6"/>
        <v>0</v>
      </c>
      <c r="O31" s="278">
        <f t="shared" si="6"/>
        <v>0</v>
      </c>
      <c r="P31" s="278">
        <f t="shared" si="6"/>
        <v>0.93</v>
      </c>
      <c r="Q31" s="279">
        <f>+SUM(D31:P31)</f>
        <v>1.92</v>
      </c>
      <c r="R31" s="280">
        <f>+C31-Q31</f>
        <v>-0.1399999999999999</v>
      </c>
    </row>
    <row r="32" spans="1:19" x14ac:dyDescent="0.3">
      <c r="B32" s="278" t="s">
        <v>262</v>
      </c>
      <c r="C32" s="268">
        <f>+ROUND(C8*$H$50,2)</f>
        <v>2.68</v>
      </c>
      <c r="D32" s="278">
        <f t="shared" si="6"/>
        <v>0.06</v>
      </c>
      <c r="E32" s="278">
        <f t="shared" si="6"/>
        <v>0.01</v>
      </c>
      <c r="F32" s="278">
        <f t="shared" si="6"/>
        <v>0</v>
      </c>
      <c r="G32" s="278">
        <f t="shared" si="6"/>
        <v>2.2200000000000002</v>
      </c>
      <c r="H32" s="278">
        <f t="shared" si="6"/>
        <v>0.23</v>
      </c>
      <c r="I32" s="278">
        <f t="shared" si="6"/>
        <v>0</v>
      </c>
      <c r="J32" s="278">
        <f t="shared" si="6"/>
        <v>0.05</v>
      </c>
      <c r="K32" s="278">
        <f t="shared" si="6"/>
        <v>0</v>
      </c>
      <c r="L32" s="278">
        <f t="shared" si="6"/>
        <v>0</v>
      </c>
      <c r="M32" s="278">
        <f t="shared" si="6"/>
        <v>0.02</v>
      </c>
      <c r="N32" s="278">
        <f t="shared" si="6"/>
        <v>0</v>
      </c>
      <c r="O32" s="278">
        <f t="shared" si="6"/>
        <v>0</v>
      </c>
      <c r="P32" s="278">
        <f t="shared" si="6"/>
        <v>0.08</v>
      </c>
      <c r="Q32" s="279">
        <f t="shared" ref="Q32" si="7">+SUM(D32:P32)</f>
        <v>2.67</v>
      </c>
      <c r="R32" s="280">
        <f>+C32-Q32</f>
        <v>1.0000000000000231E-2</v>
      </c>
    </row>
    <row r="33" spans="1:18" x14ac:dyDescent="0.3">
      <c r="B33" s="278" t="s">
        <v>260</v>
      </c>
      <c r="C33" s="268">
        <f>+ROUND(C9*$H$50,2)</f>
        <v>2.68</v>
      </c>
      <c r="D33" s="278">
        <f t="shared" si="6"/>
        <v>0.13</v>
      </c>
      <c r="E33" s="278">
        <f t="shared" si="6"/>
        <v>0.01</v>
      </c>
      <c r="F33" s="278">
        <f t="shared" si="6"/>
        <v>0</v>
      </c>
      <c r="G33" s="278">
        <f t="shared" si="6"/>
        <v>2.19</v>
      </c>
      <c r="H33" s="278">
        <f t="shared" si="6"/>
        <v>0.24</v>
      </c>
      <c r="I33" s="278">
        <f t="shared" si="6"/>
        <v>0</v>
      </c>
      <c r="J33" s="278">
        <f t="shared" si="6"/>
        <v>0</v>
      </c>
      <c r="K33" s="278">
        <f t="shared" si="6"/>
        <v>0</v>
      </c>
      <c r="L33" s="278">
        <f t="shared" si="6"/>
        <v>0</v>
      </c>
      <c r="M33" s="278">
        <f t="shared" si="6"/>
        <v>0.02</v>
      </c>
      <c r="N33" s="278">
        <f t="shared" si="6"/>
        <v>0</v>
      </c>
      <c r="O33" s="278">
        <f t="shared" si="6"/>
        <v>0</v>
      </c>
      <c r="P33" s="278">
        <f t="shared" si="6"/>
        <v>0.08</v>
      </c>
      <c r="Q33" s="279">
        <f>+SUM(D33:P33)</f>
        <v>2.6700000000000004</v>
      </c>
      <c r="R33" s="280">
        <f>+C33-Q33</f>
        <v>9.9999999999997868E-3</v>
      </c>
    </row>
    <row r="35" spans="1:18" x14ac:dyDescent="0.3">
      <c r="B35" s="278" t="s">
        <v>264</v>
      </c>
      <c r="C35" s="268">
        <f>+ROUND(C11*$H$50,2)</f>
        <v>2.68</v>
      </c>
      <c r="D35" s="278">
        <f t="shared" ref="D35:P35" si="8">+ROUND($C11*D11*$H$50,2)</f>
        <v>0</v>
      </c>
      <c r="E35" s="278">
        <f t="shared" si="8"/>
        <v>0</v>
      </c>
      <c r="F35" s="278">
        <f t="shared" si="8"/>
        <v>0</v>
      </c>
      <c r="G35" s="278">
        <f t="shared" si="8"/>
        <v>0</v>
      </c>
      <c r="H35" s="278">
        <f t="shared" si="8"/>
        <v>0</v>
      </c>
      <c r="I35" s="278">
        <f t="shared" si="8"/>
        <v>0</v>
      </c>
      <c r="J35" s="278">
        <f t="shared" si="8"/>
        <v>2.42</v>
      </c>
      <c r="K35" s="278">
        <f t="shared" si="8"/>
        <v>0.24</v>
      </c>
      <c r="L35" s="278">
        <f t="shared" si="8"/>
        <v>0.02</v>
      </c>
      <c r="M35" s="278">
        <f t="shared" si="8"/>
        <v>0</v>
      </c>
      <c r="N35" s="278">
        <f t="shared" si="8"/>
        <v>0</v>
      </c>
      <c r="O35" s="278">
        <f t="shared" si="8"/>
        <v>0</v>
      </c>
      <c r="P35" s="278">
        <f t="shared" si="8"/>
        <v>0</v>
      </c>
      <c r="Q35" s="279">
        <f t="shared" ref="Q35" si="9">+SUM(D35:P35)</f>
        <v>2.68</v>
      </c>
      <c r="R35" s="280">
        <f>+C35-Q35</f>
        <v>0</v>
      </c>
    </row>
    <row r="36" spans="1:18" x14ac:dyDescent="0.3">
      <c r="C36" s="271"/>
      <c r="Q36" s="281"/>
      <c r="R36" s="280"/>
    </row>
    <row r="37" spans="1:18" x14ac:dyDescent="0.3">
      <c r="B37" s="278" t="s">
        <v>266</v>
      </c>
      <c r="C37" s="268">
        <f>+ROUND(C13*$H$50,2)</f>
        <v>0.89</v>
      </c>
      <c r="D37" s="278">
        <f t="shared" ref="D37:P37" si="10">+ROUND($C13*D13*$H$50,2)</f>
        <v>0</v>
      </c>
      <c r="E37" s="278">
        <f t="shared" si="10"/>
        <v>0</v>
      </c>
      <c r="F37" s="278">
        <f t="shared" si="10"/>
        <v>0</v>
      </c>
      <c r="G37" s="278">
        <f t="shared" si="10"/>
        <v>0</v>
      </c>
      <c r="H37" s="278">
        <f t="shared" si="10"/>
        <v>0</v>
      </c>
      <c r="I37" s="278">
        <f t="shared" si="10"/>
        <v>0</v>
      </c>
      <c r="J37" s="278">
        <f t="shared" si="10"/>
        <v>0</v>
      </c>
      <c r="K37" s="278">
        <f t="shared" si="10"/>
        <v>0</v>
      </c>
      <c r="L37" s="278">
        <f t="shared" si="10"/>
        <v>0</v>
      </c>
      <c r="M37" s="278">
        <f t="shared" si="10"/>
        <v>0.84</v>
      </c>
      <c r="N37" s="278">
        <f t="shared" si="10"/>
        <v>0.06</v>
      </c>
      <c r="O37" s="278">
        <f t="shared" si="10"/>
        <v>0</v>
      </c>
      <c r="P37" s="278">
        <f t="shared" si="10"/>
        <v>0</v>
      </c>
      <c r="Q37" s="279">
        <f t="shared" ref="Q37" si="11">+SUM(D37:P37)</f>
        <v>0.89999999999999991</v>
      </c>
      <c r="R37" s="280">
        <f>+C37-Q37</f>
        <v>-9.9999999999998979E-3</v>
      </c>
    </row>
    <row r="38" spans="1:18" x14ac:dyDescent="0.3">
      <c r="C38" s="271"/>
      <c r="Q38" s="281"/>
      <c r="R38" s="280"/>
    </row>
    <row r="39" spans="1:18" x14ac:dyDescent="0.3">
      <c r="A39" s="261" t="s">
        <v>5</v>
      </c>
      <c r="C39" s="271"/>
      <c r="Q39" s="281"/>
      <c r="R39" s="280"/>
    </row>
    <row r="40" spans="1:18" x14ac:dyDescent="0.3">
      <c r="B40" s="278" t="s">
        <v>268</v>
      </c>
      <c r="C40" s="268">
        <f>+ROUND(C16*$H$50,2)</f>
        <v>2.68</v>
      </c>
      <c r="D40" s="278">
        <f t="shared" ref="D40:P41" si="12">+ROUND($C16*D16*$H$50,2)</f>
        <v>0</v>
      </c>
      <c r="E40" s="278">
        <f t="shared" si="12"/>
        <v>0</v>
      </c>
      <c r="F40" s="278">
        <f t="shared" si="12"/>
        <v>0.27</v>
      </c>
      <c r="G40" s="278">
        <f t="shared" si="12"/>
        <v>0</v>
      </c>
      <c r="H40" s="278">
        <f t="shared" si="12"/>
        <v>0.41</v>
      </c>
      <c r="I40" s="278">
        <f t="shared" si="12"/>
        <v>1.24</v>
      </c>
      <c r="J40" s="278">
        <f t="shared" si="12"/>
        <v>0</v>
      </c>
      <c r="K40" s="278">
        <f t="shared" si="12"/>
        <v>0</v>
      </c>
      <c r="L40" s="278">
        <f t="shared" si="12"/>
        <v>0</v>
      </c>
      <c r="M40" s="278">
        <f t="shared" si="12"/>
        <v>0</v>
      </c>
      <c r="N40" s="278">
        <f t="shared" si="12"/>
        <v>0.17</v>
      </c>
      <c r="O40" s="278">
        <f t="shared" si="12"/>
        <v>0.04</v>
      </c>
      <c r="P40" s="278">
        <f t="shared" si="12"/>
        <v>0.54</v>
      </c>
      <c r="Q40" s="279">
        <f t="shared" ref="Q40:Q41" si="13">+SUM(D40:P40)</f>
        <v>2.67</v>
      </c>
      <c r="R40" s="280">
        <f>+C40-Q40</f>
        <v>1.0000000000000231E-2</v>
      </c>
    </row>
    <row r="41" spans="1:18" x14ac:dyDescent="0.3">
      <c r="B41" s="278" t="s">
        <v>280</v>
      </c>
      <c r="C41" s="268">
        <f>+ROUND(C17*$H$50,2)</f>
        <v>0.89</v>
      </c>
      <c r="D41" s="278">
        <f t="shared" si="12"/>
        <v>0</v>
      </c>
      <c r="E41" s="278">
        <f t="shared" si="12"/>
        <v>0</v>
      </c>
      <c r="F41" s="278">
        <f t="shared" si="12"/>
        <v>0</v>
      </c>
      <c r="G41" s="278">
        <f t="shared" si="12"/>
        <v>0</v>
      </c>
      <c r="H41" s="278">
        <f t="shared" si="12"/>
        <v>0.04</v>
      </c>
      <c r="I41" s="278">
        <f t="shared" si="12"/>
        <v>0.14000000000000001</v>
      </c>
      <c r="J41" s="278">
        <f t="shared" si="12"/>
        <v>0.09</v>
      </c>
      <c r="K41" s="278">
        <f t="shared" si="12"/>
        <v>0.02</v>
      </c>
      <c r="L41" s="278">
        <f t="shared" si="12"/>
        <v>0</v>
      </c>
      <c r="M41" s="278">
        <f t="shared" si="12"/>
        <v>0</v>
      </c>
      <c r="N41" s="278">
        <f t="shared" si="12"/>
        <v>0</v>
      </c>
      <c r="O41" s="278">
        <f t="shared" si="12"/>
        <v>0</v>
      </c>
      <c r="P41" s="278">
        <f t="shared" si="12"/>
        <v>0.61</v>
      </c>
      <c r="Q41" s="279">
        <f t="shared" si="13"/>
        <v>0.9</v>
      </c>
      <c r="R41" s="280">
        <f>+C41-Q41</f>
        <v>-1.0000000000000009E-2</v>
      </c>
    </row>
    <row r="42" spans="1:18" x14ac:dyDescent="0.3">
      <c r="C42" s="271"/>
      <c r="Q42" s="281"/>
      <c r="R42" s="280"/>
    </row>
    <row r="43" spans="1:18" x14ac:dyDescent="0.3">
      <c r="A43" s="261" t="s">
        <v>271</v>
      </c>
      <c r="C43" s="271"/>
      <c r="Q43" s="281"/>
      <c r="R43" s="280"/>
    </row>
    <row r="44" spans="1:18" x14ac:dyDescent="0.3">
      <c r="B44" s="278" t="s">
        <v>370</v>
      </c>
      <c r="C44" s="268">
        <f>+ROUND(C20*$H$50,2)</f>
        <v>0.89</v>
      </c>
      <c r="D44" s="278">
        <f t="shared" ref="D44:P47" si="14">+ROUND($C20*D20*$H$50,2)</f>
        <v>0</v>
      </c>
      <c r="E44" s="278">
        <f t="shared" si="14"/>
        <v>0</v>
      </c>
      <c r="F44" s="278">
        <f t="shared" si="14"/>
        <v>0</v>
      </c>
      <c r="G44" s="278">
        <f t="shared" si="14"/>
        <v>0.32</v>
      </c>
      <c r="H44" s="278">
        <f t="shared" si="14"/>
        <v>0.04</v>
      </c>
      <c r="I44" s="278">
        <f t="shared" si="14"/>
        <v>0</v>
      </c>
      <c r="J44" s="278">
        <f t="shared" si="14"/>
        <v>0.2</v>
      </c>
      <c r="K44" s="278">
        <f t="shared" si="14"/>
        <v>0.02</v>
      </c>
      <c r="L44" s="278">
        <f t="shared" si="14"/>
        <v>0</v>
      </c>
      <c r="M44" s="278">
        <f t="shared" si="14"/>
        <v>0.2</v>
      </c>
      <c r="N44" s="278">
        <f t="shared" si="14"/>
        <v>0.02</v>
      </c>
      <c r="O44" s="278">
        <f t="shared" si="14"/>
        <v>0</v>
      </c>
      <c r="P44" s="278">
        <f t="shared" si="14"/>
        <v>0.09</v>
      </c>
      <c r="Q44" s="279">
        <f t="shared" ref="Q44:Q47" si="15">+SUM(D44:P44)</f>
        <v>0.89</v>
      </c>
      <c r="R44" s="280">
        <f>+C44-Q44</f>
        <v>0</v>
      </c>
    </row>
    <row r="45" spans="1:18" x14ac:dyDescent="0.3">
      <c r="B45" s="278" t="s">
        <v>371</v>
      </c>
      <c r="C45" s="268">
        <f>+ROUND(C21*$H$50,2)</f>
        <v>0.89</v>
      </c>
      <c r="D45" s="278">
        <f t="shared" si="14"/>
        <v>0</v>
      </c>
      <c r="E45" s="278">
        <f t="shared" si="14"/>
        <v>0</v>
      </c>
      <c r="F45" s="278">
        <f t="shared" si="14"/>
        <v>0</v>
      </c>
      <c r="G45" s="278">
        <f t="shared" si="14"/>
        <v>0</v>
      </c>
      <c r="H45" s="278">
        <f t="shared" si="14"/>
        <v>0</v>
      </c>
      <c r="I45" s="278">
        <f t="shared" si="14"/>
        <v>0</v>
      </c>
      <c r="J45" s="278">
        <f t="shared" si="14"/>
        <v>0</v>
      </c>
      <c r="K45" s="278">
        <f t="shared" si="14"/>
        <v>0</v>
      </c>
      <c r="L45" s="278">
        <f t="shared" si="14"/>
        <v>0</v>
      </c>
      <c r="M45" s="278">
        <f t="shared" si="14"/>
        <v>0</v>
      </c>
      <c r="N45" s="278">
        <f t="shared" si="14"/>
        <v>0</v>
      </c>
      <c r="O45" s="278">
        <f t="shared" si="14"/>
        <v>0</v>
      </c>
      <c r="P45" s="278">
        <f t="shared" si="14"/>
        <v>0</v>
      </c>
      <c r="Q45" s="279">
        <f t="shared" ref="Q45" si="16">+SUM(D45:P45)</f>
        <v>0</v>
      </c>
      <c r="R45" s="280">
        <f>+C45-Q45</f>
        <v>0.89</v>
      </c>
    </row>
    <row r="46" spans="1:18" x14ac:dyDescent="0.3">
      <c r="B46" s="278" t="s">
        <v>272</v>
      </c>
      <c r="C46" s="268">
        <f t="shared" ref="C46:C47" si="17">+ROUND(C22*$H$50,2)</f>
        <v>1.34</v>
      </c>
      <c r="D46" s="278">
        <f t="shared" si="14"/>
        <v>0.04</v>
      </c>
      <c r="E46" s="278">
        <f t="shared" si="14"/>
        <v>0</v>
      </c>
      <c r="F46" s="278">
        <f t="shared" si="14"/>
        <v>0</v>
      </c>
      <c r="G46" s="278">
        <f t="shared" si="14"/>
        <v>0.57999999999999996</v>
      </c>
      <c r="H46" s="278">
        <f t="shared" si="14"/>
        <v>0.06</v>
      </c>
      <c r="I46" s="278">
        <f t="shared" si="14"/>
        <v>0</v>
      </c>
      <c r="J46" s="278">
        <f t="shared" si="14"/>
        <v>0.4</v>
      </c>
      <c r="K46" s="278">
        <f t="shared" si="14"/>
        <v>0.04</v>
      </c>
      <c r="L46" s="278">
        <f t="shared" si="14"/>
        <v>0</v>
      </c>
      <c r="M46" s="278">
        <f t="shared" si="14"/>
        <v>0.06</v>
      </c>
      <c r="N46" s="278">
        <f t="shared" si="14"/>
        <v>0.04</v>
      </c>
      <c r="O46" s="278">
        <f t="shared" si="14"/>
        <v>0</v>
      </c>
      <c r="P46" s="278">
        <f t="shared" si="14"/>
        <v>0.11</v>
      </c>
      <c r="Q46" s="279">
        <f t="shared" si="15"/>
        <v>1.3300000000000003</v>
      </c>
      <c r="R46" s="280">
        <f>+C46-Q46</f>
        <v>9.9999999999997868E-3</v>
      </c>
    </row>
    <row r="47" spans="1:18" x14ac:dyDescent="0.3">
      <c r="B47" s="278" t="s">
        <v>273</v>
      </c>
      <c r="C47" s="268">
        <f t="shared" si="17"/>
        <v>0.45</v>
      </c>
      <c r="D47" s="278">
        <f t="shared" si="14"/>
        <v>0</v>
      </c>
      <c r="E47" s="278">
        <f t="shared" si="14"/>
        <v>0</v>
      </c>
      <c r="F47" s="278">
        <f t="shared" si="14"/>
        <v>0.04</v>
      </c>
      <c r="G47" s="278">
        <f t="shared" si="14"/>
        <v>0</v>
      </c>
      <c r="H47" s="278">
        <f t="shared" si="14"/>
        <v>7.0000000000000007E-2</v>
      </c>
      <c r="I47" s="278">
        <f t="shared" si="14"/>
        <v>0.21</v>
      </c>
      <c r="J47" s="278">
        <f t="shared" si="14"/>
        <v>0</v>
      </c>
      <c r="K47" s="278">
        <f t="shared" si="14"/>
        <v>0</v>
      </c>
      <c r="L47" s="278">
        <f t="shared" si="14"/>
        <v>0</v>
      </c>
      <c r="M47" s="278">
        <f t="shared" si="14"/>
        <v>0</v>
      </c>
      <c r="N47" s="278">
        <f t="shared" si="14"/>
        <v>0.03</v>
      </c>
      <c r="O47" s="278">
        <f t="shared" si="14"/>
        <v>0.01</v>
      </c>
      <c r="P47" s="278">
        <f t="shared" si="14"/>
        <v>0.09</v>
      </c>
      <c r="Q47" s="279">
        <f t="shared" si="15"/>
        <v>0.44999999999999996</v>
      </c>
      <c r="R47" s="280">
        <f>+C47-Q47</f>
        <v>0</v>
      </c>
    </row>
    <row r="48" spans="1:18" s="284" customFormat="1" x14ac:dyDescent="0.3">
      <c r="A48" s="261"/>
      <c r="B48"/>
      <c r="C48"/>
      <c r="D48"/>
      <c r="E48"/>
      <c r="F48"/>
      <c r="G48"/>
      <c r="H48"/>
      <c r="I48"/>
      <c r="J48"/>
      <c r="K48"/>
      <c r="L48"/>
      <c r="M48"/>
      <c r="N48"/>
      <c r="O48"/>
      <c r="P48"/>
      <c r="Q48"/>
      <c r="R48" s="212"/>
    </row>
    <row r="50" spans="1:18" x14ac:dyDescent="0.3">
      <c r="A50" s="282"/>
      <c r="B50" s="283" t="s">
        <v>279</v>
      </c>
      <c r="C50" s="284"/>
      <c r="D50" s="284"/>
      <c r="E50" s="284"/>
      <c r="F50" s="284"/>
      <c r="G50" s="284"/>
      <c r="H50" s="285">
        <v>0.89200000000000002</v>
      </c>
      <c r="I50" s="284"/>
      <c r="J50" s="284"/>
      <c r="K50" s="284"/>
      <c r="L50" s="284"/>
      <c r="M50" s="284"/>
      <c r="N50" s="284"/>
      <c r="O50" s="284"/>
      <c r="P50" s="284"/>
      <c r="Q50" s="284"/>
      <c r="R50" s="286"/>
    </row>
  </sheetData>
  <mergeCells count="16">
    <mergeCell ref="C3:C5"/>
    <mergeCell ref="D3:P3"/>
    <mergeCell ref="Q3:Q5"/>
    <mergeCell ref="D4:F4"/>
    <mergeCell ref="G4:I4"/>
    <mergeCell ref="J4:L4"/>
    <mergeCell ref="M4:O4"/>
    <mergeCell ref="P4:P5"/>
    <mergeCell ref="C27:C29"/>
    <mergeCell ref="D27:P27"/>
    <mergeCell ref="Q27:Q29"/>
    <mergeCell ref="D28:F28"/>
    <mergeCell ref="G28:I28"/>
    <mergeCell ref="J28:L28"/>
    <mergeCell ref="M28:O28"/>
    <mergeCell ref="P28:P29"/>
  </mergeCells>
  <printOptions horizontalCentered="1"/>
  <pageMargins left="0.7" right="0.7" top="0.75" bottom="0.75" header="0.3" footer="0.3"/>
  <pageSetup scale="72" orientation="landscape" r:id="rId1"/>
  <headerFooter>
    <oddFooter>&amp;L&amp;Z&amp;F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AC0F86E6201B749BFF193A83EBAB7E2" ma:contentTypeVersion="76" ma:contentTypeDescription="" ma:contentTypeScope="" ma:versionID="a883e322bdab798471268fcb39c5349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2018-12-31T08:00:00+00:00</OpenedDate>
    <SignificantOrder xmlns="dc463f71-b30c-4ab2-9473-d307f9d35888">false</SignificantOrder>
    <Date1 xmlns="dc463f71-b30c-4ab2-9473-d307f9d35888">2019-01-07T08:00:00+00:00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181053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E122244-7051-4EFA-9535-159C80AD404E}"/>
</file>

<file path=customXml/itemProps2.xml><?xml version="1.0" encoding="utf-8"?>
<ds:datastoreItem xmlns:ds="http://schemas.openxmlformats.org/officeDocument/2006/customXml" ds:itemID="{6F4C8BE6-5F47-4E30-BE3D-A91329FB9734}"/>
</file>

<file path=customXml/itemProps3.xml><?xml version="1.0" encoding="utf-8"?>
<ds:datastoreItem xmlns:ds="http://schemas.openxmlformats.org/officeDocument/2006/customXml" ds:itemID="{A89F0DA1-E24D-44EC-9BF9-58ED744BF369}"/>
</file>

<file path=customXml/itemProps4.xml><?xml version="1.0" encoding="utf-8"?>
<ds:datastoreItem xmlns:ds="http://schemas.openxmlformats.org/officeDocument/2006/customXml" ds:itemID="{DDFEA2FD-8B40-4F23-A266-8593F84F84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Index</vt:lpstr>
      <vt:lpstr>2015Summary METER to CASH (Base</vt:lpstr>
      <vt:lpstr>2016 Summary Proj. From Inputs</vt:lpstr>
      <vt:lpstr>Meter Reading</vt:lpstr>
      <vt:lpstr>Billing</vt:lpstr>
      <vt:lpstr>Payment Processing</vt:lpstr>
      <vt:lpstr>Collections</vt:lpstr>
      <vt:lpstr>FTE Alloc OR &amp; WA</vt:lpstr>
      <vt:lpstr>FTE Alloc OREGON</vt:lpstr>
      <vt:lpstr>Meter Read #'s</vt:lpstr>
      <vt:lpstr>Projection Inputs</vt:lpstr>
      <vt:lpstr>BI DATA  Download For Forecasti</vt:lpstr>
      <vt:lpstr>Base 2015 actual for Cost Cente</vt:lpstr>
      <vt:lpstr>2015 - 2016 Customers</vt:lpstr>
      <vt:lpstr>ADDED INPUT DeepDive Bill Print</vt:lpstr>
      <vt:lpstr>'2015Summary METER to CASH (Base'!Print_Area</vt:lpstr>
      <vt:lpstr>'2016 Summary Proj. From Inputs'!Print_Area</vt:lpstr>
      <vt:lpstr>'ADDED INPUT DeepDive Bill Print'!Print_Area</vt:lpstr>
      <vt:lpstr>Billing!Print_Area</vt:lpstr>
      <vt:lpstr>Collections!Print_Area</vt:lpstr>
      <vt:lpstr>'FTE Alloc OR &amp; WA'!Print_Area</vt:lpstr>
      <vt:lpstr>'FTE Alloc OREGON'!Print_Area</vt:lpstr>
      <vt:lpstr>'Meter Reading'!Print_Area</vt:lpstr>
      <vt:lpstr>'Payment Processing'!Print_Area</vt:lpstr>
      <vt:lpstr>'Projection Inputs'!Print_Area</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Muehleck, Chuck</dc:creator>
  <cp:lastModifiedBy>Wyman, Robert</cp:lastModifiedBy>
  <cp:lastPrinted>2017-11-22T18:52:36Z</cp:lastPrinted>
  <dcterms:created xsi:type="dcterms:W3CDTF">2015-09-30T19:46:02Z</dcterms:created>
  <dcterms:modified xsi:type="dcterms:W3CDTF">2019-01-04T19:25:19Z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{ECBFC04C-D8C0-45B4-9CAC-3AEA585F9A0B}</vt:lpwstr>
  </property>
  <property fmtid="{D5CDD505-2E9C-101B-9397-08002B2CF9AE}" pid="3" name="ContentTypeId">
    <vt:lpwstr>0x0101006E56B4D1795A2E4DB2F0B01679ED314A007AC0F86E6201B749BFF193A83EBAB7E2</vt:lpwstr>
  </property>
  <property fmtid="{D5CDD505-2E9C-101B-9397-08002B2CF9AE}" pid="4" name="_docset_NoMedatataSyncRequired">
    <vt:lpwstr>False</vt:lpwstr>
  </property>
  <property fmtid="{D5CDD505-2E9C-101B-9397-08002B2CF9AE}" pid="5" name="IsEFSEC">
    <vt:bool>false</vt:bool>
  </property>
</Properties>
</file>