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Second Level Workpapers/"/>
    </mc:Choice>
  </mc:AlternateContent>
  <xr:revisionPtr revIDLastSave="0" documentId="8_{5B245BA3-42B7-432F-B5AD-2EE7DEC34C44}" xr6:coauthVersionLast="47" xr6:coauthVersionMax="47" xr10:uidLastSave="{00000000-0000-0000-0000-000000000000}"/>
  <bookViews>
    <workbookView xWindow="-103" yWindow="-103" windowWidth="33120" windowHeight="18000" xr2:uid="{0E2C0B26-E67B-4F0B-9C82-C5B85D6A0D04}"/>
  </bookViews>
  <sheets>
    <sheet name="COS Transfer File" sheetId="1" r:id="rId1"/>
    <sheet name="Exh JAD-1, Proof of Revenue" sheetId="3" r:id="rId2"/>
    <sheet name="Index To External Links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" i="3" l="1"/>
  <c r="F163" i="3"/>
  <c r="X160" i="3"/>
  <c r="X159" i="3"/>
  <c r="X156" i="3"/>
  <c r="W156" i="3"/>
  <c r="X155" i="3"/>
  <c r="X154" i="3"/>
  <c r="X153" i="3"/>
  <c r="X152" i="3"/>
  <c r="X151" i="3"/>
  <c r="W150" i="3"/>
  <c r="X150" i="3"/>
  <c r="X161" i="3" s="1"/>
  <c r="M146" i="3"/>
  <c r="X144" i="3"/>
  <c r="F144" i="3"/>
  <c r="X143" i="3"/>
  <c r="X142" i="3"/>
  <c r="X141" i="3"/>
  <c r="X140" i="3"/>
  <c r="X139" i="3"/>
  <c r="P132" i="3"/>
  <c r="I132" i="3"/>
  <c r="P131" i="3"/>
  <c r="P130" i="3"/>
  <c r="Q130" i="3"/>
  <c r="S130" i="3"/>
  <c r="U130" i="3" s="1"/>
  <c r="P129" i="3"/>
  <c r="I129" i="3"/>
  <c r="C128" i="3"/>
  <c r="I128" i="3" s="1"/>
  <c r="P128" i="3"/>
  <c r="P127" i="3"/>
  <c r="C127" i="3"/>
  <c r="P126" i="3"/>
  <c r="W126" i="3"/>
  <c r="D146" i="3"/>
  <c r="X121" i="3"/>
  <c r="F121" i="3"/>
  <c r="F120" i="3"/>
  <c r="X120" i="3" s="1"/>
  <c r="M119" i="3"/>
  <c r="M122" i="3" s="1"/>
  <c r="X118" i="3"/>
  <c r="F118" i="3"/>
  <c r="X117" i="3"/>
  <c r="X116" i="3"/>
  <c r="X115" i="3"/>
  <c r="P104" i="3"/>
  <c r="Q104" i="3"/>
  <c r="P103" i="3"/>
  <c r="Q103" i="3"/>
  <c r="P102" i="3"/>
  <c r="D122" i="3"/>
  <c r="F97" i="3"/>
  <c r="X97" i="3"/>
  <c r="F96" i="3"/>
  <c r="X96" i="3" s="1"/>
  <c r="M95" i="3"/>
  <c r="M98" i="3" s="1"/>
  <c r="X95" i="3"/>
  <c r="F94" i="3"/>
  <c r="X94" i="3"/>
  <c r="X93" i="3"/>
  <c r="X92" i="3"/>
  <c r="X91" i="3"/>
  <c r="F90" i="3"/>
  <c r="X90" i="3" s="1"/>
  <c r="F89" i="3"/>
  <c r="X89" i="3" s="1"/>
  <c r="F88" i="3"/>
  <c r="X88" i="3" s="1"/>
  <c r="F87" i="3"/>
  <c r="X87" i="3" s="1"/>
  <c r="U86" i="3"/>
  <c r="X86" i="3" s="1"/>
  <c r="F85" i="3"/>
  <c r="F83" i="3"/>
  <c r="P80" i="3"/>
  <c r="W80" i="3"/>
  <c r="P79" i="3"/>
  <c r="I79" i="3"/>
  <c r="Q78" i="3"/>
  <c r="P78" i="3"/>
  <c r="W78" i="3"/>
  <c r="D98" i="3"/>
  <c r="S78" i="3"/>
  <c r="U78" i="3" s="1"/>
  <c r="P77" i="3"/>
  <c r="I77" i="3"/>
  <c r="Q77" i="3"/>
  <c r="F72" i="3"/>
  <c r="X72" i="3" s="1"/>
  <c r="F71" i="3"/>
  <c r="X71" i="3" s="1"/>
  <c r="M70" i="3"/>
  <c r="X69" i="3"/>
  <c r="X68" i="3"/>
  <c r="X67" i="3"/>
  <c r="F66" i="3"/>
  <c r="X66" i="3" s="1"/>
  <c r="F65" i="3"/>
  <c r="X65" i="3" s="1"/>
  <c r="F64" i="3"/>
  <c r="X64" i="3"/>
  <c r="F63" i="3"/>
  <c r="X63" i="3" s="1"/>
  <c r="U62" i="3"/>
  <c r="X62" i="3"/>
  <c r="F60" i="3"/>
  <c r="X60" i="3"/>
  <c r="F59" i="3"/>
  <c r="X59" i="3"/>
  <c r="P56" i="3"/>
  <c r="I56" i="3"/>
  <c r="P55" i="3"/>
  <c r="Q55" i="3"/>
  <c r="W55" i="3"/>
  <c r="P54" i="3"/>
  <c r="I54" i="3"/>
  <c r="P53" i="3"/>
  <c r="Q53" i="3"/>
  <c r="D73" i="3"/>
  <c r="W53" i="3"/>
  <c r="F48" i="3"/>
  <c r="X48" i="3"/>
  <c r="M46" i="3"/>
  <c r="X46" i="3"/>
  <c r="X45" i="3"/>
  <c r="X44" i="3"/>
  <c r="X43" i="3"/>
  <c r="P32" i="3"/>
  <c r="L32" i="3"/>
  <c r="M32" i="3" s="1"/>
  <c r="M49" i="3" s="1"/>
  <c r="I32" i="3"/>
  <c r="Q31" i="3"/>
  <c r="P31" i="3"/>
  <c r="W31" i="3"/>
  <c r="D49" i="3"/>
  <c r="F26" i="3"/>
  <c r="X26" i="3" s="1"/>
  <c r="F25" i="3"/>
  <c r="X25" i="3" s="1"/>
  <c r="M24" i="3"/>
  <c r="X24" i="3" s="1"/>
  <c r="X23" i="3"/>
  <c r="X22" i="3"/>
  <c r="X21" i="3"/>
  <c r="F20" i="3"/>
  <c r="X20" i="3" s="1"/>
  <c r="F19" i="3"/>
  <c r="X19" i="3" s="1"/>
  <c r="F18" i="3"/>
  <c r="X18" i="3" s="1"/>
  <c r="F17" i="3"/>
  <c r="X17" i="3" s="1"/>
  <c r="U16" i="3"/>
  <c r="X16" i="3" s="1"/>
  <c r="F14" i="3"/>
  <c r="F13" i="3"/>
  <c r="P10" i="3"/>
  <c r="Q10" i="3"/>
  <c r="L10" i="3"/>
  <c r="M10" i="3"/>
  <c r="I10" i="3"/>
  <c r="S10" i="3"/>
  <c r="U10" i="3" s="1"/>
  <c r="P9" i="3"/>
  <c r="Q9" i="3"/>
  <c r="D163" i="3"/>
  <c r="W9" i="3"/>
  <c r="A9" i="3"/>
  <c r="A8" i="3"/>
  <c r="H314" i="1"/>
  <c r="B314" i="1"/>
  <c r="A305" i="1"/>
  <c r="A303" i="1"/>
  <c r="D302" i="1"/>
  <c r="H302" i="1" s="1"/>
  <c r="B302" i="1"/>
  <c r="A297" i="1"/>
  <c r="G296" i="1"/>
  <c r="B296" i="1"/>
  <c r="A295" i="1"/>
  <c r="B294" i="1"/>
  <c r="D294" i="1"/>
  <c r="H294" i="1" s="1"/>
  <c r="A288" i="1"/>
  <c r="H287" i="1"/>
  <c r="D287" i="1"/>
  <c r="B287" i="1"/>
  <c r="A284" i="1"/>
  <c r="D283" i="1"/>
  <c r="H283" i="1" s="1"/>
  <c r="B283" i="1"/>
  <c r="D296" i="1"/>
  <c r="H296" i="1" s="1"/>
  <c r="A279" i="1"/>
  <c r="B278" i="1"/>
  <c r="A277" i="1"/>
  <c r="C275" i="1"/>
  <c r="B275" i="1"/>
  <c r="C274" i="1"/>
  <c r="B274" i="1"/>
  <c r="C273" i="1"/>
  <c r="B273" i="1"/>
  <c r="C272" i="1"/>
  <c r="C271" i="1"/>
  <c r="B271" i="1"/>
  <c r="C270" i="1"/>
  <c r="B270" i="1"/>
  <c r="C269" i="1"/>
  <c r="B269" i="1"/>
  <c r="C268" i="1"/>
  <c r="B268" i="1"/>
  <c r="C267" i="1"/>
  <c r="B267" i="1"/>
  <c r="D276" i="1"/>
  <c r="C266" i="1"/>
  <c r="B266" i="1"/>
  <c r="B265" i="1"/>
  <c r="A264" i="1"/>
  <c r="C262" i="1"/>
  <c r="B262" i="1"/>
  <c r="C261" i="1"/>
  <c r="B261" i="1"/>
  <c r="C260" i="1"/>
  <c r="B260" i="1"/>
  <c r="C259" i="1"/>
  <c r="B259" i="1"/>
  <c r="C258" i="1"/>
  <c r="B258" i="1"/>
  <c r="D263" i="1"/>
  <c r="C257" i="1"/>
  <c r="B257" i="1"/>
  <c r="C256" i="1"/>
  <c r="C255" i="1"/>
  <c r="B255" i="1"/>
  <c r="C254" i="1"/>
  <c r="B254" i="1"/>
  <c r="C253" i="1"/>
  <c r="B253" i="1"/>
  <c r="B252" i="1"/>
  <c r="A251" i="1"/>
  <c r="C249" i="1"/>
  <c r="B249" i="1"/>
  <c r="C248" i="1"/>
  <c r="C247" i="1"/>
  <c r="B247" i="1"/>
  <c r="D250" i="1"/>
  <c r="C246" i="1"/>
  <c r="B246" i="1"/>
  <c r="C245" i="1"/>
  <c r="C244" i="1"/>
  <c r="B244" i="1"/>
  <c r="B243" i="1"/>
  <c r="A242" i="1"/>
  <c r="D241" i="1"/>
  <c r="C240" i="1"/>
  <c r="B240" i="1"/>
  <c r="C239" i="1"/>
  <c r="B239" i="1"/>
  <c r="C238" i="1"/>
  <c r="B238" i="1"/>
  <c r="C237" i="1"/>
  <c r="B237" i="1"/>
  <c r="B236" i="1"/>
  <c r="A235" i="1"/>
  <c r="D234" i="1"/>
  <c r="C233" i="1"/>
  <c r="B233" i="1"/>
  <c r="C232" i="1"/>
  <c r="B232" i="1"/>
  <c r="C231" i="1"/>
  <c r="B231" i="1"/>
  <c r="B230" i="1"/>
  <c r="A227" i="1"/>
  <c r="B226" i="1"/>
  <c r="A225" i="1"/>
  <c r="B224" i="1"/>
  <c r="D224" i="1"/>
  <c r="A211" i="1"/>
  <c r="B210" i="1"/>
  <c r="A209" i="1"/>
  <c r="B208" i="1"/>
  <c r="E207" i="1"/>
  <c r="E206" i="1"/>
  <c r="E204" i="1"/>
  <c r="D208" i="1"/>
  <c r="P202" i="1"/>
  <c r="J202" i="1"/>
  <c r="A202" i="1"/>
  <c r="Q201" i="1"/>
  <c r="B201" i="1"/>
  <c r="O202" i="1"/>
  <c r="Q200" i="1"/>
  <c r="Q199" i="1"/>
  <c r="E199" i="1"/>
  <c r="Q198" i="1"/>
  <c r="Q197" i="1"/>
  <c r="E205" i="1" s="1"/>
  <c r="E208" i="1" s="1"/>
  <c r="E197" i="1"/>
  <c r="D201" i="1"/>
  <c r="Q196" i="1"/>
  <c r="E200" i="1" s="1"/>
  <c r="M202" i="1"/>
  <c r="Q195" i="1"/>
  <c r="E198" i="1" s="1"/>
  <c r="A195" i="1"/>
  <c r="Q194" i="1"/>
  <c r="E191" i="1" s="1"/>
  <c r="B194" i="1"/>
  <c r="Q193" i="1"/>
  <c r="E190" i="1" s="1"/>
  <c r="E193" i="1"/>
  <c r="Q192" i="1"/>
  <c r="E189" i="1" s="1"/>
  <c r="E192" i="1"/>
  <c r="Q191" i="1"/>
  <c r="E182" i="1" s="1"/>
  <c r="Q190" i="1"/>
  <c r="E181" i="1" s="1"/>
  <c r="Q189" i="1"/>
  <c r="E180" i="1" s="1"/>
  <c r="D194" i="1"/>
  <c r="Q188" i="1"/>
  <c r="E179" i="1" s="1"/>
  <c r="Q187" i="1"/>
  <c r="E178" i="1" s="1"/>
  <c r="Q186" i="1"/>
  <c r="E177" i="1" s="1"/>
  <c r="A186" i="1"/>
  <c r="Q185" i="1"/>
  <c r="E176" i="1" s="1"/>
  <c r="B185" i="1"/>
  <c r="Q184" i="1"/>
  <c r="E175" i="1" s="1"/>
  <c r="A184" i="1"/>
  <c r="Q183" i="1"/>
  <c r="E173" i="1" s="1"/>
  <c r="B183" i="1"/>
  <c r="Q182" i="1"/>
  <c r="E167" i="1" s="1"/>
  <c r="Q181" i="1"/>
  <c r="Q180" i="1"/>
  <c r="E165" i="1" s="1"/>
  <c r="Q179" i="1"/>
  <c r="E164" i="1" s="1"/>
  <c r="Q178" i="1"/>
  <c r="E163" i="1" s="1"/>
  <c r="Q177" i="1"/>
  <c r="E162" i="1" s="1"/>
  <c r="Q176" i="1"/>
  <c r="E161" i="1" s="1"/>
  <c r="Q175" i="1"/>
  <c r="E160" i="1" s="1"/>
  <c r="Q174" i="1"/>
  <c r="E159" i="1" s="1"/>
  <c r="E174" i="1"/>
  <c r="Q173" i="1"/>
  <c r="E158" i="1" s="1"/>
  <c r="D183" i="1"/>
  <c r="N202" i="1"/>
  <c r="L202" i="1"/>
  <c r="Q172" i="1"/>
  <c r="A171" i="1"/>
  <c r="B170" i="1"/>
  <c r="E169" i="1"/>
  <c r="E168" i="1"/>
  <c r="E166" i="1"/>
  <c r="D170" i="1"/>
  <c r="A156" i="1"/>
  <c r="D155" i="1"/>
  <c r="B155" i="1"/>
  <c r="E154" i="1"/>
  <c r="E153" i="1"/>
  <c r="E152" i="1"/>
  <c r="E155" i="1" s="1"/>
  <c r="A150" i="1"/>
  <c r="D149" i="1"/>
  <c r="B149" i="1"/>
  <c r="E148" i="1"/>
  <c r="E147" i="1"/>
  <c r="E146" i="1"/>
  <c r="E149" i="1" s="1"/>
  <c r="A144" i="1"/>
  <c r="D143" i="1"/>
  <c r="B143" i="1"/>
  <c r="E142" i="1"/>
  <c r="E141" i="1"/>
  <c r="E140" i="1"/>
  <c r="E139" i="1"/>
  <c r="E138" i="1"/>
  <c r="E137" i="1"/>
  <c r="E136" i="1"/>
  <c r="E143" i="1" s="1"/>
  <c r="A134" i="1"/>
  <c r="E133" i="1"/>
  <c r="D133" i="1"/>
  <c r="B133" i="1"/>
  <c r="E132" i="1"/>
  <c r="E131" i="1"/>
  <c r="E130" i="1"/>
  <c r="E129" i="1"/>
  <c r="A127" i="1"/>
  <c r="B126" i="1"/>
  <c r="A121" i="1"/>
  <c r="B120" i="1"/>
  <c r="A119" i="1"/>
  <c r="B118" i="1"/>
  <c r="D118" i="1"/>
  <c r="H118" i="1" s="1"/>
  <c r="A116" i="1"/>
  <c r="A112" i="1"/>
  <c r="B111" i="1"/>
  <c r="A110" i="1"/>
  <c r="D108" i="1"/>
  <c r="C108" i="1"/>
  <c r="B108" i="1"/>
  <c r="D107" i="1"/>
  <c r="C107" i="1"/>
  <c r="B107" i="1"/>
  <c r="D106" i="1"/>
  <c r="C106" i="1"/>
  <c r="B106" i="1"/>
  <c r="D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D109" i="1" s="1"/>
  <c r="C100" i="1"/>
  <c r="B100" i="1"/>
  <c r="D99" i="1"/>
  <c r="C99" i="1"/>
  <c r="B99" i="1"/>
  <c r="B98" i="1"/>
  <c r="A97" i="1"/>
  <c r="B96" i="1"/>
  <c r="D95" i="1"/>
  <c r="C95" i="1"/>
  <c r="B95" i="1"/>
  <c r="D94" i="1"/>
  <c r="C94" i="1"/>
  <c r="B94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D87" i="1"/>
  <c r="C87" i="1"/>
  <c r="B87" i="1"/>
  <c r="D86" i="1"/>
  <c r="D96" i="1" s="1"/>
  <c r="C86" i="1"/>
  <c r="B86" i="1"/>
  <c r="D85" i="1"/>
  <c r="C85" i="1"/>
  <c r="B85" i="1"/>
  <c r="A83" i="1"/>
  <c r="B82" i="1"/>
  <c r="C81" i="1"/>
  <c r="B81" i="1"/>
  <c r="D80" i="1"/>
  <c r="C79" i="1"/>
  <c r="B79" i="1"/>
  <c r="D78" i="1"/>
  <c r="C78" i="1"/>
  <c r="B78" i="1"/>
  <c r="D77" i="1"/>
  <c r="D82" i="1" s="1"/>
  <c r="C77" i="1"/>
  <c r="B77" i="1"/>
  <c r="D76" i="1"/>
  <c r="C76" i="1"/>
  <c r="B76" i="1"/>
  <c r="B75" i="1"/>
  <c r="A74" i="1"/>
  <c r="D73" i="1"/>
  <c r="C72" i="1"/>
  <c r="B72" i="1"/>
  <c r="C71" i="1"/>
  <c r="B71" i="1"/>
  <c r="C70" i="1"/>
  <c r="B70" i="1"/>
  <c r="C69" i="1"/>
  <c r="B69" i="1"/>
  <c r="B68" i="1"/>
  <c r="A67" i="1"/>
  <c r="D65" i="1"/>
  <c r="C65" i="1"/>
  <c r="B65" i="1"/>
  <c r="A65" i="1" s="1"/>
  <c r="D64" i="1"/>
  <c r="D66" i="1" s="1"/>
  <c r="C64" i="1"/>
  <c r="B64" i="1"/>
  <c r="A64" i="1" s="1"/>
  <c r="D63" i="1"/>
  <c r="C63" i="1"/>
  <c r="B63" i="1"/>
  <c r="B62" i="1"/>
  <c r="A62" i="1" s="1"/>
  <c r="A60" i="1"/>
  <c r="B59" i="1"/>
  <c r="A59" i="1" s="1"/>
  <c r="A58" i="1"/>
  <c r="B57" i="1"/>
  <c r="B276" i="1" s="1"/>
  <c r="D56" i="1"/>
  <c r="D55" i="1"/>
  <c r="D54" i="1"/>
  <c r="D53" i="1"/>
  <c r="D52" i="1"/>
  <c r="D51" i="1"/>
  <c r="D50" i="1"/>
  <c r="D49" i="1"/>
  <c r="D48" i="1"/>
  <c r="D57" i="1" s="1"/>
  <c r="D47" i="1"/>
  <c r="A45" i="1"/>
  <c r="B44" i="1"/>
  <c r="B263" i="1" s="1"/>
  <c r="D43" i="1"/>
  <c r="D42" i="1"/>
  <c r="D40" i="1"/>
  <c r="D39" i="1"/>
  <c r="D38" i="1"/>
  <c r="D37" i="1"/>
  <c r="D36" i="1"/>
  <c r="D35" i="1"/>
  <c r="D44" i="1" s="1"/>
  <c r="D34" i="1"/>
  <c r="D33" i="1"/>
  <c r="A31" i="1"/>
  <c r="B30" i="1"/>
  <c r="B250" i="1" s="1"/>
  <c r="D28" i="1"/>
  <c r="D26" i="1"/>
  <c r="D25" i="1"/>
  <c r="D24" i="1"/>
  <c r="D30" i="1" s="1"/>
  <c r="A22" i="1"/>
  <c r="D21" i="1"/>
  <c r="B21" i="1"/>
  <c r="A21" i="1" s="1"/>
  <c r="A15" i="1"/>
  <c r="B14" i="1"/>
  <c r="D13" i="1"/>
  <c r="D14" i="1" s="1"/>
  <c r="A13" i="1"/>
  <c r="D12" i="1"/>
  <c r="A12" i="1"/>
  <c r="D11" i="1"/>
  <c r="A11" i="1"/>
  <c r="A10" i="1"/>
  <c r="A9" i="1"/>
  <c r="A8" i="1"/>
  <c r="A7" i="1"/>
  <c r="U27" i="3" l="1"/>
  <c r="X83" i="3"/>
  <c r="M73" i="3"/>
  <c r="X70" i="3"/>
  <c r="Q27" i="3"/>
  <c r="X15" i="3"/>
  <c r="X35" i="3"/>
  <c r="X38" i="3"/>
  <c r="X136" i="3"/>
  <c r="X112" i="3"/>
  <c r="X10" i="3"/>
  <c r="M27" i="3"/>
  <c r="M164" i="3" s="1"/>
  <c r="M163" i="3"/>
  <c r="X39" i="3"/>
  <c r="X130" i="3"/>
  <c r="X138" i="3"/>
  <c r="X41" i="3"/>
  <c r="X107" i="3"/>
  <c r="S56" i="3"/>
  <c r="U56" i="3" s="1"/>
  <c r="X108" i="3"/>
  <c r="X109" i="3"/>
  <c r="Q127" i="3"/>
  <c r="I127" i="3"/>
  <c r="X77" i="3"/>
  <c r="W102" i="3"/>
  <c r="X110" i="3"/>
  <c r="S132" i="3"/>
  <c r="U132" i="3" s="1"/>
  <c r="W77" i="3"/>
  <c r="X78" i="3"/>
  <c r="X85" i="3"/>
  <c r="X126" i="3"/>
  <c r="W131" i="3"/>
  <c r="C155" i="3"/>
  <c r="W155" i="3" s="1"/>
  <c r="A10" i="3"/>
  <c r="W10" i="3"/>
  <c r="I31" i="3"/>
  <c r="I49" i="3" s="1"/>
  <c r="F35" i="3"/>
  <c r="U38" i="3"/>
  <c r="F41" i="3"/>
  <c r="I102" i="3"/>
  <c r="S104" i="3"/>
  <c r="U104" i="3" s="1"/>
  <c r="F108" i="3"/>
  <c r="F111" i="3"/>
  <c r="X111" i="3" s="1"/>
  <c r="F114" i="3"/>
  <c r="X114" i="3" s="1"/>
  <c r="W130" i="3"/>
  <c r="F137" i="3"/>
  <c r="X137" i="3" s="1"/>
  <c r="Q32" i="3"/>
  <c r="Q49" i="3" s="1"/>
  <c r="Q102" i="3"/>
  <c r="Q122" i="3" s="1"/>
  <c r="S103" i="3"/>
  <c r="U103" i="3" s="1"/>
  <c r="X13" i="3"/>
  <c r="X9" i="3"/>
  <c r="X14" i="3"/>
  <c r="D27" i="3"/>
  <c r="A11" i="3"/>
  <c r="F15" i="3"/>
  <c r="F27" i="3" s="1"/>
  <c r="I55" i="3"/>
  <c r="I80" i="3"/>
  <c r="X80" i="3" s="1"/>
  <c r="W104" i="3"/>
  <c r="C166" i="3"/>
  <c r="C172" i="3" s="1"/>
  <c r="I145" i="3"/>
  <c r="X145" i="3" s="1"/>
  <c r="W103" i="3"/>
  <c r="S32" i="3"/>
  <c r="U32" i="3" s="1"/>
  <c r="U49" i="3" s="1"/>
  <c r="F36" i="3"/>
  <c r="X36" i="3" s="1"/>
  <c r="F39" i="3"/>
  <c r="F42" i="3"/>
  <c r="X42" i="3" s="1"/>
  <c r="W54" i="3"/>
  <c r="I78" i="3"/>
  <c r="F109" i="3"/>
  <c r="F112" i="3"/>
  <c r="F135" i="3"/>
  <c r="F146" i="3" s="1"/>
  <c r="F138" i="3"/>
  <c r="Q80" i="3"/>
  <c r="X102" i="3"/>
  <c r="I131" i="3"/>
  <c r="A12" i="3"/>
  <c r="X31" i="3"/>
  <c r="I9" i="3"/>
  <c r="I53" i="3"/>
  <c r="I73" i="3" s="1"/>
  <c r="S55" i="3"/>
  <c r="U55" i="3" s="1"/>
  <c r="X55" i="3" s="1"/>
  <c r="S80" i="3"/>
  <c r="U80" i="3" s="1"/>
  <c r="F84" i="3"/>
  <c r="X84" i="3" s="1"/>
  <c r="X119" i="3"/>
  <c r="I126" i="3"/>
  <c r="I130" i="3"/>
  <c r="Q131" i="3"/>
  <c r="D161" i="3"/>
  <c r="F37" i="3"/>
  <c r="X37" i="3" s="1"/>
  <c r="F40" i="3"/>
  <c r="X40" i="3" s="1"/>
  <c r="I104" i="3"/>
  <c r="X104" i="3" s="1"/>
  <c r="F107" i="3"/>
  <c r="U110" i="3"/>
  <c r="F113" i="3"/>
  <c r="X113" i="3" s="1"/>
  <c r="W129" i="3"/>
  <c r="U136" i="3"/>
  <c r="C174" i="3"/>
  <c r="C176" i="3" s="1"/>
  <c r="F47" i="3"/>
  <c r="X47" i="3" s="1"/>
  <c r="F61" i="3"/>
  <c r="F73" i="3" s="1"/>
  <c r="I103" i="3"/>
  <c r="X103" i="3" s="1"/>
  <c r="Q126" i="3"/>
  <c r="E194" i="1"/>
  <c r="E210" i="1"/>
  <c r="E183" i="1"/>
  <c r="D59" i="1"/>
  <c r="H59" i="1" s="1"/>
  <c r="E125" i="1"/>
  <c r="G210" i="1"/>
  <c r="Q202" i="1"/>
  <c r="E170" i="1"/>
  <c r="D278" i="1"/>
  <c r="H278" i="1" s="1"/>
  <c r="E201" i="1"/>
  <c r="A14" i="1"/>
  <c r="A30" i="1"/>
  <c r="A43" i="1"/>
  <c r="D111" i="1"/>
  <c r="H111" i="1" s="1"/>
  <c r="A61" i="1"/>
  <c r="A70" i="1"/>
  <c r="A24" i="1"/>
  <c r="A44" i="1"/>
  <c r="D210" i="1"/>
  <c r="A23" i="1"/>
  <c r="A50" i="1"/>
  <c r="B241" i="1"/>
  <c r="A36" i="1"/>
  <c r="B73" i="1"/>
  <c r="A73" i="1" s="1"/>
  <c r="A42" i="1"/>
  <c r="A37" i="1"/>
  <c r="A51" i="1"/>
  <c r="A32" i="1"/>
  <c r="A17" i="1"/>
  <c r="A39" i="1"/>
  <c r="B66" i="1"/>
  <c r="A66" i="1" s="1"/>
  <c r="K202" i="1"/>
  <c r="A18" i="1"/>
  <c r="A26" i="1"/>
  <c r="A46" i="1"/>
  <c r="A106" i="1"/>
  <c r="A272" i="1"/>
  <c r="A29" i="1"/>
  <c r="A49" i="1"/>
  <c r="A91" i="1"/>
  <c r="A25" i="1"/>
  <c r="A33" i="1"/>
  <c r="A52" i="1"/>
  <c r="A114" i="1"/>
  <c r="A19" i="1"/>
  <c r="A34" i="1"/>
  <c r="A40" i="1"/>
  <c r="A47" i="1"/>
  <c r="A53" i="1"/>
  <c r="B109" i="1"/>
  <c r="A20" i="1"/>
  <c r="A27" i="1"/>
  <c r="D120" i="1"/>
  <c r="H120" i="1" s="1"/>
  <c r="D126" i="1"/>
  <c r="D185" i="1" s="1"/>
  <c r="A308" i="1"/>
  <c r="A55" i="1"/>
  <c r="A56" i="1"/>
  <c r="A38" i="1"/>
  <c r="A57" i="1"/>
  <c r="A16" i="1"/>
  <c r="A63" i="1"/>
  <c r="A28" i="1"/>
  <c r="A35" i="1"/>
  <c r="A41" i="1"/>
  <c r="A48" i="1"/>
  <c r="A54" i="1"/>
  <c r="A157" i="1"/>
  <c r="B234" i="1"/>
  <c r="F164" i="3" l="1"/>
  <c r="I98" i="3"/>
  <c r="S79" i="3"/>
  <c r="U79" i="3" s="1"/>
  <c r="U98" i="3" s="1"/>
  <c r="Q79" i="3"/>
  <c r="A13" i="3"/>
  <c r="F122" i="3"/>
  <c r="I146" i="3"/>
  <c r="X32" i="3"/>
  <c r="X122" i="3"/>
  <c r="U122" i="3"/>
  <c r="S131" i="3"/>
  <c r="U131" i="3" s="1"/>
  <c r="X131" i="3" s="1"/>
  <c r="Q146" i="3"/>
  <c r="W32" i="3"/>
  <c r="W132" i="3"/>
  <c r="Q132" i="3"/>
  <c r="X132" i="3" s="1"/>
  <c r="D164" i="3"/>
  <c r="X127" i="3"/>
  <c r="W79" i="3"/>
  <c r="Q129" i="3"/>
  <c r="O128" i="3"/>
  <c r="Q128" i="3" s="1"/>
  <c r="X128" i="3" s="1"/>
  <c r="S129" i="3"/>
  <c r="U129" i="3" s="1"/>
  <c r="U146" i="3" s="1"/>
  <c r="S54" i="3"/>
  <c r="U54" i="3" s="1"/>
  <c r="U73" i="3" s="1"/>
  <c r="U164" i="3" s="1"/>
  <c r="Q54" i="3"/>
  <c r="Q163" i="3" s="1"/>
  <c r="X27" i="3"/>
  <c r="F98" i="3"/>
  <c r="W56" i="3"/>
  <c r="Q56" i="3"/>
  <c r="X56" i="3" s="1"/>
  <c r="X53" i="3"/>
  <c r="X135" i="3"/>
  <c r="I27" i="3"/>
  <c r="I163" i="3"/>
  <c r="F49" i="3"/>
  <c r="X61" i="3"/>
  <c r="I122" i="3"/>
  <c r="A194" i="1"/>
  <c r="A95" i="1"/>
  <c r="A172" i="1"/>
  <c r="A128" i="1"/>
  <c r="A170" i="1"/>
  <c r="A77" i="1"/>
  <c r="A244" i="1"/>
  <c r="A93" i="1"/>
  <c r="A152" i="1"/>
  <c r="A158" i="1"/>
  <c r="A299" i="1"/>
  <c r="A274" i="1"/>
  <c r="A239" i="1"/>
  <c r="A289" i="1"/>
  <c r="A208" i="1"/>
  <c r="A269" i="1"/>
  <c r="A167" i="1"/>
  <c r="A149" i="1"/>
  <c r="A164" i="1"/>
  <c r="A313" i="1"/>
  <c r="A312" i="1"/>
  <c r="A293" i="1"/>
  <c r="A175" i="1"/>
  <c r="A135" i="1"/>
  <c r="A306" i="1"/>
  <c r="A290" i="1"/>
  <c r="A98" i="1"/>
  <c r="A213" i="1"/>
  <c r="A281" i="1"/>
  <c r="A105" i="1"/>
  <c r="A162" i="1"/>
  <c r="A183" i="1"/>
  <c r="A90" i="1"/>
  <c r="A113" i="1"/>
  <c r="A228" i="1"/>
  <c r="A291" i="1"/>
  <c r="A154" i="1"/>
  <c r="A206" i="1"/>
  <c r="A221" i="1"/>
  <c r="A248" i="1"/>
  <c r="A104" i="1"/>
  <c r="A81" i="1"/>
  <c r="A237" i="1"/>
  <c r="A266" i="1"/>
  <c r="E126" i="1"/>
  <c r="E185" i="1"/>
  <c r="A168" i="1"/>
  <c r="A286" i="1"/>
  <c r="A69" i="1"/>
  <c r="A270" i="1"/>
  <c r="A92" i="1"/>
  <c r="A109" i="1"/>
  <c r="A218" i="1"/>
  <c r="A275" i="1"/>
  <c r="A245" i="1"/>
  <c r="A219" i="1"/>
  <c r="A80" i="1"/>
  <c r="A189" i="1"/>
  <c r="A143" i="1"/>
  <c r="A179" i="1"/>
  <c r="D226" i="1"/>
  <c r="D307" i="1" s="1"/>
  <c r="H307" i="1" s="1"/>
  <c r="A253" i="1"/>
  <c r="A118" i="1"/>
  <c r="A271" i="1"/>
  <c r="A191" i="1"/>
  <c r="A212" i="1"/>
  <c r="A84" i="1"/>
  <c r="A140" i="1"/>
  <c r="A138" i="1"/>
  <c r="A71" i="1"/>
  <c r="A223" i="1"/>
  <c r="A285" i="1"/>
  <c r="A148" i="1"/>
  <c r="A190" i="1"/>
  <c r="A215" i="1"/>
  <c r="A226" i="1"/>
  <c r="A100" i="1"/>
  <c r="A232" i="1"/>
  <c r="A296" i="1"/>
  <c r="A255" i="1"/>
  <c r="A252" i="1"/>
  <c r="A243" i="1"/>
  <c r="A301" i="1"/>
  <c r="A304" i="1"/>
  <c r="A300" i="1"/>
  <c r="A115" i="1"/>
  <c r="A216" i="1"/>
  <c r="A258" i="1"/>
  <c r="A294" i="1"/>
  <c r="A102" i="1"/>
  <c r="A176" i="1"/>
  <c r="A159" i="1"/>
  <c r="A137" i="1"/>
  <c r="A233" i="1"/>
  <c r="H210" i="1"/>
  <c r="A160" i="1"/>
  <c r="A298" i="1"/>
  <c r="A131" i="1"/>
  <c r="A166" i="1"/>
  <c r="A187" i="1"/>
  <c r="A204" i="1"/>
  <c r="A76" i="1"/>
  <c r="A117" i="1"/>
  <c r="A132" i="1"/>
  <c r="A292" i="1"/>
  <c r="A217" i="1"/>
  <c r="A241" i="1"/>
  <c r="A142" i="1"/>
  <c r="A188" i="1"/>
  <c r="A203" i="1"/>
  <c r="A182" i="1"/>
  <c r="A220" i="1"/>
  <c r="A94" i="1"/>
  <c r="A68" i="1"/>
  <c r="A287" i="1"/>
  <c r="A82" i="1"/>
  <c r="A101" i="1"/>
  <c r="A282" i="1"/>
  <c r="A99" i="1"/>
  <c r="A173" i="1"/>
  <c r="A96" i="1"/>
  <c r="A229" i="1"/>
  <c r="A207" i="1"/>
  <c r="A123" i="1"/>
  <c r="A103" i="1"/>
  <c r="A234" i="1"/>
  <c r="A146" i="1"/>
  <c r="A198" i="1"/>
  <c r="A126" i="1"/>
  <c r="A174" i="1"/>
  <c r="A199" i="1"/>
  <c r="A136" i="1"/>
  <c r="A197" i="1"/>
  <c r="A214" i="1"/>
  <c r="A309" i="1"/>
  <c r="A278" i="1"/>
  <c r="A260" i="1"/>
  <c r="A86" i="1"/>
  <c r="A180" i="1"/>
  <c r="A79" i="1"/>
  <c r="A111" i="1"/>
  <c r="A139" i="1"/>
  <c r="A196" i="1"/>
  <c r="A125" i="1"/>
  <c r="A280" i="1"/>
  <c r="A120" i="1"/>
  <c r="A181" i="1"/>
  <c r="A192" i="1"/>
  <c r="A130" i="1"/>
  <c r="A87" i="1"/>
  <c r="A177" i="1"/>
  <c r="A267" i="1"/>
  <c r="A205" i="1"/>
  <c r="A268" i="1"/>
  <c r="A261" i="1"/>
  <c r="A249" i="1"/>
  <c r="A265" i="1"/>
  <c r="A72" i="1"/>
  <c r="A124" i="1"/>
  <c r="A153" i="1"/>
  <c r="A240" i="1"/>
  <c r="A200" i="1"/>
  <c r="A246" i="1"/>
  <c r="A257" i="1"/>
  <c r="A236" i="1"/>
  <c r="A78" i="1"/>
  <c r="A85" i="1"/>
  <c r="A147" i="1"/>
  <c r="A310" i="1"/>
  <c r="A193" i="1"/>
  <c r="A185" i="1"/>
  <c r="A238" i="1"/>
  <c r="A276" i="1"/>
  <c r="A254" i="1"/>
  <c r="A169" i="1"/>
  <c r="A165" i="1"/>
  <c r="A250" i="1"/>
  <c r="A75" i="1"/>
  <c r="A151" i="1"/>
  <c r="A163" i="1"/>
  <c r="A145" i="1"/>
  <c r="A307" i="1"/>
  <c r="A311" i="1"/>
  <c r="A302" i="1"/>
  <c r="A314" i="1"/>
  <c r="A141" i="1"/>
  <c r="A178" i="1"/>
  <c r="A88" i="1"/>
  <c r="A273" i="1"/>
  <c r="A161" i="1"/>
  <c r="A230" i="1"/>
  <c r="A222" i="1"/>
  <c r="A129" i="1"/>
  <c r="A262" i="1"/>
  <c r="A108" i="1"/>
  <c r="A155" i="1"/>
  <c r="A224" i="1"/>
  <c r="A107" i="1"/>
  <c r="A122" i="1"/>
  <c r="A263" i="1"/>
  <c r="A231" i="1"/>
  <c r="A256" i="1"/>
  <c r="A210" i="1"/>
  <c r="A133" i="1"/>
  <c r="A201" i="1"/>
  <c r="A89" i="1"/>
  <c r="A259" i="1"/>
  <c r="A247" i="1"/>
  <c r="A14" i="3" l="1"/>
  <c r="X54" i="3"/>
  <c r="X163" i="3" s="1"/>
  <c r="Q73" i="3"/>
  <c r="Q164" i="3" s="1"/>
  <c r="X49" i="3"/>
  <c r="X164" i="3" s="1"/>
  <c r="X129" i="3"/>
  <c r="X146" i="3" s="1"/>
  <c r="I164" i="3"/>
  <c r="Q98" i="3"/>
  <c r="X79" i="3"/>
  <c r="X98" i="3" s="1"/>
  <c r="A15" i="3"/>
  <c r="X73" i="3"/>
  <c r="U163" i="3"/>
  <c r="H226" i="1"/>
  <c r="D304" i="1"/>
  <c r="H304" i="1" s="1"/>
  <c r="A16" i="3" l="1"/>
  <c r="A17" i="3"/>
  <c r="A18" i="3"/>
  <c r="A19" i="3" l="1"/>
  <c r="A20" i="3" l="1"/>
  <c r="A21" i="3" l="1"/>
  <c r="A22" i="3" l="1"/>
  <c r="A23" i="3" l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</calcChain>
</file>

<file path=xl/sharedStrings.xml><?xml version="1.0" encoding="utf-8"?>
<sst xmlns="http://schemas.openxmlformats.org/spreadsheetml/2006/main" count="597" uniqueCount="355">
  <si>
    <t>ATRIUM ECONOMICS</t>
  </si>
  <si>
    <t>Gas Class Cost of Service Study</t>
  </si>
  <si>
    <t>Template</t>
  </si>
  <si>
    <t xml:space="preserve">INPUTS - ACCOUNT BALANCES </t>
  </si>
  <si>
    <t>Line No.</t>
  </si>
  <si>
    <t>Account Description</t>
  </si>
  <si>
    <t>FERC Account</t>
  </si>
  <si>
    <t>Account Balance</t>
  </si>
  <si>
    <t>Labor Balance</t>
  </si>
  <si>
    <t>Notes/Questions</t>
  </si>
  <si>
    <t>From: CNG 202312 - Depr-1032 B MDU 13 Month Plant Reserve Dec</t>
  </si>
  <si>
    <t>From RWIP Balances file</t>
  </si>
  <si>
    <t>RATE BASE</t>
  </si>
  <si>
    <t>month13endbalance</t>
  </si>
  <si>
    <t>month13endreserve</t>
  </si>
  <si>
    <t>RWIP</t>
  </si>
  <si>
    <t>Plant in Service</t>
  </si>
  <si>
    <t>301-G-Organization</t>
  </si>
  <si>
    <t>Intangible Plant</t>
  </si>
  <si>
    <t>302-G-Franchises</t>
  </si>
  <si>
    <t>367</t>
  </si>
  <si>
    <t>Organization</t>
  </si>
  <si>
    <t>369</t>
  </si>
  <si>
    <t>Franchises &amp; Consents</t>
  </si>
  <si>
    <t>303-G-Misc. Intangible Plant</t>
  </si>
  <si>
    <t>375</t>
  </si>
  <si>
    <t>Misc. Intangible Plant</t>
  </si>
  <si>
    <t>376</t>
  </si>
  <si>
    <t>377</t>
  </si>
  <si>
    <t>378</t>
  </si>
  <si>
    <t>Natural Gas Other Storage Plant</t>
  </si>
  <si>
    <t>379</t>
  </si>
  <si>
    <t>Land &amp; Land Rights - LNG</t>
  </si>
  <si>
    <t>380</t>
  </si>
  <si>
    <t>Structures &amp; improvement - LNG</t>
  </si>
  <si>
    <t>381</t>
  </si>
  <si>
    <t>Gas Holders - LNG</t>
  </si>
  <si>
    <t>383</t>
  </si>
  <si>
    <t>LNG Equipment</t>
  </si>
  <si>
    <t>385</t>
  </si>
  <si>
    <t>390</t>
  </si>
  <si>
    <t>392</t>
  </si>
  <si>
    <t xml:space="preserve">Transmission plant </t>
  </si>
  <si>
    <t>396</t>
  </si>
  <si>
    <t>Land and Land Rights</t>
  </si>
  <si>
    <t>398</t>
  </si>
  <si>
    <t>Structures and improvements</t>
  </si>
  <si>
    <t>Mains</t>
  </si>
  <si>
    <t>Compressor station equipment</t>
  </si>
  <si>
    <t>Measuring/Regulating Equipment</t>
  </si>
  <si>
    <t>Communication equipment</t>
  </si>
  <si>
    <t>Distribution Plant</t>
  </si>
  <si>
    <t>Land and land rights</t>
  </si>
  <si>
    <t>Measuring and regulating station equipment—general</t>
  </si>
  <si>
    <t>Measuring and regulating station equipment—City Gate</t>
  </si>
  <si>
    <t>Services</t>
  </si>
  <si>
    <t>Meters</t>
  </si>
  <si>
    <t>Meter installations</t>
  </si>
  <si>
    <t>House regulators</t>
  </si>
  <si>
    <t>Industrial measuring and regulating station equipment</t>
  </si>
  <si>
    <t>General Plant</t>
  </si>
  <si>
    <t>Structures and Improvements</t>
  </si>
  <si>
    <t>Office Furniture and Equipment</t>
  </si>
  <si>
    <t>Transportation Equipment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</si>
  <si>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</si>
  <si>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</si>
  <si>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</si>
  <si>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</si>
  <si>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</si>
  <si>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</si>
  <si>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Reconciliation</t>
  </si>
  <si>
    <t>Accumulated Depreciation &amp; Amortization Expense</t>
  </si>
  <si>
    <t>365-G-Land and Land Rights</t>
  </si>
  <si>
    <t>365-G-Rights-of-Way</t>
  </si>
  <si>
    <t>366-G-Structures</t>
  </si>
  <si>
    <t>367-G-Mains</t>
  </si>
  <si>
    <t>369-G-Measuring/Regulating Equipmen</t>
  </si>
  <si>
    <t>374-G-Land</t>
  </si>
  <si>
    <t>374-G-Land and Land Rights</t>
  </si>
  <si>
    <t>375-G-Structures &amp; Improvements</t>
  </si>
  <si>
    <t>376-G-Mains-High Pressure Steel</t>
  </si>
  <si>
    <t>376-G-Mains-Plastic</t>
  </si>
  <si>
    <t>376-G-Mains-Steel</t>
  </si>
  <si>
    <t>377-G-Compressor Station</t>
  </si>
  <si>
    <t>378-G-Measure/Regulation</t>
  </si>
  <si>
    <t>379-G-Measure/Regulation City Gate</t>
  </si>
  <si>
    <t>380-G-Services-Plastic-CNGC</t>
  </si>
  <si>
    <t>380-G-Services-Steel-CNGC</t>
  </si>
  <si>
    <t>381-G-ERT Units-CNGC-IGC</t>
  </si>
  <si>
    <t>Other Rate Base Items</t>
  </si>
  <si>
    <t>381-G-Meters Incl GPNG-MDU ERT</t>
  </si>
  <si>
    <t>Deferred Income Taxes</t>
  </si>
  <si>
    <t>1900/2820/2830</t>
  </si>
  <si>
    <t>383-G-Service Regulators</t>
  </si>
  <si>
    <t>Working Captial</t>
  </si>
  <si>
    <t>385-G-Industrial Meas. &amp; Reg Stn Eq</t>
  </si>
  <si>
    <t>Customer advances for construction</t>
  </si>
  <si>
    <t>389-G-Land &amp; Land Rights</t>
  </si>
  <si>
    <t>390-G-Leasehold Improvement</t>
  </si>
  <si>
    <t>390-G-Structures &amp; Improvements</t>
  </si>
  <si>
    <t>OPERATION AND MAINTENANCE EXPENSE</t>
  </si>
  <si>
    <t>Production, Storage, LNG, Transmission, and Distribution Expense</t>
  </si>
  <si>
    <t>Other Gas Supply Expenses</t>
  </si>
  <si>
    <t>391-G-Comp Equip-Server &amp; Workstati</t>
  </si>
  <si>
    <t>Other gas supply expenses</t>
  </si>
  <si>
    <t>Begin Labor input</t>
  </si>
  <si>
    <t>391-G-Office Equipment</t>
  </si>
  <si>
    <t>Other Storage Expenses - Operation</t>
  </si>
  <si>
    <t>Operation supervision and engineering</t>
  </si>
  <si>
    <t>391-G-Office Furniture &amp; Fixtures</t>
  </si>
  <si>
    <t>Operation labor and expenses</t>
  </si>
  <si>
    <t>Fuel</t>
  </si>
  <si>
    <t>Power</t>
  </si>
  <si>
    <t>391-G-Software</t>
  </si>
  <si>
    <t>392-G-Trailers</t>
  </si>
  <si>
    <t>Other Storage Expenses - Maintenance</t>
  </si>
  <si>
    <t>Maintenance of structures and improvements</t>
  </si>
  <si>
    <t>392-G-Transportation Equipment</t>
  </si>
  <si>
    <t>Maintenance of gas holders</t>
  </si>
  <si>
    <t>Maintenance of purification equipment</t>
  </si>
  <si>
    <t>Maintenance of liquefaction equipment</t>
  </si>
  <si>
    <t>393-G-Stores Equipment</t>
  </si>
  <si>
    <t>Maintenance of vaporizing equipment</t>
  </si>
  <si>
    <t>Maintenance of compressor equipment</t>
  </si>
  <si>
    <t>Maintenance of other equipment</t>
  </si>
  <si>
    <t>394-G-Tools,Shop,Garage Equip</t>
  </si>
  <si>
    <t>Transmission Operation Expenses</t>
  </si>
  <si>
    <t>394-G-Vehicle CNG Equipment</t>
  </si>
  <si>
    <t>Communication system expenses</t>
  </si>
  <si>
    <t>395-G-Laboratory Equipment</t>
  </si>
  <si>
    <t>Compressor station labor and expenses</t>
  </si>
  <si>
    <t>Mains expenses</t>
  </si>
  <si>
    <t>396-G-Power Operated Equipment</t>
  </si>
  <si>
    <t>Transmission Maintenance Expenses</t>
  </si>
  <si>
    <t>396-G-Trailers-Work Equipment</t>
  </si>
  <si>
    <t>Maintenance of mains</t>
  </si>
  <si>
    <t>Transmission Mains- Pipeline Integrity</t>
  </si>
  <si>
    <t>397-G-Radio Comm Equip-Fixed</t>
  </si>
  <si>
    <t>Maintenance of communication equipment</t>
  </si>
  <si>
    <t>397-G-Radio Comm Equip-Mobile</t>
  </si>
  <si>
    <t>Distribution Operation Expenses</t>
  </si>
  <si>
    <t>Distribution load dispatching</t>
  </si>
  <si>
    <t>397-G-Supervisory &amp; Telemeter Equip</t>
  </si>
  <si>
    <t>Compressor Station</t>
  </si>
  <si>
    <t>Mains and services expenses</t>
  </si>
  <si>
    <t>Measuring and regulating station expenses—general</t>
  </si>
  <si>
    <t>397-G-Telephone &amp; Telex Equip</t>
  </si>
  <si>
    <t>Measuring and regulating station expenses—industrial</t>
  </si>
  <si>
    <t>Maintenance of Mains</t>
  </si>
  <si>
    <t>Meter and house regulator expenses</t>
  </si>
  <si>
    <t>398-G-Miscellaneous Equipment</t>
  </si>
  <si>
    <t>Customer installations expenses</t>
  </si>
  <si>
    <t>Other expenses</t>
  </si>
  <si>
    <t>Rents</t>
  </si>
  <si>
    <t>Transportation Expense</t>
  </si>
  <si>
    <t>Labor Only (Object Codes 5110-5199) O&amp;M by FERC:</t>
  </si>
  <si>
    <t>Amount before Regulatory Adjustment</t>
  </si>
  <si>
    <t>Restate Wages Adjustment</t>
  </si>
  <si>
    <t>Restate Incentives Adjustment</t>
  </si>
  <si>
    <t>Restate CCA Labor Expense Adjustment</t>
  </si>
  <si>
    <t>2024 Pro Forma Wage Adjustment</t>
  </si>
  <si>
    <t>Pro Forma Medical Expense Adjustment</t>
  </si>
  <si>
    <t>2024 Pro Forma Pension Expense Adjustment</t>
  </si>
  <si>
    <t>Adjusted Labor</t>
  </si>
  <si>
    <t>Distribution Maintenance Expenses</t>
  </si>
  <si>
    <t>813</t>
  </si>
  <si>
    <t>Maintenance supervision and engineering</t>
  </si>
  <si>
    <t>870</t>
  </si>
  <si>
    <t>Structures &amp; Improvements</t>
  </si>
  <si>
    <t>871</t>
  </si>
  <si>
    <t>872</t>
  </si>
  <si>
    <t>874</t>
  </si>
  <si>
    <t>Maintenance of measuring and regulating station equipment—general</t>
  </si>
  <si>
    <t>875</t>
  </si>
  <si>
    <t>Maintenance of measuring and regulating station equipment—industrial</t>
  </si>
  <si>
    <t>876</t>
  </si>
  <si>
    <t>Maintenance of measuring and regulating station equipment—City Gate</t>
  </si>
  <si>
    <t>877</t>
  </si>
  <si>
    <t>Maintenance of services</t>
  </si>
  <si>
    <t>878</t>
  </si>
  <si>
    <t>Maintenance of meters and house regulators</t>
  </si>
  <si>
    <t>879</t>
  </si>
  <si>
    <t>Maintenance of Other Equipment</t>
  </si>
  <si>
    <t>880</t>
  </si>
  <si>
    <t>885</t>
  </si>
  <si>
    <t>887</t>
  </si>
  <si>
    <t>888</t>
  </si>
  <si>
    <t>889</t>
  </si>
  <si>
    <t>Customer Accounts, Service, and Sales Expense</t>
  </si>
  <si>
    <t>890</t>
  </si>
  <si>
    <t>Customer Account</t>
  </si>
  <si>
    <t>891</t>
  </si>
  <si>
    <t xml:space="preserve">Supervision </t>
  </si>
  <si>
    <t>892</t>
  </si>
  <si>
    <t>Meter reading expenses</t>
  </si>
  <si>
    <t>893</t>
  </si>
  <si>
    <t>Customer records and collection expenses</t>
  </si>
  <si>
    <t>894</t>
  </si>
  <si>
    <t>Uncollectible accounts</t>
  </si>
  <si>
    <t>Uncollectible increase is at the end of inputs</t>
  </si>
  <si>
    <t>901</t>
  </si>
  <si>
    <t>Miscellaneous Expense</t>
  </si>
  <si>
    <t>902</t>
  </si>
  <si>
    <t>903</t>
  </si>
  <si>
    <t>908</t>
  </si>
  <si>
    <t>Customer Service &amp; Information Expenses</t>
  </si>
  <si>
    <t>910</t>
  </si>
  <si>
    <t>912</t>
  </si>
  <si>
    <t xml:space="preserve">Customer assistance expenses </t>
  </si>
  <si>
    <t>920</t>
  </si>
  <si>
    <t xml:space="preserve">Informational and instructional advertising expenses </t>
  </si>
  <si>
    <t>925</t>
  </si>
  <si>
    <t>Miscellaneous Customer Service and informational expense</t>
  </si>
  <si>
    <t>926</t>
  </si>
  <si>
    <t>935</t>
  </si>
  <si>
    <t>Sales Expenses</t>
  </si>
  <si>
    <t>Supervision</t>
  </si>
  <si>
    <t>Demonstrating and selling expenses</t>
  </si>
  <si>
    <t>Advertising expenses</t>
  </si>
  <si>
    <t>Miscellaneous sales expenses</t>
  </si>
  <si>
    <t>End Labor Input</t>
  </si>
  <si>
    <t>Administrative and General Expenses</t>
  </si>
  <si>
    <t>Administrative and general salaries</t>
  </si>
  <si>
    <t>Office supplies and expenses</t>
  </si>
  <si>
    <t>Outside services employed</t>
  </si>
  <si>
    <t>Property insurance</t>
  </si>
  <si>
    <t>Injuries and damages</t>
  </si>
  <si>
    <t>Employee pensions and benefits</t>
  </si>
  <si>
    <t>Regulatory commission expenses</t>
  </si>
  <si>
    <t>General advertising expenses</t>
  </si>
  <si>
    <t>Miscellaneous general expenses</t>
  </si>
  <si>
    <t>Maintenance of general plant</t>
  </si>
  <si>
    <t>Adjustments, Depreciation and Amortization Expense</t>
  </si>
  <si>
    <t>Depreciation Expense</t>
  </si>
  <si>
    <t/>
  </si>
  <si>
    <t>Structures</t>
  </si>
  <si>
    <t>Taxes</t>
  </si>
  <si>
    <t>Revenue Taxes</t>
  </si>
  <si>
    <t>Taxes Other Than Income Taxes</t>
  </si>
  <si>
    <t>Taxes Other Than Income Taxes - Property, Payroll, &amp; Misc. Taxes</t>
  </si>
  <si>
    <t>Income Taxes</t>
  </si>
  <si>
    <t>Income Taxes - Federal</t>
  </si>
  <si>
    <t>Income Taxes - Provisions for Deferred Federal Income Taxes</t>
  </si>
  <si>
    <t>Provision for Deferred Income Tax - Credit</t>
  </si>
  <si>
    <t>Investment Tax Credit Adjustments</t>
  </si>
  <si>
    <t>Operating Revenue</t>
  </si>
  <si>
    <t>Revenue From Gas Sales</t>
  </si>
  <si>
    <t>480 &amp; 481</t>
  </si>
  <si>
    <t>Gas Transportation Revenues</t>
  </si>
  <si>
    <t>Other Operating Revenues</t>
  </si>
  <si>
    <t>OPERATING INCOME AT CURRENT RATES</t>
  </si>
  <si>
    <t>REVENUE REQUIREMENT AT EQUAL RATES OF RETURN</t>
  </si>
  <si>
    <t>Test Year Expenses at Current Rates</t>
  </si>
  <si>
    <t>Return on Rate Base</t>
  </si>
  <si>
    <t>Gross Up Items</t>
  </si>
  <si>
    <t>Federal Income Tax</t>
  </si>
  <si>
    <t>State Income Tax</t>
  </si>
  <si>
    <t>Uncollectable Account - Increase</t>
  </si>
  <si>
    <t>Cascade Natural Gas Corp.</t>
  </si>
  <si>
    <t>Twelve-Months ended December 31, 2023</t>
  </si>
  <si>
    <t>Total</t>
  </si>
  <si>
    <t>Summary of Adjusted Test Year Revenues by Rate Schedule</t>
  </si>
  <si>
    <t>Test Year Results</t>
  </si>
  <si>
    <t>Remove Supplemental Schedule Revenues</t>
  </si>
  <si>
    <t>Billing Determinant Recalculation at Current Rates</t>
  </si>
  <si>
    <t>Weather Normalization</t>
  </si>
  <si>
    <t>End of Period</t>
  </si>
  <si>
    <t>Cost Recovery Mechanism</t>
  </si>
  <si>
    <t>Adjusted Test Year Results</t>
  </si>
  <si>
    <t>Lin No</t>
  </si>
  <si>
    <t>Rate Class</t>
  </si>
  <si>
    <t>Billing Determinants
(Customers/Therms)</t>
  </si>
  <si>
    <t>Per Books Revenue (Dollars)</t>
  </si>
  <si>
    <t>Adjustment Amount</t>
  </si>
  <si>
    <t>Current Rates</t>
  </si>
  <si>
    <t>Weather Normalization Adjustment (Therms)</t>
  </si>
  <si>
    <t>End of Period Billing Determinants Adjustment (Customers/Therms)</t>
  </si>
  <si>
    <t>Proposed Billing Determinants (Customers/Therms)</t>
  </si>
  <si>
    <t>(A)</t>
  </si>
  <si>
    <t>(B)</t>
  </si>
  <si>
    <t>(C)</t>
  </si>
  <si>
    <t>(D)</t>
  </si>
  <si>
    <t>(E)</t>
  </si>
  <si>
    <t>(F) = (B)*(E)-(C)</t>
  </si>
  <si>
    <t>(G)</t>
  </si>
  <si>
    <t>(H)</t>
  </si>
  <si>
    <t>(I) = (G)*(H)</t>
  </si>
  <si>
    <t>(J)</t>
  </si>
  <si>
    <t>(K)</t>
  </si>
  <si>
    <t>(L) = (J)*(K)</t>
  </si>
  <si>
    <t>(M) = (B)+(G)+(J)</t>
  </si>
  <si>
    <t>(N)</t>
  </si>
  <si>
    <t>(O) = (M)*(N)</t>
  </si>
  <si>
    <t>(P) = (B)+(G)+(J)</t>
  </si>
  <si>
    <t>(R) = (C)+(D)+(F)+(I)+(L)+(O)</t>
  </si>
  <si>
    <t>Margin Revenues:</t>
  </si>
  <si>
    <t>Basic Service Charge</t>
  </si>
  <si>
    <t>Margin</t>
  </si>
  <si>
    <t>Non-Margin Revenues:</t>
  </si>
  <si>
    <t>Average Cost of Gas</t>
  </si>
  <si>
    <t>Temporary Gas Cost Amortization</t>
  </si>
  <si>
    <t>WA Energy Assistance Fund Program</t>
  </si>
  <si>
    <t>WA Replacement Pipe Cost Recovery</t>
  </si>
  <si>
    <t>WA Decoupling Mechanism</t>
  </si>
  <si>
    <t>WA Conservation Cost Recovery</t>
  </si>
  <si>
    <t>WA Protected-Plus Excess Deferred Income Tax</t>
  </si>
  <si>
    <t>WA Unprotected Excess Deferred Income Tax</t>
  </si>
  <si>
    <t>City Tax</t>
  </si>
  <si>
    <t>State Utility Tax Credit</t>
  </si>
  <si>
    <t>Indian Nation Tribal Charge</t>
  </si>
  <si>
    <t>Current Year Decoupling Deferral</t>
  </si>
  <si>
    <t>Amortization of Prior Year Decoupling Deferral</t>
  </si>
  <si>
    <t>Amortization of Prior Year WEAF Balance</t>
  </si>
  <si>
    <t>Total Rate Schedule 503 Revenue</t>
  </si>
  <si>
    <t>Total Rate Schedule 504 Revenue</t>
  </si>
  <si>
    <t>Margin First 500 Therms</t>
  </si>
  <si>
    <t>Margin Next 3,500 Therms</t>
  </si>
  <si>
    <t>Margin &gt; 4,000 Therms</t>
  </si>
  <si>
    <t>Total Rate Schedule 505 Revenue</t>
  </si>
  <si>
    <t>Margin First 20,000 Therms</t>
  </si>
  <si>
    <t>Margin Next 80,000 Therms</t>
  </si>
  <si>
    <t>Margin &gt; 100,000 Therms</t>
  </si>
  <si>
    <t>Deficiency Billings</t>
  </si>
  <si>
    <t>Total Rate Schedule 511 Revenue</t>
  </si>
  <si>
    <t>Margin First 30,000 Therms</t>
  </si>
  <si>
    <t>Margin &gt; 30,000 Therms</t>
  </si>
  <si>
    <t>Total Rate Schedule 570 Revenue</t>
  </si>
  <si>
    <t>Contract Demand Charge</t>
  </si>
  <si>
    <t>System Balancing Charge</t>
  </si>
  <si>
    <t>Delivery Charge First 100,000 Therms</t>
  </si>
  <si>
    <t>Delivery Charge Next 200,000 Therms</t>
  </si>
  <si>
    <t>Delivery Charge Over 500,000 Therms</t>
  </si>
  <si>
    <t>Contract Charge</t>
  </si>
  <si>
    <t>Gross Revenue Fee</t>
  </si>
  <si>
    <t>Adjustment</t>
  </si>
  <si>
    <t>Total Rate Schedule 663 Revenue</t>
  </si>
  <si>
    <t>Special Contracts</t>
  </si>
  <si>
    <t>Dispatch Service Charge</t>
  </si>
  <si>
    <t>Monthly Charge</t>
  </si>
  <si>
    <t>Minimum Charge per Month</t>
  </si>
  <si>
    <t>Monthly Facilities Charge</t>
  </si>
  <si>
    <t>Commodity Charge</t>
  </si>
  <si>
    <t>Total Special Contract Revenue</t>
  </si>
  <si>
    <t>Total Cascade Rate Schedule Margin</t>
  </si>
  <si>
    <t>Total Cascade Rate Schedule Revenue</t>
  </si>
  <si>
    <t>Total Therms</t>
  </si>
  <si>
    <t>Reconciliation:</t>
  </si>
  <si>
    <t>Rev Recon Summary tab</t>
  </si>
  <si>
    <t>6631 Differences in Rev Recon Summary</t>
  </si>
  <si>
    <t>Sch. 511 Deficiency Billings not in Rev Recon Summary</t>
  </si>
  <si>
    <t>Difference</t>
  </si>
  <si>
    <t>Total Customer Counts</t>
  </si>
  <si>
    <t>Customer Counts tab</t>
  </si>
  <si>
    <t>Name of Linked Workbook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</si>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</sst>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0.0_);\(0.0\)"/>
    <numFmt numFmtId="167" formatCode="0.0"/>
    <numFmt numFmtId="168" formatCode="&quot;$&quot;#,##0.00000"/>
    <numFmt numFmtId="169" formatCode="&quot;$&quot;#,##0.00"/>
    <numFmt numFmtId="170" formatCode="_(&quot;$&quot;* #,##0_);_(&quot;$&quot;* \(#,##0\);_(&quot;$&quot;* &quot;-&quot;??_);_(@_)"/>
    <numFmt numFmtId="171" formatCode="&quot;$&quot;#,##0"/>
    <numFmt numFmtId="172" formatCode="_(&quot;$&quot;* #,##0.00000_);_(&quot;$&quot;* \(#,##0.00000\);_(&quot;$&quot;* &quot;-&quot;??_);_(@_)"/>
    <numFmt numFmtId="173" formatCode="0.00000"/>
    <numFmt numFmtId="174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44" fontId="4" fillId="0" borderId="0" applyFont="0" applyFill="0" applyBorder="0" applyProtection="0">
      <alignment horizontal="right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37" fontId="3" fillId="0" borderId="0" xfId="2" applyNumberFormat="1" applyFont="1" applyFill="1"/>
    <xf numFmtId="7" fontId="3" fillId="0" borderId="7" xfId="9" applyNumberFormat="1" applyFont="1" applyFill="1" applyBorder="1" applyAlignment="1">
      <alignment horizontal="center" wrapText="1"/>
    </xf>
    <xf numFmtId="168" fontId="3" fillId="0" borderId="7" xfId="9" applyNumberFormat="1" applyFont="1" applyFill="1" applyBorder="1" applyAlignment="1">
      <alignment horizontal="center" wrapText="1"/>
    </xf>
    <xf numFmtId="169" fontId="3" fillId="0" borderId="7" xfId="9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71" fontId="3" fillId="0" borderId="2" xfId="1" applyNumberFormat="1" applyFont="1" applyFill="1" applyBorder="1" applyAlignment="1">
      <alignment horizontal="right"/>
    </xf>
    <xf numFmtId="44" fontId="3" fillId="0" borderId="0" xfId="10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37" fontId="5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wrapText="1"/>
    </xf>
    <xf numFmtId="43" fontId="3" fillId="0" borderId="0" xfId="1" applyFont="1" applyFill="1"/>
    <xf numFmtId="37" fontId="3" fillId="0" borderId="1" xfId="0" applyNumberFormat="1" applyFont="1" applyBorder="1" applyAlignment="1" applyProtection="1">
      <alignment horizontal="left" indent="1"/>
      <protection locked="0"/>
    </xf>
    <xf numFmtId="165" fontId="3" fillId="0" borderId="1" xfId="0" applyNumberFormat="1" applyFont="1" applyBorder="1" applyAlignment="1" applyProtection="1">
      <alignment horizontal="left" indent="1"/>
      <protection locked="0"/>
    </xf>
    <xf numFmtId="37" fontId="3" fillId="0" borderId="1" xfId="0" applyNumberFormat="1" applyFont="1" applyBorder="1" applyProtection="1">
      <protection locked="0"/>
    </xf>
    <xf numFmtId="37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2" fontId="3" fillId="0" borderId="0" xfId="0" applyNumberFormat="1" applyFont="1"/>
    <xf numFmtId="165" fontId="3" fillId="0" borderId="1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/>
    <xf numFmtId="16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6" fontId="3" fillId="0" borderId="0" xfId="0" applyNumberFormat="1" applyFont="1"/>
    <xf numFmtId="167" fontId="3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3" fillId="0" borderId="0" xfId="0" applyFont="1" applyAlignment="1">
      <alignment wrapText="1"/>
    </xf>
    <xf numFmtId="8" fontId="3" fillId="0" borderId="0" xfId="0" applyNumberFormat="1" applyFont="1"/>
    <xf numFmtId="37" fontId="3" fillId="0" borderId="0" xfId="0" applyNumberFormat="1" applyFont="1" applyAlignment="1" applyProtection="1">
      <alignment horizontal="left" indent="1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9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37" fontId="3" fillId="0" borderId="0" xfId="0" applyNumberFormat="1" applyFont="1" applyProtection="1">
      <protection locked="0"/>
    </xf>
    <xf numFmtId="37" fontId="5" fillId="0" borderId="0" xfId="2" applyNumberFormat="1" applyFont="1" applyFill="1"/>
    <xf numFmtId="164" fontId="3" fillId="0" borderId="0" xfId="1" applyNumberFormat="1" applyFont="1" applyFill="1"/>
    <xf numFmtId="170" fontId="3" fillId="0" borderId="0" xfId="10" applyNumberFormat="1" applyFont="1" applyFill="1"/>
    <xf numFmtId="44" fontId="3" fillId="0" borderId="0" xfId="10" applyFont="1" applyFill="1"/>
    <xf numFmtId="172" fontId="3" fillId="0" borderId="0" xfId="10" applyNumberFormat="1" applyFont="1" applyFill="1"/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70" fontId="3" fillId="0" borderId="3" xfId="10" applyNumberFormat="1" applyFont="1" applyFill="1" applyBorder="1"/>
    <xf numFmtId="170" fontId="3" fillId="0" borderId="2" xfId="10" applyNumberFormat="1" applyFont="1" applyFill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9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44" fontId="3" fillId="0" borderId="0" xfId="0" applyNumberFormat="1" applyFont="1"/>
    <xf numFmtId="170" fontId="3" fillId="0" borderId="0" xfId="0" applyNumberFormat="1" applyFont="1"/>
    <xf numFmtId="164" fontId="3" fillId="0" borderId="2" xfId="0" applyNumberFormat="1" applyFont="1" applyBorder="1"/>
    <xf numFmtId="0" fontId="3" fillId="0" borderId="2" xfId="0" applyFont="1" applyBorder="1"/>
    <xf numFmtId="0" fontId="5" fillId="0" borderId="2" xfId="0" applyFont="1" applyBorder="1"/>
    <xf numFmtId="171" fontId="3" fillId="0" borderId="2" xfId="0" applyNumberFormat="1" applyFont="1" applyBorder="1" applyAlignment="1">
      <alignment horizontal="right"/>
    </xf>
    <xf numFmtId="169" fontId="3" fillId="0" borderId="2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11" applyFont="1"/>
    <xf numFmtId="0" fontId="3" fillId="0" borderId="0" xfId="0" applyFont="1" applyAlignment="1">
      <alignment vertical="top"/>
    </xf>
    <xf numFmtId="173" fontId="3" fillId="0" borderId="0" xfId="0" applyNumberFormat="1" applyFont="1"/>
    <xf numFmtId="0" fontId="5" fillId="0" borderId="0" xfId="12" applyFont="1"/>
    <xf numFmtId="39" fontId="3" fillId="0" borderId="0" xfId="0" applyNumberFormat="1" applyFont="1" applyAlignment="1">
      <alignment horizontal="right"/>
    </xf>
    <xf numFmtId="5" fontId="3" fillId="0" borderId="0" xfId="0" applyNumberFormat="1" applyFont="1" applyAlignment="1">
      <alignment horizontal="right"/>
    </xf>
    <xf numFmtId="0" fontId="5" fillId="0" borderId="4" xfId="0" applyFont="1" applyBorder="1"/>
    <xf numFmtId="0" fontId="3" fillId="0" borderId="3" xfId="0" applyFont="1" applyBorder="1"/>
    <xf numFmtId="170" fontId="3" fillId="0" borderId="3" xfId="0" applyNumberFormat="1" applyFont="1" applyBorder="1"/>
    <xf numFmtId="7" fontId="3" fillId="0" borderId="3" xfId="0" applyNumberFormat="1" applyFont="1" applyBorder="1" applyAlignment="1">
      <alignment horizontal="right"/>
    </xf>
    <xf numFmtId="7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9">
    <cellStyle name="Comma" xfId="1" builtinId="3"/>
    <cellStyle name="Comma 175" xfId="2" xr:uid="{52EDE92D-0A2C-4728-840B-2A06258E40C8}"/>
    <cellStyle name="Comma 2 10" xfId="9" xr:uid="{DD1F218A-C194-40A5-90FA-5B5A5544BF13}"/>
    <cellStyle name="Comma 49" xfId="15" xr:uid="{CC19BCE6-31C8-4AD3-B444-FED47BD1B967}"/>
    <cellStyle name="Comma 49 2" xfId="18" xr:uid="{F335B436-B22F-4670-9D74-158CAF775E44}"/>
    <cellStyle name="Currency 12" xfId="14" xr:uid="{D383961A-2444-4008-A946-89155B9EBA86}"/>
    <cellStyle name="Currency 2" xfId="10" xr:uid="{4029A55A-6D66-46D6-B6F0-118D4E7D42FF}"/>
    <cellStyle name="Normal" xfId="0" builtinId="0"/>
    <cellStyle name="Normal 113" xfId="11" xr:uid="{31FC58BF-55E8-44F3-8509-CBAB067853CD}"/>
    <cellStyle name="Normal 2 10 3" xfId="5" xr:uid="{6AAACFA1-DF93-422D-B49E-1D176E740CB5}"/>
    <cellStyle name="Normal 3 10 3" xfId="8" xr:uid="{DC3C05FF-BBB6-41AC-8A75-7ABA77F00B1F}"/>
    <cellStyle name="Normal 3 11" xfId="6" xr:uid="{DAA6B660-D892-4451-B521-ABD6AB7CB5FF}"/>
    <cellStyle name="Normal 3 15" xfId="12" xr:uid="{88DFEC6E-DBFF-404C-BBE6-A3C5E7BF8FDC}"/>
    <cellStyle name="Normal 89 2" xfId="4" xr:uid="{8E0227D0-A3EC-4C7A-A87D-11EF9B4D2C41}"/>
    <cellStyle name="Normal 91" xfId="16" xr:uid="{AA0A6F3D-A0D4-4283-B890-3E19C0B69CA6}"/>
    <cellStyle name="Normal 92" xfId="13" xr:uid="{508BF750-7D3F-4632-940F-F1D248D94077}"/>
    <cellStyle name="Normal 95" xfId="3" xr:uid="{A81D108D-D22E-4D55-BB42-D2A2134E5610}"/>
    <cellStyle name="Percent 2" xfId="7" xr:uid="{0B4D06BB-439E-42C1-8B01-4B8B34357CA2}"/>
    <cellStyle name="Percent 47" xfId="17" xr:uid="{1BBD7C41-05FD-44C9-9223-057DE80B9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7492-97E6-44D2-B653-0DA10B94A729}">
  <sheetPr codeName="Sheet3"/>
  <dimension ref="A1:Q316"/>
  <sheetViews>
    <sheetView tabSelected="1" topLeftCell="B1" zoomScale="80" zoomScaleNormal="80" workbookViewId="0">
      <selection activeCell="F343" sqref="F343"/>
    </sheetView>
  </sheetViews>
  <sheetFormatPr defaultColWidth="10.23046875" defaultRowHeight="14.6" x14ac:dyDescent="0.4"/>
  <cols>
    <col min="1" max="1" width="5.23046875" style="14" customWidth="1"/>
    <col min="2" max="2" width="67.84375" style="14" bestFit="1" customWidth="1"/>
    <col min="3" max="3" width="11.23046875" style="14" bestFit="1" customWidth="1"/>
    <col min="4" max="4" width="18.53515625" style="14" bestFit="1" customWidth="1"/>
    <col min="5" max="5" width="18.53515625" style="14" customWidth="1"/>
    <col min="6" max="6" width="31.69140625" style="14" customWidth="1"/>
    <col min="7" max="7" width="15.15234375" style="14" customWidth="1"/>
    <col min="8" max="8" width="13.84375" style="14" customWidth="1"/>
    <col min="9" max="9" width="14" style="14" customWidth="1"/>
    <col min="10" max="10" width="21.84375" style="14" customWidth="1"/>
    <col min="11" max="11" width="19.84375" style="14" customWidth="1"/>
    <col min="12" max="12" width="14.23046875" style="14" bestFit="1" customWidth="1"/>
    <col min="13" max="13" width="11.15234375" style="14" customWidth="1"/>
    <col min="14" max="14" width="13.53515625" style="14" bestFit="1" customWidth="1"/>
    <col min="15" max="15" width="13.23046875" style="14" bestFit="1" customWidth="1"/>
    <col min="16" max="16" width="14.84375" style="14" customWidth="1"/>
    <col min="17" max="17" width="14.15234375" style="14" bestFit="1" customWidth="1"/>
    <col min="18" max="16384" width="10.23046875" style="14"/>
  </cols>
  <sheetData>
    <row r="1" spans="1:14" x14ac:dyDescent="0.4">
      <c r="A1" s="12"/>
      <c r="B1" s="13" t="s">
        <v>0</v>
      </c>
      <c r="C1" s="12"/>
    </row>
    <row r="2" spans="1:14" x14ac:dyDescent="0.4">
      <c r="A2" s="12"/>
      <c r="B2" s="15" t="s">
        <v>1</v>
      </c>
      <c r="C2" s="12"/>
      <c r="D2" s="16"/>
    </row>
    <row r="3" spans="1:14" x14ac:dyDescent="0.4">
      <c r="A3" s="12"/>
      <c r="B3" s="15" t="s">
        <v>2</v>
      </c>
      <c r="C3" s="12"/>
      <c r="D3" s="16"/>
    </row>
    <row r="4" spans="1:14" x14ac:dyDescent="0.4">
      <c r="A4" s="12"/>
      <c r="B4" s="13" t="s">
        <v>3</v>
      </c>
      <c r="C4" s="12"/>
      <c r="D4" s="16"/>
    </row>
    <row r="5" spans="1:14" x14ac:dyDescent="0.4">
      <c r="A5" s="12"/>
      <c r="C5" s="12"/>
    </row>
    <row r="6" spans="1:14" ht="29.15" x14ac:dyDescent="0.4">
      <c r="A6" s="17" t="s">
        <v>4</v>
      </c>
      <c r="B6" s="13" t="s">
        <v>5</v>
      </c>
      <c r="C6" s="17" t="s">
        <v>6</v>
      </c>
      <c r="D6" s="17" t="s">
        <v>7</v>
      </c>
      <c r="E6" s="17" t="s">
        <v>8</v>
      </c>
      <c r="F6" s="17" t="s">
        <v>9</v>
      </c>
    </row>
    <row r="7" spans="1:14" x14ac:dyDescent="0.4">
      <c r="A7" s="12" t="str">
        <f>IF(B7="","",MAX(A$1:A6)+1)</f>
        <v/>
      </c>
      <c r="C7" s="12"/>
      <c r="I7" s="14" t="s">
        <v>10</v>
      </c>
      <c r="M7" s="14" t="s">
        <v>11</v>
      </c>
    </row>
    <row r="8" spans="1:14" x14ac:dyDescent="0.4">
      <c r="A8" s="12">
        <f>IF(B8="","",COUNTA(B$8:B8))</f>
        <v>1</v>
      </c>
      <c r="B8" s="13" t="s">
        <v>12</v>
      </c>
      <c r="C8" s="12"/>
      <c r="J8" s="14" t="s">
        <v>13</v>
      </c>
      <c r="K8" s="14" t="s">
        <v>14</v>
      </c>
      <c r="N8" s="14" t="s">
        <v>15</v>
      </c>
    </row>
    <row r="9" spans="1:14" x14ac:dyDescent="0.4">
      <c r="A9" s="12">
        <f>IF(B9="","",COUNTA(B$8:B9))</f>
        <v>2</v>
      </c>
      <c r="B9" s="13" t="s">
        <v>16</v>
      </c>
      <c r="C9" s="12"/>
      <c r="I9" s="14" t="s">
        <v>17</v>
      </c>
      <c r="J9" s="14">
        <v>114156.01000000001</v>
      </c>
      <c r="K9" s="14">
        <v>0</v>
      </c>
      <c r="N9" s="18"/>
    </row>
    <row r="10" spans="1:14" x14ac:dyDescent="0.4">
      <c r="A10" s="12">
        <f>IF(B10="","",COUNTA(B$8:B10))</f>
        <v>3</v>
      </c>
      <c r="B10" s="13" t="s">
        <v>18</v>
      </c>
      <c r="C10" s="12"/>
      <c r="I10" s="14" t="s">
        <v>19</v>
      </c>
      <c r="J10" s="14">
        <v>0</v>
      </c>
      <c r="K10" s="14">
        <v>0</v>
      </c>
      <c r="M10" s="14" t="s">
        <v>20</v>
      </c>
      <c r="N10" s="18">
        <v>-39961.48000000001</v>
      </c>
    </row>
    <row r="11" spans="1:14" x14ac:dyDescent="0.4">
      <c r="A11" s="12">
        <f>IF(B11="","",COUNTA(B$8:B11))</f>
        <v>4</v>
      </c>
      <c r="B11" s="19" t="s">
        <v>21</v>
      </c>
      <c r="C11" s="20">
        <v>301</v>
      </c>
      <c r="D11" s="21">
        <f>SUM(J9)</f>
        <v>114156.01000000001</v>
      </c>
      <c r="E11" s="22"/>
      <c r="I11" s="14" t="s">
        <v>19</v>
      </c>
      <c r="J11" s="14">
        <v>138157.95000000001</v>
      </c>
      <c r="K11" s="14">
        <v>138157.95000000001</v>
      </c>
      <c r="M11" s="14" t="s">
        <v>22</v>
      </c>
      <c r="N11" s="18">
        <v>2282.2000000000003</v>
      </c>
    </row>
    <row r="12" spans="1:14" x14ac:dyDescent="0.4">
      <c r="A12" s="12">
        <f>IF(B12="","",COUNTA(B$8:B12))</f>
        <v>5</v>
      </c>
      <c r="B12" s="19" t="s">
        <v>23</v>
      </c>
      <c r="C12" s="20">
        <v>302</v>
      </c>
      <c r="D12" s="21">
        <f>SUM(J10:J11)</f>
        <v>138157.95000000001</v>
      </c>
      <c r="E12" s="22"/>
      <c r="I12" s="14" t="s">
        <v>24</v>
      </c>
      <c r="J12" s="14">
        <v>0</v>
      </c>
      <c r="K12" s="14">
        <v>0</v>
      </c>
      <c r="M12" s="14" t="s">
        <v>25</v>
      </c>
      <c r="N12" s="18">
        <v>331.98</v>
      </c>
    </row>
    <row r="13" spans="1:14" x14ac:dyDescent="0.4">
      <c r="A13" s="12">
        <f>IF(B13="","",COUNTA(B$8:B13))</f>
        <v>6</v>
      </c>
      <c r="B13" s="19" t="s">
        <v>26</v>
      </c>
      <c r="C13" s="20">
        <v>303</v>
      </c>
      <c r="D13" s="21">
        <f>SUM(J12:J73)</f>
        <v>57006600.719999999</v>
      </c>
      <c r="E13" s="22"/>
      <c r="I13" s="14" t="s">
        <v>24</v>
      </c>
      <c r="J13" s="14">
        <v>0</v>
      </c>
      <c r="K13" s="14">
        <v>0</v>
      </c>
      <c r="M13" s="14" t="s">
        <v>27</v>
      </c>
      <c r="N13" s="18">
        <v>794064.83999999845</v>
      </c>
    </row>
    <row r="14" spans="1:14" x14ac:dyDescent="0.4">
      <c r="A14" s="12">
        <f>IF(B14="","",COUNTA(B$8:B14))</f>
        <v>7</v>
      </c>
      <c r="B14" s="14" t="str">
        <f>"Subtotal - "&amp;B10</f>
        <v>Subtotal - Intangible Plant</v>
      </c>
      <c r="C14" s="23"/>
      <c r="D14" s="2">
        <f>SUBTOTAL(9,D11:D13)</f>
        <v>57258914.68</v>
      </c>
      <c r="E14" s="22"/>
      <c r="I14" s="14" t="s">
        <v>24</v>
      </c>
      <c r="J14" s="14">
        <v>0</v>
      </c>
      <c r="K14" s="14">
        <v>0</v>
      </c>
      <c r="M14" s="14" t="s">
        <v>28</v>
      </c>
      <c r="N14" s="18">
        <v>1448.67</v>
      </c>
    </row>
    <row r="15" spans="1:14" x14ac:dyDescent="0.4">
      <c r="A15" s="12" t="str">
        <f>IF(B15="","",COUNTA(B$8:B15))</f>
        <v/>
      </c>
      <c r="C15" s="23"/>
      <c r="D15" s="22"/>
      <c r="E15" s="22"/>
      <c r="I15" s="14" t="s">
        <v>24</v>
      </c>
      <c r="J15" s="14">
        <v>0</v>
      </c>
      <c r="K15" s="14">
        <v>0</v>
      </c>
      <c r="M15" s="14" t="s">
        <v>29</v>
      </c>
      <c r="N15" s="18">
        <v>113803.78999999995</v>
      </c>
    </row>
    <row r="16" spans="1:14" x14ac:dyDescent="0.4">
      <c r="A16" s="12">
        <f>IF(B16="","",COUNTA(B$8:B16))</f>
        <v>8</v>
      </c>
      <c r="B16" s="13" t="s">
        <v>30</v>
      </c>
      <c r="C16" s="23"/>
      <c r="D16" s="22"/>
      <c r="E16" s="22"/>
      <c r="I16" s="14" t="s">
        <v>24</v>
      </c>
      <c r="J16" s="14">
        <v>12647.45</v>
      </c>
      <c r="K16" s="14">
        <v>4159.3100000000004</v>
      </c>
      <c r="M16" s="14" t="s">
        <v>31</v>
      </c>
      <c r="N16" s="18">
        <v>-27170.389999999992</v>
      </c>
    </row>
    <row r="17" spans="1:14" x14ac:dyDescent="0.4">
      <c r="A17" s="12">
        <f>IF(B17="","",COUNTA(B$8:B17))</f>
        <v>9</v>
      </c>
      <c r="B17" s="19" t="s">
        <v>32</v>
      </c>
      <c r="C17" s="20">
        <v>360</v>
      </c>
      <c r="D17" s="21">
        <v>0</v>
      </c>
      <c r="E17" s="22"/>
      <c r="I17" s="14" t="s">
        <v>24</v>
      </c>
      <c r="J17" s="14">
        <v>45037.37</v>
      </c>
      <c r="K17" s="14">
        <v>10227.469999999999</v>
      </c>
      <c r="M17" s="14" t="s">
        <v>33</v>
      </c>
      <c r="N17" s="18">
        <v>272367.63999999978</v>
      </c>
    </row>
    <row r="18" spans="1:14" x14ac:dyDescent="0.4">
      <c r="A18" s="12">
        <f>IF(B18="","",COUNTA(B$8:B18))</f>
        <v>10</v>
      </c>
      <c r="B18" s="19" t="s">
        <v>34</v>
      </c>
      <c r="C18" s="20">
        <v>361</v>
      </c>
      <c r="D18" s="21">
        <v>0</v>
      </c>
      <c r="E18" s="22"/>
      <c r="I18" s="14" t="s">
        <v>24</v>
      </c>
      <c r="J18" s="14">
        <v>1218966.19</v>
      </c>
      <c r="K18" s="14">
        <v>248332.98</v>
      </c>
      <c r="M18" s="14" t="s">
        <v>35</v>
      </c>
      <c r="N18" s="18">
        <v>5707.0900000002439</v>
      </c>
    </row>
    <row r="19" spans="1:14" x14ac:dyDescent="0.4">
      <c r="A19" s="12">
        <f>IF(B19="","",COUNTA(B$8:B19))</f>
        <v>11</v>
      </c>
      <c r="B19" s="19" t="s">
        <v>36</v>
      </c>
      <c r="C19" s="20">
        <v>362</v>
      </c>
      <c r="D19" s="21">
        <v>0</v>
      </c>
      <c r="E19" s="22"/>
      <c r="I19" s="14" t="s">
        <v>24</v>
      </c>
      <c r="J19" s="14">
        <v>2333239.5300000003</v>
      </c>
      <c r="K19" s="14">
        <v>348678.84</v>
      </c>
      <c r="M19" s="14" t="s">
        <v>37</v>
      </c>
      <c r="N19" s="18">
        <v>11973.750000000004</v>
      </c>
    </row>
    <row r="20" spans="1:14" x14ac:dyDescent="0.4">
      <c r="A20" s="12">
        <f>IF(B20="","",COUNTA(B$8:B20))</f>
        <v>12</v>
      </c>
      <c r="B20" s="19" t="s">
        <v>38</v>
      </c>
      <c r="C20" s="20">
        <v>363</v>
      </c>
      <c r="D20" s="21">
        <v>0</v>
      </c>
      <c r="E20" s="22"/>
      <c r="I20" s="14" t="s">
        <v>24</v>
      </c>
      <c r="J20" s="14">
        <v>8000.9000000000005</v>
      </c>
      <c r="K20" s="14">
        <v>1066.8800000000001</v>
      </c>
      <c r="M20" s="14" t="s">
        <v>39</v>
      </c>
      <c r="N20" s="18">
        <v>2428.0499999999956</v>
      </c>
    </row>
    <row r="21" spans="1:14" x14ac:dyDescent="0.4">
      <c r="A21" s="12">
        <f>IF(B21="","",COUNTA(B$8:B21))</f>
        <v>13</v>
      </c>
      <c r="B21" s="14" t="str">
        <f>"Subtotal - "&amp;B16</f>
        <v>Subtotal - Natural Gas Other Storage Plant</v>
      </c>
      <c r="C21" s="12"/>
      <c r="D21" s="2">
        <f>SUBTOTAL(9,D17:D20)</f>
        <v>0</v>
      </c>
      <c r="E21" s="22"/>
      <c r="I21" s="14" t="s">
        <v>24</v>
      </c>
      <c r="J21" s="14">
        <v>12319467.029999999</v>
      </c>
      <c r="K21" s="14">
        <v>939695.93</v>
      </c>
      <c r="M21" s="14" t="s">
        <v>40</v>
      </c>
      <c r="N21" s="18">
        <v>24865.080000000042</v>
      </c>
    </row>
    <row r="22" spans="1:14" x14ac:dyDescent="0.4">
      <c r="A22" s="12" t="str">
        <f>IF(B22="","",COUNTA(B$8:B22))</f>
        <v/>
      </c>
      <c r="C22" s="12"/>
      <c r="D22" s="2"/>
      <c r="E22" s="22"/>
      <c r="I22" s="14" t="s">
        <v>24</v>
      </c>
      <c r="J22" s="14">
        <v>2839132.67</v>
      </c>
      <c r="K22" s="14">
        <v>141692.81</v>
      </c>
      <c r="M22" s="14" t="s">
        <v>41</v>
      </c>
      <c r="N22" s="18">
        <v>-24819.230000000025</v>
      </c>
    </row>
    <row r="23" spans="1:14" x14ac:dyDescent="0.4">
      <c r="A23" s="12">
        <f>IF(B23="","",COUNTA(B$8:B23))</f>
        <v>14</v>
      </c>
      <c r="B23" s="13" t="s">
        <v>42</v>
      </c>
      <c r="C23" s="12"/>
      <c r="D23" s="22"/>
      <c r="E23" s="22"/>
      <c r="I23" s="14" t="s">
        <v>24</v>
      </c>
      <c r="J23" s="14">
        <v>1584485.78</v>
      </c>
      <c r="K23" s="14">
        <v>26437.62</v>
      </c>
      <c r="M23" s="14" t="s">
        <v>43</v>
      </c>
      <c r="N23" s="18">
        <v>-1544855.1100000003</v>
      </c>
    </row>
    <row r="24" spans="1:14" x14ac:dyDescent="0.4">
      <c r="A24" s="12">
        <f>IF(B24="","",COUNTA(B$8:B24))</f>
        <v>15</v>
      </c>
      <c r="B24" s="19" t="s">
        <v>44</v>
      </c>
      <c r="C24" s="20">
        <v>365.1</v>
      </c>
      <c r="D24" s="21">
        <f>SUM(J74:J77)</f>
        <v>1409620.97</v>
      </c>
      <c r="E24" s="22"/>
      <c r="I24" s="14" t="s">
        <v>24</v>
      </c>
      <c r="J24" s="14">
        <v>21280.38</v>
      </c>
      <c r="K24" s="14">
        <v>21280.36</v>
      </c>
      <c r="M24" s="14" t="s">
        <v>45</v>
      </c>
      <c r="N24" s="18">
        <v>12.980000000003201</v>
      </c>
    </row>
    <row r="25" spans="1:14" x14ac:dyDescent="0.4">
      <c r="A25" s="12">
        <f>IF(B25="","",COUNTA(B$8:B25))</f>
        <v>16</v>
      </c>
      <c r="B25" s="19" t="s">
        <v>46</v>
      </c>
      <c r="C25" s="20">
        <v>366</v>
      </c>
      <c r="D25" s="21">
        <f>SUM(J78)</f>
        <v>124315.06</v>
      </c>
      <c r="E25" s="22"/>
      <c r="I25" s="14" t="s">
        <v>24</v>
      </c>
      <c r="J25" s="14">
        <v>0</v>
      </c>
      <c r="K25" s="14">
        <v>-0.11</v>
      </c>
    </row>
    <row r="26" spans="1:14" x14ac:dyDescent="0.4">
      <c r="A26" s="12">
        <f>IF(B26="","",COUNTA(B$8:B26))</f>
        <v>17</v>
      </c>
      <c r="B26" s="19" t="s">
        <v>47</v>
      </c>
      <c r="C26" s="20">
        <v>367</v>
      </c>
      <c r="D26" s="21">
        <f>SUM(J79:J80)</f>
        <v>17254526.629999999</v>
      </c>
      <c r="E26" s="22"/>
      <c r="I26" s="14" t="s">
        <v>24</v>
      </c>
      <c r="J26" s="14">
        <v>1556675.26</v>
      </c>
      <c r="K26" s="14">
        <v>1278727.3</v>
      </c>
    </row>
    <row r="27" spans="1:14" x14ac:dyDescent="0.4">
      <c r="A27" s="12">
        <f>IF(B27="","",COUNTA(B$8:B27))</f>
        <v>18</v>
      </c>
      <c r="B27" s="19" t="s">
        <v>48</v>
      </c>
      <c r="C27" s="20">
        <v>368</v>
      </c>
      <c r="D27" s="21">
        <v>0</v>
      </c>
      <c r="E27" s="22"/>
      <c r="I27" s="14" t="s">
        <v>24</v>
      </c>
      <c r="J27" s="14">
        <v>11008.300000000001</v>
      </c>
      <c r="K27" s="14">
        <v>7605.9800000000005</v>
      </c>
    </row>
    <row r="28" spans="1:14" x14ac:dyDescent="0.4">
      <c r="A28" s="12">
        <f>IF(B28="","",COUNTA(B$8:B28))</f>
        <v>19</v>
      </c>
      <c r="B28" s="19" t="s">
        <v>49</v>
      </c>
      <c r="C28" s="20">
        <v>369</v>
      </c>
      <c r="D28" s="21">
        <f>SUM(J81:J82)</f>
        <v>135338.4</v>
      </c>
      <c r="E28" s="22"/>
      <c r="I28" s="14" t="s">
        <v>24</v>
      </c>
      <c r="J28" s="14">
        <v>423384.24</v>
      </c>
      <c r="K28" s="14">
        <v>240082.62</v>
      </c>
    </row>
    <row r="29" spans="1:14" x14ac:dyDescent="0.4">
      <c r="A29" s="12">
        <f>IF(B29="","",COUNTA(B$8:B29))</f>
        <v>20</v>
      </c>
      <c r="B29" s="19" t="s">
        <v>50</v>
      </c>
      <c r="C29" s="20">
        <v>370</v>
      </c>
      <c r="D29" s="21">
        <v>0</v>
      </c>
      <c r="E29" s="22"/>
      <c r="I29" s="14" t="s">
        <v>24</v>
      </c>
      <c r="J29" s="14">
        <v>38105.94</v>
      </c>
      <c r="K29" s="14">
        <v>16084.81</v>
      </c>
    </row>
    <row r="30" spans="1:14" x14ac:dyDescent="0.4">
      <c r="A30" s="12">
        <f>IF(B30="","",COUNTA(B$8:B30))</f>
        <v>21</v>
      </c>
      <c r="B30" s="14" t="str">
        <f>"Subtotal - "&amp;B23</f>
        <v xml:space="preserve">Subtotal - Transmission plant </v>
      </c>
      <c r="C30" s="12"/>
      <c r="D30" s="2">
        <f>SUBTOTAL(9,D24:D29)</f>
        <v>18923801.059999999</v>
      </c>
      <c r="E30" s="22"/>
      <c r="I30" s="14" t="s">
        <v>24</v>
      </c>
      <c r="J30" s="14">
        <v>255036.32</v>
      </c>
      <c r="K30" s="14">
        <v>56946.53</v>
      </c>
    </row>
    <row r="31" spans="1:14" x14ac:dyDescent="0.4">
      <c r="A31" s="12" t="str">
        <f>IF(B31="","",COUNTA(B$8:B31))</f>
        <v/>
      </c>
      <c r="C31" s="12"/>
      <c r="D31" s="22"/>
      <c r="I31" s="14" t="s">
        <v>24</v>
      </c>
      <c r="J31" s="14">
        <v>88166.14</v>
      </c>
      <c r="K31" s="14">
        <v>8843.5</v>
      </c>
    </row>
    <row r="32" spans="1:14" x14ac:dyDescent="0.4">
      <c r="A32" s="12">
        <f>IF(B32="","",COUNTA(B$8:B32))</f>
        <v>22</v>
      </c>
      <c r="B32" s="13" t="s">
        <v>51</v>
      </c>
      <c r="C32" s="12"/>
      <c r="D32" s="22"/>
      <c r="E32" s="22"/>
      <c r="I32" s="14" t="s">
        <v>24</v>
      </c>
      <c r="J32" s="14">
        <v>614550.92000000004</v>
      </c>
      <c r="K32" s="14">
        <v>4286.87</v>
      </c>
    </row>
    <row r="33" spans="1:11" x14ac:dyDescent="0.4">
      <c r="A33" s="12">
        <f>IF(B33="","",COUNTA(B$8:B33))</f>
        <v>23</v>
      </c>
      <c r="B33" s="19" t="s">
        <v>52</v>
      </c>
      <c r="C33" s="20">
        <v>374</v>
      </c>
      <c r="D33" s="21">
        <f>SUM(J83:J87)</f>
        <v>2632241.5699999998</v>
      </c>
      <c r="E33" s="22"/>
      <c r="I33" s="14" t="s">
        <v>24</v>
      </c>
      <c r="J33" s="14">
        <v>0</v>
      </c>
      <c r="K33" s="14">
        <v>0</v>
      </c>
    </row>
    <row r="34" spans="1:11" x14ac:dyDescent="0.4">
      <c r="A34" s="12">
        <f>IF(B34="","",COUNTA(B$8:B34))</f>
        <v>24</v>
      </c>
      <c r="B34" s="19" t="s">
        <v>46</v>
      </c>
      <c r="C34" s="20">
        <v>375</v>
      </c>
      <c r="D34" s="21">
        <f>SUM(J88:J90)</f>
        <v>1093278.56</v>
      </c>
      <c r="E34" s="22"/>
      <c r="I34" s="14" t="s">
        <v>24</v>
      </c>
      <c r="J34" s="14">
        <v>894273.69000000006</v>
      </c>
      <c r="K34" s="14">
        <v>307404.66000000003</v>
      </c>
    </row>
    <row r="35" spans="1:11" x14ac:dyDescent="0.4">
      <c r="A35" s="12">
        <f>IF(B35="","",COUNTA(B$8:B35))</f>
        <v>25</v>
      </c>
      <c r="B35" s="19" t="s">
        <v>47</v>
      </c>
      <c r="C35" s="20">
        <v>376</v>
      </c>
      <c r="D35" s="21">
        <f>SUM(J91:J101)</f>
        <v>603790907.40999997</v>
      </c>
      <c r="E35" s="22"/>
      <c r="I35" s="14" t="s">
        <v>24</v>
      </c>
      <c r="J35" s="14">
        <v>654180.17000000004</v>
      </c>
      <c r="K35" s="14">
        <v>200899.45</v>
      </c>
    </row>
    <row r="36" spans="1:11" x14ac:dyDescent="0.4">
      <c r="A36" s="12">
        <f>IF(B36="","",COUNTA(B$8:B36))</f>
        <v>26</v>
      </c>
      <c r="B36" s="19" t="s">
        <v>48</v>
      </c>
      <c r="C36" s="20">
        <v>377</v>
      </c>
      <c r="D36" s="21">
        <f>SUM(J102)</f>
        <v>2927915.23</v>
      </c>
      <c r="E36" s="22"/>
      <c r="I36" s="14" t="s">
        <v>24</v>
      </c>
      <c r="J36" s="14">
        <v>998133.99</v>
      </c>
      <c r="K36" s="14">
        <v>207861.41</v>
      </c>
    </row>
    <row r="37" spans="1:11" x14ac:dyDescent="0.4">
      <c r="A37" s="12">
        <f>IF(B37="","",COUNTA(B$8:B37))</f>
        <v>27</v>
      </c>
      <c r="B37" s="19" t="s">
        <v>53</v>
      </c>
      <c r="C37" s="20">
        <v>378</v>
      </c>
      <c r="D37" s="21">
        <f>SUM(J103:J104)</f>
        <v>37152569.329999998</v>
      </c>
      <c r="E37" s="22"/>
      <c r="I37" s="14" t="s">
        <v>24</v>
      </c>
      <c r="J37" s="14">
        <v>3144041.9</v>
      </c>
      <c r="K37" s="14">
        <v>2729532.36</v>
      </c>
    </row>
    <row r="38" spans="1:11" x14ac:dyDescent="0.4">
      <c r="A38" s="12">
        <f>IF(B38="","",COUNTA(B$8:B38))</f>
        <v>28</v>
      </c>
      <c r="B38" s="19" t="s">
        <v>54</v>
      </c>
      <c r="C38" s="20">
        <v>379</v>
      </c>
      <c r="D38" s="21">
        <f>SUM(J105:J106)</f>
        <v>4351552.2300000004</v>
      </c>
      <c r="E38" s="22"/>
      <c r="I38" s="14" t="s">
        <v>24</v>
      </c>
      <c r="J38" s="14">
        <v>521866.5</v>
      </c>
      <c r="K38" s="14">
        <v>476277.93</v>
      </c>
    </row>
    <row r="39" spans="1:11" x14ac:dyDescent="0.4">
      <c r="A39" s="12">
        <f>IF(B39="","",COUNTA(B$8:B39))</f>
        <v>29</v>
      </c>
      <c r="B39" s="19" t="s">
        <v>55</v>
      </c>
      <c r="C39" s="20">
        <v>380</v>
      </c>
      <c r="D39" s="21">
        <f>SUM(J107:J111)</f>
        <v>245709570.36000001</v>
      </c>
      <c r="E39" s="22"/>
      <c r="I39" s="14" t="s">
        <v>24</v>
      </c>
      <c r="J39" s="14">
        <v>1529904.72</v>
      </c>
      <c r="K39" s="14">
        <v>1339619.24</v>
      </c>
    </row>
    <row r="40" spans="1:11" x14ac:dyDescent="0.4">
      <c r="A40" s="12">
        <f>IF(B40="","",COUNTA(B$8:B40))</f>
        <v>30</v>
      </c>
      <c r="B40" s="19" t="s">
        <v>56</v>
      </c>
      <c r="C40" s="20">
        <v>381</v>
      </c>
      <c r="D40" s="21">
        <f>SUM(J112:J113)</f>
        <v>84745167.920000002</v>
      </c>
      <c r="E40" s="22"/>
      <c r="I40" s="14" t="s">
        <v>24</v>
      </c>
      <c r="J40" s="14">
        <v>12809634.93</v>
      </c>
      <c r="K40" s="14">
        <v>10174642.99</v>
      </c>
    </row>
    <row r="41" spans="1:11" x14ac:dyDescent="0.4">
      <c r="A41" s="12">
        <f>IF(B41="","",COUNTA(B$8:B41))</f>
        <v>31</v>
      </c>
      <c r="B41" s="19" t="s">
        <v>57</v>
      </c>
      <c r="C41" s="20">
        <v>382</v>
      </c>
      <c r="D41" s="21">
        <v>0</v>
      </c>
      <c r="E41" s="22"/>
      <c r="I41" s="14" t="s">
        <v>24</v>
      </c>
      <c r="J41" s="14">
        <v>406309.31</v>
      </c>
      <c r="K41" s="14">
        <v>304566.23</v>
      </c>
    </row>
    <row r="42" spans="1:11" x14ac:dyDescent="0.4">
      <c r="A42" s="12">
        <f>IF(B42="","",COUNTA(B$8:B42))</f>
        <v>32</v>
      </c>
      <c r="B42" s="19" t="s">
        <v>58</v>
      </c>
      <c r="C42" s="20">
        <v>383</v>
      </c>
      <c r="D42" s="21">
        <f>SUM(J114)</f>
        <v>10177783.800000001</v>
      </c>
      <c r="E42" s="22"/>
      <c r="I42" s="14" t="s">
        <v>24</v>
      </c>
      <c r="J42" s="14">
        <v>0</v>
      </c>
      <c r="K42" s="14">
        <v>-0.08</v>
      </c>
    </row>
    <row r="43" spans="1:11" x14ac:dyDescent="0.4">
      <c r="A43" s="12">
        <f>IF(B43="","",COUNTA(B$8:B43))</f>
        <v>33</v>
      </c>
      <c r="B43" s="19" t="s">
        <v>59</v>
      </c>
      <c r="C43" s="20">
        <v>385</v>
      </c>
      <c r="D43" s="21">
        <f>SUM(J115:J116)</f>
        <v>10604872.550000001</v>
      </c>
      <c r="E43" s="22"/>
      <c r="I43" s="14" t="s">
        <v>24</v>
      </c>
      <c r="J43" s="14">
        <v>41712.31</v>
      </c>
      <c r="K43" s="14">
        <v>14141.24</v>
      </c>
    </row>
    <row r="44" spans="1:11" x14ac:dyDescent="0.4">
      <c r="A44" s="12">
        <f>IF(B44="","",COUNTA(B$8:B44))</f>
        <v>34</v>
      </c>
      <c r="B44" s="14" t="str">
        <f>"Subtotal - "&amp;B32</f>
        <v>Subtotal - Distribution Plant</v>
      </c>
      <c r="C44" s="12"/>
      <c r="D44" s="2">
        <f>SUBTOTAL(9,D33:D43)</f>
        <v>1003185858.9599999</v>
      </c>
      <c r="E44" s="22"/>
      <c r="I44" s="14" t="s">
        <v>24</v>
      </c>
      <c r="J44" s="14">
        <v>5795.57</v>
      </c>
      <c r="K44" s="14">
        <v>5795.57</v>
      </c>
    </row>
    <row r="45" spans="1:11" x14ac:dyDescent="0.4">
      <c r="A45" s="12" t="str">
        <f>IF(B45="","",COUNTA(B$8:B45))</f>
        <v/>
      </c>
      <c r="C45" s="12"/>
      <c r="D45" s="22"/>
      <c r="E45" s="22"/>
      <c r="I45" s="14" t="s">
        <v>24</v>
      </c>
      <c r="J45" s="14">
        <v>22992.27</v>
      </c>
      <c r="K45" s="14">
        <v>22992.2</v>
      </c>
    </row>
    <row r="46" spans="1:11" x14ac:dyDescent="0.4">
      <c r="A46" s="12">
        <f>IF(B46="","",COUNTA(B$8:B46))</f>
        <v>35</v>
      </c>
      <c r="B46" s="13" t="s">
        <v>60</v>
      </c>
      <c r="C46" s="12"/>
      <c r="D46" s="22"/>
      <c r="E46" s="22"/>
      <c r="I46" s="14" t="s">
        <v>24</v>
      </c>
      <c r="J46" s="14">
        <v>0</v>
      </c>
      <c r="K46" s="14">
        <v>0</v>
      </c>
    </row>
    <row r="47" spans="1:11" x14ac:dyDescent="0.4">
      <c r="A47" s="12">
        <f>IF(B47="","",COUNTA(B$8:B47))</f>
        <v>36</v>
      </c>
      <c r="B47" s="19" t="s">
        <v>44</v>
      </c>
      <c r="C47" s="20">
        <v>389</v>
      </c>
      <c r="D47" s="21">
        <f>SUM(J117:J119)</f>
        <v>3224759.31</v>
      </c>
      <c r="E47" s="22"/>
      <c r="I47" s="14" t="s">
        <v>24</v>
      </c>
      <c r="J47" s="14">
        <v>9249.76</v>
      </c>
      <c r="K47" s="14">
        <v>6165.88</v>
      </c>
    </row>
    <row r="48" spans="1:11" x14ac:dyDescent="0.4">
      <c r="A48" s="12">
        <f>IF(B48="","",COUNTA(B$8:B48))</f>
        <v>37</v>
      </c>
      <c r="B48" s="19" t="s">
        <v>61</v>
      </c>
      <c r="C48" s="20">
        <v>390</v>
      </c>
      <c r="D48" s="21">
        <f>SUM(J120:J123)</f>
        <v>22365469.140000001</v>
      </c>
      <c r="E48" s="22"/>
      <c r="I48" s="14" t="s">
        <v>24</v>
      </c>
      <c r="J48" s="14">
        <v>98074.32</v>
      </c>
      <c r="K48" s="14">
        <v>24488.760000000002</v>
      </c>
    </row>
    <row r="49" spans="1:11" x14ac:dyDescent="0.4">
      <c r="A49" s="12">
        <f>IF(B49="","",COUNTA(B$8:B49))</f>
        <v>38</v>
      </c>
      <c r="B49" s="19" t="s">
        <v>62</v>
      </c>
      <c r="C49" s="20">
        <v>391</v>
      </c>
      <c r="D49" s="21">
        <f>SUM(J124:J132)</f>
        <v>2803626.47</v>
      </c>
      <c r="E49" s="22"/>
      <c r="I49" s="14" t="s">
        <v>24</v>
      </c>
      <c r="J49" s="14">
        <v>42212.25</v>
      </c>
      <c r="K49" s="14">
        <v>21991.850000000002</v>
      </c>
    </row>
    <row r="50" spans="1:11" x14ac:dyDescent="0.4">
      <c r="A50" s="12">
        <f>IF(B50="","",COUNTA(B$8:B50))</f>
        <v>39</v>
      </c>
      <c r="B50" s="19" t="s">
        <v>63</v>
      </c>
      <c r="C50" s="20">
        <v>392</v>
      </c>
      <c r="D50" s="21">
        <f>SUM(J133:J138)</f>
        <v>15510396.990000002</v>
      </c>
      <c r="E50" s="22"/>
      <c r="I50" s="14" t="s">
        <v>24</v>
      </c>
      <c r="J50" s="14">
        <v>10713.62</v>
      </c>
      <c r="K50" s="14">
        <v>10713.62</v>
      </c>
    </row>
    <row r="51" spans="1:11" x14ac:dyDescent="0.4">
      <c r="A51" s="12">
        <f>IF(B51="","",COUNTA(B$8:B51))</f>
        <v>40</v>
      </c>
      <c r="B51" s="19" t="s">
        <v>64</v>
      </c>
      <c r="C51" s="20">
        <v>393</v>
      </c>
      <c r="D51" s="21">
        <f>SUM(J139:J141)</f>
        <v>99936.91</v>
      </c>
      <c r="E51" s="22"/>
      <c r="I51" s="14" t="s">
        <v>24</v>
      </c>
      <c r="J51" s="14">
        <v>87730.51</v>
      </c>
      <c r="K51" s="14">
        <v>87730.53</v>
      </c>
    </row>
    <row r="52" spans="1:11" x14ac:dyDescent="0.4">
      <c r="A52" s="12">
        <f>IF(B52="","",COUNTA(B$8:B52))</f>
        <v>41</v>
      </c>
      <c r="B52" s="19" t="s">
        <v>65</v>
      </c>
      <c r="C52" s="20">
        <v>394</v>
      </c>
      <c r="D52" s="21">
        <f>SUM(J142:J145)</f>
        <v>8354339.1999999993</v>
      </c>
      <c r="E52" s="22"/>
      <c r="I52" s="14" t="s">
        <v>24</v>
      </c>
      <c r="J52" s="14">
        <v>76870.42</v>
      </c>
      <c r="K52" s="14">
        <v>76870.3</v>
      </c>
    </row>
    <row r="53" spans="1:11" x14ac:dyDescent="0.4">
      <c r="A53" s="12">
        <f>IF(B53="","",COUNTA(B$8:B53))</f>
        <v>42</v>
      </c>
      <c r="B53" s="19" t="s">
        <v>66</v>
      </c>
      <c r="C53" s="20">
        <v>395</v>
      </c>
      <c r="D53" s="21">
        <f>SUM(J146:J147)</f>
        <v>59304.43</v>
      </c>
      <c r="E53" s="22"/>
      <c r="I53" s="14" t="s">
        <v>24</v>
      </c>
      <c r="J53" s="14">
        <v>672679.95000000007</v>
      </c>
      <c r="K53" s="14">
        <v>595033.56000000006</v>
      </c>
    </row>
    <row r="54" spans="1:11" x14ac:dyDescent="0.4">
      <c r="A54" s="12">
        <f>IF(B54="","",COUNTA(B$8:B54))</f>
        <v>43</v>
      </c>
      <c r="B54" s="19" t="s">
        <v>67</v>
      </c>
      <c r="C54" s="20">
        <v>396</v>
      </c>
      <c r="D54" s="21">
        <f>SUM(J148:J152)</f>
        <v>4575621.1800000006</v>
      </c>
      <c r="E54" s="22"/>
      <c r="I54" s="14" t="s">
        <v>24</v>
      </c>
      <c r="J54" s="14">
        <v>12040.59</v>
      </c>
      <c r="K54" s="14">
        <v>9597.3000000000011</v>
      </c>
    </row>
    <row r="55" spans="1:11" x14ac:dyDescent="0.4">
      <c r="A55" s="12">
        <f>IF(B55="","",COUNTA(B$8:B55))</f>
        <v>44</v>
      </c>
      <c r="B55" s="19" t="s">
        <v>68</v>
      </c>
      <c r="C55" s="20">
        <v>397</v>
      </c>
      <c r="D55" s="21">
        <f>SUM(J153:J164)</f>
        <v>5320075.1100000003</v>
      </c>
      <c r="E55" s="22"/>
      <c r="I55" s="14" t="s">
        <v>24</v>
      </c>
      <c r="J55" s="14">
        <v>911691.43</v>
      </c>
      <c r="K55" s="14">
        <v>546023.92000000004</v>
      </c>
    </row>
    <row r="56" spans="1:11" x14ac:dyDescent="0.4">
      <c r="A56" s="12">
        <f>IF(B56="","",COUNTA(B$8:B56))</f>
        <v>45</v>
      </c>
      <c r="B56" s="19" t="s">
        <v>69</v>
      </c>
      <c r="C56" s="20">
        <v>398</v>
      </c>
      <c r="D56" s="21">
        <f>SUM(J165:J167)</f>
        <v>82980.73000000001</v>
      </c>
      <c r="E56" s="22"/>
      <c r="I56" s="14" t="s">
        <v>24</v>
      </c>
      <c r="J56" s="14">
        <v>171070.94</v>
      </c>
      <c r="K56" s="14">
        <v>73606.36</v>
      </c>
    </row>
    <row r="57" spans="1:11" x14ac:dyDescent="0.4">
      <c r="A57" s="12">
        <f>IF(B57="","",COUNTA(B$8:B57))</f>
        <v>46</v>
      </c>
      <c r="B57" s="14" t="str">
        <f>"Subtotal - "&amp;B46</f>
        <v>Subtotal - General Plant</v>
      </c>
      <c r="C57" s="12"/>
      <c r="D57" s="2">
        <f>SUBTOTAL(9,D47:D56)</f>
        <v>62396509.469999991</v>
      </c>
      <c r="E57" s="22"/>
      <c r="I57" s="14" t="s">
        <v>24</v>
      </c>
      <c r="J57" s="14">
        <v>408193.66000000003</v>
      </c>
      <c r="K57" s="14">
        <v>90293.47</v>
      </c>
    </row>
    <row r="58" spans="1:11" x14ac:dyDescent="0.4">
      <c r="A58" s="12" t="str">
        <f>IF(B58="","",COUNTA(B$8:B58))</f>
        <v/>
      </c>
      <c r="C58" s="12"/>
      <c r="D58" s="22"/>
      <c r="E58" s="22"/>
      <c r="G58" s="90" t="s">
        <v>70</v>
      </c>
      <c r="H58" s="90"/>
      <c r="I58" s="14" t="s">
        <v>24</v>
      </c>
      <c r="J58" s="14">
        <v>137657.44</v>
      </c>
      <c r="K58" s="14">
        <v>0</v>
      </c>
    </row>
    <row r="59" spans="1:11" x14ac:dyDescent="0.4">
      <c r="A59" s="12">
        <f>IF(B59="","",COUNTA(B$8:B59))</f>
        <v>47</v>
      </c>
      <c r="B59" s="24" t="str">
        <f>"Total "&amp;B9</f>
        <v>Total Plant in Service</v>
      </c>
      <c r="C59" s="12"/>
      <c r="D59" s="2">
        <f>SUBTOTAL(9,D11:D58)</f>
        <v>1141765084.1700003</v>
      </c>
      <c r="E59" s="22"/>
      <c r="G59" s="25">
        <v>1141765084.1700001</v>
      </c>
      <c r="H59" s="16">
        <f>D59-G59</f>
        <v>0</v>
      </c>
      <c r="I59" s="14" t="s">
        <v>24</v>
      </c>
      <c r="J59" s="14">
        <v>98468.19</v>
      </c>
      <c r="K59" s="14">
        <v>98468.21</v>
      </c>
    </row>
    <row r="60" spans="1:11" x14ac:dyDescent="0.4">
      <c r="A60" s="12" t="str">
        <f>IF(B60="","",COUNTA(B$8:B60))</f>
        <v/>
      </c>
      <c r="C60" s="12"/>
      <c r="D60" s="22"/>
      <c r="E60" s="22"/>
      <c r="I60" s="14" t="s">
        <v>24</v>
      </c>
      <c r="J60" s="14">
        <v>1891688.8399999999</v>
      </c>
      <c r="K60" s="14">
        <v>1891688.9500000002</v>
      </c>
    </row>
    <row r="61" spans="1:11" x14ac:dyDescent="0.4">
      <c r="A61" s="12">
        <f>IF(B61="","",COUNTA(B$8:B61))</f>
        <v>48</v>
      </c>
      <c r="B61" s="13" t="s">
        <v>71</v>
      </c>
      <c r="C61" s="12"/>
      <c r="D61" s="22"/>
      <c r="E61" s="22"/>
      <c r="I61" s="14" t="s">
        <v>24</v>
      </c>
      <c r="J61" s="14">
        <v>439268.27</v>
      </c>
      <c r="K61" s="14">
        <v>439268.22000000003</v>
      </c>
    </row>
    <row r="62" spans="1:11" x14ac:dyDescent="0.4">
      <c r="A62" s="12">
        <f>IF(B62="","",COUNTA(B$8:B62))</f>
        <v>49</v>
      </c>
      <c r="B62" s="13" t="str">
        <f>B10</f>
        <v>Intangible Plant</v>
      </c>
      <c r="C62" s="12"/>
      <c r="D62" s="22"/>
      <c r="E62" s="22"/>
      <c r="I62" s="14" t="s">
        <v>24</v>
      </c>
      <c r="J62" s="14">
        <v>15434.880000000001</v>
      </c>
      <c r="K62" s="14">
        <v>15434.89</v>
      </c>
    </row>
    <row r="63" spans="1:11" x14ac:dyDescent="0.4">
      <c r="A63" s="12">
        <f>IF(B63="","",COUNTA(B$8:B63))</f>
        <v>50</v>
      </c>
      <c r="B63" s="19" t="str">
        <f>B11</f>
        <v>Organization</v>
      </c>
      <c r="C63" s="26">
        <f>C11</f>
        <v>301</v>
      </c>
      <c r="D63" s="21">
        <f>-SUM(K9)</f>
        <v>0</v>
      </c>
      <c r="E63" s="22"/>
      <c r="I63" s="14" t="s">
        <v>24</v>
      </c>
      <c r="J63" s="14">
        <v>1739177</v>
      </c>
      <c r="K63" s="14">
        <v>1686929.98</v>
      </c>
    </row>
    <row r="64" spans="1:11" x14ac:dyDescent="0.4">
      <c r="A64" s="12">
        <f>IF(B64="","",COUNTA(B$8:B64))</f>
        <v>51</v>
      </c>
      <c r="B64" s="19" t="str">
        <f>B12</f>
        <v>Franchises &amp; Consents</v>
      </c>
      <c r="C64" s="26">
        <f>C12</f>
        <v>302</v>
      </c>
      <c r="D64" s="21">
        <f>-SUM(K10:K11)</f>
        <v>-138157.95000000001</v>
      </c>
      <c r="E64" s="22"/>
      <c r="I64" s="14" t="s">
        <v>24</v>
      </c>
      <c r="J64" s="14">
        <v>491070.96</v>
      </c>
      <c r="K64" s="14">
        <v>421396.42</v>
      </c>
    </row>
    <row r="65" spans="1:11" x14ac:dyDescent="0.4">
      <c r="A65" s="12">
        <f>IF(B65="","",COUNTA(B$8:B65))</f>
        <v>52</v>
      </c>
      <c r="B65" s="19" t="str">
        <f>B13</f>
        <v>Misc. Intangible Plant</v>
      </c>
      <c r="C65" s="26">
        <f>C13</f>
        <v>303</v>
      </c>
      <c r="D65" s="21">
        <f>-SUM(K12:K73)</f>
        <v>-29785135.070000011</v>
      </c>
      <c r="E65" s="22"/>
      <c r="I65" s="14" t="s">
        <v>24</v>
      </c>
      <c r="J65" s="14">
        <v>92764.790000000008</v>
      </c>
      <c r="K65" s="14">
        <v>66280.710000000006</v>
      </c>
    </row>
    <row r="66" spans="1:11" x14ac:dyDescent="0.4">
      <c r="A66" s="12">
        <f>IF(B66="","",COUNTA(B$8:B66))</f>
        <v>53</v>
      </c>
      <c r="B66" s="14" t="str">
        <f>B14</f>
        <v>Subtotal - Intangible Plant</v>
      </c>
      <c r="C66" s="23"/>
      <c r="D66" s="2">
        <f>SUBTOTAL(9,D63:D65)</f>
        <v>-29923293.020000011</v>
      </c>
      <c r="E66" s="22"/>
      <c r="I66" s="14" t="s">
        <v>24</v>
      </c>
      <c r="J66" s="14">
        <v>293596.57</v>
      </c>
      <c r="K66" s="14">
        <v>165601.46</v>
      </c>
    </row>
    <row r="67" spans="1:11" x14ac:dyDescent="0.4">
      <c r="A67" s="12" t="str">
        <f>IF(B67="","",COUNTA(B$8:B67))</f>
        <v/>
      </c>
      <c r="C67" s="23"/>
      <c r="D67" s="22"/>
      <c r="E67" s="22"/>
      <c r="I67" s="14" t="s">
        <v>24</v>
      </c>
      <c r="J67" s="14">
        <v>241563.41</v>
      </c>
      <c r="K67" s="14">
        <v>104393.96</v>
      </c>
    </row>
    <row r="68" spans="1:11" x14ac:dyDescent="0.4">
      <c r="A68" s="12">
        <f>IF(B68="","",COUNTA(B$8:B68))</f>
        <v>54</v>
      </c>
      <c r="B68" s="13" t="str">
        <f t="shared" ref="B68:B73" si="0">B16</f>
        <v>Natural Gas Other Storage Plant</v>
      </c>
      <c r="C68" s="23"/>
      <c r="D68" s="22"/>
      <c r="E68" s="22"/>
      <c r="I68" s="14" t="s">
        <v>24</v>
      </c>
      <c r="J68" s="14">
        <v>241821.23</v>
      </c>
      <c r="K68" s="14">
        <v>69029.570000000007</v>
      </c>
    </row>
    <row r="69" spans="1:11" x14ac:dyDescent="0.4">
      <c r="A69" s="12">
        <f>IF(B69="","",COUNTA(B$8:B69))</f>
        <v>55</v>
      </c>
      <c r="B69" s="19" t="str">
        <f t="shared" si="0"/>
        <v>Land &amp; Land Rights - LNG</v>
      </c>
      <c r="C69" s="26">
        <f>C17</f>
        <v>360</v>
      </c>
      <c r="D69" s="21">
        <v>0</v>
      </c>
      <c r="E69" s="22"/>
      <c r="I69" s="14" t="s">
        <v>24</v>
      </c>
      <c r="J69" s="14">
        <v>19935.490000000002</v>
      </c>
      <c r="K69" s="14">
        <v>3323.05</v>
      </c>
    </row>
    <row r="70" spans="1:11" x14ac:dyDescent="0.4">
      <c r="A70" s="12">
        <f>IF(B70="","",COUNTA(B$8:B70))</f>
        <v>56</v>
      </c>
      <c r="B70" s="19" t="str">
        <f t="shared" si="0"/>
        <v>Structures &amp; improvement - LNG</v>
      </c>
      <c r="C70" s="26">
        <f>C18</f>
        <v>361</v>
      </c>
      <c r="D70" s="21">
        <v>0</v>
      </c>
      <c r="E70" s="22"/>
      <c r="I70" s="14" t="s">
        <v>24</v>
      </c>
      <c r="J70" s="14">
        <v>66102.87</v>
      </c>
      <c r="K70" s="14">
        <v>0</v>
      </c>
    </row>
    <row r="71" spans="1:11" x14ac:dyDescent="0.4">
      <c r="A71" s="12">
        <f>IF(B71="","",COUNTA(B$8:B71))</f>
        <v>57</v>
      </c>
      <c r="B71" s="19" t="str">
        <f t="shared" si="0"/>
        <v>Gas Holders - LNG</v>
      </c>
      <c r="C71" s="26">
        <f>C19</f>
        <v>362</v>
      </c>
      <c r="D71" s="21">
        <v>0</v>
      </c>
      <c r="E71" s="22"/>
      <c r="I71" s="14" t="s">
        <v>24</v>
      </c>
      <c r="J71" s="14">
        <v>0</v>
      </c>
      <c r="K71" s="14">
        <v>-0.02</v>
      </c>
    </row>
    <row r="72" spans="1:11" x14ac:dyDescent="0.4">
      <c r="A72" s="12">
        <f>IF(B72="","",COUNTA(B$8:B72))</f>
        <v>58</v>
      </c>
      <c r="B72" s="19" t="str">
        <f t="shared" si="0"/>
        <v>LNG Equipment</v>
      </c>
      <c r="C72" s="26">
        <f>C20</f>
        <v>363</v>
      </c>
      <c r="D72" s="21">
        <v>0</v>
      </c>
      <c r="E72" s="22"/>
      <c r="I72" s="14" t="s">
        <v>24</v>
      </c>
      <c r="J72" s="14">
        <v>2247903.29</v>
      </c>
      <c r="K72" s="14">
        <v>2248970.7000000002</v>
      </c>
    </row>
    <row r="73" spans="1:11" x14ac:dyDescent="0.4">
      <c r="A73" s="12">
        <f>IF(B73="","",COUNTA(B$8:B73))</f>
        <v>59</v>
      </c>
      <c r="B73" s="14" t="str">
        <f t="shared" si="0"/>
        <v>Subtotal - Natural Gas Other Storage Plant</v>
      </c>
      <c r="C73" s="23"/>
      <c r="D73" s="2">
        <f>SUBTOTAL(9,D69:D72)</f>
        <v>0</v>
      </c>
      <c r="E73" s="22"/>
      <c r="I73" s="14" t="s">
        <v>24</v>
      </c>
      <c r="J73" s="14">
        <v>2091590.26</v>
      </c>
      <c r="K73" s="14">
        <v>1893950.52</v>
      </c>
    </row>
    <row r="74" spans="1:11" x14ac:dyDescent="0.4">
      <c r="A74" s="12" t="str">
        <f>IF(B74="","",COUNTA(B$8:B74))</f>
        <v/>
      </c>
      <c r="C74" s="23"/>
      <c r="D74" s="2"/>
      <c r="E74" s="22"/>
      <c r="I74" s="14" t="s">
        <v>72</v>
      </c>
      <c r="J74" s="14">
        <v>0</v>
      </c>
      <c r="K74" s="14">
        <v>0</v>
      </c>
    </row>
    <row r="75" spans="1:11" x14ac:dyDescent="0.4">
      <c r="A75" s="12">
        <f>IF(B75="","",COUNTA(B$8:B75))</f>
        <v>60</v>
      </c>
      <c r="B75" s="13" t="str">
        <f>B23</f>
        <v xml:space="preserve">Transmission plant </v>
      </c>
      <c r="C75" s="12"/>
      <c r="D75" s="22"/>
      <c r="E75" s="22"/>
      <c r="I75" s="14" t="s">
        <v>72</v>
      </c>
      <c r="J75" s="14">
        <v>338215.79</v>
      </c>
      <c r="K75" s="14">
        <v>0</v>
      </c>
    </row>
    <row r="76" spans="1:11" x14ac:dyDescent="0.4">
      <c r="A76" s="12">
        <f>IF(B76="","",COUNTA(B$8:B76))</f>
        <v>61</v>
      </c>
      <c r="B76" s="19" t="str">
        <f>B24</f>
        <v>Land and Land Rights</v>
      </c>
      <c r="C76" s="26">
        <f>C24</f>
        <v>365.1</v>
      </c>
      <c r="D76" s="21">
        <f>-SUM(K74:K77)</f>
        <v>-853231.62</v>
      </c>
      <c r="E76" s="22"/>
      <c r="I76" s="14" t="s">
        <v>73</v>
      </c>
      <c r="J76" s="14">
        <v>0</v>
      </c>
      <c r="K76" s="14">
        <v>0</v>
      </c>
    </row>
    <row r="77" spans="1:11" x14ac:dyDescent="0.4">
      <c r="A77" s="12">
        <f>IF(B77="","",COUNTA(B$8:B77))</f>
        <v>62</v>
      </c>
      <c r="B77" s="19" t="str">
        <f>B25</f>
        <v>Structures and improvements</v>
      </c>
      <c r="C77" s="26">
        <f>C25</f>
        <v>366</v>
      </c>
      <c r="D77" s="21">
        <f>-SUM(K78)</f>
        <v>-310.78000000000003</v>
      </c>
      <c r="E77" s="22"/>
      <c r="I77" s="14" t="s">
        <v>73</v>
      </c>
      <c r="J77" s="14">
        <v>1071405.18</v>
      </c>
      <c r="K77" s="14">
        <v>853231.62</v>
      </c>
    </row>
    <row r="78" spans="1:11" x14ac:dyDescent="0.4">
      <c r="A78" s="12">
        <f>IF(B78="","",COUNTA(B$8:B78))</f>
        <v>63</v>
      </c>
      <c r="B78" s="19" t="str">
        <f>B26</f>
        <v>Mains</v>
      </c>
      <c r="C78" s="26">
        <f>C26</f>
        <v>367</v>
      </c>
      <c r="D78" s="21">
        <f>-SUM(K79:K80)+N10</f>
        <v>-12186427.92</v>
      </c>
      <c r="E78" s="22"/>
      <c r="I78" s="14" t="s">
        <v>74</v>
      </c>
      <c r="J78" s="14">
        <v>124315.06</v>
      </c>
      <c r="K78" s="14">
        <v>310.78000000000003</v>
      </c>
    </row>
    <row r="79" spans="1:11" x14ac:dyDescent="0.4">
      <c r="A79" s="12">
        <f>IF(B79="","",COUNTA(B$8:B79))</f>
        <v>64</v>
      </c>
      <c r="B79" s="19" t="str">
        <f>B27</f>
        <v>Compressor station equipment</v>
      </c>
      <c r="C79" s="26">
        <f>C27</f>
        <v>368</v>
      </c>
      <c r="D79" s="21">
        <v>0</v>
      </c>
      <c r="E79" s="22"/>
      <c r="I79" s="14" t="s">
        <v>75</v>
      </c>
      <c r="J79" s="14">
        <v>0</v>
      </c>
      <c r="K79" s="14">
        <v>0</v>
      </c>
    </row>
    <row r="80" spans="1:11" x14ac:dyDescent="0.4">
      <c r="A80" s="12">
        <f>IF(B80="","",COUNTA(B$8:B80))</f>
        <v>65</v>
      </c>
      <c r="B80" s="19" t="s">
        <v>49</v>
      </c>
      <c r="C80" s="26">
        <v>369</v>
      </c>
      <c r="D80" s="21">
        <f>-SUM(K81:K82)+N11</f>
        <v>-146590.03999999998</v>
      </c>
      <c r="E80" s="22"/>
      <c r="I80" s="14" t="s">
        <v>75</v>
      </c>
      <c r="J80" s="14">
        <v>17254526.629999999</v>
      </c>
      <c r="K80" s="14">
        <v>12146466.439999999</v>
      </c>
    </row>
    <row r="81" spans="1:11" x14ac:dyDescent="0.4">
      <c r="A81" s="12">
        <f>IF(B81="","",COUNTA(B$8:B81))</f>
        <v>66</v>
      </c>
      <c r="B81" s="19" t="str">
        <f>B29</f>
        <v>Communication equipment</v>
      </c>
      <c r="C81" s="26">
        <f>C29</f>
        <v>370</v>
      </c>
      <c r="D81" s="21">
        <v>0</v>
      </c>
      <c r="E81" s="22"/>
      <c r="I81" s="14" t="s">
        <v>76</v>
      </c>
      <c r="J81" s="14">
        <v>0</v>
      </c>
      <c r="K81" s="14">
        <v>0</v>
      </c>
    </row>
    <row r="82" spans="1:11" x14ac:dyDescent="0.4">
      <c r="A82" s="12">
        <f>IF(B82="","",COUNTA(B$8:B82))</f>
        <v>67</v>
      </c>
      <c r="B82" s="14" t="str">
        <f>"Subtotal - "&amp;B75</f>
        <v xml:space="preserve">Subtotal - Transmission plant </v>
      </c>
      <c r="C82" s="12"/>
      <c r="D82" s="2">
        <f>SUBTOTAL(9,D76:D81)</f>
        <v>-13186560.359999999</v>
      </c>
      <c r="E82" s="22"/>
      <c r="I82" s="14" t="s">
        <v>76</v>
      </c>
      <c r="J82" s="14">
        <v>135338.4</v>
      </c>
      <c r="K82" s="14">
        <v>148872.24</v>
      </c>
    </row>
    <row r="83" spans="1:11" x14ac:dyDescent="0.4">
      <c r="A83" s="12" t="str">
        <f>IF(B83="","",COUNTA(B$8:B83))</f>
        <v/>
      </c>
      <c r="C83" s="12"/>
      <c r="D83" s="22"/>
      <c r="E83" s="22"/>
      <c r="I83" s="14" t="s">
        <v>77</v>
      </c>
      <c r="J83" s="14">
        <v>0</v>
      </c>
      <c r="K83" s="14">
        <v>0</v>
      </c>
    </row>
    <row r="84" spans="1:11" x14ac:dyDescent="0.4">
      <c r="A84" s="12">
        <f>IF(B84="","",COUNTA(B$8:B84))</f>
        <v>68</v>
      </c>
      <c r="B84" s="13" t="s">
        <v>51</v>
      </c>
      <c r="C84" s="12"/>
      <c r="D84" s="22"/>
      <c r="E84" s="22"/>
      <c r="I84" s="14" t="s">
        <v>77</v>
      </c>
      <c r="J84" s="14">
        <v>420627.25</v>
      </c>
      <c r="K84" s="14">
        <v>0</v>
      </c>
    </row>
    <row r="85" spans="1:11" x14ac:dyDescent="0.4">
      <c r="A85" s="12">
        <f>IF(B85="","",COUNTA(B$8:B85))</f>
        <v>69</v>
      </c>
      <c r="B85" s="19" t="str">
        <f t="shared" ref="B85:C87" si="1">B33</f>
        <v>Land and land rights</v>
      </c>
      <c r="C85" s="26">
        <f t="shared" si="1"/>
        <v>374</v>
      </c>
      <c r="D85" s="21">
        <f>-SUM(K83:K87)</f>
        <v>-903300.28</v>
      </c>
      <c r="E85" s="22"/>
      <c r="I85" s="14" t="s">
        <v>77</v>
      </c>
      <c r="J85" s="14">
        <v>71241.25</v>
      </c>
      <c r="K85" s="14">
        <v>0</v>
      </c>
    </row>
    <row r="86" spans="1:11" x14ac:dyDescent="0.4">
      <c r="A86" s="12">
        <f>IF(B86="","",COUNTA(B$8:B86))</f>
        <v>70</v>
      </c>
      <c r="B86" s="19" t="str">
        <f t="shared" si="1"/>
        <v>Structures and improvements</v>
      </c>
      <c r="C86" s="26">
        <f t="shared" si="1"/>
        <v>375</v>
      </c>
      <c r="D86" s="21">
        <f>-SUM(K88:K90)+N12</f>
        <v>-1008132.75</v>
      </c>
      <c r="E86" s="22"/>
      <c r="I86" s="14" t="s">
        <v>78</v>
      </c>
      <c r="J86" s="14">
        <v>0</v>
      </c>
      <c r="K86" s="14">
        <v>0</v>
      </c>
    </row>
    <row r="87" spans="1:11" x14ac:dyDescent="0.4">
      <c r="A87" s="12">
        <f>IF(B87="","",COUNTA(B$8:B87))</f>
        <v>71</v>
      </c>
      <c r="B87" s="19" t="str">
        <f t="shared" si="1"/>
        <v>Mains</v>
      </c>
      <c r="C87" s="26">
        <f t="shared" si="1"/>
        <v>376</v>
      </c>
      <c r="D87" s="21">
        <f>-SUM(K91:K101)+N13</f>
        <v>-207297957.37</v>
      </c>
      <c r="E87" s="22"/>
      <c r="I87" s="14" t="s">
        <v>78</v>
      </c>
      <c r="J87" s="14">
        <v>2140373.0699999998</v>
      </c>
      <c r="K87" s="14">
        <v>903300.28</v>
      </c>
    </row>
    <row r="88" spans="1:11" x14ac:dyDescent="0.4">
      <c r="A88" s="12">
        <f>IF(B88="","",COUNTA(B$8:B88))</f>
        <v>72</v>
      </c>
      <c r="B88" s="19" t="s">
        <v>48</v>
      </c>
      <c r="C88" s="26">
        <v>377</v>
      </c>
      <c r="D88" s="21">
        <f>-K102+N14</f>
        <v>-1190619.0900000001</v>
      </c>
      <c r="E88" s="22"/>
      <c r="I88" s="14" t="s">
        <v>79</v>
      </c>
      <c r="J88" s="14">
        <v>0</v>
      </c>
      <c r="K88" s="14">
        <v>0</v>
      </c>
    </row>
    <row r="89" spans="1:11" x14ac:dyDescent="0.4">
      <c r="A89" s="12">
        <f>IF(B89="","",COUNTA(B$8:B89))</f>
        <v>73</v>
      </c>
      <c r="B89" s="19" t="str">
        <f t="shared" ref="B89:C95" si="2">B37</f>
        <v>Measuring and regulating station equipment—general</v>
      </c>
      <c r="C89" s="26">
        <f t="shared" si="2"/>
        <v>378</v>
      </c>
      <c r="D89" s="21">
        <f>-SUM(K103:K104)+N15</f>
        <v>-5868337.2199999997</v>
      </c>
      <c r="E89" s="22"/>
      <c r="I89" s="14" t="s">
        <v>79</v>
      </c>
      <c r="J89" s="14">
        <v>787736.36</v>
      </c>
      <c r="K89" s="14">
        <v>697539.56</v>
      </c>
    </row>
    <row r="90" spans="1:11" x14ac:dyDescent="0.4">
      <c r="A90" s="12">
        <f>IF(B90="","",COUNTA(B$8:B90))</f>
        <v>74</v>
      </c>
      <c r="B90" s="19" t="str">
        <f t="shared" si="2"/>
        <v>Measuring and regulating station equipment—City Gate</v>
      </c>
      <c r="C90" s="26">
        <f t="shared" si="2"/>
        <v>379</v>
      </c>
      <c r="D90" s="21">
        <f>-SUM(K105:K106)+N16</f>
        <v>-101401.66999999998</v>
      </c>
      <c r="E90" s="22"/>
      <c r="I90" s="14" t="s">
        <v>79</v>
      </c>
      <c r="J90" s="14">
        <v>305542.2</v>
      </c>
      <c r="K90" s="14">
        <v>310925.17</v>
      </c>
    </row>
    <row r="91" spans="1:11" x14ac:dyDescent="0.4">
      <c r="A91" s="12">
        <f>IF(B91="","",COUNTA(B$8:B91))</f>
        <v>75</v>
      </c>
      <c r="B91" s="19" t="str">
        <f t="shared" si="2"/>
        <v>Services</v>
      </c>
      <c r="C91" s="26">
        <f t="shared" si="2"/>
        <v>380</v>
      </c>
      <c r="D91" s="21">
        <f>-SUM(K107:K111)+N17</f>
        <v>-174475505.68000001</v>
      </c>
      <c r="E91" s="22"/>
      <c r="I91" s="14" t="s">
        <v>80</v>
      </c>
      <c r="J91" s="14">
        <v>0</v>
      </c>
      <c r="K91" s="14">
        <v>0</v>
      </c>
    </row>
    <row r="92" spans="1:11" x14ac:dyDescent="0.4">
      <c r="A92" s="12">
        <f>IF(B92="","",COUNTA(B$8:B92))</f>
        <v>76</v>
      </c>
      <c r="B92" s="19" t="str">
        <f t="shared" si="2"/>
        <v>Meters</v>
      </c>
      <c r="C92" s="26">
        <f t="shared" si="2"/>
        <v>381</v>
      </c>
      <c r="D92" s="21">
        <f>-SUM(K112:K113)+N18</f>
        <v>-17499545.34</v>
      </c>
      <c r="E92" s="22"/>
      <c r="I92" s="14" t="s">
        <v>80</v>
      </c>
      <c r="J92" s="14">
        <v>270619947.44999999</v>
      </c>
      <c r="K92" s="14">
        <v>45979926.75</v>
      </c>
    </row>
    <row r="93" spans="1:11" x14ac:dyDescent="0.4">
      <c r="A93" s="12">
        <f>IF(B93="","",COUNTA(B$8:B93))</f>
        <v>77</v>
      </c>
      <c r="B93" s="19" t="str">
        <f t="shared" si="2"/>
        <v>Meter installations</v>
      </c>
      <c r="C93" s="26">
        <f t="shared" si="2"/>
        <v>382</v>
      </c>
      <c r="D93" s="21">
        <v>0</v>
      </c>
      <c r="E93" s="22"/>
      <c r="I93" s="14" t="s">
        <v>80</v>
      </c>
      <c r="J93" s="14">
        <v>0</v>
      </c>
      <c r="K93" s="14">
        <v>0</v>
      </c>
    </row>
    <row r="94" spans="1:11" x14ac:dyDescent="0.4">
      <c r="A94" s="12">
        <f>IF(B94="","",COUNTA(B$8:B94))</f>
        <v>78</v>
      </c>
      <c r="B94" s="19" t="str">
        <f t="shared" si="2"/>
        <v>House regulators</v>
      </c>
      <c r="C94" s="26">
        <f t="shared" si="2"/>
        <v>383</v>
      </c>
      <c r="D94" s="21">
        <f>-SUM(K114)+N19</f>
        <v>-3165403.14</v>
      </c>
      <c r="E94" s="22"/>
      <c r="I94" s="14" t="s">
        <v>80</v>
      </c>
      <c r="J94" s="14">
        <v>593322.68000000005</v>
      </c>
      <c r="K94" s="14">
        <v>0</v>
      </c>
    </row>
    <row r="95" spans="1:11" x14ac:dyDescent="0.4">
      <c r="A95" s="12">
        <f>IF(B95="","",COUNTA(B$8:B95))</f>
        <v>79</v>
      </c>
      <c r="B95" s="19" t="str">
        <f t="shared" si="2"/>
        <v>Industrial measuring and regulating station equipment</v>
      </c>
      <c r="C95" s="26">
        <f t="shared" si="2"/>
        <v>385</v>
      </c>
      <c r="D95" s="21">
        <f>-SUM(K115:K116)+N20</f>
        <v>-4676794.97</v>
      </c>
      <c r="E95" s="22"/>
      <c r="I95" s="14" t="s">
        <v>81</v>
      </c>
      <c r="J95" s="14">
        <v>0</v>
      </c>
      <c r="K95" s="14">
        <v>0</v>
      </c>
    </row>
    <row r="96" spans="1:11" x14ac:dyDescent="0.4">
      <c r="A96" s="12">
        <f>IF(B96="","",COUNTA(B$8:B96))</f>
        <v>80</v>
      </c>
      <c r="B96" s="14" t="str">
        <f>"Subtotal - "&amp;B84</f>
        <v>Subtotal - Distribution Plant</v>
      </c>
      <c r="C96" s="12"/>
      <c r="D96" s="2">
        <f>SUBTOTAL(9,D85:D95)</f>
        <v>-416186997.50999999</v>
      </c>
      <c r="E96" s="22"/>
      <c r="I96" s="14" t="s">
        <v>81</v>
      </c>
      <c r="J96" s="14">
        <v>205518392.66</v>
      </c>
      <c r="K96" s="14">
        <v>65426364.649999999</v>
      </c>
    </row>
    <row r="97" spans="1:11" x14ac:dyDescent="0.4">
      <c r="A97" s="12" t="str">
        <f>IF(B97="","",COUNTA(B$8:B97))</f>
        <v/>
      </c>
      <c r="C97" s="12"/>
      <c r="D97" s="22"/>
      <c r="E97" s="22"/>
      <c r="I97" s="14" t="s">
        <v>81</v>
      </c>
      <c r="J97" s="14">
        <v>325602.27</v>
      </c>
      <c r="K97" s="14">
        <v>3934.37</v>
      </c>
    </row>
    <row r="98" spans="1:11" x14ac:dyDescent="0.4">
      <c r="A98" s="12">
        <f>IF(B98="","",COUNTA(B$8:B98))</f>
        <v>81</v>
      </c>
      <c r="B98" s="13" t="str">
        <f t="shared" ref="B98:C104" si="3">B46</f>
        <v>General Plant</v>
      </c>
      <c r="C98" s="12"/>
      <c r="D98" s="22"/>
      <c r="E98" s="22"/>
      <c r="I98" s="14" t="s">
        <v>81</v>
      </c>
      <c r="J98" s="14">
        <v>0</v>
      </c>
      <c r="K98" s="14">
        <v>0</v>
      </c>
    </row>
    <row r="99" spans="1:11" x14ac:dyDescent="0.4">
      <c r="A99" s="12">
        <f>IF(B99="","",COUNTA(B$8:B99))</f>
        <v>82</v>
      </c>
      <c r="B99" s="19" t="str">
        <f t="shared" si="3"/>
        <v>Land and Land Rights</v>
      </c>
      <c r="C99" s="26">
        <f t="shared" si="3"/>
        <v>389</v>
      </c>
      <c r="D99" s="21">
        <f>-SUM(K117:K119)</f>
        <v>-132.19</v>
      </c>
      <c r="E99" s="22"/>
      <c r="I99" s="14" t="s">
        <v>82</v>
      </c>
      <c r="J99" s="14">
        <v>0</v>
      </c>
      <c r="K99" s="14">
        <v>0</v>
      </c>
    </row>
    <row r="100" spans="1:11" x14ac:dyDescent="0.4">
      <c r="A100" s="12">
        <f>IF(B100="","",COUNTA(B$8:B100))</f>
        <v>83</v>
      </c>
      <c r="B100" s="19" t="str">
        <f t="shared" si="3"/>
        <v>Structures and Improvements</v>
      </c>
      <c r="C100" s="26">
        <f t="shared" si="3"/>
        <v>390</v>
      </c>
      <c r="D100" s="21">
        <f>-SUM(K120:K123)+N21</f>
        <v>-10275688.92</v>
      </c>
      <c r="E100" s="22"/>
      <c r="I100" s="14" t="s">
        <v>82</v>
      </c>
      <c r="J100" s="14">
        <v>126733642.34999999</v>
      </c>
      <c r="K100" s="14">
        <v>96681796.439999998</v>
      </c>
    </row>
    <row r="101" spans="1:11" x14ac:dyDescent="0.4">
      <c r="A101" s="12">
        <f>IF(B101="","",COUNTA(B$8:B101))</f>
        <v>84</v>
      </c>
      <c r="B101" s="19" t="str">
        <f t="shared" si="3"/>
        <v>Office Furniture and Equipment</v>
      </c>
      <c r="C101" s="26">
        <f t="shared" si="3"/>
        <v>391</v>
      </c>
      <c r="D101" s="21">
        <f>-SUM(K124:K132)</f>
        <v>-1858760.32</v>
      </c>
      <c r="E101" s="22"/>
      <c r="I101" s="14" t="s">
        <v>82</v>
      </c>
      <c r="J101" s="14">
        <v>0</v>
      </c>
      <c r="K101" s="14">
        <v>0</v>
      </c>
    </row>
    <row r="102" spans="1:11" x14ac:dyDescent="0.4">
      <c r="A102" s="12">
        <f>IF(B102="","",COUNTA(B$8:B102))</f>
        <v>85</v>
      </c>
      <c r="B102" s="19" t="str">
        <f t="shared" si="3"/>
        <v>Transportation Equipment</v>
      </c>
      <c r="C102" s="26">
        <f t="shared" si="3"/>
        <v>392</v>
      </c>
      <c r="D102" s="21">
        <f>-SUM(K133:K138)+N22</f>
        <v>-5366840.1100000013</v>
      </c>
      <c r="E102" s="22"/>
      <c r="I102" s="14" t="s">
        <v>83</v>
      </c>
      <c r="J102" s="14">
        <v>2927915.23</v>
      </c>
      <c r="K102" s="14">
        <v>1192067.76</v>
      </c>
    </row>
    <row r="103" spans="1:11" x14ac:dyDescent="0.4">
      <c r="A103" s="12">
        <f>IF(B103="","",COUNTA(B$8:B103))</f>
        <v>86</v>
      </c>
      <c r="B103" s="19" t="str">
        <f t="shared" si="3"/>
        <v>Stores Equipment</v>
      </c>
      <c r="C103" s="26">
        <f t="shared" si="3"/>
        <v>393</v>
      </c>
      <c r="D103" s="21">
        <f>-SUM(K139:K141)</f>
        <v>-50733.22</v>
      </c>
      <c r="E103" s="22"/>
      <c r="I103" s="14" t="s">
        <v>84</v>
      </c>
      <c r="J103" s="14">
        <v>0</v>
      </c>
      <c r="K103" s="14">
        <v>0</v>
      </c>
    </row>
    <row r="104" spans="1:11" x14ac:dyDescent="0.4">
      <c r="A104" s="12">
        <f>IF(B104="","",COUNTA(B$8:B104))</f>
        <v>87</v>
      </c>
      <c r="B104" s="19" t="str">
        <f t="shared" si="3"/>
        <v xml:space="preserve">Tools, Shop, and Garage Equipment </v>
      </c>
      <c r="C104" s="26">
        <f t="shared" si="3"/>
        <v>394</v>
      </c>
      <c r="D104" s="21">
        <f>-SUM(K142:K145)</f>
        <v>-3438076.48</v>
      </c>
      <c r="E104" s="22"/>
      <c r="I104" s="14" t="s">
        <v>84</v>
      </c>
      <c r="J104" s="14">
        <v>37152569.329999998</v>
      </c>
      <c r="K104" s="14">
        <v>5982141.0099999998</v>
      </c>
    </row>
    <row r="105" spans="1:11" x14ac:dyDescent="0.4">
      <c r="A105" s="12">
        <f>IF(B105="","",COUNTA(B$8:B105))</f>
        <v>88</v>
      </c>
      <c r="B105" s="19" t="s">
        <v>66</v>
      </c>
      <c r="C105" s="26">
        <v>395</v>
      </c>
      <c r="D105" s="21">
        <f>-SUM(K146:K147)</f>
        <v>-50175.49</v>
      </c>
      <c r="E105" s="22"/>
      <c r="I105" s="14" t="s">
        <v>85</v>
      </c>
      <c r="J105" s="14">
        <v>0</v>
      </c>
      <c r="K105" s="14">
        <v>0</v>
      </c>
    </row>
    <row r="106" spans="1:11" x14ac:dyDescent="0.4">
      <c r="A106" s="12">
        <f>IF(B106="","",COUNTA(B$8:B106))</f>
        <v>89</v>
      </c>
      <c r="B106" s="19" t="str">
        <f t="shared" ref="B106:C109" si="4">B54</f>
        <v>Power Operated Equipment</v>
      </c>
      <c r="C106" s="26">
        <f t="shared" si="4"/>
        <v>396</v>
      </c>
      <c r="D106" s="21">
        <f>-SUM(K148:K152)+N23</f>
        <v>-1228215.7800000003</v>
      </c>
      <c r="E106" s="22"/>
      <c r="I106" s="14" t="s">
        <v>85</v>
      </c>
      <c r="J106" s="14">
        <v>4351552.2300000004</v>
      </c>
      <c r="K106" s="14">
        <v>74231.28</v>
      </c>
    </row>
    <row r="107" spans="1:11" x14ac:dyDescent="0.4">
      <c r="A107" s="12">
        <f>IF(B107="","",COUNTA(B$8:B107))</f>
        <v>90</v>
      </c>
      <c r="B107" s="19" t="str">
        <f t="shared" si="4"/>
        <v>Communication Equipment</v>
      </c>
      <c r="C107" s="26">
        <f t="shared" si="4"/>
        <v>397</v>
      </c>
      <c r="D107" s="21">
        <f>-SUM(K153:K164)</f>
        <v>-1255763.6900000002</v>
      </c>
      <c r="E107" s="22"/>
      <c r="I107" s="14" t="s">
        <v>86</v>
      </c>
      <c r="J107" s="14">
        <v>0</v>
      </c>
      <c r="K107" s="14">
        <v>0</v>
      </c>
    </row>
    <row r="108" spans="1:11" x14ac:dyDescent="0.4">
      <c r="A108" s="12">
        <f>IF(B108="","",COUNTA(B$8:B108))</f>
        <v>91</v>
      </c>
      <c r="B108" s="19" t="str">
        <f t="shared" si="4"/>
        <v>Misc. Equipment</v>
      </c>
      <c r="C108" s="26">
        <f t="shared" si="4"/>
        <v>398</v>
      </c>
      <c r="D108" s="21">
        <f>-SUM(K165:K167)+N24</f>
        <v>-34585.449999999997</v>
      </c>
      <c r="E108" s="22"/>
      <c r="I108" s="14" t="s">
        <v>86</v>
      </c>
      <c r="J108" s="14">
        <v>184306198.66</v>
      </c>
      <c r="K108" s="14">
        <v>76820702.530000001</v>
      </c>
    </row>
    <row r="109" spans="1:11" x14ac:dyDescent="0.4">
      <c r="A109" s="12">
        <f>IF(B109="","",COUNTA(B$8:B109))</f>
        <v>92</v>
      </c>
      <c r="B109" s="14" t="str">
        <f t="shared" si="4"/>
        <v>Subtotal - General Plant</v>
      </c>
      <c r="C109" s="12"/>
      <c r="D109" s="2">
        <f>SUBTOTAL(9,D99:D108)</f>
        <v>-23558971.649999999</v>
      </c>
      <c r="E109" s="22"/>
      <c r="I109" s="14" t="s">
        <v>86</v>
      </c>
      <c r="J109" s="14">
        <v>0</v>
      </c>
      <c r="K109" s="14">
        <v>0</v>
      </c>
    </row>
    <row r="110" spans="1:11" x14ac:dyDescent="0.4">
      <c r="A110" s="12" t="str">
        <f>IF(B110="","",COUNTA(B$8:B110))</f>
        <v/>
      </c>
      <c r="C110" s="12"/>
      <c r="D110" s="22"/>
      <c r="E110" s="22"/>
      <c r="G110" s="90" t="s">
        <v>70</v>
      </c>
      <c r="H110" s="90"/>
      <c r="I110" s="14" t="s">
        <v>87</v>
      </c>
      <c r="J110" s="14">
        <v>0</v>
      </c>
      <c r="K110" s="14">
        <v>0</v>
      </c>
    </row>
    <row r="111" spans="1:11" x14ac:dyDescent="0.4">
      <c r="A111" s="12">
        <f>IF(B111="","",COUNTA(B$8:B111))</f>
        <v>93</v>
      </c>
      <c r="B111" s="24" t="str">
        <f>"Total "&amp;B61</f>
        <v>Total Accumulated Depreciation &amp; Amortization Expense</v>
      </c>
      <c r="C111" s="12"/>
      <c r="D111" s="2">
        <f>SUBTOTAL(9,D63:D110)</f>
        <v>-482855822.54000008</v>
      </c>
      <c r="E111" s="22"/>
      <c r="G111" s="27">
        <v>-482855822.53999978</v>
      </c>
      <c r="H111" s="16">
        <f>D111-G111</f>
        <v>0</v>
      </c>
      <c r="I111" s="14" t="s">
        <v>87</v>
      </c>
      <c r="J111" s="14">
        <v>61403371.700000003</v>
      </c>
      <c r="K111" s="14">
        <v>97927170.790000007</v>
      </c>
    </row>
    <row r="112" spans="1:11" x14ac:dyDescent="0.4">
      <c r="A112" s="12" t="str">
        <f>IF(B112="","",COUNTA(B$8:B112))</f>
        <v/>
      </c>
      <c r="C112" s="12"/>
      <c r="D112" s="22"/>
      <c r="E112" s="22"/>
      <c r="I112" s="14" t="s">
        <v>88</v>
      </c>
      <c r="J112" s="14">
        <v>50176.62</v>
      </c>
      <c r="K112" s="14">
        <v>21929.49</v>
      </c>
    </row>
    <row r="113" spans="1:11" x14ac:dyDescent="0.4">
      <c r="A113" s="12">
        <f>IF(B113="","",COUNTA(B$8:B113))</f>
        <v>94</v>
      </c>
      <c r="B113" s="13" t="s">
        <v>89</v>
      </c>
      <c r="C113" s="12"/>
      <c r="D113" s="22"/>
      <c r="E113" s="22"/>
      <c r="I113" s="14" t="s">
        <v>90</v>
      </c>
      <c r="J113" s="14">
        <v>84694991.299999997</v>
      </c>
      <c r="K113" s="14">
        <v>17483322.940000001</v>
      </c>
    </row>
    <row r="114" spans="1:11" x14ac:dyDescent="0.4">
      <c r="A114" s="12">
        <f>IF(B114="","",COUNTA(B$8:B114))</f>
        <v>95</v>
      </c>
      <c r="B114" s="19" t="s">
        <v>91</v>
      </c>
      <c r="C114" s="28" t="s">
        <v>92</v>
      </c>
      <c r="D114" s="21">
        <v>-77593766.770000011</v>
      </c>
      <c r="E114" s="22"/>
      <c r="I114" s="14" t="s">
        <v>93</v>
      </c>
      <c r="J114" s="14">
        <v>10177783.800000001</v>
      </c>
      <c r="K114" s="14">
        <v>3177376.89</v>
      </c>
    </row>
    <row r="115" spans="1:11" x14ac:dyDescent="0.4">
      <c r="A115" s="12">
        <f>IF(B115="","",COUNTA(B$8:B115))</f>
        <v>96</v>
      </c>
      <c r="B115" s="19" t="s">
        <v>94</v>
      </c>
      <c r="C115" s="28"/>
      <c r="D115" s="21">
        <v>38582822.848597497</v>
      </c>
      <c r="E115" s="22"/>
      <c r="I115" s="14" t="s">
        <v>95</v>
      </c>
      <c r="J115" s="14">
        <v>0</v>
      </c>
      <c r="K115" s="14">
        <v>0</v>
      </c>
    </row>
    <row r="116" spans="1:11" x14ac:dyDescent="0.4">
      <c r="A116" s="12" t="str">
        <f>IF(B116="","",COUNTA(B$8:B116))</f>
        <v/>
      </c>
      <c r="B116" s="19"/>
      <c r="C116" s="28"/>
      <c r="D116" s="21"/>
      <c r="E116" s="22"/>
      <c r="I116" s="14" t="s">
        <v>95</v>
      </c>
      <c r="J116" s="14">
        <v>10604872.550000001</v>
      </c>
      <c r="K116" s="14">
        <v>4679223.0199999996</v>
      </c>
    </row>
    <row r="117" spans="1:11" x14ac:dyDescent="0.4">
      <c r="A117" s="12">
        <f>IF(B117="","",COUNTA(B$8:B117))</f>
        <v>97</v>
      </c>
      <c r="B117" s="19" t="s">
        <v>96</v>
      </c>
      <c r="C117" s="28">
        <v>2520</v>
      </c>
      <c r="D117" s="21">
        <v>-34072.21</v>
      </c>
      <c r="E117" s="22"/>
      <c r="G117" s="90" t="s">
        <v>70</v>
      </c>
      <c r="H117" s="90"/>
      <c r="I117" s="14" t="s">
        <v>97</v>
      </c>
      <c r="J117" s="14">
        <v>0</v>
      </c>
      <c r="K117" s="14">
        <v>0</v>
      </c>
    </row>
    <row r="118" spans="1:11" x14ac:dyDescent="0.4">
      <c r="A118" s="12">
        <f>IF(B118="","",COUNTA(B$8:B118))</f>
        <v>98</v>
      </c>
      <c r="B118" s="29" t="str">
        <f>"Subtotal - "&amp;B113</f>
        <v>Subtotal - Other Rate Base Items</v>
      </c>
      <c r="C118" s="12"/>
      <c r="D118" s="2">
        <f>SUBTOTAL(9,D114:D117)</f>
        <v>-39045016.131402515</v>
      </c>
      <c r="E118" s="22"/>
      <c r="G118" s="30">
        <v>-39045016.131402507</v>
      </c>
      <c r="H118" s="16">
        <f>D118-G118</f>
        <v>0</v>
      </c>
      <c r="I118" s="14" t="s">
        <v>97</v>
      </c>
      <c r="J118" s="14">
        <v>2508056.1800000002</v>
      </c>
      <c r="K118" s="14">
        <v>0</v>
      </c>
    </row>
    <row r="119" spans="1:11" x14ac:dyDescent="0.4">
      <c r="A119" s="12" t="str">
        <f>IF(B119="","",COUNTA(B$8:B119))</f>
        <v/>
      </c>
      <c r="C119" s="12"/>
      <c r="D119" s="22"/>
      <c r="E119" s="22"/>
      <c r="I119" s="14" t="s">
        <v>97</v>
      </c>
      <c r="J119" s="14">
        <v>716703.13</v>
      </c>
      <c r="K119" s="14">
        <v>132.19</v>
      </c>
    </row>
    <row r="120" spans="1:11" x14ac:dyDescent="0.4">
      <c r="A120" s="12">
        <f>IF(B120="","",COUNTA(B$8:B120))</f>
        <v>99</v>
      </c>
      <c r="B120" s="24" t="str">
        <f>"TOTAL "&amp;B8</f>
        <v>TOTAL RATE BASE</v>
      </c>
      <c r="C120" s="12"/>
      <c r="D120" s="2">
        <f>SUBTOTAL(9,D11:D119)</f>
        <v>619864245.49859774</v>
      </c>
      <c r="E120" s="22"/>
      <c r="G120" s="30">
        <v>619864245.49859786</v>
      </c>
      <c r="H120" s="16">
        <f>D120-G120</f>
        <v>0</v>
      </c>
      <c r="I120" s="14" t="s">
        <v>98</v>
      </c>
      <c r="J120" s="14">
        <v>7933.28</v>
      </c>
      <c r="K120" s="14">
        <v>5489.28</v>
      </c>
    </row>
    <row r="121" spans="1:11" x14ac:dyDescent="0.4">
      <c r="A121" s="12" t="str">
        <f>IF(B121="","",COUNTA(B$8:B121))</f>
        <v/>
      </c>
      <c r="C121" s="12"/>
      <c r="D121" s="22"/>
      <c r="I121" s="14" t="s">
        <v>99</v>
      </c>
      <c r="J121" s="14">
        <v>0</v>
      </c>
      <c r="K121" s="14">
        <v>0</v>
      </c>
    </row>
    <row r="122" spans="1:11" x14ac:dyDescent="0.4">
      <c r="A122" s="12">
        <f>IF(B122="","",COUNTA(B$8:B122))</f>
        <v>100</v>
      </c>
      <c r="B122" s="13" t="s">
        <v>100</v>
      </c>
      <c r="C122" s="12"/>
      <c r="D122" s="22"/>
      <c r="I122" s="14" t="s">
        <v>99</v>
      </c>
      <c r="J122" s="14">
        <v>17527237.98</v>
      </c>
      <c r="K122" s="14">
        <v>5447656.1399999997</v>
      </c>
    </row>
    <row r="123" spans="1:11" x14ac:dyDescent="0.4">
      <c r="A123" s="12">
        <f>IF(B123="","",COUNTA(B$8:B123))</f>
        <v>101</v>
      </c>
      <c r="B123" s="13" t="s">
        <v>101</v>
      </c>
      <c r="C123" s="12"/>
      <c r="D123" s="22"/>
      <c r="I123" s="14" t="s">
        <v>99</v>
      </c>
      <c r="J123" s="14">
        <v>4830297.88</v>
      </c>
      <c r="K123" s="14">
        <v>4847408.58</v>
      </c>
    </row>
    <row r="124" spans="1:11" x14ac:dyDescent="0.4">
      <c r="A124" s="12">
        <f>IF(B124="","",COUNTA(B$8:B124))</f>
        <v>102</v>
      </c>
      <c r="B124" s="13" t="s">
        <v>102</v>
      </c>
      <c r="C124" s="31"/>
      <c r="D124" s="22"/>
      <c r="I124" s="14" t="s">
        <v>103</v>
      </c>
      <c r="J124" s="14">
        <v>0</v>
      </c>
      <c r="K124" s="14">
        <v>0</v>
      </c>
    </row>
    <row r="125" spans="1:11" x14ac:dyDescent="0.4">
      <c r="A125" s="12">
        <f>IF(B125="","",COUNTA(B$8:B125))</f>
        <v>103</v>
      </c>
      <c r="B125" s="19" t="s">
        <v>104</v>
      </c>
      <c r="C125" s="26">
        <v>813</v>
      </c>
      <c r="D125" s="21">
        <v>572094.80339909776</v>
      </c>
      <c r="E125" s="21">
        <f>SUMIF($I$172:$I$201,C125,$Q$172:$Q$201)</f>
        <v>302498.45661500003</v>
      </c>
      <c r="F125" s="32" t="s">
        <v>105</v>
      </c>
      <c r="I125" s="14" t="s">
        <v>103</v>
      </c>
      <c r="J125" s="14">
        <v>1253926.46</v>
      </c>
      <c r="K125" s="14">
        <v>933132.57000000007</v>
      </c>
    </row>
    <row r="126" spans="1:11" x14ac:dyDescent="0.4">
      <c r="A126" s="12">
        <f>IF(B126="","",COUNTA(B$8:B126))</f>
        <v>104</v>
      </c>
      <c r="B126" s="13" t="str">
        <f>"Subtotal - "&amp;B124</f>
        <v>Subtotal - Other Gas Supply Expenses</v>
      </c>
      <c r="C126" s="12"/>
      <c r="D126" s="2">
        <f>SUBTOTAL(9,D125:D125)</f>
        <v>572094.80339909776</v>
      </c>
      <c r="E126" s="2">
        <f>SUBTOTAL(9,E125:E125)</f>
        <v>302498.45661500003</v>
      </c>
      <c r="I126" s="14" t="s">
        <v>106</v>
      </c>
      <c r="J126" s="14">
        <v>0</v>
      </c>
      <c r="K126" s="14">
        <v>0</v>
      </c>
    </row>
    <row r="127" spans="1:11" x14ac:dyDescent="0.4">
      <c r="A127" s="12" t="str">
        <f>IF(B127="","",COUNTA(B$8:B127))</f>
        <v/>
      </c>
      <c r="C127" s="12"/>
      <c r="D127" s="2"/>
      <c r="E127" s="2"/>
      <c r="I127" s="14" t="s">
        <v>106</v>
      </c>
      <c r="J127" s="14">
        <v>73458.59</v>
      </c>
      <c r="K127" s="14">
        <v>73458.59</v>
      </c>
    </row>
    <row r="128" spans="1:11" x14ac:dyDescent="0.4">
      <c r="A128" s="12">
        <f>IF(B128="","",COUNTA(B$8:B128))</f>
        <v>105</v>
      </c>
      <c r="B128" s="13" t="s">
        <v>107</v>
      </c>
      <c r="C128" s="12"/>
      <c r="D128" s="2"/>
      <c r="E128" s="2"/>
      <c r="I128" s="14" t="s">
        <v>106</v>
      </c>
      <c r="J128" s="14">
        <v>117566.86</v>
      </c>
      <c r="K128" s="14">
        <v>-12001.24</v>
      </c>
    </row>
    <row r="129" spans="1:11" x14ac:dyDescent="0.4">
      <c r="A129" s="12">
        <f>IF(B129="","",COUNTA(B$8:B129))</f>
        <v>106</v>
      </c>
      <c r="B129" s="19" t="s">
        <v>108</v>
      </c>
      <c r="C129" s="26">
        <v>840</v>
      </c>
      <c r="D129" s="21">
        <v>0</v>
      </c>
      <c r="E129" s="21">
        <f>SUMIF($I$172:$I$201,C129,$Q$172:$Q$201)</f>
        <v>0</v>
      </c>
      <c r="I129" s="14" t="s">
        <v>109</v>
      </c>
      <c r="J129" s="14">
        <v>0</v>
      </c>
      <c r="K129" s="14">
        <v>0</v>
      </c>
    </row>
    <row r="130" spans="1:11" x14ac:dyDescent="0.4">
      <c r="A130" s="12">
        <f>IF(B130="","",COUNTA(B$8:B130))</f>
        <v>107</v>
      </c>
      <c r="B130" s="19" t="s">
        <v>110</v>
      </c>
      <c r="C130" s="26">
        <v>841</v>
      </c>
      <c r="D130" s="21">
        <v>0</v>
      </c>
      <c r="E130" s="21">
        <f>SUMIF($I$172:$I$201,C130,$Q$172:$Q$201)</f>
        <v>0</v>
      </c>
      <c r="I130" s="14" t="s">
        <v>109</v>
      </c>
      <c r="J130" s="14">
        <v>349558.43</v>
      </c>
      <c r="K130" s="14">
        <v>153421.84</v>
      </c>
    </row>
    <row r="131" spans="1:11" x14ac:dyDescent="0.4">
      <c r="A131" s="12">
        <f>IF(B131="","",COUNTA(B$8:B131))</f>
        <v>108</v>
      </c>
      <c r="B131" s="19" t="s">
        <v>111</v>
      </c>
      <c r="C131" s="26">
        <v>842.1</v>
      </c>
      <c r="D131" s="21">
        <v>0</v>
      </c>
      <c r="E131" s="21">
        <f>SUMIF($I$172:$I$201,C131,$Q$172:$Q$201)</f>
        <v>0</v>
      </c>
      <c r="I131" s="14" t="s">
        <v>109</v>
      </c>
      <c r="J131" s="14">
        <v>1009116.13</v>
      </c>
      <c r="K131" s="14">
        <v>710748.55</v>
      </c>
    </row>
    <row r="132" spans="1:11" x14ac:dyDescent="0.4">
      <c r="A132" s="12">
        <f>IF(B132="","",COUNTA(B$8:B132))</f>
        <v>109</v>
      </c>
      <c r="B132" s="19" t="s">
        <v>112</v>
      </c>
      <c r="C132" s="26">
        <v>842.2</v>
      </c>
      <c r="D132" s="21">
        <v>0</v>
      </c>
      <c r="E132" s="21">
        <f>SUMIF($I$172:$I$201,C132,$Q$172:$Q$201)</f>
        <v>0</v>
      </c>
      <c r="I132" s="14" t="s">
        <v>113</v>
      </c>
      <c r="J132" s="14">
        <v>0</v>
      </c>
      <c r="K132" s="14">
        <v>0.01</v>
      </c>
    </row>
    <row r="133" spans="1:11" x14ac:dyDescent="0.4">
      <c r="A133" s="12">
        <f>IF(B133="","",COUNTA(B$8:B133))</f>
        <v>110</v>
      </c>
      <c r="B133" s="14" t="str">
        <f>"Subtotal - "&amp;B128</f>
        <v>Subtotal - Other Storage Expenses - Operation</v>
      </c>
      <c r="C133" s="12"/>
      <c r="D133" s="2">
        <f>SUBTOTAL(9,D129:D132)</f>
        <v>0</v>
      </c>
      <c r="E133" s="2">
        <f>SUBTOTAL(9,E129:E132)</f>
        <v>0</v>
      </c>
      <c r="I133" s="14" t="s">
        <v>114</v>
      </c>
      <c r="J133" s="14">
        <v>0</v>
      </c>
      <c r="K133" s="14">
        <v>0</v>
      </c>
    </row>
    <row r="134" spans="1:11" x14ac:dyDescent="0.4">
      <c r="A134" s="12" t="str">
        <f>IF(B134="","",COUNTA(B$8:B134))</f>
        <v/>
      </c>
      <c r="C134" s="12"/>
      <c r="D134" s="2"/>
      <c r="E134" s="2"/>
      <c r="I134" s="14" t="s">
        <v>114</v>
      </c>
      <c r="J134" s="14">
        <v>242695.96</v>
      </c>
      <c r="K134" s="14">
        <v>102732.37</v>
      </c>
    </row>
    <row r="135" spans="1:11" x14ac:dyDescent="0.4">
      <c r="A135" s="12">
        <f>IF(B135="","",COUNTA(B$8:B135))</f>
        <v>111</v>
      </c>
      <c r="B135" s="13" t="s">
        <v>115</v>
      </c>
      <c r="C135" s="12"/>
      <c r="D135" s="2"/>
      <c r="E135" s="2"/>
      <c r="I135" s="14" t="s">
        <v>114</v>
      </c>
      <c r="J135" s="14">
        <v>5798.35</v>
      </c>
      <c r="K135" s="14">
        <v>5218.6099999999997</v>
      </c>
    </row>
    <row r="136" spans="1:11" x14ac:dyDescent="0.4">
      <c r="A136" s="12">
        <f>IF(B136="","",COUNTA(B$8:B136))</f>
        <v>112</v>
      </c>
      <c r="B136" s="19" t="s">
        <v>116</v>
      </c>
      <c r="C136" s="26">
        <v>843.2</v>
      </c>
      <c r="D136" s="21">
        <v>0</v>
      </c>
      <c r="E136" s="21">
        <f t="shared" ref="E136:E142" si="5">SUMIF($I$172:$I$201,C136,$Q$172:$Q$201)</f>
        <v>0</v>
      </c>
      <c r="I136" s="14" t="s">
        <v>117</v>
      </c>
      <c r="J136" s="14">
        <v>0</v>
      </c>
      <c r="K136" s="14">
        <v>0</v>
      </c>
    </row>
    <row r="137" spans="1:11" x14ac:dyDescent="0.4">
      <c r="A137" s="12">
        <f>IF(B137="","",COUNTA(B$8:B137))</f>
        <v>113</v>
      </c>
      <c r="B137" s="19" t="s">
        <v>118</v>
      </c>
      <c r="C137" s="26">
        <v>843.3</v>
      </c>
      <c r="D137" s="21">
        <v>0</v>
      </c>
      <c r="E137" s="21">
        <f t="shared" si="5"/>
        <v>0</v>
      </c>
      <c r="I137" s="14" t="s">
        <v>117</v>
      </c>
      <c r="J137" s="14">
        <v>13776071.640000001</v>
      </c>
      <c r="K137" s="14">
        <v>4703912.49</v>
      </c>
    </row>
    <row r="138" spans="1:11" x14ac:dyDescent="0.4">
      <c r="A138" s="12">
        <f>IF(B138="","",COUNTA(B$8:B138))</f>
        <v>114</v>
      </c>
      <c r="B138" s="19" t="s">
        <v>119</v>
      </c>
      <c r="C138" s="26">
        <v>843.4</v>
      </c>
      <c r="D138" s="21">
        <v>0</v>
      </c>
      <c r="E138" s="21">
        <f t="shared" si="5"/>
        <v>0</v>
      </c>
      <c r="I138" s="14" t="s">
        <v>117</v>
      </c>
      <c r="J138" s="14">
        <v>1485831.04</v>
      </c>
      <c r="K138" s="14">
        <v>530157.41</v>
      </c>
    </row>
    <row r="139" spans="1:11" x14ac:dyDescent="0.4">
      <c r="A139" s="12">
        <f>IF(B139="","",COUNTA(B$8:B139))</f>
        <v>115</v>
      </c>
      <c r="B139" s="19" t="s">
        <v>120</v>
      </c>
      <c r="C139" s="26">
        <v>843.5</v>
      </c>
      <c r="D139" s="21">
        <v>0</v>
      </c>
      <c r="E139" s="21">
        <f t="shared" si="5"/>
        <v>0</v>
      </c>
      <c r="I139" s="14" t="s">
        <v>121</v>
      </c>
      <c r="J139" s="14">
        <v>0</v>
      </c>
      <c r="K139" s="14">
        <v>0</v>
      </c>
    </row>
    <row r="140" spans="1:11" x14ac:dyDescent="0.4">
      <c r="A140" s="12">
        <f>IF(B140="","",COUNTA(B$8:B140))</f>
        <v>116</v>
      </c>
      <c r="B140" s="19" t="s">
        <v>122</v>
      </c>
      <c r="C140" s="26">
        <v>843.6</v>
      </c>
      <c r="D140" s="21">
        <v>0</v>
      </c>
      <c r="E140" s="21">
        <f t="shared" si="5"/>
        <v>0</v>
      </c>
      <c r="I140" s="14" t="s">
        <v>121</v>
      </c>
      <c r="J140" s="14">
        <v>62042.47</v>
      </c>
      <c r="K140" s="14">
        <v>12838.82</v>
      </c>
    </row>
    <row r="141" spans="1:11" x14ac:dyDescent="0.4">
      <c r="A141" s="12">
        <f>IF(B141="","",COUNTA(B$8:B141))</f>
        <v>117</v>
      </c>
      <c r="B141" s="19" t="s">
        <v>123</v>
      </c>
      <c r="C141" s="26">
        <v>843.7</v>
      </c>
      <c r="D141" s="21">
        <v>0</v>
      </c>
      <c r="E141" s="21">
        <f t="shared" si="5"/>
        <v>0</v>
      </c>
      <c r="I141" s="14" t="s">
        <v>121</v>
      </c>
      <c r="J141" s="14">
        <v>37894.44</v>
      </c>
      <c r="K141" s="14">
        <v>37894.400000000001</v>
      </c>
    </row>
    <row r="142" spans="1:11" x14ac:dyDescent="0.4">
      <c r="A142" s="12">
        <f>IF(B142="","",COUNTA(B$8:B142))</f>
        <v>118</v>
      </c>
      <c r="B142" s="19" t="s">
        <v>124</v>
      </c>
      <c r="C142" s="26">
        <v>843.9</v>
      </c>
      <c r="D142" s="21">
        <v>0</v>
      </c>
      <c r="E142" s="21">
        <f t="shared" si="5"/>
        <v>0</v>
      </c>
      <c r="I142" s="14" t="s">
        <v>125</v>
      </c>
      <c r="J142" s="14">
        <v>0</v>
      </c>
      <c r="K142" s="14">
        <v>0</v>
      </c>
    </row>
    <row r="143" spans="1:11" x14ac:dyDescent="0.4">
      <c r="A143" s="12">
        <f>IF(B143="","",COUNTA(B$8:B143))</f>
        <v>119</v>
      </c>
      <c r="B143" s="14" t="str">
        <f>"Subtotal - "&amp;B135</f>
        <v>Subtotal - Other Storage Expenses - Maintenance</v>
      </c>
      <c r="C143" s="12"/>
      <c r="D143" s="2">
        <f>SUBTOTAL(9,D136:D142)</f>
        <v>0</v>
      </c>
      <c r="E143" s="2">
        <f>SUBTOTAL(9,E136:E142)</f>
        <v>0</v>
      </c>
      <c r="I143" s="14" t="s">
        <v>125</v>
      </c>
      <c r="J143" s="14">
        <v>5470907.3899999997</v>
      </c>
      <c r="K143" s="14">
        <v>2137640.84</v>
      </c>
    </row>
    <row r="144" spans="1:11" x14ac:dyDescent="0.4">
      <c r="A144" s="12" t="str">
        <f>IF(B144="","",COUNTA(B$8:B144))</f>
        <v/>
      </c>
      <c r="C144" s="12"/>
      <c r="D144" s="2"/>
      <c r="E144" s="2"/>
      <c r="I144" s="14" t="s">
        <v>125</v>
      </c>
      <c r="J144" s="14">
        <v>2752200.79</v>
      </c>
      <c r="K144" s="14">
        <v>1169204.6200000001</v>
      </c>
    </row>
    <row r="145" spans="1:11" x14ac:dyDescent="0.4">
      <c r="A145" s="12">
        <f>IF(B145="","",COUNTA(B$8:B145))</f>
        <v>120</v>
      </c>
      <c r="B145" s="13" t="s">
        <v>126</v>
      </c>
      <c r="C145" s="12"/>
      <c r="D145" s="22"/>
      <c r="E145" s="22"/>
      <c r="I145" s="14" t="s">
        <v>127</v>
      </c>
      <c r="J145" s="14">
        <v>131231.01999999999</v>
      </c>
      <c r="K145" s="14">
        <v>131231.01999999999</v>
      </c>
    </row>
    <row r="146" spans="1:11" x14ac:dyDescent="0.4">
      <c r="A146" s="12">
        <f>IF(B146="","",COUNTA(B$8:B146))</f>
        <v>121</v>
      </c>
      <c r="B146" s="19" t="s">
        <v>128</v>
      </c>
      <c r="C146" s="26">
        <v>852</v>
      </c>
      <c r="D146" s="21">
        <v>0</v>
      </c>
      <c r="E146" s="21">
        <f>SUMIF($I$172:$I$201,C146,$Q$172:$Q$201)</f>
        <v>0</v>
      </c>
      <c r="I146" s="14" t="s">
        <v>129</v>
      </c>
      <c r="J146" s="14">
        <v>0</v>
      </c>
      <c r="K146" s="14">
        <v>0</v>
      </c>
    </row>
    <row r="147" spans="1:11" x14ac:dyDescent="0.4">
      <c r="A147" s="12">
        <f>IF(B147="","",COUNTA(B$8:B147))</f>
        <v>122</v>
      </c>
      <c r="B147" s="19" t="s">
        <v>130</v>
      </c>
      <c r="C147" s="26">
        <v>853</v>
      </c>
      <c r="D147" s="21">
        <v>0</v>
      </c>
      <c r="E147" s="21">
        <f>SUMIF($I$172:$I$201,C147,$Q$172:$Q$201)</f>
        <v>0</v>
      </c>
      <c r="I147" s="14" t="s">
        <v>129</v>
      </c>
      <c r="J147" s="14">
        <v>59304.43</v>
      </c>
      <c r="K147" s="14">
        <v>50175.49</v>
      </c>
    </row>
    <row r="148" spans="1:11" x14ac:dyDescent="0.4">
      <c r="A148" s="12">
        <f>IF(B148="","",COUNTA(B$8:B148))</f>
        <v>123</v>
      </c>
      <c r="B148" s="19" t="s">
        <v>131</v>
      </c>
      <c r="C148" s="26">
        <v>856</v>
      </c>
      <c r="D148" s="21">
        <v>0</v>
      </c>
      <c r="E148" s="21">
        <f>SUMIF($I$172:$I$201,C148,$Q$172:$Q$201)</f>
        <v>0</v>
      </c>
      <c r="I148" s="14" t="s">
        <v>132</v>
      </c>
      <c r="J148" s="14">
        <v>0</v>
      </c>
      <c r="K148" s="14">
        <v>0</v>
      </c>
    </row>
    <row r="149" spans="1:11" x14ac:dyDescent="0.4">
      <c r="A149" s="12">
        <f>IF(B149="","",COUNTA(B$8:B149))</f>
        <v>124</v>
      </c>
      <c r="B149" s="14" t="str">
        <f>"Subtotal - "&amp;B145</f>
        <v>Subtotal - Transmission Operation Expenses</v>
      </c>
      <c r="C149" s="12"/>
      <c r="D149" s="2">
        <f>SUBTOTAL(9,D146:D148)</f>
        <v>0</v>
      </c>
      <c r="E149" s="2">
        <f>SUBTOTAL(9,E146:E148)</f>
        <v>0</v>
      </c>
      <c r="I149" s="14" t="s">
        <v>132</v>
      </c>
      <c r="J149" s="14">
        <v>3989436.0300000003</v>
      </c>
      <c r="K149" s="14">
        <v>-579934.42000000004</v>
      </c>
    </row>
    <row r="150" spans="1:11" x14ac:dyDescent="0.4">
      <c r="A150" s="12" t="str">
        <f>IF(B150="","",COUNTA(B$8:B150))</f>
        <v/>
      </c>
      <c r="C150" s="31"/>
      <c r="D150" s="2"/>
      <c r="E150" s="2"/>
      <c r="I150" s="14" t="s">
        <v>132</v>
      </c>
      <c r="J150" s="14">
        <v>46594.720000000001</v>
      </c>
      <c r="K150" s="14">
        <v>49740.82</v>
      </c>
    </row>
    <row r="151" spans="1:11" x14ac:dyDescent="0.4">
      <c r="A151" s="12">
        <f>IF(B151="","",COUNTA(B$8:B151))</f>
        <v>125</v>
      </c>
      <c r="B151" s="13" t="s">
        <v>133</v>
      </c>
      <c r="C151" s="12"/>
      <c r="D151" s="2"/>
      <c r="E151" s="2"/>
      <c r="I151" s="14" t="s">
        <v>134</v>
      </c>
      <c r="J151" s="14">
        <v>0</v>
      </c>
      <c r="K151" s="14">
        <v>0</v>
      </c>
    </row>
    <row r="152" spans="1:11" x14ac:dyDescent="0.4">
      <c r="A152" s="12">
        <f>IF(B152="","",COUNTA(B$8:B152))</f>
        <v>126</v>
      </c>
      <c r="B152" s="19" t="s">
        <v>135</v>
      </c>
      <c r="C152" s="26">
        <v>863</v>
      </c>
      <c r="D152" s="21">
        <v>0</v>
      </c>
      <c r="E152" s="21">
        <f>SUMIF($I$172:$I$201,C152,$Q$172:$Q$201)</f>
        <v>0</v>
      </c>
      <c r="I152" s="14" t="s">
        <v>134</v>
      </c>
      <c r="J152" s="14">
        <v>539590.43000000005</v>
      </c>
      <c r="K152" s="14">
        <v>213554.27000000002</v>
      </c>
    </row>
    <row r="153" spans="1:11" x14ac:dyDescent="0.4">
      <c r="A153" s="12">
        <f>IF(B153="","",COUNTA(B$8:B153))</f>
        <v>127</v>
      </c>
      <c r="B153" s="19" t="s">
        <v>136</v>
      </c>
      <c r="C153" s="26">
        <v>863.1</v>
      </c>
      <c r="D153" s="21">
        <v>0</v>
      </c>
      <c r="E153" s="21">
        <f>SUMIF($I$172:$I$201,C153,$Q$172:$Q$201)</f>
        <v>0</v>
      </c>
      <c r="I153" s="14" t="s">
        <v>137</v>
      </c>
      <c r="J153" s="14">
        <v>0</v>
      </c>
      <c r="K153" s="14">
        <v>0</v>
      </c>
    </row>
    <row r="154" spans="1:11" x14ac:dyDescent="0.4">
      <c r="A154" s="12">
        <f>IF(B154="","",COUNTA(B$8:B154))</f>
        <v>128</v>
      </c>
      <c r="B154" s="19" t="s">
        <v>138</v>
      </c>
      <c r="C154" s="26">
        <v>866</v>
      </c>
      <c r="D154" s="21">
        <v>0</v>
      </c>
      <c r="E154" s="21">
        <f>SUMIF($I$172:$I$201,C154,$Q$172:$Q$201)</f>
        <v>0</v>
      </c>
      <c r="I154" s="14" t="s">
        <v>137</v>
      </c>
      <c r="J154" s="14">
        <v>122087.47</v>
      </c>
      <c r="K154" s="14">
        <v>73825.52</v>
      </c>
    </row>
    <row r="155" spans="1:11" x14ac:dyDescent="0.4">
      <c r="A155" s="12">
        <f>IF(B155="","",COUNTA(B$8:B155))</f>
        <v>129</v>
      </c>
      <c r="B155" s="14" t="str">
        <f>"Subtotal - "&amp;B151</f>
        <v>Subtotal - Transmission Maintenance Expenses</v>
      </c>
      <c r="C155" s="31"/>
      <c r="D155" s="2">
        <f>SUBTOTAL(9,D152:D154)</f>
        <v>0</v>
      </c>
      <c r="E155" s="2">
        <f>SUBTOTAL(9,E152:E154)</f>
        <v>0</v>
      </c>
      <c r="I155" s="14" t="s">
        <v>137</v>
      </c>
      <c r="J155" s="14">
        <v>2536510.17</v>
      </c>
      <c r="K155" s="14">
        <v>54246.17</v>
      </c>
    </row>
    <row r="156" spans="1:11" x14ac:dyDescent="0.4">
      <c r="A156" s="12" t="str">
        <f>IF(B156="","",COUNTA(B$8:B156))</f>
        <v/>
      </c>
      <c r="D156" s="2"/>
      <c r="E156" s="2"/>
      <c r="I156" s="14" t="s">
        <v>139</v>
      </c>
      <c r="J156" s="14">
        <v>0</v>
      </c>
      <c r="K156" s="14">
        <v>0</v>
      </c>
    </row>
    <row r="157" spans="1:11" x14ac:dyDescent="0.4">
      <c r="A157" s="12">
        <f>IF(B157="","",COUNTA(B$8:B157))</f>
        <v>130</v>
      </c>
      <c r="B157" s="13" t="s">
        <v>140</v>
      </c>
      <c r="C157" s="12"/>
      <c r="D157" s="22"/>
      <c r="E157" s="22"/>
      <c r="I157" s="14" t="s">
        <v>139</v>
      </c>
      <c r="J157" s="14">
        <v>946430.42</v>
      </c>
      <c r="K157" s="14">
        <v>646534.37</v>
      </c>
    </row>
    <row r="158" spans="1:11" x14ac:dyDescent="0.4">
      <c r="A158" s="12">
        <f>IF(B158="","",COUNTA(B$8:B158))</f>
        <v>131</v>
      </c>
      <c r="B158" s="19" t="s">
        <v>108</v>
      </c>
      <c r="C158" s="26">
        <v>870</v>
      </c>
      <c r="D158" s="21">
        <v>2775471.5974831758</v>
      </c>
      <c r="E158" s="21">
        <f t="shared" ref="E158:E169" si="6">SUMIF($I$172:$I$201,C158,$Q$172:$Q$201)</f>
        <v>2549107.1670620008</v>
      </c>
      <c r="I158" s="14" t="s">
        <v>139</v>
      </c>
      <c r="J158" s="14">
        <v>15029.43</v>
      </c>
      <c r="K158" s="14">
        <v>6979.34</v>
      </c>
    </row>
    <row r="159" spans="1:11" x14ac:dyDescent="0.4">
      <c r="A159" s="12">
        <f>IF(B159="","",COUNTA(B$8:B159))</f>
        <v>132</v>
      </c>
      <c r="B159" s="19" t="s">
        <v>141</v>
      </c>
      <c r="C159" s="26">
        <v>871</v>
      </c>
      <c r="D159" s="21">
        <v>222742.79186141919</v>
      </c>
      <c r="E159" s="21">
        <f t="shared" si="6"/>
        <v>218044.68969899998</v>
      </c>
      <c r="I159" s="14" t="s">
        <v>142</v>
      </c>
      <c r="J159" s="14">
        <v>0</v>
      </c>
      <c r="K159" s="14">
        <v>0</v>
      </c>
    </row>
    <row r="160" spans="1:11" x14ac:dyDescent="0.4">
      <c r="A160" s="12">
        <f>IF(B160="","",COUNTA(B$8:B160))</f>
        <v>133</v>
      </c>
      <c r="B160" s="19" t="s">
        <v>143</v>
      </c>
      <c r="C160" s="26">
        <v>872</v>
      </c>
      <c r="D160" s="21">
        <v>75137.263082084246</v>
      </c>
      <c r="E160" s="21">
        <f t="shared" si="6"/>
        <v>45915.928934999996</v>
      </c>
      <c r="I160" s="14" t="s">
        <v>142</v>
      </c>
      <c r="J160" s="14">
        <v>986694.38</v>
      </c>
      <c r="K160" s="14">
        <v>424208.97000000003</v>
      </c>
    </row>
    <row r="161" spans="1:17" x14ac:dyDescent="0.4">
      <c r="A161" s="12">
        <f>IF(B161="","",COUNTA(B$8:B161))</f>
        <v>134</v>
      </c>
      <c r="B161" s="19" t="s">
        <v>144</v>
      </c>
      <c r="C161" s="26">
        <v>874</v>
      </c>
      <c r="D161" s="21">
        <v>3385519.216582906</v>
      </c>
      <c r="E161" s="21">
        <f t="shared" si="6"/>
        <v>2415711.4381510033</v>
      </c>
      <c r="I161" s="14" t="s">
        <v>142</v>
      </c>
      <c r="J161" s="14">
        <v>657490.51</v>
      </c>
      <c r="K161" s="14">
        <v>91503.21</v>
      </c>
    </row>
    <row r="162" spans="1:17" x14ac:dyDescent="0.4">
      <c r="A162" s="12">
        <f>IF(B162="","",COUNTA(B$8:B162))</f>
        <v>135</v>
      </c>
      <c r="B162" s="19" t="s">
        <v>145</v>
      </c>
      <c r="C162" s="26">
        <v>875</v>
      </c>
      <c r="D162" s="21">
        <v>612295.10923966148</v>
      </c>
      <c r="E162" s="21">
        <f t="shared" si="6"/>
        <v>193501.70470199993</v>
      </c>
      <c r="I162" s="14" t="s">
        <v>146</v>
      </c>
      <c r="J162" s="14">
        <v>0</v>
      </c>
      <c r="K162" s="14">
        <v>0</v>
      </c>
    </row>
    <row r="163" spans="1:17" x14ac:dyDescent="0.4">
      <c r="A163" s="12">
        <f>IF(B163="","",COUNTA(B$8:B163))</f>
        <v>136</v>
      </c>
      <c r="B163" s="19" t="s">
        <v>147</v>
      </c>
      <c r="C163" s="26">
        <v>876</v>
      </c>
      <c r="D163" s="21">
        <v>625852.04763415514</v>
      </c>
      <c r="E163" s="21">
        <f t="shared" si="6"/>
        <v>400747.24770900013</v>
      </c>
      <c r="I163" s="14" t="s">
        <v>146</v>
      </c>
      <c r="J163" s="14">
        <v>0</v>
      </c>
      <c r="K163" s="14">
        <v>0</v>
      </c>
    </row>
    <row r="164" spans="1:17" x14ac:dyDescent="0.4">
      <c r="A164" s="12">
        <f>IF(B164="","",COUNTA(B$8:B164))</f>
        <v>137</v>
      </c>
      <c r="B164" s="19" t="s">
        <v>148</v>
      </c>
      <c r="C164" s="26">
        <v>877</v>
      </c>
      <c r="D164" s="21">
        <v>87749.404295532528</v>
      </c>
      <c r="E164" s="21">
        <f t="shared" si="6"/>
        <v>43152.935604999999</v>
      </c>
      <c r="I164" s="14" t="s">
        <v>146</v>
      </c>
      <c r="J164" s="14">
        <v>55832.73</v>
      </c>
      <c r="K164" s="14">
        <v>-41533.89</v>
      </c>
    </row>
    <row r="165" spans="1:17" x14ac:dyDescent="0.4">
      <c r="A165" s="12">
        <f>IF(B165="","",COUNTA(B$8:B165))</f>
        <v>138</v>
      </c>
      <c r="B165" s="19" t="s">
        <v>149</v>
      </c>
      <c r="C165" s="26">
        <v>878</v>
      </c>
      <c r="D165" s="21">
        <v>-188318.40377745233</v>
      </c>
      <c r="E165" s="21">
        <f t="shared" si="6"/>
        <v>849631.93683999975</v>
      </c>
      <c r="I165" s="14" t="s">
        <v>150</v>
      </c>
      <c r="J165" s="14">
        <v>0</v>
      </c>
      <c r="K165" s="14">
        <v>0</v>
      </c>
    </row>
    <row r="166" spans="1:17" x14ac:dyDescent="0.4">
      <c r="A166" s="12">
        <f>IF(B166="","",COUNTA(B$8:B166))</f>
        <v>139</v>
      </c>
      <c r="B166" s="19" t="s">
        <v>151</v>
      </c>
      <c r="C166" s="26">
        <v>879</v>
      </c>
      <c r="D166" s="21">
        <v>414885.26396664412</v>
      </c>
      <c r="E166" s="21">
        <f t="shared" si="6"/>
        <v>380186.71579999989</v>
      </c>
      <c r="I166" s="14" t="s">
        <v>150</v>
      </c>
      <c r="J166" s="14">
        <v>19582.57</v>
      </c>
      <c r="K166" s="14">
        <v>4926.8900000000003</v>
      </c>
    </row>
    <row r="167" spans="1:17" x14ac:dyDescent="0.4">
      <c r="A167" s="12">
        <f>IF(B167="","",COUNTA(B$8:B167))</f>
        <v>140</v>
      </c>
      <c r="B167" s="19" t="s">
        <v>152</v>
      </c>
      <c r="C167" s="26">
        <v>880</v>
      </c>
      <c r="D167" s="21">
        <v>5659565.2497695787</v>
      </c>
      <c r="E167" s="21">
        <f t="shared" si="6"/>
        <v>3837597.6543599996</v>
      </c>
      <c r="I167" s="14" t="s">
        <v>150</v>
      </c>
      <c r="J167" s="14">
        <v>63398.16</v>
      </c>
      <c r="K167" s="14">
        <v>29671.54</v>
      </c>
    </row>
    <row r="168" spans="1:17" x14ac:dyDescent="0.4">
      <c r="A168" s="12">
        <f>IF(B168="","",COUNTA(B$8:B168))</f>
        <v>141</v>
      </c>
      <c r="B168" s="19" t="s">
        <v>153</v>
      </c>
      <c r="C168" s="26">
        <v>881</v>
      </c>
      <c r="D168" s="21">
        <v>220217.55420740417</v>
      </c>
      <c r="E168" s="21">
        <f t="shared" si="6"/>
        <v>0</v>
      </c>
    </row>
    <row r="169" spans="1:17" x14ac:dyDescent="0.4">
      <c r="A169" s="12">
        <f>IF(B169="","",COUNTA(B$8:B169))</f>
        <v>142</v>
      </c>
      <c r="B169" s="19" t="s">
        <v>154</v>
      </c>
      <c r="C169" s="26">
        <v>882</v>
      </c>
      <c r="D169" s="21">
        <v>0</v>
      </c>
      <c r="E169" s="21">
        <f t="shared" si="6"/>
        <v>0</v>
      </c>
    </row>
    <row r="170" spans="1:17" x14ac:dyDescent="0.4">
      <c r="A170" s="12">
        <f>IF(B170="","",COUNTA(B$8:B170))</f>
        <v>143</v>
      </c>
      <c r="B170" s="14" t="str">
        <f>"Subtotal - "&amp;B157</f>
        <v>Subtotal - Distribution Operation Expenses</v>
      </c>
      <c r="C170" s="12"/>
      <c r="D170" s="2">
        <f>SUBTOTAL(9,D158:D169)</f>
        <v>13891117.09434511</v>
      </c>
      <c r="E170" s="2">
        <f>SUBTOTAL(9,E158:E169)</f>
        <v>10933597.418863004</v>
      </c>
      <c r="I170" s="14" t="s">
        <v>155</v>
      </c>
    </row>
    <row r="171" spans="1:17" ht="58.3" x14ac:dyDescent="0.4">
      <c r="A171" s="12" t="str">
        <f>IF(B171="","",COUNTA(B$8:B171))</f>
        <v/>
      </c>
      <c r="C171" s="31"/>
      <c r="D171" s="2"/>
      <c r="E171" s="2"/>
      <c r="I171" s="14" t="s">
        <v>6</v>
      </c>
      <c r="J171" s="33" t="s">
        <v>156</v>
      </c>
      <c r="K171" s="34" t="s">
        <v>157</v>
      </c>
      <c r="L171" s="34" t="s">
        <v>158</v>
      </c>
      <c r="M171" s="34" t="s">
        <v>159</v>
      </c>
      <c r="N171" s="34" t="s">
        <v>160</v>
      </c>
      <c r="O171" s="34" t="s">
        <v>161</v>
      </c>
      <c r="P171" s="33" t="s">
        <v>162</v>
      </c>
      <c r="Q171" s="35" t="s">
        <v>163</v>
      </c>
    </row>
    <row r="172" spans="1:17" x14ac:dyDescent="0.4">
      <c r="A172" s="12">
        <f>IF(B172="","",COUNTA(B$8:B172))</f>
        <v>144</v>
      </c>
      <c r="B172" s="13" t="s">
        <v>164</v>
      </c>
      <c r="C172" s="12"/>
      <c r="D172" s="2"/>
      <c r="E172" s="2"/>
      <c r="I172" s="14" t="s">
        <v>165</v>
      </c>
      <c r="J172" s="36">
        <v>319852.78000000009</v>
      </c>
      <c r="K172" s="36">
        <v>0</v>
      </c>
      <c r="L172" s="36">
        <v>-33688.839999999997</v>
      </c>
      <c r="N172" s="36">
        <v>16334.516615</v>
      </c>
      <c r="Q172" s="36">
        <f>SUM(J172:P172)</f>
        <v>302498.45661500003</v>
      </c>
    </row>
    <row r="173" spans="1:17" x14ac:dyDescent="0.4">
      <c r="A173" s="12">
        <f>IF(B173="","",COUNTA(B$8:B173))</f>
        <v>145</v>
      </c>
      <c r="B173" s="19" t="s">
        <v>166</v>
      </c>
      <c r="C173" s="26">
        <v>885</v>
      </c>
      <c r="D173" s="21">
        <v>1122710.0525362908</v>
      </c>
      <c r="E173" s="21">
        <f t="shared" ref="E173:E182" si="7">SUMIF($I$172:$I$201,C173,$Q$172:$Q$201)</f>
        <v>1065842.1355560005</v>
      </c>
      <c r="I173" s="14" t="s">
        <v>167</v>
      </c>
      <c r="J173" s="36">
        <v>2657303.9600000009</v>
      </c>
      <c r="K173" s="36">
        <v>0</v>
      </c>
      <c r="L173" s="36">
        <v>-245992.69</v>
      </c>
      <c r="N173" s="36">
        <v>137795.897062</v>
      </c>
      <c r="Q173" s="36">
        <f t="shared" ref="Q173:Q201" si="8">SUM(J173:P173)</f>
        <v>2549107.1670620008</v>
      </c>
    </row>
    <row r="174" spans="1:17" x14ac:dyDescent="0.4">
      <c r="A174" s="12">
        <f>IF(B174="","",COUNTA(B$8:B174))</f>
        <v>146</v>
      </c>
      <c r="B174" s="19" t="s">
        <v>168</v>
      </c>
      <c r="C174" s="26">
        <v>886</v>
      </c>
      <c r="D174" s="21">
        <v>5260.7816511352212</v>
      </c>
      <c r="E174" s="21">
        <f t="shared" si="7"/>
        <v>0</v>
      </c>
      <c r="I174" s="14" t="s">
        <v>169</v>
      </c>
      <c r="J174" s="36">
        <v>224695.97999999998</v>
      </c>
      <c r="K174" s="36">
        <v>11.099399999999999</v>
      </c>
      <c r="L174" s="36">
        <v>-18626.41</v>
      </c>
      <c r="N174" s="36">
        <v>11964.020299</v>
      </c>
      <c r="Q174" s="36">
        <f t="shared" si="8"/>
        <v>218044.68969899998</v>
      </c>
    </row>
    <row r="175" spans="1:17" x14ac:dyDescent="0.4">
      <c r="A175" s="12">
        <f>IF(B175="","",COUNTA(B$8:B175))</f>
        <v>147</v>
      </c>
      <c r="B175" s="19" t="s">
        <v>135</v>
      </c>
      <c r="C175" s="26">
        <v>887</v>
      </c>
      <c r="D175" s="21">
        <v>4809860.560562415</v>
      </c>
      <c r="E175" s="21">
        <f t="shared" si="7"/>
        <v>542701.59063099942</v>
      </c>
      <c r="I175" s="14" t="s">
        <v>170</v>
      </c>
      <c r="J175" s="36">
        <v>45660.57</v>
      </c>
      <c r="K175" s="36">
        <v>262.92</v>
      </c>
      <c r="L175" s="36">
        <v>-2458.2199999999998</v>
      </c>
      <c r="N175" s="36">
        <v>2450.6589350000004</v>
      </c>
      <c r="Q175" s="36">
        <f t="shared" si="8"/>
        <v>45915.928934999996</v>
      </c>
    </row>
    <row r="176" spans="1:17" x14ac:dyDescent="0.4">
      <c r="A176" s="12">
        <f>IF(B176="","",COUNTA(B$8:B176))</f>
        <v>148</v>
      </c>
      <c r="B176" s="19" t="s">
        <v>143</v>
      </c>
      <c r="C176" s="26">
        <v>888</v>
      </c>
      <c r="D176" s="21">
        <v>484351.09259738587</v>
      </c>
      <c r="E176" s="21">
        <f t="shared" si="7"/>
        <v>63846.563744999992</v>
      </c>
      <c r="I176" s="14" t="s">
        <v>171</v>
      </c>
      <c r="J176" s="36">
        <v>2296147.9600000037</v>
      </c>
      <c r="K176" s="36">
        <v>13931.5461</v>
      </c>
      <c r="L176" s="36">
        <v>-9449.89</v>
      </c>
      <c r="N176" s="36">
        <v>115081.82205100001</v>
      </c>
      <c r="Q176" s="36">
        <f t="shared" si="8"/>
        <v>2415711.4381510033</v>
      </c>
    </row>
    <row r="177" spans="1:17" x14ac:dyDescent="0.4">
      <c r="A177" s="12">
        <f>IF(B177="","",COUNTA(B$8:B177))</f>
        <v>149</v>
      </c>
      <c r="B177" s="19" t="s">
        <v>172</v>
      </c>
      <c r="C177" s="26">
        <v>889</v>
      </c>
      <c r="D177" s="21">
        <v>299913.80627510289</v>
      </c>
      <c r="E177" s="21">
        <f t="shared" si="7"/>
        <v>172908.30979999999</v>
      </c>
      <c r="I177" s="14" t="s">
        <v>173</v>
      </c>
      <c r="J177" s="36">
        <v>181330.73999999993</v>
      </c>
      <c r="K177" s="36">
        <v>2629.4915999999998</v>
      </c>
      <c r="L177" s="36">
        <v>-11.42</v>
      </c>
      <c r="N177" s="36">
        <v>9552.8931020000018</v>
      </c>
      <c r="Q177" s="36">
        <f t="shared" si="8"/>
        <v>193501.70470199993</v>
      </c>
    </row>
    <row r="178" spans="1:17" x14ac:dyDescent="0.4">
      <c r="A178" s="12">
        <f>IF(B178="","",COUNTA(B$8:B178))</f>
        <v>150</v>
      </c>
      <c r="B178" s="19" t="s">
        <v>174</v>
      </c>
      <c r="C178" s="26">
        <v>890</v>
      </c>
      <c r="D178" s="21">
        <v>370680.59663182276</v>
      </c>
      <c r="E178" s="21">
        <f t="shared" si="7"/>
        <v>238816.05694000004</v>
      </c>
      <c r="I178" s="14" t="s">
        <v>175</v>
      </c>
      <c r="J178" s="36">
        <v>379622.23000000016</v>
      </c>
      <c r="K178" s="36">
        <v>2262.2226000000001</v>
      </c>
      <c r="L178" s="36">
        <v>-39.53</v>
      </c>
      <c r="N178" s="36">
        <v>18902.325108999998</v>
      </c>
      <c r="Q178" s="36">
        <f t="shared" si="8"/>
        <v>400747.24770900013</v>
      </c>
    </row>
    <row r="179" spans="1:17" x14ac:dyDescent="0.4">
      <c r="A179" s="12">
        <f>IF(B179="","",COUNTA(B$8:B179))</f>
        <v>151</v>
      </c>
      <c r="B179" s="19" t="s">
        <v>176</v>
      </c>
      <c r="C179" s="26">
        <v>891</v>
      </c>
      <c r="D179" s="21">
        <v>119309.82967567084</v>
      </c>
      <c r="E179" s="21">
        <f t="shared" si="7"/>
        <v>65549.274004999999</v>
      </c>
      <c r="H179" s="16"/>
      <c r="I179" s="14" t="s">
        <v>177</v>
      </c>
      <c r="J179" s="36">
        <v>41071.64</v>
      </c>
      <c r="K179" s="36">
        <v>130.63650000000001</v>
      </c>
      <c r="L179" s="36">
        <v>-9.91</v>
      </c>
      <c r="N179" s="36">
        <v>1960.5691049999998</v>
      </c>
      <c r="Q179" s="36">
        <f t="shared" si="8"/>
        <v>43152.935604999999</v>
      </c>
    </row>
    <row r="180" spans="1:17" x14ac:dyDescent="0.4">
      <c r="A180" s="12">
        <f>IF(B180="","",COUNTA(B$8:B180))</f>
        <v>152</v>
      </c>
      <c r="B180" s="19" t="s">
        <v>178</v>
      </c>
      <c r="C180" s="26">
        <v>892</v>
      </c>
      <c r="D180" s="21">
        <v>1108295.7688120103</v>
      </c>
      <c r="E180" s="21">
        <f t="shared" si="7"/>
        <v>694575.5962479997</v>
      </c>
      <c r="I180" s="14" t="s">
        <v>179</v>
      </c>
      <c r="J180" s="36">
        <v>804084.69999999972</v>
      </c>
      <c r="K180" s="36">
        <v>5380.4507999999996</v>
      </c>
      <c r="L180" s="36">
        <v>0</v>
      </c>
      <c r="N180" s="36">
        <v>40166.786040000006</v>
      </c>
      <c r="Q180" s="36">
        <f t="shared" si="8"/>
        <v>849631.93683999975</v>
      </c>
    </row>
    <row r="181" spans="1:17" x14ac:dyDescent="0.4">
      <c r="A181" s="12">
        <f>IF(B181="","",COUNTA(B$8:B181))</f>
        <v>153</v>
      </c>
      <c r="B181" s="19" t="s">
        <v>180</v>
      </c>
      <c r="C181" s="26">
        <v>893</v>
      </c>
      <c r="D181" s="21">
        <v>1481487.755102359</v>
      </c>
      <c r="E181" s="21">
        <f t="shared" si="7"/>
        <v>1106838.2290110008</v>
      </c>
      <c r="G181" s="27"/>
      <c r="H181" s="16"/>
      <c r="I181" s="14" t="s">
        <v>181</v>
      </c>
      <c r="J181" s="36">
        <v>358404.42999999993</v>
      </c>
      <c r="K181" s="36">
        <v>2903.7359999999999</v>
      </c>
      <c r="L181" s="36">
        <v>0</v>
      </c>
      <c r="N181" s="36">
        <v>18878.549800000001</v>
      </c>
      <c r="Q181" s="36">
        <f t="shared" si="8"/>
        <v>380186.71579999989</v>
      </c>
    </row>
    <row r="182" spans="1:17" x14ac:dyDescent="0.4">
      <c r="A182" s="12">
        <f>IF(B182="","",COUNTA(B$8:B182))</f>
        <v>154</v>
      </c>
      <c r="B182" s="37" t="s">
        <v>182</v>
      </c>
      <c r="C182" s="38">
        <v>894</v>
      </c>
      <c r="D182" s="21">
        <v>1439813.0835209489</v>
      </c>
      <c r="E182" s="21">
        <f t="shared" si="7"/>
        <v>1204731.5321070002</v>
      </c>
      <c r="I182" s="14" t="s">
        <v>183</v>
      </c>
      <c r="J182" s="36">
        <v>3664448.6899999995</v>
      </c>
      <c r="K182" s="36">
        <v>29086.159199999998</v>
      </c>
      <c r="L182" s="36">
        <v>-44121.27</v>
      </c>
      <c r="N182" s="36">
        <v>188184.07516000001</v>
      </c>
      <c r="Q182" s="36">
        <f t="shared" si="8"/>
        <v>3837597.6543599996</v>
      </c>
    </row>
    <row r="183" spans="1:17" x14ac:dyDescent="0.4">
      <c r="A183" s="12">
        <f>IF(B183="","",COUNTA(B$8:B183))</f>
        <v>155</v>
      </c>
      <c r="B183" s="14" t="str">
        <f>"Subtotal - "&amp;B172</f>
        <v>Subtotal - Distribution Maintenance Expenses</v>
      </c>
      <c r="C183" s="31"/>
      <c r="D183" s="2">
        <f>SUBTOTAL(9,D173:D182)</f>
        <v>11241683.327365141</v>
      </c>
      <c r="E183" s="2">
        <f>SUBTOTAL(9,E173:E182)</f>
        <v>5155809.2880430007</v>
      </c>
      <c r="I183" s="14" t="s">
        <v>184</v>
      </c>
      <c r="J183" s="36">
        <v>1098248.0000000005</v>
      </c>
      <c r="K183" s="36">
        <v>0</v>
      </c>
      <c r="L183" s="36">
        <v>-91083.1</v>
      </c>
      <c r="N183" s="36">
        <v>58677.235556</v>
      </c>
      <c r="Q183" s="36">
        <f t="shared" si="8"/>
        <v>1065842.1355560005</v>
      </c>
    </row>
    <row r="184" spans="1:17" x14ac:dyDescent="0.4">
      <c r="A184" s="12" t="str">
        <f>IF(B184="","",COUNTA(B$8:B184))</f>
        <v/>
      </c>
      <c r="C184" s="31"/>
      <c r="D184" s="22"/>
      <c r="E184" s="22"/>
      <c r="I184" s="14" t="s">
        <v>185</v>
      </c>
      <c r="J184" s="36">
        <v>510618.2299999994</v>
      </c>
      <c r="K184" s="36">
        <v>3180.4049999999997</v>
      </c>
      <c r="L184" s="36">
        <v>-3142.84</v>
      </c>
      <c r="N184" s="36">
        <v>32045.795631000001</v>
      </c>
      <c r="Q184" s="36">
        <f t="shared" si="8"/>
        <v>542701.59063099942</v>
      </c>
    </row>
    <row r="185" spans="1:17" x14ac:dyDescent="0.4">
      <c r="A185" s="12">
        <f>IF(B185="","",COUNTA(B$8:B185))</f>
        <v>156</v>
      </c>
      <c r="B185" s="24" t="str">
        <f>"Total "&amp;B123</f>
        <v>Total Production, Storage, LNG, Transmission, and Distribution Expense</v>
      </c>
      <c r="C185" s="31"/>
      <c r="D185" s="2">
        <f>SUBTOTAL(9,D124:D183)</f>
        <v>25704895.225109346</v>
      </c>
      <c r="E185" s="2">
        <f>SUBTOTAL(9,E125:E183)</f>
        <v>16391905.163521007</v>
      </c>
      <c r="I185" s="14" t="s">
        <v>186</v>
      </c>
      <c r="J185" s="36">
        <v>60563.239999999991</v>
      </c>
      <c r="K185" s="36">
        <v>526.32690000000002</v>
      </c>
      <c r="L185" s="36">
        <v>0</v>
      </c>
      <c r="N185" s="36">
        <v>2756.9968450000001</v>
      </c>
      <c r="Q185" s="36">
        <f t="shared" si="8"/>
        <v>63846.563744999992</v>
      </c>
    </row>
    <row r="186" spans="1:17" x14ac:dyDescent="0.4">
      <c r="A186" s="12" t="str">
        <f>IF(B186="","",COUNTA(B$8:B186))</f>
        <v/>
      </c>
      <c r="C186" s="31"/>
      <c r="D186" s="22"/>
      <c r="E186" s="22"/>
      <c r="I186" s="14" t="s">
        <v>187</v>
      </c>
      <c r="J186" s="36">
        <v>163546.12</v>
      </c>
      <c r="K186" s="36">
        <v>1130.5292999999999</v>
      </c>
      <c r="L186" s="36">
        <v>-32.200000000000003</v>
      </c>
      <c r="N186" s="36">
        <v>8263.8605000000007</v>
      </c>
      <c r="Q186" s="36">
        <f t="shared" si="8"/>
        <v>172908.30979999999</v>
      </c>
    </row>
    <row r="187" spans="1:17" x14ac:dyDescent="0.4">
      <c r="A187" s="12">
        <f>IF(B187="","",COUNTA(B$8:B187))</f>
        <v>157</v>
      </c>
      <c r="B187" s="24" t="s">
        <v>188</v>
      </c>
      <c r="C187" s="31"/>
      <c r="D187" s="22"/>
      <c r="E187" s="22"/>
      <c r="I187" s="14" t="s">
        <v>189</v>
      </c>
      <c r="J187" s="36">
        <v>226949.74000000005</v>
      </c>
      <c r="K187" s="36">
        <v>727.04279999999994</v>
      </c>
      <c r="L187" s="36">
        <v>0</v>
      </c>
      <c r="N187" s="36">
        <v>11139.274140000001</v>
      </c>
      <c r="Q187" s="36">
        <f t="shared" si="8"/>
        <v>238816.05694000004</v>
      </c>
    </row>
    <row r="188" spans="1:17" x14ac:dyDescent="0.4">
      <c r="A188" s="12">
        <f>IF(B188="","",COUNTA(B$8:B188))</f>
        <v>158</v>
      </c>
      <c r="B188" s="13" t="s">
        <v>190</v>
      </c>
      <c r="C188" s="31"/>
      <c r="D188" s="22"/>
      <c r="E188" s="22"/>
      <c r="I188" s="14" t="s">
        <v>191</v>
      </c>
      <c r="J188" s="36">
        <v>62263.82</v>
      </c>
      <c r="K188" s="36">
        <v>305.31810000000002</v>
      </c>
      <c r="L188" s="36">
        <v>0</v>
      </c>
      <c r="N188" s="36">
        <v>2980.1359050000001</v>
      </c>
      <c r="Q188" s="36">
        <f t="shared" si="8"/>
        <v>65549.274004999999</v>
      </c>
    </row>
    <row r="189" spans="1:17" x14ac:dyDescent="0.4">
      <c r="A189" s="12">
        <f>IF(B189="","",COUNTA(B$8:B189))</f>
        <v>159</v>
      </c>
      <c r="B189" s="19" t="s">
        <v>192</v>
      </c>
      <c r="C189" s="26">
        <v>901</v>
      </c>
      <c r="D189" s="21">
        <v>118343.7250597073</v>
      </c>
      <c r="E189" s="21">
        <f>SUMIF($I$172:$I$201,C189,$Q$172:$Q$201)</f>
        <v>118296.22343900001</v>
      </c>
      <c r="I189" s="14" t="s">
        <v>193</v>
      </c>
      <c r="J189" s="36">
        <v>656675.96999999974</v>
      </c>
      <c r="K189" s="36">
        <v>4003.7423999999996</v>
      </c>
      <c r="L189" s="36">
        <v>-1633.86</v>
      </c>
      <c r="N189" s="36">
        <v>35529.743848000006</v>
      </c>
      <c r="Q189" s="36">
        <f t="shared" si="8"/>
        <v>694575.5962479997</v>
      </c>
    </row>
    <row r="190" spans="1:17" x14ac:dyDescent="0.4">
      <c r="A190" s="12">
        <f>IF(B190="","",COUNTA(B$8:B190))</f>
        <v>160</v>
      </c>
      <c r="B190" s="19" t="s">
        <v>194</v>
      </c>
      <c r="C190" s="26">
        <v>902</v>
      </c>
      <c r="D190" s="21">
        <v>536858.31951447832</v>
      </c>
      <c r="E190" s="21">
        <f>SUMIF($I$172:$I$201,C190,$Q$172:$Q$201)</f>
        <v>439108.97884899983</v>
      </c>
      <c r="I190" s="14" t="s">
        <v>195</v>
      </c>
      <c r="J190" s="36">
        <v>1048688.8900000008</v>
      </c>
      <c r="K190" s="36">
        <v>7359.3653999999997</v>
      </c>
      <c r="L190" s="36">
        <v>-989.91</v>
      </c>
      <c r="N190" s="36">
        <v>51779.883611000005</v>
      </c>
      <c r="Q190" s="36">
        <f t="shared" si="8"/>
        <v>1106838.2290110008</v>
      </c>
    </row>
    <row r="191" spans="1:17" x14ac:dyDescent="0.4">
      <c r="A191" s="12">
        <f>IF(B191="","",COUNTA(B$8:B191))</f>
        <v>161</v>
      </c>
      <c r="B191" s="19" t="s">
        <v>196</v>
      </c>
      <c r="C191" s="26">
        <v>903</v>
      </c>
      <c r="D191" s="21">
        <v>4702717.446291944</v>
      </c>
      <c r="E191" s="21">
        <f>SUMIF($I$172:$I$201,C191,$Q$172:$Q$201)</f>
        <v>2822631.0443540057</v>
      </c>
      <c r="I191" s="14" t="s">
        <v>197</v>
      </c>
      <c r="J191" s="36">
        <v>1136204.5600000003</v>
      </c>
      <c r="K191" s="36">
        <v>12482.611799999999</v>
      </c>
      <c r="L191" s="36">
        <v>-2050.83</v>
      </c>
      <c r="N191" s="36">
        <v>58095.190307000012</v>
      </c>
      <c r="Q191" s="36">
        <f t="shared" si="8"/>
        <v>1204731.5321070002</v>
      </c>
    </row>
    <row r="192" spans="1:17" x14ac:dyDescent="0.4">
      <c r="A192" s="12">
        <f>IF(B192="","",COUNTA(B$8:B192))</f>
        <v>162</v>
      </c>
      <c r="B192" s="19" t="s">
        <v>198</v>
      </c>
      <c r="C192" s="26">
        <v>904</v>
      </c>
      <c r="D192" s="21">
        <v>1667277.7005784863</v>
      </c>
      <c r="E192" s="21">
        <f>SUMIF($I$172:$I$201,C192,$Q$172:$Q$201)</f>
        <v>0</v>
      </c>
      <c r="F192" s="14" t="s">
        <v>199</v>
      </c>
      <c r="I192" s="14" t="s">
        <v>200</v>
      </c>
      <c r="J192" s="36">
        <v>121945.29000000001</v>
      </c>
      <c r="K192" s="36">
        <v>0</v>
      </c>
      <c r="L192" s="36">
        <v>-10134.58</v>
      </c>
      <c r="N192" s="36">
        <v>6485.5134389999994</v>
      </c>
      <c r="Q192" s="36">
        <f t="shared" si="8"/>
        <v>118296.22343900001</v>
      </c>
    </row>
    <row r="193" spans="1:17" x14ac:dyDescent="0.4">
      <c r="A193" s="12">
        <f>IF(B193="","",COUNTA(B$8:B193))</f>
        <v>163</v>
      </c>
      <c r="B193" s="19" t="s">
        <v>201</v>
      </c>
      <c r="C193" s="26">
        <v>905</v>
      </c>
      <c r="D193" s="21">
        <v>428.46888265690859</v>
      </c>
      <c r="E193" s="21">
        <f>SUMIF($I$172:$I$201,C193,$Q$172:$Q$201)</f>
        <v>0</v>
      </c>
      <c r="I193" s="14" t="s">
        <v>202</v>
      </c>
      <c r="J193" s="36">
        <v>424460.70999999985</v>
      </c>
      <c r="K193" s="36">
        <v>2678.3991000000001</v>
      </c>
      <c r="L193" s="36">
        <v>-9436.02</v>
      </c>
      <c r="N193" s="36">
        <v>21405.889748999998</v>
      </c>
      <c r="Q193" s="36">
        <f t="shared" si="8"/>
        <v>439108.97884899983</v>
      </c>
    </row>
    <row r="194" spans="1:17" x14ac:dyDescent="0.4">
      <c r="A194" s="12">
        <f>IF(B194="","",COUNTA(B$8:B194))</f>
        <v>164</v>
      </c>
      <c r="B194" s="14" t="str">
        <f>"Subtotal - "&amp;B188</f>
        <v>Subtotal - Customer Account</v>
      </c>
      <c r="C194" s="31"/>
      <c r="D194" s="2">
        <f>SUBTOTAL(9,D189:D193)</f>
        <v>7025625.6603272725</v>
      </c>
      <c r="E194" s="2">
        <f>SUBTOTAL(9,E189:E193)</f>
        <v>3380036.2466420056</v>
      </c>
      <c r="I194" s="14" t="s">
        <v>203</v>
      </c>
      <c r="J194" s="36">
        <v>2895363.2000000053</v>
      </c>
      <c r="K194" s="36">
        <v>385.24110000000002</v>
      </c>
      <c r="L194" s="36">
        <v>-226261.88</v>
      </c>
      <c r="N194" s="36">
        <v>153144.48325399999</v>
      </c>
      <c r="Q194" s="36">
        <f t="shared" si="8"/>
        <v>2822631.0443540057</v>
      </c>
    </row>
    <row r="195" spans="1:17" x14ac:dyDescent="0.4">
      <c r="A195" s="12" t="str">
        <f>IF(B195="","",COUNTA(B$8:B195))</f>
        <v/>
      </c>
      <c r="C195" s="31"/>
      <c r="D195" s="22"/>
      <c r="E195" s="22"/>
      <c r="I195" s="14" t="s">
        <v>204</v>
      </c>
      <c r="J195" s="36">
        <v>642651.57999999984</v>
      </c>
      <c r="K195" s="36">
        <v>0</v>
      </c>
      <c r="L195" s="36">
        <v>-49771.5</v>
      </c>
      <c r="M195" s="39">
        <v>18393.799999999992</v>
      </c>
      <c r="N195" s="36">
        <v>2226.4994129999995</v>
      </c>
      <c r="Q195" s="36">
        <f t="shared" si="8"/>
        <v>613500.37941299984</v>
      </c>
    </row>
    <row r="196" spans="1:17" x14ac:dyDescent="0.4">
      <c r="A196" s="12">
        <f>IF(B196="","",COUNTA(B$8:B196))</f>
        <v>165</v>
      </c>
      <c r="B196" s="13" t="s">
        <v>205</v>
      </c>
      <c r="C196" s="31"/>
      <c r="D196" s="22"/>
      <c r="E196" s="22"/>
      <c r="I196" s="14" t="s">
        <v>206</v>
      </c>
      <c r="J196" s="36">
        <v>158149.54</v>
      </c>
      <c r="K196" s="36">
        <v>0</v>
      </c>
      <c r="L196" s="36">
        <v>-13964.39</v>
      </c>
      <c r="N196" s="36">
        <v>8481.3634440000005</v>
      </c>
      <c r="Q196" s="36">
        <f t="shared" si="8"/>
        <v>152666.51344400001</v>
      </c>
    </row>
    <row r="197" spans="1:17" x14ac:dyDescent="0.4">
      <c r="A197" s="12">
        <f>IF(B197="","",COUNTA(B$8:B197))</f>
        <v>166</v>
      </c>
      <c r="B197" s="19" t="s">
        <v>192</v>
      </c>
      <c r="C197" s="26">
        <v>907</v>
      </c>
      <c r="D197" s="21">
        <v>0</v>
      </c>
      <c r="E197" s="21">
        <f>SUMIF($I$172:$I$201,C197,$Q$172:$Q$201)</f>
        <v>0</v>
      </c>
      <c r="I197" s="14" t="s">
        <v>207</v>
      </c>
      <c r="J197" s="36">
        <v>18876.72</v>
      </c>
      <c r="K197" s="36">
        <v>0</v>
      </c>
      <c r="L197" s="36">
        <v>-1362.16</v>
      </c>
      <c r="N197" s="36">
        <v>1045.5453709999999</v>
      </c>
      <c r="Q197" s="36">
        <f t="shared" si="8"/>
        <v>18560.105371000001</v>
      </c>
    </row>
    <row r="198" spans="1:17" x14ac:dyDescent="0.4">
      <c r="A198" s="12">
        <f>IF(B198="","",COUNTA(B$8:B198))</f>
        <v>167</v>
      </c>
      <c r="B198" s="19" t="s">
        <v>208</v>
      </c>
      <c r="C198" s="26">
        <v>908</v>
      </c>
      <c r="D198" s="21">
        <v>-135846.84442824777</v>
      </c>
      <c r="E198" s="21">
        <f>SUMIF($I$172:$I$201,C198,$Q$172:$Q$201)</f>
        <v>613500.37941299984</v>
      </c>
      <c r="I198" s="14" t="s">
        <v>209</v>
      </c>
      <c r="J198" s="36">
        <v>9401904.8599999957</v>
      </c>
      <c r="K198" s="36">
        <v>0</v>
      </c>
      <c r="L198" s="36">
        <v>-1795330.17</v>
      </c>
      <c r="M198" s="40">
        <v>49659.740000000005</v>
      </c>
      <c r="N198" s="36">
        <v>403392.74529799994</v>
      </c>
      <c r="Q198" s="36">
        <f t="shared" si="8"/>
        <v>8059627.175297996</v>
      </c>
    </row>
    <row r="199" spans="1:17" x14ac:dyDescent="0.4">
      <c r="A199" s="12">
        <f>IF(B199="","",COUNTA(B$8:B199))</f>
        <v>168</v>
      </c>
      <c r="B199" s="19" t="s">
        <v>210</v>
      </c>
      <c r="C199" s="26">
        <v>909</v>
      </c>
      <c r="D199" s="21">
        <v>67654.104613691074</v>
      </c>
      <c r="E199" s="21">
        <f>SUMIF($I$172:$I$201,C199,$Q$172:$Q$201)</f>
        <v>0</v>
      </c>
      <c r="I199" s="14" t="s">
        <v>211</v>
      </c>
      <c r="J199" s="36">
        <v>237259.13000000035</v>
      </c>
      <c r="K199" s="36">
        <v>0</v>
      </c>
      <c r="L199" s="36">
        <v>0</v>
      </c>
      <c r="N199" s="36">
        <v>0</v>
      </c>
      <c r="Q199" s="36">
        <f t="shared" si="8"/>
        <v>237259.13000000035</v>
      </c>
    </row>
    <row r="200" spans="1:17" x14ac:dyDescent="0.4">
      <c r="A200" s="12">
        <f>IF(B200="","",COUNTA(B$8:B200))</f>
        <v>169</v>
      </c>
      <c r="B200" s="19" t="s">
        <v>212</v>
      </c>
      <c r="C200" s="26">
        <v>910</v>
      </c>
      <c r="D200" s="21">
        <v>156889.91411408054</v>
      </c>
      <c r="E200" s="21">
        <f>SUMIF($I$172:$I$201,C200,$Q$172:$Q$201)</f>
        <v>152666.51344400001</v>
      </c>
      <c r="I200" s="14" t="s">
        <v>213</v>
      </c>
      <c r="J200" s="36">
        <v>5227469.0800000289</v>
      </c>
      <c r="K200" s="36">
        <v>0</v>
      </c>
      <c r="L200" s="36">
        <v>0</v>
      </c>
      <c r="N200" s="36">
        <v>0</v>
      </c>
      <c r="O200" s="40">
        <v>1063224.6200000001</v>
      </c>
      <c r="P200" s="40">
        <v>826039.32599999988</v>
      </c>
      <c r="Q200" s="36">
        <f t="shared" si="8"/>
        <v>7116733.0260000285</v>
      </c>
    </row>
    <row r="201" spans="1:17" x14ac:dyDescent="0.4">
      <c r="A201" s="12">
        <f>IF(B201="","",COUNTA(B$8:B201))</f>
        <v>170</v>
      </c>
      <c r="B201" s="14" t="str">
        <f>"Subtotal - "&amp;B196</f>
        <v>Subtotal - Customer Service &amp; Information Expenses</v>
      </c>
      <c r="C201" s="31"/>
      <c r="D201" s="2">
        <f>SUBTOTAL(9,D197:D200)</f>
        <v>88697.174299523846</v>
      </c>
      <c r="E201" s="2">
        <f>SUBTOTAL(9,E197:E200)</f>
        <v>766166.89285699988</v>
      </c>
      <c r="I201" s="14" t="s">
        <v>214</v>
      </c>
      <c r="J201" s="36">
        <v>497.51000000000005</v>
      </c>
      <c r="K201" s="36">
        <v>16.9527</v>
      </c>
      <c r="L201" s="36">
        <v>0</v>
      </c>
      <c r="N201" s="36">
        <v>42.785135000000004</v>
      </c>
      <c r="Q201" s="36">
        <f t="shared" si="8"/>
        <v>557.24783500000001</v>
      </c>
    </row>
    <row r="202" spans="1:17" x14ac:dyDescent="0.4">
      <c r="A202" s="12" t="str">
        <f>IF(B202="","",COUNTA(B$8:B202))</f>
        <v/>
      </c>
      <c r="C202" s="31"/>
      <c r="D202" s="22"/>
      <c r="E202" s="22"/>
      <c r="J202" s="36">
        <f t="shared" ref="J202:Q202" si="9">SUM(J172:J201)</f>
        <v>35064959.870000027</v>
      </c>
      <c r="K202" s="36">
        <f t="shared" si="9"/>
        <v>89394.196799999976</v>
      </c>
      <c r="L202" s="36">
        <f t="shared" si="9"/>
        <v>-2559591.62</v>
      </c>
      <c r="M202" s="36">
        <f t="shared" si="9"/>
        <v>68053.539999999994</v>
      </c>
      <c r="N202" s="36">
        <f t="shared" si="9"/>
        <v>1418765.0547239999</v>
      </c>
      <c r="O202" s="36">
        <f t="shared" si="9"/>
        <v>1063224.6200000001</v>
      </c>
      <c r="P202" s="36">
        <f t="shared" si="9"/>
        <v>826039.32599999988</v>
      </c>
      <c r="Q202" s="36">
        <f t="shared" si="9"/>
        <v>35970844.98752404</v>
      </c>
    </row>
    <row r="203" spans="1:17" x14ac:dyDescent="0.4">
      <c r="A203" s="12">
        <f>IF(B203="","",COUNTA(B$8:B203))</f>
        <v>171</v>
      </c>
      <c r="B203" s="13" t="s">
        <v>215</v>
      </c>
      <c r="C203" s="31"/>
      <c r="D203" s="22"/>
      <c r="E203" s="22"/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</row>
    <row r="204" spans="1:17" x14ac:dyDescent="0.4">
      <c r="A204" s="12">
        <f>IF(B204="","",COUNTA(B$8:B204))</f>
        <v>172</v>
      </c>
      <c r="B204" s="19" t="s">
        <v>216</v>
      </c>
      <c r="C204" s="26">
        <v>911</v>
      </c>
      <c r="D204" s="21">
        <v>0</v>
      </c>
      <c r="E204" s="21">
        <f>SUMIF($I$172:$I$201,C204,$Q$172:$Q$201)</f>
        <v>0</v>
      </c>
    </row>
    <row r="205" spans="1:17" x14ac:dyDescent="0.4">
      <c r="A205" s="12">
        <f>IF(B205="","",COUNTA(B$8:B205))</f>
        <v>173</v>
      </c>
      <c r="B205" s="19" t="s">
        <v>217</v>
      </c>
      <c r="C205" s="26">
        <v>912</v>
      </c>
      <c r="D205" s="21">
        <v>18653.453822037322</v>
      </c>
      <c r="E205" s="21">
        <f>SUMIF($I$172:$I$201,C205,$Q$172:$Q$201)</f>
        <v>18560.105371000001</v>
      </c>
    </row>
    <row r="206" spans="1:17" x14ac:dyDescent="0.4">
      <c r="A206" s="12">
        <f>IF(B206="","",COUNTA(B$8:B206))</f>
        <v>174</v>
      </c>
      <c r="B206" s="19" t="s">
        <v>218</v>
      </c>
      <c r="C206" s="26">
        <v>913</v>
      </c>
      <c r="D206" s="21">
        <v>0</v>
      </c>
      <c r="E206" s="21">
        <f>SUMIF($I$172:$I$201,C206,$Q$172:$Q$201)</f>
        <v>0</v>
      </c>
      <c r="G206" s="27"/>
      <c r="H206" s="16"/>
    </row>
    <row r="207" spans="1:17" x14ac:dyDescent="0.4">
      <c r="A207" s="12">
        <f>IF(B207="","",COUNTA(B$8:B207))</f>
        <v>175</v>
      </c>
      <c r="B207" s="19" t="s">
        <v>219</v>
      </c>
      <c r="C207" s="26">
        <v>916</v>
      </c>
      <c r="D207" s="21">
        <v>0</v>
      </c>
      <c r="E207" s="21">
        <f>SUMIF($I$172:$I$201,C207,$Q$172:$Q$201)</f>
        <v>0</v>
      </c>
    </row>
    <row r="208" spans="1:17" x14ac:dyDescent="0.4">
      <c r="A208" s="12">
        <f>IF(B208="","",COUNTA(B$8:B208))</f>
        <v>176</v>
      </c>
      <c r="B208" s="14" t="str">
        <f>"Subtotal - "&amp;B203</f>
        <v>Subtotal - Sales Expenses</v>
      </c>
      <c r="C208" s="31"/>
      <c r="D208" s="2">
        <f>SUBTOTAL(9,D204:D207)</f>
        <v>18653.453822037322</v>
      </c>
      <c r="E208" s="2">
        <f>SUBTOTAL(9,E204:E207)</f>
        <v>18560.105371000001</v>
      </c>
      <c r="F208" s="32" t="s">
        <v>220</v>
      </c>
    </row>
    <row r="209" spans="1:8" x14ac:dyDescent="0.4">
      <c r="A209" s="12" t="str">
        <f>IF(B209="","",COUNTA(B$8:B209))</f>
        <v/>
      </c>
      <c r="C209" s="31"/>
      <c r="D209" s="22"/>
      <c r="E209" s="22"/>
      <c r="G209" s="90" t="s">
        <v>70</v>
      </c>
      <c r="H209" s="90"/>
    </row>
    <row r="210" spans="1:8" x14ac:dyDescent="0.4">
      <c r="A210" s="12">
        <f>IF(B210="","",COUNTA(B$8:B210))</f>
        <v>177</v>
      </c>
      <c r="B210" s="24" t="str">
        <f>"Total "&amp;B187</f>
        <v>Total Customer Accounts, Service, and Sales Expense</v>
      </c>
      <c r="C210" s="31"/>
      <c r="D210" s="2">
        <f>SUBTOTAL(9,D189:D208)</f>
        <v>7132976.2884488329</v>
      </c>
      <c r="E210" s="2">
        <f>SUBTOTAL(9,E189:E208)</f>
        <v>4164763.2448700052</v>
      </c>
      <c r="G210" s="36">
        <f>SUM(Q172:Q197)</f>
        <v>20556668.408391014</v>
      </c>
      <c r="H210" s="16">
        <f>(E210+E185)-G210</f>
        <v>0</v>
      </c>
    </row>
    <row r="211" spans="1:8" x14ac:dyDescent="0.4">
      <c r="A211" s="12" t="str">
        <f>IF(B211="","",COUNTA(B$8:B211))</f>
        <v/>
      </c>
      <c r="B211" s="24"/>
      <c r="C211" s="31"/>
      <c r="D211" s="22"/>
      <c r="E211" s="22"/>
    </row>
    <row r="212" spans="1:8" x14ac:dyDescent="0.4">
      <c r="A212" s="12">
        <f>IF(B212="","",COUNTA(B$8:B212))</f>
        <v>178</v>
      </c>
      <c r="B212" s="13" t="s">
        <v>221</v>
      </c>
      <c r="C212" s="31"/>
      <c r="D212" s="22"/>
      <c r="E212" s="22"/>
    </row>
    <row r="213" spans="1:8" x14ac:dyDescent="0.4">
      <c r="A213" s="12">
        <f>IF(B213="","",COUNTA(B$8:B213))</f>
        <v>179</v>
      </c>
      <c r="B213" s="19" t="s">
        <v>222</v>
      </c>
      <c r="C213" s="26">
        <v>920</v>
      </c>
      <c r="D213" s="21">
        <v>8059627.1752979998</v>
      </c>
      <c r="E213" s="22"/>
    </row>
    <row r="214" spans="1:8" x14ac:dyDescent="0.4">
      <c r="A214" s="12">
        <f>IF(B214="","",COUNTA(B$8:B214))</f>
        <v>180</v>
      </c>
      <c r="B214" s="19" t="s">
        <v>223</v>
      </c>
      <c r="C214" s="26">
        <v>921</v>
      </c>
      <c r="D214" s="21">
        <v>4668761.6986242644</v>
      </c>
      <c r="E214" s="22"/>
    </row>
    <row r="215" spans="1:8" x14ac:dyDescent="0.4">
      <c r="A215" s="12">
        <f>IF(B215="","",COUNTA(B$8:B215))</f>
        <v>181</v>
      </c>
      <c r="B215" s="19" t="s">
        <v>224</v>
      </c>
      <c r="C215" s="26">
        <v>923</v>
      </c>
      <c r="D215" s="21">
        <v>2572187.4299999997</v>
      </c>
      <c r="E215" s="22"/>
    </row>
    <row r="216" spans="1:8" x14ac:dyDescent="0.4">
      <c r="A216" s="12">
        <f>IF(B216="","",COUNTA(B$8:B216))</f>
        <v>182</v>
      </c>
      <c r="B216" s="19" t="s">
        <v>225</v>
      </c>
      <c r="C216" s="26">
        <v>924</v>
      </c>
      <c r="D216" s="21">
        <v>98811.381068780931</v>
      </c>
      <c r="E216" s="22"/>
    </row>
    <row r="217" spans="1:8" x14ac:dyDescent="0.4">
      <c r="A217" s="12">
        <f>IF(B217="","",COUNTA(B$8:B217))</f>
        <v>183</v>
      </c>
      <c r="B217" s="19" t="s">
        <v>226</v>
      </c>
      <c r="C217" s="26">
        <v>925</v>
      </c>
      <c r="D217" s="21">
        <v>2025774.3866783481</v>
      </c>
      <c r="E217" s="22"/>
    </row>
    <row r="218" spans="1:8" x14ac:dyDescent="0.4">
      <c r="A218" s="12">
        <f>IF(B218="","",COUNTA(B$8:B218))</f>
        <v>184</v>
      </c>
      <c r="B218" s="19" t="s">
        <v>227</v>
      </c>
      <c r="C218" s="26">
        <v>926</v>
      </c>
      <c r="D218" s="21">
        <v>7244500.599128237</v>
      </c>
      <c r="E218" s="22"/>
    </row>
    <row r="219" spans="1:8" x14ac:dyDescent="0.4">
      <c r="A219" s="12">
        <f>IF(B219="","",COUNTA(B$8:B219))</f>
        <v>185</v>
      </c>
      <c r="B219" s="19" t="s">
        <v>228</v>
      </c>
      <c r="C219" s="26">
        <v>928</v>
      </c>
      <c r="D219" s="21">
        <v>0</v>
      </c>
      <c r="E219" s="22"/>
    </row>
    <row r="220" spans="1:8" x14ac:dyDescent="0.4">
      <c r="A220" s="12">
        <f>IF(B220="","",COUNTA(B$8:B220))</f>
        <v>186</v>
      </c>
      <c r="B220" s="19" t="s">
        <v>229</v>
      </c>
      <c r="C220" s="26">
        <v>930.1</v>
      </c>
      <c r="D220" s="21">
        <v>4.0608352814160753E-2</v>
      </c>
      <c r="E220" s="22"/>
    </row>
    <row r="221" spans="1:8" x14ac:dyDescent="0.4">
      <c r="A221" s="12">
        <f>IF(B221="","",COUNTA(B$8:B221))</f>
        <v>187</v>
      </c>
      <c r="B221" s="19" t="s">
        <v>230</v>
      </c>
      <c r="C221" s="26">
        <v>930.2</v>
      </c>
      <c r="D221" s="21">
        <v>357750.82198671432</v>
      </c>
      <c r="E221" s="22"/>
    </row>
    <row r="222" spans="1:8" x14ac:dyDescent="0.4">
      <c r="A222" s="12">
        <f>IF(B222="","",COUNTA(B$8:B222))</f>
        <v>188</v>
      </c>
      <c r="B222" s="19" t="s">
        <v>153</v>
      </c>
      <c r="C222" s="26">
        <v>931</v>
      </c>
      <c r="D222" s="21">
        <v>1635932.5485733117</v>
      </c>
      <c r="E222" s="22"/>
    </row>
    <row r="223" spans="1:8" x14ac:dyDescent="0.4">
      <c r="A223" s="12">
        <f>IF(B223="","",COUNTA(B$8:B223))</f>
        <v>189</v>
      </c>
      <c r="B223" s="19" t="s">
        <v>231</v>
      </c>
      <c r="C223" s="26">
        <v>935</v>
      </c>
      <c r="D223" s="21">
        <v>93160.525446050189</v>
      </c>
      <c r="E223" s="22"/>
    </row>
    <row r="224" spans="1:8" x14ac:dyDescent="0.4">
      <c r="A224" s="12">
        <f>IF(B224="","",COUNTA(B$8:B224))</f>
        <v>190</v>
      </c>
      <c r="B224" s="14" t="str">
        <f>"Subtotal - "&amp;B212</f>
        <v>Subtotal - Administrative and General Expenses</v>
      </c>
      <c r="C224" s="31"/>
      <c r="D224" s="2">
        <f>SUBTOTAL(9,D213:D223)</f>
        <v>26756506.607412059</v>
      </c>
      <c r="E224" s="22"/>
    </row>
    <row r="225" spans="1:8" x14ac:dyDescent="0.4">
      <c r="A225" s="12" t="str">
        <f>IF(B225="","",COUNTA(B$8:B225))</f>
        <v/>
      </c>
      <c r="B225" s="41"/>
      <c r="C225" s="31"/>
      <c r="D225" s="2"/>
      <c r="E225" s="22"/>
      <c r="G225" s="90" t="s">
        <v>70</v>
      </c>
      <c r="H225" s="90"/>
    </row>
    <row r="226" spans="1:8" x14ac:dyDescent="0.4">
      <c r="A226" s="12">
        <f>IF(B226="","",COUNTA(B$8:B226))</f>
        <v>191</v>
      </c>
      <c r="B226" s="24" t="str">
        <f>"TOTAL "&amp;B122</f>
        <v>TOTAL OPERATION AND MAINTENANCE EXPENSE</v>
      </c>
      <c r="C226" s="31"/>
      <c r="D226" s="2">
        <f>SUBTOTAL(9,D123:D225)</f>
        <v>59594378.120970249</v>
      </c>
      <c r="E226" s="22"/>
      <c r="G226" s="27">
        <v>59594378.120970234</v>
      </c>
      <c r="H226" s="16">
        <f>D226-G226</f>
        <v>0</v>
      </c>
    </row>
    <row r="227" spans="1:8" x14ac:dyDescent="0.4">
      <c r="A227" s="12" t="str">
        <f>IF(B227="","",COUNTA(B$8:B227))</f>
        <v/>
      </c>
      <c r="C227" s="31"/>
      <c r="D227" s="2"/>
      <c r="E227" s="22"/>
    </row>
    <row r="228" spans="1:8" x14ac:dyDescent="0.4">
      <c r="A228" s="12">
        <f>IF(B228="","",COUNTA(B$8:B228))</f>
        <v>192</v>
      </c>
      <c r="B228" s="24" t="s">
        <v>232</v>
      </c>
      <c r="C228" s="31"/>
      <c r="D228" s="2"/>
      <c r="E228" s="22"/>
    </row>
    <row r="229" spans="1:8" x14ac:dyDescent="0.4">
      <c r="A229" s="12">
        <f>IF(B229="","",COUNTA(B$8:B229))</f>
        <v>193</v>
      </c>
      <c r="B229" s="13" t="s">
        <v>233</v>
      </c>
      <c r="C229" s="31" t="s">
        <v>234</v>
      </c>
      <c r="D229" s="22"/>
      <c r="E229" s="22"/>
    </row>
    <row r="230" spans="1:8" x14ac:dyDescent="0.4">
      <c r="A230" s="12">
        <f>IF(B230="","",COUNTA(B$8:B230))</f>
        <v>194</v>
      </c>
      <c r="B230" s="13" t="str">
        <f>B10&amp;" Depreciation Expense"</f>
        <v>Intangible Plant Depreciation Expense</v>
      </c>
      <c r="C230" s="31"/>
      <c r="D230" s="22"/>
      <c r="E230" s="22"/>
    </row>
    <row r="231" spans="1:8" x14ac:dyDescent="0.4">
      <c r="A231" s="12">
        <f>IF(B231="","",COUNTA(B$8:B231))</f>
        <v>195</v>
      </c>
      <c r="B231" s="19" t="str">
        <f t="shared" ref="B231:C233" si="10">B11</f>
        <v>Organization</v>
      </c>
      <c r="C231" s="26">
        <f t="shared" si="10"/>
        <v>301</v>
      </c>
      <c r="D231" s="21">
        <v>0</v>
      </c>
      <c r="E231" s="22"/>
    </row>
    <row r="232" spans="1:8" x14ac:dyDescent="0.4">
      <c r="A232" s="12">
        <f>IF(B232="","",COUNTA(B$8:B232))</f>
        <v>196</v>
      </c>
      <c r="B232" s="19" t="str">
        <f t="shared" si="10"/>
        <v>Franchises &amp; Consents</v>
      </c>
      <c r="C232" s="26">
        <f t="shared" si="10"/>
        <v>302</v>
      </c>
      <c r="D232" s="21">
        <v>0</v>
      </c>
      <c r="E232" s="22"/>
    </row>
    <row r="233" spans="1:8" x14ac:dyDescent="0.4">
      <c r="A233" s="12">
        <f>IF(B233="","",COUNTA(B$8:B233))</f>
        <v>197</v>
      </c>
      <c r="B233" s="19" t="str">
        <f t="shared" si="10"/>
        <v>Misc. Intangible Plant</v>
      </c>
      <c r="C233" s="26">
        <f t="shared" si="10"/>
        <v>303</v>
      </c>
      <c r="D233" s="21">
        <v>3451568.5200000005</v>
      </c>
      <c r="E233" s="22"/>
    </row>
    <row r="234" spans="1:8" x14ac:dyDescent="0.4">
      <c r="A234" s="12">
        <f>IF(B234="","",COUNTA(B$8:B234))</f>
        <v>198</v>
      </c>
      <c r="B234" s="14" t="str">
        <f>B14&amp;" Depreciation Expense"</f>
        <v>Subtotal - Intangible Plant Depreciation Expense</v>
      </c>
      <c r="C234" s="31"/>
      <c r="D234" s="2">
        <f>SUBTOTAL(9,D231:D233)</f>
        <v>3451568.5200000005</v>
      </c>
      <c r="E234" s="22"/>
    </row>
    <row r="235" spans="1:8" x14ac:dyDescent="0.4">
      <c r="A235" s="12" t="str">
        <f>IF(B235="","",COUNTA(B$8:B235))</f>
        <v/>
      </c>
      <c r="C235" s="31"/>
      <c r="D235" s="2"/>
      <c r="E235" s="22"/>
    </row>
    <row r="236" spans="1:8" x14ac:dyDescent="0.4">
      <c r="A236" s="12">
        <f>IF(B236="","",COUNTA(B$8:B236))</f>
        <v>199</v>
      </c>
      <c r="B236" s="13" t="str">
        <f>B16&amp;" Depreciation Expense"</f>
        <v>Natural Gas Other Storage Plant Depreciation Expense</v>
      </c>
      <c r="D236" s="22"/>
      <c r="E236" s="22"/>
    </row>
    <row r="237" spans="1:8" x14ac:dyDescent="0.4">
      <c r="A237" s="12">
        <f>IF(B237="","",COUNTA(B$8:B237))</f>
        <v>200</v>
      </c>
      <c r="B237" s="19" t="str">
        <f t="shared" ref="B237:C240" si="11">B17</f>
        <v>Land &amp; Land Rights - LNG</v>
      </c>
      <c r="C237" s="26">
        <f t="shared" si="11"/>
        <v>360</v>
      </c>
      <c r="D237" s="21">
        <v>0</v>
      </c>
      <c r="E237" s="22"/>
    </row>
    <row r="238" spans="1:8" x14ac:dyDescent="0.4">
      <c r="A238" s="12">
        <f>IF(B238="","",COUNTA(B$8:B238))</f>
        <v>201</v>
      </c>
      <c r="B238" s="19" t="str">
        <f t="shared" si="11"/>
        <v>Structures &amp; improvement - LNG</v>
      </c>
      <c r="C238" s="26">
        <f t="shared" si="11"/>
        <v>361</v>
      </c>
      <c r="D238" s="21">
        <v>0</v>
      </c>
      <c r="E238" s="22"/>
    </row>
    <row r="239" spans="1:8" x14ac:dyDescent="0.4">
      <c r="A239" s="12">
        <f>IF(B239="","",COUNTA(B$8:B239))</f>
        <v>202</v>
      </c>
      <c r="B239" s="19" t="str">
        <f t="shared" si="11"/>
        <v>Gas Holders - LNG</v>
      </c>
      <c r="C239" s="26">
        <f t="shared" si="11"/>
        <v>362</v>
      </c>
      <c r="D239" s="21">
        <v>0</v>
      </c>
      <c r="E239" s="22"/>
    </row>
    <row r="240" spans="1:8" x14ac:dyDescent="0.4">
      <c r="A240" s="12">
        <f>IF(B240="","",COUNTA(B$8:B240))</f>
        <v>203</v>
      </c>
      <c r="B240" s="19" t="str">
        <f t="shared" si="11"/>
        <v>LNG Equipment</v>
      </c>
      <c r="C240" s="26">
        <f t="shared" si="11"/>
        <v>363</v>
      </c>
      <c r="D240" s="21">
        <v>0</v>
      </c>
      <c r="E240" s="22"/>
    </row>
    <row r="241" spans="1:5" x14ac:dyDescent="0.4">
      <c r="A241" s="12">
        <f>IF(B241="","",COUNTA(B$8:B241))</f>
        <v>204</v>
      </c>
      <c r="B241" s="14" t="str">
        <f>B21&amp;" Depreciation Expense"</f>
        <v>Subtotal - Natural Gas Other Storage Plant Depreciation Expense</v>
      </c>
      <c r="C241" s="31"/>
      <c r="D241" s="2">
        <f>SUBTOTAL(9,D237:D240)</f>
        <v>0</v>
      </c>
      <c r="E241" s="22"/>
    </row>
    <row r="242" spans="1:5" x14ac:dyDescent="0.4">
      <c r="A242" s="12" t="str">
        <f>IF(B242="","",COUNTA(B$8:B242))</f>
        <v/>
      </c>
      <c r="C242" s="31"/>
      <c r="D242" s="2"/>
      <c r="E242" s="22"/>
    </row>
    <row r="243" spans="1:5" x14ac:dyDescent="0.4">
      <c r="A243" s="12">
        <f>IF(B243="","",COUNTA(B$8:B243))</f>
        <v>205</v>
      </c>
      <c r="B243" s="13" t="str">
        <f>B23&amp;" Depreciation Expense"</f>
        <v>Transmission plant  Depreciation Expense</v>
      </c>
      <c r="D243" s="2"/>
      <c r="E243" s="22"/>
    </row>
    <row r="244" spans="1:5" x14ac:dyDescent="0.4">
      <c r="A244" s="12">
        <f>IF(B244="","",COUNTA(B$8:B244))</f>
        <v>206</v>
      </c>
      <c r="B244" s="19" t="str">
        <f t="shared" ref="B244:C247" si="12">B24</f>
        <v>Land and Land Rights</v>
      </c>
      <c r="C244" s="26">
        <f t="shared" si="12"/>
        <v>365.1</v>
      </c>
      <c r="D244" s="21">
        <v>6964.1336700000011</v>
      </c>
      <c r="E244" s="22"/>
    </row>
    <row r="245" spans="1:5" x14ac:dyDescent="0.4">
      <c r="A245" s="12">
        <f>IF(B245="","",COUNTA(B$8:B245))</f>
        <v>207</v>
      </c>
      <c r="B245" s="19" t="s">
        <v>235</v>
      </c>
      <c r="C245" s="26">
        <f t="shared" si="12"/>
        <v>366</v>
      </c>
      <c r="D245" s="21">
        <v>1864.7258999999999</v>
      </c>
      <c r="E245" s="22"/>
    </row>
    <row r="246" spans="1:5" x14ac:dyDescent="0.4">
      <c r="A246" s="12">
        <f>IF(B246="","",COUNTA(B$8:B246))</f>
        <v>208</v>
      </c>
      <c r="B246" s="19" t="str">
        <f t="shared" si="12"/>
        <v>Mains</v>
      </c>
      <c r="C246" s="26">
        <f t="shared" si="12"/>
        <v>367</v>
      </c>
      <c r="D246" s="21">
        <v>258817.89944999997</v>
      </c>
      <c r="E246" s="22"/>
    </row>
    <row r="247" spans="1:5" x14ac:dyDescent="0.4">
      <c r="A247" s="12">
        <f>IF(B247="","",COUNTA(B$8:B247))</f>
        <v>209</v>
      </c>
      <c r="B247" s="19" t="str">
        <f t="shared" si="12"/>
        <v>Compressor station equipment</v>
      </c>
      <c r="C247" s="26">
        <f t="shared" si="12"/>
        <v>368</v>
      </c>
      <c r="D247" s="21">
        <v>0</v>
      </c>
      <c r="E247" s="22"/>
    </row>
    <row r="248" spans="1:5" x14ac:dyDescent="0.4">
      <c r="A248" s="12">
        <f>IF(B248="","",COUNTA(B$8:B248))</f>
        <v>210</v>
      </c>
      <c r="B248" s="19" t="s">
        <v>49</v>
      </c>
      <c r="C248" s="26">
        <f>C28</f>
        <v>369</v>
      </c>
      <c r="D248" s="21">
        <v>0</v>
      </c>
      <c r="E248" s="22"/>
    </row>
    <row r="249" spans="1:5" x14ac:dyDescent="0.4">
      <c r="A249" s="12">
        <f>IF(B249="","",COUNTA(B$8:B249))</f>
        <v>211</v>
      </c>
      <c r="B249" s="19" t="str">
        <f>B29</f>
        <v>Communication equipment</v>
      </c>
      <c r="C249" s="26">
        <f>C29</f>
        <v>370</v>
      </c>
      <c r="D249" s="21">
        <v>0</v>
      </c>
      <c r="E249" s="22"/>
    </row>
    <row r="250" spans="1:5" x14ac:dyDescent="0.4">
      <c r="A250" s="12">
        <f>IF(B250="","",COUNTA(B$8:B250))</f>
        <v>212</v>
      </c>
      <c r="B250" s="14" t="str">
        <f>B30&amp;" Depreciation Expense"</f>
        <v>Subtotal - Transmission plant  Depreciation Expense</v>
      </c>
      <c r="C250" s="31"/>
      <c r="D250" s="2">
        <f>SUBTOTAL(9,D244:D249)</f>
        <v>267646.75902</v>
      </c>
      <c r="E250" s="22"/>
    </row>
    <row r="251" spans="1:5" x14ac:dyDescent="0.4">
      <c r="A251" s="12" t="str">
        <f>IF(B251="","",COUNTA(B$8:B251))</f>
        <v/>
      </c>
      <c r="C251" s="31"/>
      <c r="D251" s="2"/>
      <c r="E251" s="22"/>
    </row>
    <row r="252" spans="1:5" x14ac:dyDescent="0.4">
      <c r="A252" s="12">
        <f>IF(B252="","",COUNTA(B$8:B252))</f>
        <v>213</v>
      </c>
      <c r="B252" s="13" t="str">
        <f>B32&amp;" Depreciation Expense"</f>
        <v>Distribution Plant Depreciation Expense</v>
      </c>
      <c r="D252" s="2"/>
      <c r="E252" s="22"/>
    </row>
    <row r="253" spans="1:5" x14ac:dyDescent="0.4">
      <c r="A253" s="12">
        <f>IF(B253="","",COUNTA(B$8:B253))</f>
        <v>214</v>
      </c>
      <c r="B253" s="19" t="str">
        <f t="shared" ref="B253:C255" si="13">B33</f>
        <v>Land and land rights</v>
      </c>
      <c r="C253" s="26">
        <f t="shared" si="13"/>
        <v>374</v>
      </c>
      <c r="D253" s="21">
        <v>35102.118348000004</v>
      </c>
      <c r="E253" s="22"/>
    </row>
    <row r="254" spans="1:5" x14ac:dyDescent="0.4">
      <c r="A254" s="12">
        <f>IF(B254="","",COUNTA(B$8:B254))</f>
        <v>215</v>
      </c>
      <c r="B254" s="19" t="str">
        <f t="shared" si="13"/>
        <v>Structures and improvements</v>
      </c>
      <c r="C254" s="26">
        <f t="shared" si="13"/>
        <v>375</v>
      </c>
      <c r="D254" s="21">
        <v>9183.5399039999993</v>
      </c>
      <c r="E254" s="22"/>
    </row>
    <row r="255" spans="1:5" x14ac:dyDescent="0.4">
      <c r="A255" s="12">
        <f>IF(B255="","",COUNTA(B$8:B255))</f>
        <v>216</v>
      </c>
      <c r="B255" s="19" t="str">
        <f t="shared" si="13"/>
        <v>Mains</v>
      </c>
      <c r="C255" s="26">
        <f t="shared" si="13"/>
        <v>376</v>
      </c>
      <c r="D255" s="21">
        <v>14418375.631168999</v>
      </c>
      <c r="E255" s="22"/>
    </row>
    <row r="256" spans="1:5" x14ac:dyDescent="0.4">
      <c r="A256" s="12">
        <f>IF(B256="","",COUNTA(B$8:B256))</f>
        <v>217</v>
      </c>
      <c r="B256" s="19" t="s">
        <v>143</v>
      </c>
      <c r="C256" s="26">
        <f>C36</f>
        <v>377</v>
      </c>
      <c r="D256" s="21">
        <v>50360.141955999992</v>
      </c>
      <c r="E256" s="22"/>
    </row>
    <row r="257" spans="1:10" x14ac:dyDescent="0.4">
      <c r="A257" s="12">
        <f>IF(B257="","",COUNTA(B$8:B257))</f>
        <v>218</v>
      </c>
      <c r="B257" s="19" t="str">
        <f>B37</f>
        <v>Measuring and regulating station equipment—general</v>
      </c>
      <c r="C257" s="26">
        <f>C37</f>
        <v>378</v>
      </c>
      <c r="D257" s="21">
        <v>731905.61580099992</v>
      </c>
      <c r="E257" s="22"/>
    </row>
    <row r="258" spans="1:10" x14ac:dyDescent="0.4">
      <c r="A258" s="12">
        <f>IF(B258="","",COUNTA(B$8:B258))</f>
        <v>219</v>
      </c>
      <c r="B258" s="19" t="str">
        <f>B38</f>
        <v>Measuring and regulating station equipment—City Gate</v>
      </c>
      <c r="C258" s="26">
        <f>C38</f>
        <v>379</v>
      </c>
      <c r="D258" s="21">
        <v>85725.578930999996</v>
      </c>
      <c r="E258" s="22"/>
    </row>
    <row r="259" spans="1:10" x14ac:dyDescent="0.4">
      <c r="A259" s="12">
        <f>IF(B259="","",COUNTA(B$8:B259))</f>
        <v>220</v>
      </c>
      <c r="B259" s="19" t="str">
        <f>B39</f>
        <v>Services</v>
      </c>
      <c r="C259" s="26">
        <f>C39</f>
        <v>380</v>
      </c>
      <c r="D259" s="21">
        <v>8323385.2729659993</v>
      </c>
      <c r="E259" s="22"/>
    </row>
    <row r="260" spans="1:10" x14ac:dyDescent="0.4">
      <c r="A260" s="12">
        <f>IF(B260="","",COUNTA(B$8:B260))</f>
        <v>221</v>
      </c>
      <c r="B260" s="19" t="str">
        <f>B40</f>
        <v>Meters</v>
      </c>
      <c r="C260" s="26">
        <f>C40</f>
        <v>381</v>
      </c>
      <c r="D260" s="21">
        <v>2211848.882712</v>
      </c>
      <c r="E260" s="22"/>
    </row>
    <row r="261" spans="1:10" x14ac:dyDescent="0.4">
      <c r="A261" s="12">
        <f>IF(B261="","",COUNTA(B$8:B261))</f>
        <v>222</v>
      </c>
      <c r="B261" s="19" t="str">
        <f>B42</f>
        <v>House regulators</v>
      </c>
      <c r="C261" s="26">
        <f>C42</f>
        <v>383</v>
      </c>
      <c r="D261" s="21">
        <v>219840.13008000003</v>
      </c>
      <c r="E261" s="22"/>
    </row>
    <row r="262" spans="1:10" x14ac:dyDescent="0.4">
      <c r="A262" s="12">
        <f>IF(B262="","",COUNTA(B$8:B262))</f>
        <v>223</v>
      </c>
      <c r="B262" s="19" t="str">
        <f>B43</f>
        <v>Industrial measuring and regulating station equipment</v>
      </c>
      <c r="C262" s="26">
        <f>C43</f>
        <v>385</v>
      </c>
      <c r="D262" s="21">
        <v>180282.83335000003</v>
      </c>
      <c r="E262" s="22"/>
    </row>
    <row r="263" spans="1:10" x14ac:dyDescent="0.4">
      <c r="A263" s="12">
        <f>IF(B263="","",COUNTA(B$8:B263))</f>
        <v>224</v>
      </c>
      <c r="B263" s="14" t="str">
        <f>B44&amp;" Depreciation Expense"</f>
        <v>Subtotal - Distribution Plant Depreciation Expense</v>
      </c>
      <c r="C263" s="31"/>
      <c r="D263" s="2">
        <f>SUBTOTAL(9,D253:D262)</f>
        <v>26266009.745216995</v>
      </c>
      <c r="E263" s="22"/>
    </row>
    <row r="264" spans="1:10" x14ac:dyDescent="0.4">
      <c r="A264" s="12" t="str">
        <f>IF(B264="","",COUNTA(B$8:B264))</f>
        <v/>
      </c>
      <c r="C264" s="31"/>
      <c r="D264" s="2"/>
      <c r="E264" s="22"/>
    </row>
    <row r="265" spans="1:10" x14ac:dyDescent="0.4">
      <c r="A265" s="12">
        <f>IF(B265="","",COUNTA(B$8:B265))</f>
        <v>225</v>
      </c>
      <c r="B265" s="13" t="str">
        <f>B46&amp;" Depreciation Expense"</f>
        <v>General Plant Depreciation Expense</v>
      </c>
      <c r="D265" s="22"/>
      <c r="E265" s="22"/>
    </row>
    <row r="266" spans="1:10" x14ac:dyDescent="0.4">
      <c r="A266" s="12">
        <f>IF(B266="","",COUNTA(B$8:B266))</f>
        <v>226</v>
      </c>
      <c r="B266" s="19" t="str">
        <f t="shared" ref="B266:C271" si="14">B47</f>
        <v>Land and Land Rights</v>
      </c>
      <c r="C266" s="26">
        <f t="shared" si="14"/>
        <v>389</v>
      </c>
      <c r="D266" s="21">
        <v>0</v>
      </c>
      <c r="E266" s="22"/>
    </row>
    <row r="267" spans="1:10" x14ac:dyDescent="0.4">
      <c r="A267" s="12">
        <f>IF(B267="","",COUNTA(B$8:B267))</f>
        <v>227</v>
      </c>
      <c r="B267" s="19" t="str">
        <f t="shared" si="14"/>
        <v>Structures and Improvements</v>
      </c>
      <c r="C267" s="26">
        <f t="shared" si="14"/>
        <v>390</v>
      </c>
      <c r="D267" s="21">
        <v>252506.46614400001</v>
      </c>
      <c r="E267" s="22"/>
      <c r="J267" s="40"/>
    </row>
    <row r="268" spans="1:10" x14ac:dyDescent="0.4">
      <c r="A268" s="12">
        <f>IF(B268="","",COUNTA(B$8:B268))</f>
        <v>228</v>
      </c>
      <c r="B268" s="19" t="str">
        <f t="shared" si="14"/>
        <v>Office Furniture and Equipment</v>
      </c>
      <c r="C268" s="26">
        <f t="shared" si="14"/>
        <v>391</v>
      </c>
      <c r="D268" s="21">
        <v>841128.97507399996</v>
      </c>
      <c r="E268" s="22"/>
    </row>
    <row r="269" spans="1:10" x14ac:dyDescent="0.4">
      <c r="A269" s="12">
        <f>IF(B269="","",COUNTA(B$8:B269))</f>
        <v>229</v>
      </c>
      <c r="B269" s="19" t="str">
        <f t="shared" si="14"/>
        <v>Transportation Equipment</v>
      </c>
      <c r="C269" s="26">
        <f t="shared" si="14"/>
        <v>392</v>
      </c>
      <c r="D269" s="21">
        <v>0</v>
      </c>
      <c r="E269" s="22"/>
    </row>
    <row r="270" spans="1:10" x14ac:dyDescent="0.4">
      <c r="A270" s="12">
        <f>IF(B270="","",COUNTA(B$8:B270))</f>
        <v>230</v>
      </c>
      <c r="B270" s="19" t="str">
        <f t="shared" si="14"/>
        <v>Stores Equipment</v>
      </c>
      <c r="C270" s="26">
        <f t="shared" si="14"/>
        <v>393</v>
      </c>
      <c r="D270" s="21">
        <v>5211.5674800000006</v>
      </c>
      <c r="E270" s="22"/>
    </row>
    <row r="271" spans="1:10" x14ac:dyDescent="0.4">
      <c r="A271" s="12">
        <f>IF(B271="","",COUNTA(B$8:B271))</f>
        <v>231</v>
      </c>
      <c r="B271" s="19" t="str">
        <f t="shared" si="14"/>
        <v xml:space="preserve">Tools, Shop, and Garage Equipment </v>
      </c>
      <c r="C271" s="26">
        <f t="shared" si="14"/>
        <v>394</v>
      </c>
      <c r="D271" s="21">
        <v>876583.33198799996</v>
      </c>
      <c r="E271" s="22"/>
    </row>
    <row r="272" spans="1:10" x14ac:dyDescent="0.4">
      <c r="A272" s="12">
        <f>IF(B272="","",COUNTA(B$8:B272))</f>
        <v>232</v>
      </c>
      <c r="B272" s="19" t="s">
        <v>66</v>
      </c>
      <c r="C272" s="26">
        <f>C53</f>
        <v>395</v>
      </c>
      <c r="D272" s="21">
        <v>8628.7945650000001</v>
      </c>
      <c r="E272" s="22"/>
    </row>
    <row r="273" spans="1:8" x14ac:dyDescent="0.4">
      <c r="A273" s="12">
        <f>IF(B273="","",COUNTA(B$8:B273))</f>
        <v>233</v>
      </c>
      <c r="B273" s="19" t="str">
        <f t="shared" ref="B273:C275" si="15">B54</f>
        <v>Power Operated Equipment</v>
      </c>
      <c r="C273" s="26">
        <f t="shared" si="15"/>
        <v>396</v>
      </c>
      <c r="D273" s="21">
        <v>0</v>
      </c>
      <c r="E273" s="22"/>
    </row>
    <row r="274" spans="1:8" x14ac:dyDescent="0.4">
      <c r="A274" s="12">
        <f>IF(B274="","",COUNTA(B$8:B274))</f>
        <v>234</v>
      </c>
      <c r="B274" s="19" t="str">
        <f t="shared" si="15"/>
        <v>Communication Equipment</v>
      </c>
      <c r="C274" s="26">
        <f t="shared" si="15"/>
        <v>397</v>
      </c>
      <c r="D274" s="21">
        <v>312435.47789800004</v>
      </c>
      <c r="E274" s="22"/>
      <c r="F274" s="27"/>
    </row>
    <row r="275" spans="1:8" x14ac:dyDescent="0.4">
      <c r="A275" s="12">
        <f>IF(B275="","",COUNTA(B$8:B275))</f>
        <v>235</v>
      </c>
      <c r="B275" s="19" t="str">
        <f t="shared" si="15"/>
        <v>Misc. Equipment</v>
      </c>
      <c r="C275" s="26">
        <f t="shared" si="15"/>
        <v>398</v>
      </c>
      <c r="D275" s="21">
        <v>3609.6617550000001</v>
      </c>
      <c r="E275" s="22"/>
    </row>
    <row r="276" spans="1:8" x14ac:dyDescent="0.4">
      <c r="A276" s="12">
        <f>IF(B276="","",COUNTA(B$8:B276))</f>
        <v>236</v>
      </c>
      <c r="B276" s="14" t="str">
        <f>B57&amp;" Depreciation Expense"</f>
        <v>Subtotal - General Plant Depreciation Expense</v>
      </c>
      <c r="C276" s="31"/>
      <c r="D276" s="2">
        <f>SUBTOTAL(9,D266:D275)</f>
        <v>2300104.2749040001</v>
      </c>
      <c r="E276" s="22"/>
    </row>
    <row r="277" spans="1:8" x14ac:dyDescent="0.4">
      <c r="A277" s="12" t="str">
        <f>IF(B277="","",COUNTA(B$8:B277))</f>
        <v/>
      </c>
      <c r="C277" s="31"/>
      <c r="D277" s="22"/>
      <c r="E277" s="22"/>
      <c r="G277" s="90" t="s">
        <v>70</v>
      </c>
      <c r="H277" s="90"/>
    </row>
    <row r="278" spans="1:8" x14ac:dyDescent="0.4">
      <c r="A278" s="12">
        <f>IF(B278="","",COUNTA(B$8:B278))</f>
        <v>237</v>
      </c>
      <c r="B278" s="24" t="str">
        <f>"Total "&amp;B228</f>
        <v>Total Adjustments, Depreciation and Amortization Expense</v>
      </c>
      <c r="C278" s="31"/>
      <c r="D278" s="2">
        <f>SUBTOTAL(9,D229:D277)</f>
        <v>32285329.299140997</v>
      </c>
      <c r="E278" s="22"/>
      <c r="G278" s="27">
        <v>32285329.299141005</v>
      </c>
      <c r="H278" s="27">
        <f>D278-G278</f>
        <v>0</v>
      </c>
    </row>
    <row r="279" spans="1:8" x14ac:dyDescent="0.4">
      <c r="A279" s="12" t="str">
        <f>IF(B279="","",COUNTA(B$8:B279))</f>
        <v/>
      </c>
      <c r="C279" s="31"/>
      <c r="D279" s="22"/>
      <c r="E279" s="22"/>
    </row>
    <row r="280" spans="1:8" x14ac:dyDescent="0.4">
      <c r="A280" s="12">
        <f>IF(B280="","",COUNTA(B$8:B280))</f>
        <v>238</v>
      </c>
      <c r="B280" s="24" t="s">
        <v>236</v>
      </c>
      <c r="C280" s="31"/>
      <c r="D280" s="22"/>
      <c r="E280" s="22"/>
    </row>
    <row r="281" spans="1:8" x14ac:dyDescent="0.4">
      <c r="A281" s="12">
        <f>IF(B281="","",COUNTA(B$8:B281))</f>
        <v>239</v>
      </c>
      <c r="B281" s="13" t="s">
        <v>237</v>
      </c>
      <c r="C281" s="31"/>
      <c r="D281" s="22"/>
      <c r="E281" s="22"/>
    </row>
    <row r="282" spans="1:8" x14ac:dyDescent="0.4">
      <c r="A282" s="12">
        <f>IF(B282="","",COUNTA(B$8:B282))</f>
        <v>240</v>
      </c>
      <c r="B282" s="19" t="s">
        <v>237</v>
      </c>
      <c r="C282" s="26">
        <v>408.5</v>
      </c>
      <c r="D282" s="42">
        <v>23745033.612662204</v>
      </c>
      <c r="E282" s="22"/>
      <c r="G282" s="90" t="s">
        <v>70</v>
      </c>
      <c r="H282" s="90"/>
    </row>
    <row r="283" spans="1:8" x14ac:dyDescent="0.4">
      <c r="A283" s="12"/>
      <c r="B283" s="14" t="str">
        <f>"Subtotal - "&amp;B281</f>
        <v>Subtotal - Revenue Taxes</v>
      </c>
      <c r="C283" s="31"/>
      <c r="D283" s="2">
        <f>SUBTOTAL(9,D282:D282)</f>
        <v>23745033.612662204</v>
      </c>
      <c r="E283" s="22"/>
      <c r="G283" s="27">
        <v>23745033.612662204</v>
      </c>
      <c r="H283" s="27">
        <f>D283-G283</f>
        <v>0</v>
      </c>
    </row>
    <row r="284" spans="1:8" x14ac:dyDescent="0.4">
      <c r="A284" s="12" t="str">
        <f>IF(B284="","",COUNTA(B$8:B284))</f>
        <v/>
      </c>
      <c r="B284" s="24"/>
      <c r="C284" s="31"/>
      <c r="D284" s="22"/>
      <c r="E284" s="22"/>
    </row>
    <row r="285" spans="1:8" x14ac:dyDescent="0.4">
      <c r="A285" s="12">
        <f>IF(B285="","",COUNTA(B$8:B285))</f>
        <v>242</v>
      </c>
      <c r="B285" s="13" t="s">
        <v>238</v>
      </c>
      <c r="C285" s="31"/>
      <c r="D285" s="22"/>
      <c r="E285" s="22"/>
    </row>
    <row r="286" spans="1:8" x14ac:dyDescent="0.4">
      <c r="A286" s="12">
        <f>IF(B286="","",COUNTA(B$8:B286))</f>
        <v>243</v>
      </c>
      <c r="B286" s="19" t="s">
        <v>239</v>
      </c>
      <c r="C286" s="26">
        <v>408.1</v>
      </c>
      <c r="D286" s="42">
        <v>4589139.722218222</v>
      </c>
      <c r="E286" s="22"/>
      <c r="G286" s="90" t="s">
        <v>70</v>
      </c>
      <c r="H286" s="90"/>
    </row>
    <row r="287" spans="1:8" x14ac:dyDescent="0.4">
      <c r="A287" s="12">
        <f>IF(B287="","",COUNTA(B$8:B287))</f>
        <v>244</v>
      </c>
      <c r="B287" s="14" t="str">
        <f>"Subtotal - "&amp;B285</f>
        <v>Subtotal - Taxes Other Than Income Taxes</v>
      </c>
      <c r="C287" s="31"/>
      <c r="D287" s="2">
        <f>SUBTOTAL(9,D286:D286)</f>
        <v>4589139.722218222</v>
      </c>
      <c r="E287" s="22"/>
      <c r="G287" s="27">
        <v>4589139.722218222</v>
      </c>
      <c r="H287" s="16">
        <f>D287-G287</f>
        <v>0</v>
      </c>
    </row>
    <row r="288" spans="1:8" x14ac:dyDescent="0.4">
      <c r="A288" s="12" t="str">
        <f>IF(B288="","",COUNTA(B$8:B288))</f>
        <v/>
      </c>
      <c r="B288" s="41"/>
      <c r="C288" s="31"/>
      <c r="D288" s="22"/>
      <c r="E288" s="22"/>
    </row>
    <row r="289" spans="1:8" x14ac:dyDescent="0.4">
      <c r="A289" s="12">
        <f>IF(B289="","",COUNTA(B$8:B289))</f>
        <v>245</v>
      </c>
      <c r="B289" s="13" t="s">
        <v>240</v>
      </c>
      <c r="C289" s="31"/>
      <c r="D289" s="22"/>
      <c r="E289" s="22"/>
    </row>
    <row r="290" spans="1:8" x14ac:dyDescent="0.4">
      <c r="A290" s="12">
        <f>IF(B290="","",COUNTA(B$8:B290))</f>
        <v>246</v>
      </c>
      <c r="B290" s="19" t="s">
        <v>241</v>
      </c>
      <c r="C290" s="26">
        <v>409.1</v>
      </c>
      <c r="D290" s="21">
        <v>-5096067.8929358944</v>
      </c>
      <c r="E290" s="22"/>
    </row>
    <row r="291" spans="1:8" x14ac:dyDescent="0.4">
      <c r="A291" s="12">
        <f>IF(B291="","",COUNTA(B$8:B291))</f>
        <v>247</v>
      </c>
      <c r="B291" s="19" t="s">
        <v>242</v>
      </c>
      <c r="C291" s="26">
        <v>410.1</v>
      </c>
      <c r="D291" s="21">
        <v>43294488.670000002</v>
      </c>
      <c r="E291" s="22"/>
    </row>
    <row r="292" spans="1:8" x14ac:dyDescent="0.4">
      <c r="A292" s="12">
        <f>IF(B292="","",COUNTA(B$8:B292))</f>
        <v>248</v>
      </c>
      <c r="B292" s="19" t="s">
        <v>243</v>
      </c>
      <c r="C292" s="26">
        <v>411.1</v>
      </c>
      <c r="D292" s="21">
        <v>-38804558.600000001</v>
      </c>
      <c r="E292" s="22"/>
    </row>
    <row r="293" spans="1:8" x14ac:dyDescent="0.4">
      <c r="A293" s="12">
        <f>IF(B293="","",COUNTA(B$8:B293))</f>
        <v>249</v>
      </c>
      <c r="B293" s="19" t="s">
        <v>244</v>
      </c>
      <c r="C293" s="26">
        <v>411.4</v>
      </c>
      <c r="D293" s="21">
        <v>-33270.6</v>
      </c>
      <c r="E293" s="22"/>
      <c r="G293" s="90" t="s">
        <v>70</v>
      </c>
      <c r="H293" s="90"/>
    </row>
    <row r="294" spans="1:8" x14ac:dyDescent="0.4">
      <c r="A294" s="12">
        <f>IF(B294="","",COUNTA(B$8:B294))</f>
        <v>250</v>
      </c>
      <c r="B294" s="14" t="str">
        <f>"Subtotal - "&amp;B289</f>
        <v>Subtotal - Income Taxes</v>
      </c>
      <c r="C294" s="31"/>
      <c r="D294" s="2">
        <f>SUBTOTAL(9,D290:D293)</f>
        <v>-639408.42293589411</v>
      </c>
      <c r="E294" s="22"/>
      <c r="G294" s="27">
        <v>-639408.4229358919</v>
      </c>
      <c r="H294" s="16">
        <f>D294-G294</f>
        <v>-2.2118911147117615E-9</v>
      </c>
    </row>
    <row r="295" spans="1:8" x14ac:dyDescent="0.4">
      <c r="A295" s="12" t="str">
        <f>IF(B295="","",COUNTA(B$8:B295))</f>
        <v/>
      </c>
      <c r="C295" s="31"/>
      <c r="D295" s="22"/>
      <c r="E295" s="22"/>
    </row>
    <row r="296" spans="1:8" x14ac:dyDescent="0.4">
      <c r="A296" s="12">
        <f>IF(B296="","",COUNTA(B$8:B296))</f>
        <v>251</v>
      </c>
      <c r="B296" s="24" t="str">
        <f>"Total "&amp;B280</f>
        <v>Total Taxes</v>
      </c>
      <c r="C296" s="31"/>
      <c r="D296" s="2">
        <f>SUBTOTAL(9,D282:D294)</f>
        <v>27694764.911944531</v>
      </c>
      <c r="E296" s="22"/>
      <c r="G296" s="27">
        <f>G287+G294+G283</f>
        <v>27694764.911944535</v>
      </c>
      <c r="H296" s="16">
        <f>D296-G296</f>
        <v>0</v>
      </c>
    </row>
    <row r="297" spans="1:8" x14ac:dyDescent="0.4">
      <c r="A297" s="12" t="str">
        <f>IF(B297="","",COUNTA(B$8:B297))</f>
        <v/>
      </c>
      <c r="C297" s="31"/>
      <c r="D297" s="22"/>
      <c r="E297" s="22"/>
    </row>
    <row r="298" spans="1:8" x14ac:dyDescent="0.4">
      <c r="A298" s="12">
        <f>IF(B298="","",COUNTA(B$8:B298))</f>
        <v>252</v>
      </c>
      <c r="B298" s="24" t="s">
        <v>245</v>
      </c>
      <c r="C298" s="31"/>
      <c r="D298" s="22"/>
      <c r="E298" s="22"/>
    </row>
    <row r="299" spans="1:8" x14ac:dyDescent="0.4">
      <c r="A299" s="12">
        <f>IF(B299="","",COUNTA(B$8:B299))</f>
        <v>253</v>
      </c>
      <c r="B299" s="19" t="s">
        <v>246</v>
      </c>
      <c r="C299" s="20" t="s">
        <v>247</v>
      </c>
      <c r="D299" s="21">
        <v>113327111.62771219</v>
      </c>
      <c r="E299" s="22"/>
    </row>
    <row r="300" spans="1:8" x14ac:dyDescent="0.4">
      <c r="A300" s="12">
        <f>IF(B300="","",COUNTA(B$8:B300))</f>
        <v>254</v>
      </c>
      <c r="B300" s="19" t="s">
        <v>248</v>
      </c>
      <c r="C300" s="20">
        <v>489</v>
      </c>
      <c r="D300" s="21">
        <v>31540921.217156187</v>
      </c>
      <c r="E300" s="22"/>
    </row>
    <row r="301" spans="1:8" x14ac:dyDescent="0.4">
      <c r="A301" s="12">
        <f>IF(B301="","",COUNTA(B$8:B301))</f>
        <v>255</v>
      </c>
      <c r="B301" s="19" t="s">
        <v>249</v>
      </c>
      <c r="C301" s="20">
        <v>488</v>
      </c>
      <c r="D301" s="21">
        <v>761216.75999999966</v>
      </c>
      <c r="E301" s="22"/>
      <c r="G301" s="90" t="s">
        <v>70</v>
      </c>
      <c r="H301" s="90"/>
    </row>
    <row r="302" spans="1:8" x14ac:dyDescent="0.4">
      <c r="A302" s="12">
        <f>IF(B302="","",COUNTA(B$8:B302))</f>
        <v>256</v>
      </c>
      <c r="B302" s="24" t="str">
        <f>"Total "&amp;B298</f>
        <v>Total Operating Revenue</v>
      </c>
      <c r="C302" s="31"/>
      <c r="D302" s="2">
        <f>SUM(D299:D301)</f>
        <v>145629249.60486835</v>
      </c>
      <c r="E302" s="22"/>
      <c r="G302" s="27">
        <v>145629249.60486835</v>
      </c>
      <c r="H302" s="16">
        <f>D302-G302</f>
        <v>0</v>
      </c>
    </row>
    <row r="303" spans="1:8" x14ac:dyDescent="0.4">
      <c r="A303" s="12" t="str">
        <f>IF(B303="","",COUNTA(B$8:B303))</f>
        <v/>
      </c>
      <c r="B303" s="24"/>
      <c r="C303" s="31"/>
      <c r="D303" s="22"/>
      <c r="E303" s="22"/>
    </row>
    <row r="304" spans="1:8" x14ac:dyDescent="0.4">
      <c r="A304" s="12">
        <f>IF(B304="","",COUNTA(B$8:B304))</f>
        <v>257</v>
      </c>
      <c r="B304" s="24" t="s">
        <v>250</v>
      </c>
      <c r="C304" s="31"/>
      <c r="D304" s="22">
        <f>D302-D226-D278-D296</f>
        <v>26054777.272812575</v>
      </c>
      <c r="E304" s="22"/>
      <c r="G304" s="25">
        <v>26054777.272812575</v>
      </c>
      <c r="H304" s="16">
        <f>D304-G304</f>
        <v>0</v>
      </c>
    </row>
    <row r="305" spans="1:8" x14ac:dyDescent="0.4">
      <c r="A305" s="12" t="str">
        <f>IF(B305="","",COUNTA(B$8:B305))</f>
        <v/>
      </c>
      <c r="D305" s="22"/>
      <c r="E305" s="22"/>
    </row>
    <row r="306" spans="1:8" x14ac:dyDescent="0.4">
      <c r="A306" s="12">
        <f>IF(B306="","",COUNTA(B$8:B306))</f>
        <v>258</v>
      </c>
      <c r="B306" s="13" t="s">
        <v>251</v>
      </c>
      <c r="C306" s="31"/>
      <c r="D306" s="22"/>
      <c r="E306" s="22"/>
    </row>
    <row r="307" spans="1:8" x14ac:dyDescent="0.4">
      <c r="A307" s="12">
        <f>IF(B307="","",COUNTA(B$8:B307))</f>
        <v>259</v>
      </c>
      <c r="B307" s="13" t="s">
        <v>252</v>
      </c>
      <c r="C307" s="31"/>
      <c r="D307" s="22">
        <f>SUBTOTAL(9,D123:D296)</f>
        <v>119574472.33205581</v>
      </c>
      <c r="E307" s="22"/>
      <c r="G307" s="27">
        <v>119574472.33205578</v>
      </c>
      <c r="H307" s="16">
        <f>D307-G307</f>
        <v>0</v>
      </c>
    </row>
    <row r="308" spans="1:8" x14ac:dyDescent="0.4">
      <c r="A308" s="12">
        <f>IF(B308="","",COUNTA(B$8:B308))</f>
        <v>260</v>
      </c>
      <c r="B308" s="13" t="s">
        <v>253</v>
      </c>
      <c r="C308" s="31"/>
      <c r="D308" s="22"/>
      <c r="E308" s="22"/>
      <c r="G308" s="27"/>
      <c r="H308" s="16"/>
    </row>
    <row r="309" spans="1:8" x14ac:dyDescent="0.4">
      <c r="A309" s="12">
        <f>IF(B309="","",COUNTA(B$8:B309))</f>
        <v>261</v>
      </c>
      <c r="B309" s="13" t="s">
        <v>254</v>
      </c>
      <c r="C309" s="31"/>
      <c r="D309" s="2"/>
      <c r="E309" s="22"/>
    </row>
    <row r="310" spans="1:8" x14ac:dyDescent="0.4">
      <c r="A310" s="12">
        <f>IF(B310="","",COUNTA(B$8:B310))</f>
        <v>262</v>
      </c>
      <c r="B310" s="19" t="s">
        <v>255</v>
      </c>
      <c r="C310" s="31"/>
      <c r="D310" s="21">
        <v>6081309.2879862664</v>
      </c>
      <c r="E310" s="22"/>
    </row>
    <row r="311" spans="1:8" x14ac:dyDescent="0.4">
      <c r="A311" s="12">
        <f>IF(B311="","",COUNTA(B$8:B311))</f>
        <v>263</v>
      </c>
      <c r="B311" s="19" t="s">
        <v>256</v>
      </c>
      <c r="C311" s="31"/>
      <c r="D311" s="21">
        <v>0</v>
      </c>
    </row>
    <row r="312" spans="1:8" x14ac:dyDescent="0.4">
      <c r="A312" s="12">
        <f>IF(B312="","",COUNTA(B$8:B312))</f>
        <v>264</v>
      </c>
      <c r="B312" s="19" t="s">
        <v>257</v>
      </c>
      <c r="C312" s="31">
        <v>904</v>
      </c>
      <c r="D312" s="21">
        <v>204645.3009225378</v>
      </c>
    </row>
    <row r="313" spans="1:8" x14ac:dyDescent="0.4">
      <c r="A313" s="12">
        <f>IF(B313="","",COUNTA(B$8:B313))</f>
        <v>265</v>
      </c>
      <c r="B313" s="19" t="s">
        <v>237</v>
      </c>
      <c r="C313" s="31">
        <v>408.5</v>
      </c>
      <c r="D313" s="21">
        <v>1295089.0420000001</v>
      </c>
    </row>
    <row r="314" spans="1:8" x14ac:dyDescent="0.4">
      <c r="A314" s="12">
        <f>IF(B314="","",COUNTA(B$8:B314))</f>
        <v>266</v>
      </c>
      <c r="B314" s="24" t="str">
        <f>"TOTAL "&amp;B306</f>
        <v>TOTAL REVENUE REQUIREMENT AT EQUAL RATES OF RETURN</v>
      </c>
      <c r="C314" s="31"/>
      <c r="D314" s="43">
        <v>30458350</v>
      </c>
      <c r="G314" s="27">
        <v>30458350</v>
      </c>
      <c r="H314" s="16">
        <f>D314-G314</f>
        <v>0</v>
      </c>
    </row>
    <row r="315" spans="1:8" x14ac:dyDescent="0.4">
      <c r="C315" s="31"/>
    </row>
    <row r="316" spans="1:8" x14ac:dyDescent="0.4">
      <c r="C316" s="12"/>
      <c r="D316" s="42"/>
    </row>
  </sheetData>
  <mergeCells count="10">
    <mergeCell ref="G282:H282"/>
    <mergeCell ref="G286:H286"/>
    <mergeCell ref="G293:H293"/>
    <mergeCell ref="G301:H301"/>
    <mergeCell ref="G58:H58"/>
    <mergeCell ref="G110:H110"/>
    <mergeCell ref="G117:H117"/>
    <mergeCell ref="G209:H209"/>
    <mergeCell ref="G225:H225"/>
    <mergeCell ref="G277:H2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BCCA-A277-459F-A3BB-BA29CA830723}">
  <sheetPr codeName="Sheet1">
    <pageSetUpPr fitToPage="1"/>
  </sheetPr>
  <dimension ref="A1:Y229"/>
  <sheetViews>
    <sheetView zoomScale="115" zoomScaleNormal="115" workbookViewId="0">
      <pane xSplit="2" ySplit="5" topLeftCell="W28" activePane="bottomRight" state="frozen"/>
      <selection pane="topRight" activeCell="C1" sqref="C1"/>
      <selection pane="bottomLeft" activeCell="A6" sqref="A6"/>
      <selection pane="bottomRight" activeCell="W55" sqref="W55"/>
    </sheetView>
  </sheetViews>
  <sheetFormatPr defaultColWidth="8.69140625" defaultRowHeight="14.6" x14ac:dyDescent="0.4"/>
  <cols>
    <col min="1" max="1" width="7.3828125" style="12" customWidth="1"/>
    <col min="2" max="2" width="50.53515625" style="14" bestFit="1" customWidth="1"/>
    <col min="3" max="3" width="20.69140625" style="54" customWidth="1"/>
    <col min="4" max="4" width="20.84375" style="54" bestFit="1" customWidth="1"/>
    <col min="5" max="5" width="2.15234375" style="54" customWidth="1"/>
    <col min="6" max="6" width="17.15234375" style="54" customWidth="1"/>
    <col min="7" max="7" width="2.15234375" style="54" customWidth="1"/>
    <col min="8" max="8" width="20.69140625" style="54" customWidth="1"/>
    <col min="9" max="9" width="18.69140625" style="54" bestFit="1" customWidth="1"/>
    <col min="10" max="10" width="2.15234375" style="54" customWidth="1"/>
    <col min="11" max="11" width="22.53515625" style="54" customWidth="1"/>
    <col min="12" max="12" width="22.15234375" style="54" customWidth="1"/>
    <col min="13" max="13" width="19.23046875" style="54" customWidth="1"/>
    <col min="14" max="14" width="2.15234375" style="54" customWidth="1"/>
    <col min="15" max="15" width="19.69140625" style="54" customWidth="1"/>
    <col min="16" max="16" width="15.84375" style="54" customWidth="1"/>
    <col min="17" max="17" width="17.69140625" style="54" bestFit="1" customWidth="1"/>
    <col min="18" max="18" width="2.15234375" style="54" customWidth="1"/>
    <col min="19" max="19" width="20.15234375" style="54" customWidth="1"/>
    <col min="20" max="20" width="13.84375" style="54" customWidth="1"/>
    <col min="21" max="21" width="20.15234375" style="54" customWidth="1"/>
    <col min="22" max="22" width="2.15234375" style="54" customWidth="1"/>
    <col min="23" max="23" width="19.69140625" style="54" customWidth="1"/>
    <col min="24" max="24" width="24.23046875" style="54" customWidth="1"/>
    <col min="25" max="25" width="17.69140625" style="14" customWidth="1"/>
    <col min="26" max="16384" width="8.69140625" style="14"/>
  </cols>
  <sheetData>
    <row r="1" spans="1:25" x14ac:dyDescent="0.4">
      <c r="A1" s="24" t="s">
        <v>258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4">
      <c r="A2" s="24" t="s">
        <v>259</v>
      </c>
      <c r="B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5" x14ac:dyDescent="0.4">
      <c r="A3" s="24" t="s">
        <v>261</v>
      </c>
      <c r="B3" s="55"/>
      <c r="H3" s="56"/>
      <c r="I3" s="56"/>
    </row>
    <row r="4" spans="1:25" s="35" customFormat="1" ht="43.75" x14ac:dyDescent="0.4">
      <c r="A4" s="33"/>
      <c r="C4" s="91" t="s">
        <v>262</v>
      </c>
      <c r="D4" s="92"/>
      <c r="E4" s="57"/>
      <c r="F4" s="58" t="s">
        <v>263</v>
      </c>
      <c r="G4" s="58"/>
      <c r="H4" s="93" t="s">
        <v>264</v>
      </c>
      <c r="I4" s="93"/>
      <c r="J4" s="57"/>
      <c r="K4" s="93" t="s">
        <v>265</v>
      </c>
      <c r="L4" s="93"/>
      <c r="M4" s="93"/>
      <c r="N4" s="57"/>
      <c r="O4" s="93" t="s">
        <v>266</v>
      </c>
      <c r="P4" s="93"/>
      <c r="Q4" s="93"/>
      <c r="R4" s="57"/>
      <c r="S4" s="93" t="s">
        <v>267</v>
      </c>
      <c r="T4" s="93"/>
      <c r="U4" s="93"/>
      <c r="V4" s="57"/>
      <c r="W4" s="91" t="s">
        <v>268</v>
      </c>
      <c r="X4" s="92"/>
    </row>
    <row r="5" spans="1:25" ht="58.3" x14ac:dyDescent="0.4">
      <c r="A5" s="59" t="s">
        <v>269</v>
      </c>
      <c r="B5" s="59" t="s">
        <v>270</v>
      </c>
      <c r="C5" s="60" t="s">
        <v>271</v>
      </c>
      <c r="D5" s="60" t="s">
        <v>272</v>
      </c>
      <c r="E5" s="61"/>
      <c r="F5" s="3" t="s">
        <v>273</v>
      </c>
      <c r="G5" s="61"/>
      <c r="H5" s="62" t="s">
        <v>274</v>
      </c>
      <c r="I5" s="62" t="s">
        <v>273</v>
      </c>
      <c r="J5" s="61"/>
      <c r="K5" s="62" t="s">
        <v>275</v>
      </c>
      <c r="L5" s="62" t="s">
        <v>274</v>
      </c>
      <c r="M5" s="62" t="s">
        <v>273</v>
      </c>
      <c r="N5" s="61"/>
      <c r="O5" s="60" t="s">
        <v>276</v>
      </c>
      <c r="P5" s="60" t="s">
        <v>274</v>
      </c>
      <c r="Q5" s="60" t="s">
        <v>273</v>
      </c>
      <c r="R5" s="61"/>
      <c r="S5" s="60" t="s">
        <v>277</v>
      </c>
      <c r="T5" s="4" t="s">
        <v>274</v>
      </c>
      <c r="U5" s="5" t="s">
        <v>273</v>
      </c>
      <c r="V5" s="61"/>
      <c r="W5" s="60" t="s">
        <v>277</v>
      </c>
      <c r="X5" s="60" t="s">
        <v>273</v>
      </c>
    </row>
    <row r="6" spans="1:25" x14ac:dyDescent="0.4">
      <c r="B6" s="12" t="s">
        <v>278</v>
      </c>
      <c r="C6" s="12" t="s">
        <v>279</v>
      </c>
      <c r="D6" s="12" t="s">
        <v>280</v>
      </c>
      <c r="E6" s="12"/>
      <c r="F6" s="12" t="s">
        <v>281</v>
      </c>
      <c r="G6" s="12"/>
      <c r="H6" s="12" t="s">
        <v>282</v>
      </c>
      <c r="I6" s="12" t="s">
        <v>283</v>
      </c>
      <c r="J6" s="12"/>
      <c r="K6" s="12" t="s">
        <v>284</v>
      </c>
      <c r="L6" s="12" t="s">
        <v>285</v>
      </c>
      <c r="M6" s="12" t="s">
        <v>286</v>
      </c>
      <c r="N6" s="12"/>
      <c r="O6" s="12" t="s">
        <v>287</v>
      </c>
      <c r="P6" s="12" t="s">
        <v>288</v>
      </c>
      <c r="Q6" s="12" t="s">
        <v>289</v>
      </c>
      <c r="R6" s="12"/>
      <c r="S6" s="12" t="s">
        <v>290</v>
      </c>
      <c r="T6" s="12" t="s">
        <v>291</v>
      </c>
      <c r="U6" s="12" t="s">
        <v>292</v>
      </c>
      <c r="V6" s="12"/>
      <c r="W6" s="12" t="s">
        <v>293</v>
      </c>
      <c r="X6" s="12" t="s">
        <v>294</v>
      </c>
    </row>
    <row r="7" spans="1:25" x14ac:dyDescent="0.4">
      <c r="A7" s="12">
        <v>1</v>
      </c>
      <c r="B7" s="63">
        <v>503</v>
      </c>
    </row>
    <row r="8" spans="1:25" x14ac:dyDescent="0.4">
      <c r="A8" s="12">
        <f>MAX($A$7:A7)+1</f>
        <v>2</v>
      </c>
      <c r="B8" s="14" t="s">
        <v>295</v>
      </c>
    </row>
    <row r="9" spans="1:25" x14ac:dyDescent="0.4">
      <c r="A9" s="12">
        <f>MAX($A$7:A8)+1</f>
        <v>3</v>
      </c>
      <c r="B9" s="29" t="s">
        <v>296</v>
      </c>
      <c r="C9" s="44">
        <v>2438793</v>
      </c>
      <c r="D9" s="45">
        <v>12736721.799999999</v>
      </c>
      <c r="E9" s="64"/>
      <c r="F9" s="65"/>
      <c r="G9" s="64"/>
      <c r="H9" s="46">
        <v>5</v>
      </c>
      <c r="I9" s="45">
        <f>(C9*H9)-D9</f>
        <v>-542756.79999999888</v>
      </c>
      <c r="J9" s="64"/>
      <c r="K9" s="44"/>
      <c r="L9" s="46"/>
      <c r="M9" s="45"/>
      <c r="N9" s="64"/>
      <c r="O9" s="44">
        <v>15399</v>
      </c>
      <c r="P9" s="46">
        <f>$H$9</f>
        <v>5</v>
      </c>
      <c r="Q9" s="45">
        <f>O9*P9</f>
        <v>76995</v>
      </c>
      <c r="R9" s="64"/>
      <c r="S9" s="44"/>
      <c r="T9" s="46"/>
      <c r="U9" s="45"/>
      <c r="V9" s="64"/>
      <c r="W9" s="44">
        <f>C9+O9</f>
        <v>2454192</v>
      </c>
      <c r="X9" s="45">
        <f>D9+F9+I9+M9+Q9+U9</f>
        <v>12270960</v>
      </c>
      <c r="Y9" s="66"/>
    </row>
    <row r="10" spans="1:25" x14ac:dyDescent="0.4">
      <c r="A10" s="12">
        <f>MAX($A$7:A9)+1</f>
        <v>4</v>
      </c>
      <c r="B10" s="14" t="s">
        <v>297</v>
      </c>
      <c r="C10" s="44">
        <v>125222746</v>
      </c>
      <c r="D10" s="44">
        <v>42768014.203700006</v>
      </c>
      <c r="E10" s="64"/>
      <c r="F10" s="64"/>
      <c r="G10" s="64"/>
      <c r="H10" s="14">
        <v>0.33950999999999998</v>
      </c>
      <c r="I10" s="44">
        <f>(C10*H10)-D10</f>
        <v>-253639.70924001187</v>
      </c>
      <c r="J10" s="64"/>
      <c r="K10" s="44">
        <v>4035410.9547813153</v>
      </c>
      <c r="L10" s="14">
        <f>$H$10</f>
        <v>0.33950999999999998</v>
      </c>
      <c r="M10" s="44">
        <f>K10*L10</f>
        <v>1370062.3732578042</v>
      </c>
      <c r="N10" s="64"/>
      <c r="O10" s="44">
        <v>655289.20055035595</v>
      </c>
      <c r="P10" s="14">
        <f>$H$10</f>
        <v>0.33950999999999998</v>
      </c>
      <c r="Q10" s="44">
        <f>O10*P10</f>
        <v>222477.23647885132</v>
      </c>
      <c r="R10" s="64"/>
      <c r="S10" s="44">
        <f>C10+K10+O10</f>
        <v>129913446.15533167</v>
      </c>
      <c r="T10" s="47">
        <v>1.7690000000000001E-2</v>
      </c>
      <c r="U10" s="44">
        <f>S10*T10</f>
        <v>2298168.8624878172</v>
      </c>
      <c r="V10" s="64"/>
      <c r="W10" s="44">
        <f>C10+K10+O10</f>
        <v>129913446.15533167</v>
      </c>
      <c r="X10" s="44">
        <f>D10+F10+I10+M10+Q10+U10</f>
        <v>46405082.966684461</v>
      </c>
      <c r="Y10" s="66"/>
    </row>
    <row r="11" spans="1:25" x14ac:dyDescent="0.4">
      <c r="A11" s="12">
        <f>MAX($A$7:A10)+1</f>
        <v>5</v>
      </c>
      <c r="C11" s="44"/>
      <c r="D11" s="44"/>
      <c r="E11" s="64"/>
      <c r="F11" s="64"/>
      <c r="G11" s="64"/>
      <c r="H11" s="14"/>
      <c r="I11" s="14"/>
      <c r="J11" s="64"/>
      <c r="K11" s="14"/>
      <c r="L11" s="14"/>
      <c r="M11" s="14"/>
      <c r="N11" s="64"/>
      <c r="O11" s="14"/>
      <c r="P11" s="14"/>
      <c r="Q11" s="14"/>
      <c r="R11" s="64"/>
      <c r="S11" s="14"/>
      <c r="T11" s="14"/>
      <c r="U11" s="14"/>
      <c r="V11" s="64"/>
      <c r="W11" s="14"/>
      <c r="X11" s="14"/>
      <c r="Y11" s="66"/>
    </row>
    <row r="12" spans="1:25" x14ac:dyDescent="0.4">
      <c r="A12" s="12">
        <f>MAX($A$7:A11)+1</f>
        <v>6</v>
      </c>
      <c r="B12" s="14" t="s">
        <v>298</v>
      </c>
      <c r="C12" s="44"/>
      <c r="D12" s="44"/>
      <c r="E12" s="64"/>
      <c r="F12" s="64"/>
      <c r="G12" s="64"/>
      <c r="H12" s="14"/>
      <c r="I12" s="67"/>
      <c r="J12" s="64"/>
      <c r="K12" s="14"/>
      <c r="L12" s="14"/>
      <c r="M12" s="67"/>
      <c r="N12" s="64"/>
      <c r="O12" s="14"/>
      <c r="P12" s="14"/>
      <c r="Q12" s="67"/>
      <c r="R12" s="64"/>
      <c r="S12" s="14"/>
      <c r="T12" s="14"/>
      <c r="U12" s="67"/>
      <c r="V12" s="64"/>
      <c r="W12" s="14"/>
      <c r="X12" s="67"/>
      <c r="Y12" s="66"/>
    </row>
    <row r="13" spans="1:25" x14ac:dyDescent="0.4">
      <c r="A13" s="12">
        <f>MAX($A$7:A12)+1</f>
        <v>7</v>
      </c>
      <c r="B13" s="14" t="s">
        <v>299</v>
      </c>
      <c r="C13" s="44"/>
      <c r="D13" s="44">
        <v>88202461.570199996</v>
      </c>
      <c r="E13" s="64"/>
      <c r="F13" s="16">
        <f>-D13</f>
        <v>-88202461.570199996</v>
      </c>
      <c r="G13" s="64"/>
      <c r="H13" s="14"/>
      <c r="I13" s="16"/>
      <c r="J13" s="64"/>
      <c r="K13" s="14"/>
      <c r="L13" s="14"/>
      <c r="M13" s="16"/>
      <c r="N13" s="64"/>
      <c r="O13" s="14"/>
      <c r="P13" s="14"/>
      <c r="Q13" s="16"/>
      <c r="R13" s="64"/>
      <c r="S13" s="14"/>
      <c r="T13" s="14"/>
      <c r="U13" s="16"/>
      <c r="V13" s="64"/>
      <c r="W13" s="14"/>
      <c r="X13" s="44">
        <f t="shared" ref="X13:X26" si="0">D13+F13+I13+M13+Q13+U13</f>
        <v>0</v>
      </c>
      <c r="Y13" s="66"/>
    </row>
    <row r="14" spans="1:25" x14ac:dyDescent="0.4">
      <c r="A14" s="12">
        <f>MAX($A$7:A13)+1</f>
        <v>8</v>
      </c>
      <c r="B14" s="14" t="s">
        <v>300</v>
      </c>
      <c r="C14" s="44"/>
      <c r="D14" s="44">
        <v>24693669.875400003</v>
      </c>
      <c r="F14" s="16">
        <f t="shared" ref="F14:F20" si="1">-D14</f>
        <v>-24693669.875400003</v>
      </c>
      <c r="H14" s="14"/>
      <c r="I14" s="14"/>
      <c r="K14" s="14"/>
      <c r="L14" s="14"/>
      <c r="M14" s="14"/>
      <c r="O14" s="14"/>
      <c r="P14" s="14"/>
      <c r="Q14" s="14"/>
      <c r="S14" s="14"/>
      <c r="T14" s="14"/>
      <c r="U14" s="14"/>
      <c r="W14" s="14"/>
      <c r="X14" s="44">
        <f t="shared" si="0"/>
        <v>0</v>
      </c>
      <c r="Y14" s="66"/>
    </row>
    <row r="15" spans="1:25" x14ac:dyDescent="0.4">
      <c r="A15" s="12">
        <f>MAX($A$7:A14)+1</f>
        <v>9</v>
      </c>
      <c r="B15" s="14" t="s">
        <v>301</v>
      </c>
      <c r="C15" s="44"/>
      <c r="D15" s="44">
        <v>830181.12659999996</v>
      </c>
      <c r="F15" s="16">
        <f t="shared" si="1"/>
        <v>-830181.12659999996</v>
      </c>
      <c r="H15" s="14"/>
      <c r="I15" s="14"/>
      <c r="K15" s="14"/>
      <c r="L15" s="14"/>
      <c r="M15" s="14"/>
      <c r="O15" s="14"/>
      <c r="P15" s="14"/>
      <c r="Q15" s="14"/>
      <c r="S15" s="14"/>
      <c r="T15" s="14"/>
      <c r="U15" s="14"/>
      <c r="W15" s="14"/>
      <c r="X15" s="44">
        <f t="shared" si="0"/>
        <v>0</v>
      </c>
      <c r="Y15" s="66"/>
    </row>
    <row r="16" spans="1:25" x14ac:dyDescent="0.4">
      <c r="A16" s="12">
        <f>MAX($A$7:A15)+1</f>
        <v>10</v>
      </c>
      <c r="B16" s="14" t="s">
        <v>302</v>
      </c>
      <c r="C16" s="44"/>
      <c r="D16" s="44">
        <v>1373249.1971</v>
      </c>
      <c r="E16" s="64"/>
      <c r="G16" s="64"/>
      <c r="H16" s="14"/>
      <c r="I16" s="14"/>
      <c r="J16" s="64"/>
      <c r="K16" s="14"/>
      <c r="L16" s="14"/>
      <c r="M16" s="14"/>
      <c r="N16" s="64"/>
      <c r="O16" s="14"/>
      <c r="P16" s="14"/>
      <c r="Q16" s="14"/>
      <c r="R16" s="64"/>
      <c r="U16" s="16">
        <f>-D16</f>
        <v>-1373249.1971</v>
      </c>
      <c r="V16" s="64"/>
      <c r="W16" s="14"/>
      <c r="X16" s="44">
        <f t="shared" si="0"/>
        <v>0</v>
      </c>
      <c r="Y16" s="66"/>
    </row>
    <row r="17" spans="1:25" x14ac:dyDescent="0.4">
      <c r="A17" s="12">
        <f>MAX($A$7:A16)+1</f>
        <v>11</v>
      </c>
      <c r="B17" s="14" t="s">
        <v>303</v>
      </c>
      <c r="C17" s="44"/>
      <c r="D17" s="44">
        <v>1346703.6482999998</v>
      </c>
      <c r="E17" s="64"/>
      <c r="F17" s="16">
        <f t="shared" si="1"/>
        <v>-1346703.6482999998</v>
      </c>
      <c r="G17" s="64"/>
      <c r="H17" s="14"/>
      <c r="I17" s="14"/>
      <c r="J17" s="64"/>
      <c r="K17" s="14"/>
      <c r="L17" s="14"/>
      <c r="M17" s="14"/>
      <c r="N17" s="64"/>
      <c r="O17" s="14"/>
      <c r="P17" s="14"/>
      <c r="Q17" s="14"/>
      <c r="R17" s="64"/>
      <c r="S17" s="14"/>
      <c r="T17" s="14"/>
      <c r="U17" s="14"/>
      <c r="V17" s="64"/>
      <c r="W17" s="14"/>
      <c r="X17" s="44">
        <f t="shared" si="0"/>
        <v>0</v>
      </c>
      <c r="Y17" s="66"/>
    </row>
    <row r="18" spans="1:25" x14ac:dyDescent="0.4">
      <c r="A18" s="12">
        <f>MAX($A$7:A17)+1</f>
        <v>12</v>
      </c>
      <c r="B18" s="14" t="s">
        <v>304</v>
      </c>
      <c r="C18" s="44"/>
      <c r="D18" s="44">
        <v>4342527.4752000002</v>
      </c>
      <c r="E18" s="64"/>
      <c r="F18" s="16">
        <f t="shared" si="1"/>
        <v>-4342527.4752000002</v>
      </c>
      <c r="G18" s="64"/>
      <c r="H18" s="14"/>
      <c r="I18" s="14"/>
      <c r="J18" s="64"/>
      <c r="K18" s="14"/>
      <c r="L18" s="14"/>
      <c r="M18" s="14"/>
      <c r="N18" s="64"/>
      <c r="O18" s="14"/>
      <c r="P18" s="14"/>
      <c r="Q18" s="14"/>
      <c r="R18" s="64"/>
      <c r="S18" s="14"/>
      <c r="T18" s="14"/>
      <c r="U18" s="14"/>
      <c r="V18" s="64"/>
      <c r="W18" s="14"/>
      <c r="X18" s="44">
        <f t="shared" si="0"/>
        <v>0</v>
      </c>
      <c r="Y18" s="66"/>
    </row>
    <row r="19" spans="1:25" x14ac:dyDescent="0.4">
      <c r="A19" s="12">
        <f>MAX($A$7:A18)+1</f>
        <v>13</v>
      </c>
      <c r="B19" s="14" t="s">
        <v>305</v>
      </c>
      <c r="C19" s="44"/>
      <c r="D19" s="44">
        <v>-275820.42879999999</v>
      </c>
      <c r="E19" s="64"/>
      <c r="F19" s="16">
        <f t="shared" si="1"/>
        <v>275820.42879999999</v>
      </c>
      <c r="G19" s="64"/>
      <c r="H19" s="40"/>
      <c r="I19" s="14"/>
      <c r="J19" s="64"/>
      <c r="K19" s="14"/>
      <c r="L19" s="14"/>
      <c r="M19" s="14"/>
      <c r="N19" s="64"/>
      <c r="O19" s="14"/>
      <c r="P19" s="14"/>
      <c r="Q19" s="14"/>
      <c r="R19" s="64"/>
      <c r="S19" s="14"/>
      <c r="T19" s="14"/>
      <c r="U19" s="14"/>
      <c r="V19" s="64"/>
      <c r="W19" s="14"/>
      <c r="X19" s="44">
        <f t="shared" si="0"/>
        <v>0</v>
      </c>
      <c r="Y19" s="66"/>
    </row>
    <row r="20" spans="1:25" x14ac:dyDescent="0.4">
      <c r="A20" s="12">
        <f>MAX($A$7:A19)+1</f>
        <v>14</v>
      </c>
      <c r="B20" s="14" t="s">
        <v>306</v>
      </c>
      <c r="C20" s="44"/>
      <c r="D20" s="44">
        <v>-376809.66170000006</v>
      </c>
      <c r="E20" s="64"/>
      <c r="F20" s="16">
        <f t="shared" si="1"/>
        <v>376809.66170000006</v>
      </c>
      <c r="G20" s="64"/>
      <c r="H20" s="14"/>
      <c r="I20" s="14"/>
      <c r="J20" s="64"/>
      <c r="K20" s="14"/>
      <c r="L20" s="14"/>
      <c r="M20" s="14"/>
      <c r="N20" s="64"/>
      <c r="O20" s="14"/>
      <c r="P20" s="14"/>
      <c r="Q20" s="14"/>
      <c r="R20" s="64"/>
      <c r="S20" s="14"/>
      <c r="T20" s="14"/>
      <c r="U20" s="14"/>
      <c r="V20" s="64"/>
      <c r="W20" s="14"/>
      <c r="X20" s="44">
        <f t="shared" si="0"/>
        <v>0</v>
      </c>
      <c r="Y20" s="66"/>
    </row>
    <row r="21" spans="1:25" x14ac:dyDescent="0.4">
      <c r="A21" s="12">
        <f>MAX($A$7:A20)+1</f>
        <v>15</v>
      </c>
      <c r="B21" s="14" t="s">
        <v>307</v>
      </c>
      <c r="C21" s="44"/>
      <c r="D21" s="44">
        <v>9067556.4700000007</v>
      </c>
      <c r="E21" s="64"/>
      <c r="F21" s="16"/>
      <c r="G21" s="64"/>
      <c r="H21" s="14"/>
      <c r="I21" s="14"/>
      <c r="J21" s="64"/>
      <c r="K21" s="14"/>
      <c r="L21" s="14"/>
      <c r="M21" s="14"/>
      <c r="N21" s="64"/>
      <c r="O21" s="14"/>
      <c r="P21" s="14"/>
      <c r="Q21" s="14"/>
      <c r="R21" s="64"/>
      <c r="S21" s="14"/>
      <c r="T21" s="14"/>
      <c r="U21" s="14"/>
      <c r="V21" s="64"/>
      <c r="W21" s="14"/>
      <c r="X21" s="44">
        <f t="shared" si="0"/>
        <v>9067556.4700000007</v>
      </c>
      <c r="Y21" s="66"/>
    </row>
    <row r="22" spans="1:25" x14ac:dyDescent="0.4">
      <c r="A22" s="12">
        <f>MAX($A$7:A21)+1</f>
        <v>16</v>
      </c>
      <c r="B22" s="14" t="s">
        <v>308</v>
      </c>
      <c r="C22" s="44"/>
      <c r="D22" s="44">
        <v>-1075.6800000000003</v>
      </c>
      <c r="E22" s="64"/>
      <c r="F22" s="16"/>
      <c r="G22" s="64"/>
      <c r="H22" s="14"/>
      <c r="I22" s="14"/>
      <c r="J22" s="64"/>
      <c r="K22" s="14"/>
      <c r="L22" s="14"/>
      <c r="M22" s="14"/>
      <c r="N22" s="64"/>
      <c r="O22" s="14"/>
      <c r="P22" s="14"/>
      <c r="Q22" s="14"/>
      <c r="R22" s="64"/>
      <c r="S22" s="14"/>
      <c r="T22" s="14"/>
      <c r="U22" s="14"/>
      <c r="V22" s="64"/>
      <c r="W22" s="14"/>
      <c r="X22" s="44">
        <f t="shared" si="0"/>
        <v>-1075.6800000000003</v>
      </c>
      <c r="Y22" s="66"/>
    </row>
    <row r="23" spans="1:25" x14ac:dyDescent="0.4">
      <c r="A23" s="12">
        <f>MAX($A$7:A22)+1</f>
        <v>17</v>
      </c>
      <c r="B23" s="14" t="s">
        <v>309</v>
      </c>
      <c r="C23" s="48"/>
      <c r="D23" s="48">
        <v>30647.74</v>
      </c>
      <c r="E23" s="64"/>
      <c r="F23" s="16"/>
      <c r="G23" s="64"/>
      <c r="H23" s="14"/>
      <c r="I23" s="14"/>
      <c r="J23" s="64"/>
      <c r="K23" s="14"/>
      <c r="L23" s="14"/>
      <c r="M23" s="14"/>
      <c r="N23" s="64"/>
      <c r="O23" s="14"/>
      <c r="P23" s="14"/>
      <c r="Q23" s="14"/>
      <c r="R23" s="64"/>
      <c r="S23" s="14"/>
      <c r="T23" s="14"/>
      <c r="U23" s="14"/>
      <c r="V23" s="64"/>
      <c r="W23" s="14"/>
      <c r="X23" s="44">
        <f t="shared" si="0"/>
        <v>30647.74</v>
      </c>
      <c r="Y23" s="66"/>
    </row>
    <row r="24" spans="1:25" x14ac:dyDescent="0.4">
      <c r="A24" s="12">
        <f>MAX($A$7:A23)+1</f>
        <v>18</v>
      </c>
      <c r="B24" s="14" t="s">
        <v>310</v>
      </c>
      <c r="C24" s="44"/>
      <c r="D24" s="44">
        <v>2181346.73</v>
      </c>
      <c r="E24" s="64"/>
      <c r="G24" s="64"/>
      <c r="H24" s="14"/>
      <c r="I24" s="14"/>
      <c r="J24" s="64"/>
      <c r="K24" s="14"/>
      <c r="L24" s="14"/>
      <c r="M24" s="16">
        <f>-D24</f>
        <v>-2181346.73</v>
      </c>
      <c r="N24" s="64"/>
      <c r="O24" s="14"/>
      <c r="P24" s="14"/>
      <c r="Q24" s="14"/>
      <c r="R24" s="64"/>
      <c r="S24" s="14"/>
      <c r="T24" s="14"/>
      <c r="U24" s="14"/>
      <c r="V24" s="64"/>
      <c r="W24" s="14"/>
      <c r="X24" s="44">
        <f t="shared" si="0"/>
        <v>0</v>
      </c>
      <c r="Y24" s="66"/>
    </row>
    <row r="25" spans="1:25" x14ac:dyDescent="0.4">
      <c r="A25" s="12">
        <f>MAX($A$7:A24)+1</f>
        <v>19</v>
      </c>
      <c r="B25" s="14" t="s">
        <v>311</v>
      </c>
      <c r="C25" s="14"/>
      <c r="D25" s="44">
        <v>-1333132.9099999999</v>
      </c>
      <c r="E25" s="64"/>
      <c r="F25" s="16">
        <f>-D25</f>
        <v>1333132.9099999999</v>
      </c>
      <c r="G25" s="64"/>
      <c r="H25" s="14"/>
      <c r="I25" s="14"/>
      <c r="J25" s="64"/>
      <c r="K25" s="14"/>
      <c r="L25" s="14"/>
      <c r="M25" s="14"/>
      <c r="N25" s="64"/>
      <c r="O25" s="14"/>
      <c r="P25" s="14"/>
      <c r="Q25" s="14"/>
      <c r="R25" s="64"/>
      <c r="S25" s="14"/>
      <c r="T25" s="14"/>
      <c r="U25" s="14"/>
      <c r="V25" s="64"/>
      <c r="W25" s="14"/>
      <c r="X25" s="44">
        <f t="shared" si="0"/>
        <v>0</v>
      </c>
      <c r="Y25" s="66"/>
    </row>
    <row r="26" spans="1:25" x14ac:dyDescent="0.4">
      <c r="A26" s="12">
        <f>MAX($A$7:A25)+1</f>
        <v>20</v>
      </c>
      <c r="B26" s="14" t="s">
        <v>312</v>
      </c>
      <c r="C26" s="14"/>
      <c r="D26" s="49">
        <v>-797700.35</v>
      </c>
      <c r="E26" s="64"/>
      <c r="F26" s="68">
        <f>-D26</f>
        <v>797700.35</v>
      </c>
      <c r="G26" s="64"/>
      <c r="H26" s="14"/>
      <c r="I26" s="69"/>
      <c r="J26" s="64"/>
      <c r="K26" s="14"/>
      <c r="L26" s="14"/>
      <c r="M26" s="69"/>
      <c r="N26" s="64"/>
      <c r="O26" s="14"/>
      <c r="P26" s="14"/>
      <c r="Q26" s="69"/>
      <c r="R26" s="64"/>
      <c r="S26" s="14"/>
      <c r="T26" s="14"/>
      <c r="U26" s="69"/>
      <c r="V26" s="64"/>
      <c r="W26" s="14"/>
      <c r="X26" s="49">
        <f t="shared" si="0"/>
        <v>0</v>
      </c>
      <c r="Y26" s="66"/>
    </row>
    <row r="27" spans="1:25" x14ac:dyDescent="0.4">
      <c r="A27" s="12">
        <f>MAX($A$7:A26)+1</f>
        <v>21</v>
      </c>
      <c r="B27" s="70" t="s">
        <v>313</v>
      </c>
      <c r="C27" s="71">
        <v>-0.36399999260902405</v>
      </c>
      <c r="D27" s="6">
        <f>SUM(D9:D26)</f>
        <v>184788540.80599999</v>
      </c>
      <c r="E27" s="72"/>
      <c r="F27" s="50">
        <f>SUM(F9:F26)</f>
        <v>-116632080.34520002</v>
      </c>
      <c r="G27" s="72"/>
      <c r="H27" s="69"/>
      <c r="I27" s="51">
        <f>SUM(I9:I26)</f>
        <v>-796396.50924001075</v>
      </c>
      <c r="J27" s="72"/>
      <c r="K27" s="69"/>
      <c r="L27" s="69"/>
      <c r="M27" s="51">
        <f>SUM(M9:M26)</f>
        <v>-811284.35674219579</v>
      </c>
      <c r="N27" s="72"/>
      <c r="O27" s="69"/>
      <c r="P27" s="69"/>
      <c r="Q27" s="51">
        <f>SUM(Q9:Q26)</f>
        <v>299472.23647885129</v>
      </c>
      <c r="R27" s="72"/>
      <c r="S27" s="69"/>
      <c r="T27" s="69"/>
      <c r="U27" s="51">
        <f>SUM(U9:U26)</f>
        <v>924919.66538781719</v>
      </c>
      <c r="V27" s="72"/>
      <c r="W27" s="69"/>
      <c r="X27" s="51">
        <f>SUM(X9:X26)</f>
        <v>67773171.496684447</v>
      </c>
      <c r="Y27" s="66"/>
    </row>
    <row r="28" spans="1:25" x14ac:dyDescent="0.4">
      <c r="A28" s="12">
        <f>MAX($A$7:A27)+1</f>
        <v>22</v>
      </c>
      <c r="C28" s="73"/>
      <c r="D28" s="7"/>
      <c r="F28" s="14"/>
      <c r="H28" s="14"/>
      <c r="I28" s="14"/>
      <c r="K28" s="14"/>
      <c r="L28" s="14"/>
      <c r="M28" s="14"/>
      <c r="O28" s="14"/>
      <c r="P28" s="14"/>
      <c r="Q28" s="14"/>
      <c r="S28" s="14"/>
      <c r="T28" s="14"/>
      <c r="U28" s="14"/>
      <c r="W28" s="14"/>
      <c r="X28" s="14"/>
      <c r="Y28" s="66"/>
    </row>
    <row r="29" spans="1:25" x14ac:dyDescent="0.4">
      <c r="A29" s="12">
        <f>MAX($A$7:A28)+1</f>
        <v>23</v>
      </c>
      <c r="B29" s="74">
        <v>504</v>
      </c>
      <c r="D29" s="7"/>
      <c r="F29" s="14"/>
      <c r="H29" s="14"/>
      <c r="I29" s="14"/>
      <c r="K29" s="14"/>
      <c r="L29" s="14"/>
      <c r="M29" s="14"/>
      <c r="O29" s="14"/>
      <c r="P29" s="14"/>
      <c r="Q29" s="14"/>
      <c r="S29" s="14"/>
      <c r="T29" s="14"/>
      <c r="U29" s="14"/>
      <c r="W29" s="14"/>
      <c r="X29" s="14"/>
      <c r="Y29" s="66"/>
    </row>
    <row r="30" spans="1:25" x14ac:dyDescent="0.4">
      <c r="A30" s="12">
        <f>MAX($A$7:A29)+1</f>
        <v>24</v>
      </c>
      <c r="B30" s="14" t="s">
        <v>295</v>
      </c>
      <c r="D30" s="7"/>
      <c r="F30" s="14"/>
      <c r="H30" s="14"/>
      <c r="I30" s="14"/>
      <c r="K30" s="14"/>
      <c r="L30" s="14"/>
      <c r="M30" s="14"/>
      <c r="O30" s="14"/>
      <c r="P30" s="14"/>
      <c r="Q30" s="14"/>
      <c r="S30" s="14"/>
      <c r="T30" s="14"/>
      <c r="U30" s="14"/>
      <c r="W30" s="14"/>
      <c r="X30" s="14"/>
      <c r="Y30" s="66"/>
    </row>
    <row r="31" spans="1:25" x14ac:dyDescent="0.4">
      <c r="A31" s="12">
        <f>MAX($A$7:A30)+1</f>
        <v>25</v>
      </c>
      <c r="B31" s="14" t="s">
        <v>296</v>
      </c>
      <c r="C31" s="44">
        <v>330083</v>
      </c>
      <c r="D31" s="45">
        <v>4467997.34</v>
      </c>
      <c r="E31" s="65"/>
      <c r="F31" s="14"/>
      <c r="G31" s="65"/>
      <c r="H31" s="46">
        <v>13</v>
      </c>
      <c r="I31" s="45">
        <f>(C31*H31)-D31</f>
        <v>-176918.33999999985</v>
      </c>
      <c r="J31" s="65"/>
      <c r="K31" s="44"/>
      <c r="L31" s="46"/>
      <c r="M31" s="45"/>
      <c r="N31" s="65"/>
      <c r="O31" s="44">
        <v>1789</v>
      </c>
      <c r="P31" s="46">
        <f>$H$31</f>
        <v>13</v>
      </c>
      <c r="Q31" s="45">
        <f>O31*P31</f>
        <v>23257</v>
      </c>
      <c r="R31" s="65"/>
      <c r="S31" s="44"/>
      <c r="T31" s="46"/>
      <c r="U31" s="45"/>
      <c r="V31" s="65"/>
      <c r="W31" s="44">
        <f>C31+O31</f>
        <v>331872</v>
      </c>
      <c r="X31" s="45">
        <f>D31+F31+I31+M31+Q31+U31</f>
        <v>4314336</v>
      </c>
      <c r="Y31" s="66"/>
    </row>
    <row r="32" spans="1:25" x14ac:dyDescent="0.4">
      <c r="A32" s="12">
        <f>MAX($A$7:A31)+1</f>
        <v>26</v>
      </c>
      <c r="B32" s="75" t="s">
        <v>297</v>
      </c>
      <c r="C32" s="44">
        <v>91384163</v>
      </c>
      <c r="D32" s="44">
        <v>26331956.096616071</v>
      </c>
      <c r="E32" s="65"/>
      <c r="F32" s="14"/>
      <c r="G32" s="65"/>
      <c r="H32" s="14">
        <v>0.28432000000000002</v>
      </c>
      <c r="I32" s="16">
        <f>(C32*H32)-D32</f>
        <v>-349610.87245607004</v>
      </c>
      <c r="J32" s="65"/>
      <c r="K32" s="44">
        <v>228850.287842975</v>
      </c>
      <c r="L32" s="14">
        <f>$H$32</f>
        <v>0.28432000000000002</v>
      </c>
      <c r="M32" s="44">
        <f>K32*L32</f>
        <v>65066.713839514654</v>
      </c>
      <c r="N32" s="65"/>
      <c r="O32" s="44">
        <v>313460.8399750134</v>
      </c>
      <c r="P32" s="14">
        <f>$H$32</f>
        <v>0.28432000000000002</v>
      </c>
      <c r="Q32" s="44">
        <f>O32*P32</f>
        <v>89123.186021695816</v>
      </c>
      <c r="R32" s="65"/>
      <c r="S32" s="44">
        <f>C32+K32+O32</f>
        <v>91926474.127817988</v>
      </c>
      <c r="T32" s="47">
        <v>1.0959999999999999E-2</v>
      </c>
      <c r="U32" s="44">
        <f>S32*T32</f>
        <v>1007514.156440885</v>
      </c>
      <c r="V32" s="65"/>
      <c r="W32" s="44">
        <f>C32+K32+O32</f>
        <v>91926474.127817988</v>
      </c>
      <c r="X32" s="44">
        <f>D32+F32+I32+M32+Q32+U32</f>
        <v>27144049.280462097</v>
      </c>
      <c r="Y32" s="66"/>
    </row>
    <row r="33" spans="1:25" x14ac:dyDescent="0.4">
      <c r="A33" s="12">
        <f>MAX($A$7:A32)+1</f>
        <v>27</v>
      </c>
      <c r="B33" s="75"/>
      <c r="C33" s="44"/>
      <c r="D33" s="44"/>
      <c r="E33" s="65"/>
      <c r="F33" s="14"/>
      <c r="G33" s="65"/>
      <c r="H33" s="14"/>
      <c r="I33" s="14"/>
      <c r="J33" s="65"/>
      <c r="K33" s="14"/>
      <c r="L33" s="14"/>
      <c r="M33" s="14"/>
      <c r="N33" s="65"/>
      <c r="O33" s="14"/>
      <c r="P33" s="14"/>
      <c r="Q33" s="14"/>
      <c r="R33" s="65"/>
      <c r="S33" s="14"/>
      <c r="T33" s="14"/>
      <c r="U33" s="14"/>
      <c r="V33" s="65"/>
      <c r="W33" s="14"/>
      <c r="X33" s="14"/>
      <c r="Y33" s="66"/>
    </row>
    <row r="34" spans="1:25" x14ac:dyDescent="0.4">
      <c r="A34" s="12">
        <f>MAX($A$7:A33)+1</f>
        <v>28</v>
      </c>
      <c r="B34" s="14" t="s">
        <v>298</v>
      </c>
      <c r="C34" s="44"/>
      <c r="D34" s="44"/>
      <c r="E34" s="65"/>
      <c r="F34" s="14"/>
      <c r="G34" s="65"/>
      <c r="H34" s="14"/>
      <c r="I34" s="67"/>
      <c r="J34" s="65"/>
      <c r="K34" s="14"/>
      <c r="L34" s="14"/>
      <c r="M34" s="67"/>
      <c r="N34" s="65"/>
      <c r="O34" s="14"/>
      <c r="P34" s="14"/>
      <c r="Q34" s="67"/>
      <c r="R34" s="65"/>
      <c r="S34" s="14"/>
      <c r="T34" s="14"/>
      <c r="U34" s="67"/>
      <c r="V34" s="65"/>
      <c r="W34" s="14"/>
      <c r="X34" s="67"/>
      <c r="Y34" s="66"/>
    </row>
    <row r="35" spans="1:25" x14ac:dyDescent="0.4">
      <c r="A35" s="12">
        <f>MAX($A$7:A34)+1</f>
        <v>29</v>
      </c>
      <c r="B35" s="14" t="s">
        <v>299</v>
      </c>
      <c r="C35" s="44"/>
      <c r="D35" s="44">
        <v>64264826.991710119</v>
      </c>
      <c r="F35" s="16">
        <f>-D35</f>
        <v>-64264826.991710119</v>
      </c>
      <c r="H35" s="14"/>
      <c r="I35" s="16"/>
      <c r="K35" s="14"/>
      <c r="L35" s="14"/>
      <c r="M35" s="16"/>
      <c r="O35" s="14"/>
      <c r="P35" s="14"/>
      <c r="Q35" s="16"/>
      <c r="S35" s="14"/>
      <c r="T35" s="14"/>
      <c r="U35" s="16"/>
      <c r="W35" s="14"/>
      <c r="X35" s="44">
        <f t="shared" ref="X35:X48" si="2">D35+F35+I35+M35+Q35+U35</f>
        <v>0</v>
      </c>
      <c r="Y35" s="66"/>
    </row>
    <row r="36" spans="1:25" x14ac:dyDescent="0.4">
      <c r="A36" s="12">
        <f>MAX($A$7:A35)+1</f>
        <v>30</v>
      </c>
      <c r="B36" s="14" t="s">
        <v>300</v>
      </c>
      <c r="C36" s="44"/>
      <c r="D36" s="44">
        <v>17895594.866490003</v>
      </c>
      <c r="F36" s="16">
        <f t="shared" ref="F36:F42" si="3">-D36</f>
        <v>-17895594.866490003</v>
      </c>
      <c r="H36" s="14"/>
      <c r="I36" s="14"/>
      <c r="K36" s="14"/>
      <c r="L36" s="14"/>
      <c r="M36" s="14"/>
      <c r="O36" s="14"/>
      <c r="P36" s="14"/>
      <c r="Q36" s="14"/>
      <c r="S36" s="14"/>
      <c r="T36" s="14"/>
      <c r="U36" s="14"/>
      <c r="W36" s="14"/>
      <c r="X36" s="44">
        <f t="shared" si="2"/>
        <v>0</v>
      </c>
      <c r="Y36" s="66"/>
    </row>
    <row r="37" spans="1:25" x14ac:dyDescent="0.4">
      <c r="A37" s="12">
        <f>MAX($A$7:A36)+1</f>
        <v>31</v>
      </c>
      <c r="B37" s="14" t="s">
        <v>301</v>
      </c>
      <c r="C37" s="44"/>
      <c r="D37" s="44">
        <v>482109.36307956156</v>
      </c>
      <c r="F37" s="16">
        <f t="shared" si="3"/>
        <v>-482109.36307956156</v>
      </c>
      <c r="H37" s="14"/>
      <c r="I37" s="14"/>
      <c r="K37" s="14"/>
      <c r="L37" s="14"/>
      <c r="M37" s="14"/>
      <c r="O37" s="14"/>
      <c r="P37" s="14"/>
      <c r="Q37" s="14"/>
      <c r="S37" s="14"/>
      <c r="T37" s="14"/>
      <c r="U37" s="14"/>
      <c r="W37" s="14"/>
      <c r="X37" s="44">
        <f t="shared" si="2"/>
        <v>0</v>
      </c>
      <c r="Y37" s="66"/>
    </row>
    <row r="38" spans="1:25" x14ac:dyDescent="0.4">
      <c r="A38" s="12">
        <f>MAX($A$7:A37)+1</f>
        <v>32</v>
      </c>
      <c r="B38" s="14" t="s">
        <v>302</v>
      </c>
      <c r="C38" s="44"/>
      <c r="D38" s="44">
        <v>649475.84354179015</v>
      </c>
      <c r="E38" s="65"/>
      <c r="G38" s="65"/>
      <c r="H38" s="14"/>
      <c r="I38" s="14"/>
      <c r="J38" s="65"/>
      <c r="K38" s="14"/>
      <c r="L38" s="14"/>
      <c r="M38" s="14"/>
      <c r="N38" s="65"/>
      <c r="O38" s="14"/>
      <c r="P38" s="14"/>
      <c r="Q38" s="14"/>
      <c r="R38" s="65"/>
      <c r="U38" s="16">
        <f>-D38</f>
        <v>-649475.84354179015</v>
      </c>
      <c r="V38" s="65"/>
      <c r="W38" s="14"/>
      <c r="X38" s="44">
        <f t="shared" si="2"/>
        <v>0</v>
      </c>
      <c r="Y38" s="66"/>
    </row>
    <row r="39" spans="1:25" x14ac:dyDescent="0.4">
      <c r="A39" s="12">
        <f>MAX($A$7:A38)+1</f>
        <v>33</v>
      </c>
      <c r="B39" s="14" t="s">
        <v>303</v>
      </c>
      <c r="C39" s="44"/>
      <c r="D39" s="44">
        <v>2040414.9266304746</v>
      </c>
      <c r="F39" s="16">
        <f t="shared" si="3"/>
        <v>-2040414.9266304746</v>
      </c>
      <c r="H39" s="14"/>
      <c r="I39" s="14"/>
      <c r="K39" s="14"/>
      <c r="L39" s="14"/>
      <c r="M39" s="14"/>
      <c r="O39" s="14"/>
      <c r="P39" s="14"/>
      <c r="Q39" s="14"/>
      <c r="S39" s="14"/>
      <c r="T39" s="14"/>
      <c r="U39" s="14"/>
      <c r="W39" s="14"/>
      <c r="X39" s="44">
        <f t="shared" si="2"/>
        <v>0</v>
      </c>
      <c r="Y39" s="66"/>
    </row>
    <row r="40" spans="1:25" x14ac:dyDescent="0.4">
      <c r="A40" s="12">
        <f>MAX($A$7:A39)+1</f>
        <v>34</v>
      </c>
      <c r="B40" s="14" t="s">
        <v>304</v>
      </c>
      <c r="C40" s="44"/>
      <c r="D40" s="44">
        <v>3149087.4661599998</v>
      </c>
      <c r="F40" s="16">
        <f t="shared" si="3"/>
        <v>-3149087.4661599998</v>
      </c>
      <c r="H40" s="14"/>
      <c r="I40" s="14"/>
      <c r="K40" s="14"/>
      <c r="L40" s="14"/>
      <c r="M40" s="14"/>
      <c r="O40" s="14"/>
      <c r="P40" s="14"/>
      <c r="Q40" s="14"/>
      <c r="S40" s="14"/>
      <c r="T40" s="14"/>
      <c r="U40" s="14"/>
      <c r="W40" s="14"/>
      <c r="X40" s="44">
        <f t="shared" si="2"/>
        <v>0</v>
      </c>
      <c r="Y40" s="66"/>
    </row>
    <row r="41" spans="1:25" x14ac:dyDescent="0.4">
      <c r="A41" s="12">
        <f>MAX($A$7:A40)+1</f>
        <v>35</v>
      </c>
      <c r="B41" s="14" t="s">
        <v>305</v>
      </c>
      <c r="C41" s="44"/>
      <c r="D41" s="44">
        <v>-152644.94075001043</v>
      </c>
      <c r="F41" s="16">
        <f t="shared" si="3"/>
        <v>152644.94075001043</v>
      </c>
      <c r="H41" s="14"/>
      <c r="I41" s="14"/>
      <c r="K41" s="14"/>
      <c r="L41" s="14"/>
      <c r="M41" s="14"/>
      <c r="O41" s="14"/>
      <c r="P41" s="14"/>
      <c r="Q41" s="14"/>
      <c r="S41" s="14"/>
      <c r="T41" s="14"/>
      <c r="U41" s="14"/>
      <c r="W41" s="14"/>
      <c r="X41" s="44">
        <f t="shared" si="2"/>
        <v>0</v>
      </c>
      <c r="Y41" s="66"/>
    </row>
    <row r="42" spans="1:25" x14ac:dyDescent="0.4">
      <c r="A42" s="12">
        <f>MAX($A$7:A41)+1</f>
        <v>36</v>
      </c>
      <c r="B42" s="14" t="s">
        <v>306</v>
      </c>
      <c r="C42" s="44"/>
      <c r="D42" s="44">
        <v>-211021.85031622654</v>
      </c>
      <c r="E42" s="65"/>
      <c r="F42" s="16">
        <f t="shared" si="3"/>
        <v>211021.85031622654</v>
      </c>
      <c r="G42" s="65"/>
      <c r="H42" s="14"/>
      <c r="I42" s="14"/>
      <c r="J42" s="65"/>
      <c r="K42" s="14"/>
      <c r="L42" s="14"/>
      <c r="M42" s="14"/>
      <c r="N42" s="65"/>
      <c r="O42" s="14"/>
      <c r="P42" s="14"/>
      <c r="Q42" s="14"/>
      <c r="R42" s="65"/>
      <c r="S42" s="14"/>
      <c r="T42" s="14"/>
      <c r="U42" s="14"/>
      <c r="V42" s="65"/>
      <c r="W42" s="14"/>
      <c r="X42" s="44">
        <f t="shared" si="2"/>
        <v>0</v>
      </c>
      <c r="Y42" s="66"/>
    </row>
    <row r="43" spans="1:25" x14ac:dyDescent="0.4">
      <c r="A43" s="12">
        <f>MAX($A$7:A42)+1</f>
        <v>37</v>
      </c>
      <c r="B43" s="14" t="s">
        <v>307</v>
      </c>
      <c r="C43" s="44"/>
      <c r="D43" s="44">
        <v>7181758.9399999995</v>
      </c>
      <c r="E43" s="65"/>
      <c r="F43" s="16"/>
      <c r="G43" s="65"/>
      <c r="H43" s="40"/>
      <c r="I43" s="14"/>
      <c r="J43" s="65"/>
      <c r="K43" s="14"/>
      <c r="L43" s="14"/>
      <c r="M43" s="14"/>
      <c r="N43" s="65"/>
      <c r="O43" s="14"/>
      <c r="P43" s="14"/>
      <c r="Q43" s="14"/>
      <c r="R43" s="65"/>
      <c r="S43" s="14"/>
      <c r="T43" s="14"/>
      <c r="U43" s="14"/>
      <c r="V43" s="65"/>
      <c r="W43" s="14"/>
      <c r="X43" s="44">
        <f t="shared" si="2"/>
        <v>7181758.9399999995</v>
      </c>
      <c r="Y43" s="66"/>
    </row>
    <row r="44" spans="1:25" x14ac:dyDescent="0.4">
      <c r="A44" s="12">
        <f>MAX($A$7:A43)+1</f>
        <v>38</v>
      </c>
      <c r="B44" s="14" t="s">
        <v>308</v>
      </c>
      <c r="C44" s="44"/>
      <c r="D44" s="44">
        <v>-5688.3</v>
      </c>
      <c r="E44" s="65"/>
      <c r="F44" s="16"/>
      <c r="G44" s="65"/>
      <c r="H44" s="14"/>
      <c r="I44" s="14"/>
      <c r="J44" s="65"/>
      <c r="K44" s="14"/>
      <c r="L44" s="14"/>
      <c r="M44" s="14"/>
      <c r="N44" s="65"/>
      <c r="O44" s="14"/>
      <c r="P44" s="14"/>
      <c r="Q44" s="14"/>
      <c r="R44" s="65"/>
      <c r="S44" s="14"/>
      <c r="T44" s="14"/>
      <c r="U44" s="14"/>
      <c r="V44" s="65"/>
      <c r="W44" s="14"/>
      <c r="X44" s="44">
        <f t="shared" si="2"/>
        <v>-5688.3</v>
      </c>
      <c r="Y44" s="66"/>
    </row>
    <row r="45" spans="1:25" x14ac:dyDescent="0.4">
      <c r="A45" s="12">
        <f>MAX($A$7:A44)+1</f>
        <v>39</v>
      </c>
      <c r="B45" s="14" t="s">
        <v>309</v>
      </c>
      <c r="C45" s="48"/>
      <c r="D45" s="48">
        <v>55626.009999999995</v>
      </c>
      <c r="E45" s="65"/>
      <c r="F45" s="16"/>
      <c r="G45" s="65"/>
      <c r="H45" s="14"/>
      <c r="I45" s="14"/>
      <c r="J45" s="65"/>
      <c r="K45" s="14"/>
      <c r="L45" s="14"/>
      <c r="M45" s="14"/>
      <c r="N45" s="65"/>
      <c r="O45" s="14"/>
      <c r="P45" s="14"/>
      <c r="Q45" s="14"/>
      <c r="R45" s="65"/>
      <c r="S45" s="14"/>
      <c r="T45" s="14"/>
      <c r="U45" s="14"/>
      <c r="V45" s="65"/>
      <c r="W45" s="14"/>
      <c r="X45" s="48">
        <f t="shared" si="2"/>
        <v>55626.009999999995</v>
      </c>
      <c r="Y45" s="66"/>
    </row>
    <row r="46" spans="1:25" x14ac:dyDescent="0.4">
      <c r="A46" s="12">
        <f>MAX($A$7:A45)+1</f>
        <v>40</v>
      </c>
      <c r="B46" s="76" t="s">
        <v>310</v>
      </c>
      <c r="C46" s="44"/>
      <c r="D46" s="44">
        <v>-844881.49999999988</v>
      </c>
      <c r="E46" s="65"/>
      <c r="G46" s="65"/>
      <c r="H46" s="14"/>
      <c r="I46" s="14"/>
      <c r="J46" s="65"/>
      <c r="K46" s="14"/>
      <c r="L46" s="14"/>
      <c r="M46" s="16">
        <f>-D46</f>
        <v>844881.49999999988</v>
      </c>
      <c r="N46" s="65"/>
      <c r="O46" s="14"/>
      <c r="P46" s="14"/>
      <c r="Q46" s="14"/>
      <c r="R46" s="65"/>
      <c r="S46" s="14"/>
      <c r="T46" s="14"/>
      <c r="U46" s="14"/>
      <c r="V46" s="65"/>
      <c r="W46" s="14"/>
      <c r="X46" s="48">
        <f t="shared" si="2"/>
        <v>0</v>
      </c>
      <c r="Y46" s="66"/>
    </row>
    <row r="47" spans="1:25" x14ac:dyDescent="0.4">
      <c r="A47" s="12">
        <f>MAX($A$7:A46)+1</f>
        <v>41</v>
      </c>
      <c r="B47" s="76" t="s">
        <v>311</v>
      </c>
      <c r="C47" s="14"/>
      <c r="D47" s="44">
        <v>-1929365.78</v>
      </c>
      <c r="E47" s="65"/>
      <c r="F47" s="16">
        <f>-D47</f>
        <v>1929365.78</v>
      </c>
      <c r="G47" s="65"/>
      <c r="H47" s="14"/>
      <c r="I47" s="14"/>
      <c r="J47" s="65"/>
      <c r="K47" s="14"/>
      <c r="L47" s="14"/>
      <c r="M47" s="14"/>
      <c r="N47" s="65"/>
      <c r="O47" s="14"/>
      <c r="P47" s="14"/>
      <c r="Q47" s="14"/>
      <c r="R47" s="65"/>
      <c r="S47" s="14"/>
      <c r="T47" s="14"/>
      <c r="U47" s="14"/>
      <c r="V47" s="65"/>
      <c r="W47" s="14"/>
      <c r="X47" s="48">
        <f t="shared" si="2"/>
        <v>0</v>
      </c>
      <c r="Y47" s="66"/>
    </row>
    <row r="48" spans="1:25" x14ac:dyDescent="0.4">
      <c r="A48" s="12">
        <f>MAX($A$7:A47)+1</f>
        <v>42</v>
      </c>
      <c r="B48" s="76" t="s">
        <v>312</v>
      </c>
      <c r="C48" s="14"/>
      <c r="D48" s="49">
        <v>-461591.54</v>
      </c>
      <c r="E48" s="65"/>
      <c r="F48" s="68">
        <f>-D48</f>
        <v>461591.54</v>
      </c>
      <c r="G48" s="65"/>
      <c r="H48" s="14"/>
      <c r="I48" s="69"/>
      <c r="J48" s="65"/>
      <c r="K48" s="14"/>
      <c r="L48" s="14"/>
      <c r="M48" s="69"/>
      <c r="N48" s="65"/>
      <c r="O48" s="14"/>
      <c r="P48" s="14"/>
      <c r="Q48" s="69"/>
      <c r="R48" s="65"/>
      <c r="S48" s="14"/>
      <c r="T48" s="14"/>
      <c r="U48" s="69"/>
      <c r="V48" s="65"/>
      <c r="W48" s="14"/>
      <c r="X48" s="49">
        <f t="shared" si="2"/>
        <v>0</v>
      </c>
      <c r="Y48" s="66"/>
    </row>
    <row r="49" spans="1:25" x14ac:dyDescent="0.4">
      <c r="A49" s="12">
        <f>MAX($A$7:A48)+1</f>
        <v>43</v>
      </c>
      <c r="B49" s="70" t="s">
        <v>314</v>
      </c>
      <c r="C49" s="71">
        <v>3.1617581844329834E-3</v>
      </c>
      <c r="D49" s="6">
        <f>SUM(D31:D48)</f>
        <v>122913653.93316177</v>
      </c>
      <c r="E49" s="71"/>
      <c r="F49" s="50">
        <f>SUM(F31:F48)</f>
        <v>-85077409.503003895</v>
      </c>
      <c r="G49" s="71"/>
      <c r="H49" s="69"/>
      <c r="I49" s="51">
        <f>SUM(I31:I48)</f>
        <v>-526529.21245606989</v>
      </c>
      <c r="J49" s="71"/>
      <c r="K49" s="69"/>
      <c r="L49" s="69"/>
      <c r="M49" s="51">
        <f>SUM(M31:M48)</f>
        <v>909948.21383951453</v>
      </c>
      <c r="N49" s="71"/>
      <c r="O49" s="69"/>
      <c r="P49" s="69"/>
      <c r="Q49" s="51">
        <f>SUM(Q31:Q48)</f>
        <v>112380.18602169582</v>
      </c>
      <c r="R49" s="71"/>
      <c r="S49" s="69"/>
      <c r="T49" s="69"/>
      <c r="U49" s="51">
        <f>SUM(U31:U48)</f>
        <v>358038.31289909489</v>
      </c>
      <c r="V49" s="71"/>
      <c r="W49" s="69"/>
      <c r="X49" s="51">
        <f>SUM(X31:X48)</f>
        <v>38690081.9304621</v>
      </c>
      <c r="Y49" s="66"/>
    </row>
    <row r="50" spans="1:25" x14ac:dyDescent="0.4">
      <c r="A50" s="12">
        <f>MAX($A$7:A49)+1</f>
        <v>44</v>
      </c>
      <c r="B50" s="13"/>
      <c r="D50" s="7"/>
      <c r="E50" s="8"/>
      <c r="F50" s="14"/>
      <c r="G50" s="8"/>
      <c r="H50" s="14"/>
      <c r="I50" s="14"/>
      <c r="J50" s="8"/>
      <c r="K50" s="14"/>
      <c r="L50" s="14"/>
      <c r="M50" s="14"/>
      <c r="N50" s="8"/>
      <c r="O50" s="14"/>
      <c r="P50" s="14"/>
      <c r="Q50" s="14"/>
      <c r="R50" s="8"/>
      <c r="S50" s="14"/>
      <c r="T50" s="14"/>
      <c r="U50" s="14"/>
      <c r="V50" s="8"/>
      <c r="W50" s="14"/>
      <c r="X50" s="14"/>
      <c r="Y50" s="66"/>
    </row>
    <row r="51" spans="1:25" x14ac:dyDescent="0.4">
      <c r="A51" s="12">
        <f>MAX($A$7:A50)+1</f>
        <v>45</v>
      </c>
      <c r="B51" s="74">
        <v>505</v>
      </c>
      <c r="D51" s="7"/>
      <c r="F51" s="14"/>
      <c r="H51" s="14"/>
      <c r="I51" s="14"/>
      <c r="K51" s="14"/>
      <c r="L51" s="14"/>
      <c r="M51" s="14"/>
      <c r="O51" s="14"/>
      <c r="P51" s="14"/>
      <c r="Q51" s="14"/>
      <c r="S51" s="14"/>
      <c r="T51" s="14"/>
      <c r="U51" s="14"/>
      <c r="W51" s="14"/>
      <c r="X51" s="14"/>
      <c r="Y51" s="66"/>
    </row>
    <row r="52" spans="1:25" x14ac:dyDescent="0.4">
      <c r="A52" s="12">
        <f>MAX($A$7:A51)+1</f>
        <v>46</v>
      </c>
      <c r="B52" s="14" t="s">
        <v>295</v>
      </c>
      <c r="D52" s="7"/>
      <c r="F52" s="14"/>
      <c r="H52" s="14"/>
      <c r="I52" s="14"/>
      <c r="K52" s="14"/>
      <c r="L52" s="14"/>
      <c r="M52" s="14"/>
      <c r="O52" s="14"/>
      <c r="P52" s="14"/>
      <c r="Q52" s="14"/>
      <c r="S52" s="14"/>
      <c r="T52" s="14"/>
      <c r="U52" s="14"/>
      <c r="W52" s="14"/>
      <c r="X52" s="14"/>
      <c r="Y52" s="66"/>
    </row>
    <row r="53" spans="1:25" x14ac:dyDescent="0.4">
      <c r="A53" s="12">
        <f>MAX($A$7:A52)+1</f>
        <v>47</v>
      </c>
      <c r="B53" s="29" t="s">
        <v>296</v>
      </c>
      <c r="C53" s="44">
        <v>5901</v>
      </c>
      <c r="D53" s="45">
        <v>368082</v>
      </c>
      <c r="E53" s="65"/>
      <c r="F53" s="14"/>
      <c r="G53" s="65"/>
      <c r="H53" s="46">
        <v>60</v>
      </c>
      <c r="I53" s="45">
        <f>(C53*H53)-D53</f>
        <v>-14022</v>
      </c>
      <c r="J53" s="65"/>
      <c r="K53" s="44"/>
      <c r="L53" s="46"/>
      <c r="M53" s="45"/>
      <c r="N53" s="65"/>
      <c r="O53" s="44">
        <v>39</v>
      </c>
      <c r="P53" s="46">
        <f>$H$53</f>
        <v>60</v>
      </c>
      <c r="Q53" s="45">
        <f>O53*P53</f>
        <v>2340</v>
      </c>
      <c r="R53" s="65"/>
      <c r="S53" s="44"/>
      <c r="T53" s="46"/>
      <c r="U53" s="45"/>
      <c r="V53" s="65"/>
      <c r="W53" s="44">
        <f>C53+O53</f>
        <v>5940</v>
      </c>
      <c r="X53" s="45">
        <f>D53+F53+I53+M53+Q53+U53</f>
        <v>356400</v>
      </c>
      <c r="Y53" s="66"/>
    </row>
    <row r="54" spans="1:25" x14ac:dyDescent="0.4">
      <c r="A54" s="12">
        <f>MAX($A$7:A53)+1</f>
        <v>48</v>
      </c>
      <c r="B54" s="14" t="s">
        <v>315</v>
      </c>
      <c r="C54" s="44">
        <v>1777957</v>
      </c>
      <c r="D54" s="44">
        <v>392282.23</v>
      </c>
      <c r="E54" s="65"/>
      <c r="F54" s="14"/>
      <c r="G54" s="65"/>
      <c r="H54" s="14">
        <v>0.21929000000000001</v>
      </c>
      <c r="I54" s="16">
        <f>(C54*H54)-D54</f>
        <v>-2394.0394699999597</v>
      </c>
      <c r="J54" s="65"/>
      <c r="K54" s="44"/>
      <c r="L54" s="14"/>
      <c r="M54" s="44"/>
      <c r="N54" s="65"/>
      <c r="O54" s="44">
        <v>8635.8920551969204</v>
      </c>
      <c r="P54" s="14">
        <f>$H$54</f>
        <v>0.21929000000000001</v>
      </c>
      <c r="Q54" s="44">
        <f>O54*P54</f>
        <v>1893.7647687841327</v>
      </c>
      <c r="R54" s="65"/>
      <c r="S54" s="44">
        <f>C54+O54</f>
        <v>1786592.8920551969</v>
      </c>
      <c r="T54" s="47">
        <v>9.1500000000000001E-3</v>
      </c>
      <c r="U54" s="44">
        <f>S54*T54</f>
        <v>16347.324962305052</v>
      </c>
      <c r="V54" s="65"/>
      <c r="W54" s="44">
        <f>C54+O54</f>
        <v>1786592.8920551969</v>
      </c>
      <c r="X54" s="44">
        <f>D54+F54+I54+M54+Q54+U54</f>
        <v>408129.28026108921</v>
      </c>
      <c r="Y54" s="66"/>
    </row>
    <row r="55" spans="1:25" x14ac:dyDescent="0.4">
      <c r="A55" s="12">
        <f>MAX($A$7:A54)+1</f>
        <v>49</v>
      </c>
      <c r="B55" s="14" t="s">
        <v>316</v>
      </c>
      <c r="C55" s="44">
        <v>5625345</v>
      </c>
      <c r="D55" s="44">
        <v>1019595.24</v>
      </c>
      <c r="E55" s="65"/>
      <c r="F55" s="14"/>
      <c r="G55" s="65"/>
      <c r="H55" s="14">
        <v>0.17998</v>
      </c>
      <c r="I55" s="16">
        <f>(C55*H55)-D55</f>
        <v>-7145.6468999999342</v>
      </c>
      <c r="J55" s="65"/>
      <c r="K55" s="44"/>
      <c r="L55" s="14"/>
      <c r="M55" s="44"/>
      <c r="N55" s="65"/>
      <c r="O55" s="44">
        <v>23568.680563310161</v>
      </c>
      <c r="P55" s="14">
        <f>$H$55</f>
        <v>0.17998</v>
      </c>
      <c r="Q55" s="44">
        <f>O55*P55</f>
        <v>4241.8911277845627</v>
      </c>
      <c r="R55" s="65"/>
      <c r="S55" s="44">
        <f>C55+O55</f>
        <v>5648913.6805633102</v>
      </c>
      <c r="T55" s="47">
        <v>9.1500000000000001E-3</v>
      </c>
      <c r="U55" s="44">
        <f>S55*T55</f>
        <v>51687.560177154286</v>
      </c>
      <c r="V55" s="65"/>
      <c r="W55" s="44">
        <f>C55+O55</f>
        <v>5648913.6805633102</v>
      </c>
      <c r="X55" s="44">
        <f>D55+F55+I55+M55+Q55+U55</f>
        <v>1068379.044404939</v>
      </c>
      <c r="Y55" s="66"/>
    </row>
    <row r="56" spans="1:25" x14ac:dyDescent="0.4">
      <c r="A56" s="12">
        <f>MAX($A$7:A55)+1</f>
        <v>50</v>
      </c>
      <c r="B56" s="14" t="s">
        <v>317</v>
      </c>
      <c r="C56" s="44">
        <v>4720007</v>
      </c>
      <c r="D56" s="44">
        <v>827599.44</v>
      </c>
      <c r="E56" s="65"/>
      <c r="F56" s="14"/>
      <c r="G56" s="65"/>
      <c r="H56" s="14">
        <v>0.17404</v>
      </c>
      <c r="I56" s="16">
        <f>(C56*H56)-D56</f>
        <v>-6129.4217199999839</v>
      </c>
      <c r="J56" s="65"/>
      <c r="K56" s="44"/>
      <c r="L56" s="14"/>
      <c r="M56" s="44"/>
      <c r="N56" s="65"/>
      <c r="O56" s="44">
        <v>18635.288201169111</v>
      </c>
      <c r="P56" s="14">
        <f>$H$56</f>
        <v>0.17404</v>
      </c>
      <c r="Q56" s="44">
        <f>O56*P56</f>
        <v>3243.2855585314719</v>
      </c>
      <c r="R56" s="65"/>
      <c r="S56" s="44">
        <f>C56+O56</f>
        <v>4738642.2882011691</v>
      </c>
      <c r="T56" s="47">
        <v>9.1500000000000001E-3</v>
      </c>
      <c r="U56" s="44">
        <f>S56*T56</f>
        <v>43358.5769370407</v>
      </c>
      <c r="V56" s="65"/>
      <c r="W56" s="44">
        <f>C56+O56</f>
        <v>4738642.2882011691</v>
      </c>
      <c r="X56" s="44">
        <f>D56+F56+I56+M56+Q56+U56</f>
        <v>868071.88077557215</v>
      </c>
      <c r="Y56" s="66"/>
    </row>
    <row r="57" spans="1:25" x14ac:dyDescent="0.4">
      <c r="A57" s="12">
        <f>MAX($A$7:A56)+1</f>
        <v>51</v>
      </c>
      <c r="C57" s="44"/>
      <c r="D57" s="44"/>
      <c r="E57" s="65"/>
      <c r="F57" s="14"/>
      <c r="G57" s="65"/>
      <c r="H57" s="14"/>
      <c r="I57" s="14"/>
      <c r="J57" s="65"/>
      <c r="K57" s="14"/>
      <c r="L57" s="14"/>
      <c r="M57" s="14"/>
      <c r="N57" s="65"/>
      <c r="O57" s="14"/>
      <c r="P57" s="14"/>
      <c r="Q57" s="14"/>
      <c r="R57" s="65"/>
      <c r="T57" s="14"/>
      <c r="U57" s="14"/>
      <c r="V57" s="65"/>
      <c r="W57" s="14"/>
      <c r="X57" s="14"/>
      <c r="Y57" s="66"/>
    </row>
    <row r="58" spans="1:25" x14ac:dyDescent="0.4">
      <c r="A58" s="12">
        <f>MAX($A$7:A57)+1</f>
        <v>52</v>
      </c>
      <c r="B58" s="14" t="s">
        <v>298</v>
      </c>
      <c r="C58" s="44"/>
      <c r="D58" s="44"/>
      <c r="E58" s="65"/>
      <c r="F58" s="14"/>
      <c r="G58" s="65"/>
      <c r="H58" s="14"/>
      <c r="I58" s="67"/>
      <c r="J58" s="65"/>
      <c r="K58" s="14"/>
      <c r="L58" s="14"/>
      <c r="M58" s="67"/>
      <c r="N58" s="65"/>
      <c r="O58" s="14"/>
      <c r="P58" s="14"/>
      <c r="Q58" s="67"/>
      <c r="R58" s="65"/>
      <c r="S58" s="14"/>
      <c r="T58" s="14"/>
      <c r="U58" s="67"/>
      <c r="V58" s="65"/>
      <c r="W58" s="14"/>
      <c r="X58" s="67"/>
      <c r="Y58" s="66"/>
    </row>
    <row r="59" spans="1:25" x14ac:dyDescent="0.4">
      <c r="A59" s="12">
        <f>MAX($A$7:A58)+1</f>
        <v>53</v>
      </c>
      <c r="B59" s="14" t="s">
        <v>299</v>
      </c>
      <c r="C59" s="44"/>
      <c r="D59" s="44">
        <v>8509023.0500000007</v>
      </c>
      <c r="E59" s="65"/>
      <c r="F59" s="16">
        <f>-D59</f>
        <v>-8509023.0500000007</v>
      </c>
      <c r="G59" s="65"/>
      <c r="H59" s="14"/>
      <c r="I59" s="16"/>
      <c r="J59" s="65"/>
      <c r="K59" s="14"/>
      <c r="L59" s="14"/>
      <c r="M59" s="16"/>
      <c r="N59" s="65"/>
      <c r="O59" s="14"/>
      <c r="P59" s="14"/>
      <c r="Q59" s="16"/>
      <c r="R59" s="65"/>
      <c r="S59" s="14"/>
      <c r="T59" s="14"/>
      <c r="U59" s="16"/>
      <c r="V59" s="65"/>
      <c r="W59" s="14"/>
      <c r="X59" s="44">
        <f t="shared" ref="X59:X72" si="4">D59+F59+I59+M59+Q59+U59</f>
        <v>0</v>
      </c>
      <c r="Y59" s="66"/>
    </row>
    <row r="60" spans="1:25" x14ac:dyDescent="0.4">
      <c r="A60" s="12">
        <f>MAX($A$7:A59)+1</f>
        <v>54</v>
      </c>
      <c r="B60" s="14" t="s">
        <v>300</v>
      </c>
      <c r="C60" s="44"/>
      <c r="D60" s="44">
        <v>2226367.58</v>
      </c>
      <c r="E60" s="65"/>
      <c r="F60" s="16">
        <f t="shared" ref="F60:F66" si="5">-D60</f>
        <v>-2226367.58</v>
      </c>
      <c r="G60" s="65"/>
      <c r="H60" s="14"/>
      <c r="I60" s="14"/>
      <c r="J60" s="65"/>
      <c r="K60" s="14"/>
      <c r="L60" s="14"/>
      <c r="M60" s="14"/>
      <c r="N60" s="65"/>
      <c r="O60" s="14"/>
      <c r="P60" s="14"/>
      <c r="Q60" s="14"/>
      <c r="R60" s="65"/>
      <c r="S60" s="14"/>
      <c r="T60" s="14"/>
      <c r="U60" s="14"/>
      <c r="V60" s="65"/>
      <c r="W60" s="14"/>
      <c r="X60" s="44">
        <f t="shared" si="4"/>
        <v>0</v>
      </c>
      <c r="Y60" s="66"/>
    </row>
    <row r="61" spans="1:25" x14ac:dyDescent="0.4">
      <c r="A61" s="12">
        <f>MAX($A$7:A60)+1</f>
        <v>55</v>
      </c>
      <c r="B61" s="14" t="s">
        <v>301</v>
      </c>
      <c r="C61" s="44"/>
      <c r="D61" s="44">
        <v>32370.739999999998</v>
      </c>
      <c r="E61" s="65"/>
      <c r="F61" s="16">
        <f t="shared" si="5"/>
        <v>-32370.739999999998</v>
      </c>
      <c r="G61" s="65"/>
      <c r="H61" s="14"/>
      <c r="I61" s="14"/>
      <c r="J61" s="65"/>
      <c r="K61" s="14"/>
      <c r="L61" s="14"/>
      <c r="M61" s="14"/>
      <c r="N61" s="65"/>
      <c r="O61" s="14"/>
      <c r="P61" s="14"/>
      <c r="Q61" s="14"/>
      <c r="R61" s="65"/>
      <c r="S61" s="14"/>
      <c r="T61" s="14"/>
      <c r="U61" s="14"/>
      <c r="V61" s="65"/>
      <c r="W61" s="14"/>
      <c r="X61" s="44">
        <f t="shared" si="4"/>
        <v>0</v>
      </c>
      <c r="Y61" s="66"/>
    </row>
    <row r="62" spans="1:25" x14ac:dyDescent="0.4">
      <c r="A62" s="12">
        <f>MAX($A$7:A61)+1</f>
        <v>56</v>
      </c>
      <c r="B62" s="14" t="s">
        <v>302</v>
      </c>
      <c r="C62" s="44"/>
      <c r="D62" s="44">
        <v>63981.22</v>
      </c>
      <c r="H62" s="14"/>
      <c r="I62" s="14"/>
      <c r="K62" s="14"/>
      <c r="L62" s="14"/>
      <c r="M62" s="14"/>
      <c r="O62" s="14"/>
      <c r="P62" s="14"/>
      <c r="Q62" s="14"/>
      <c r="S62" s="44"/>
      <c r="T62" s="47"/>
      <c r="U62" s="16">
        <f>-D62</f>
        <v>-63981.22</v>
      </c>
      <c r="W62" s="14"/>
      <c r="X62" s="44">
        <f t="shared" si="4"/>
        <v>0</v>
      </c>
      <c r="Y62" s="66"/>
    </row>
    <row r="63" spans="1:25" x14ac:dyDescent="0.4">
      <c r="A63" s="12">
        <f>MAX($A$7:A62)+1</f>
        <v>57</v>
      </c>
      <c r="B63" s="14" t="s">
        <v>303</v>
      </c>
      <c r="C63" s="44"/>
      <c r="D63" s="44">
        <v>162068.24999999997</v>
      </c>
      <c r="F63" s="16">
        <f t="shared" si="5"/>
        <v>-162068.24999999997</v>
      </c>
      <c r="H63" s="14"/>
      <c r="I63" s="14"/>
      <c r="K63" s="14"/>
      <c r="L63" s="14"/>
      <c r="M63" s="14"/>
      <c r="O63" s="14"/>
      <c r="P63" s="14"/>
      <c r="Q63" s="14"/>
      <c r="S63" s="14"/>
      <c r="T63" s="14"/>
      <c r="U63" s="14"/>
      <c r="W63" s="14"/>
      <c r="X63" s="44">
        <f t="shared" si="4"/>
        <v>0</v>
      </c>
      <c r="Y63" s="66"/>
    </row>
    <row r="64" spans="1:25" x14ac:dyDescent="0.4">
      <c r="A64" s="12">
        <f>MAX($A$7:A63)+1</f>
        <v>58</v>
      </c>
      <c r="B64" s="14" t="s">
        <v>304</v>
      </c>
      <c r="C64" s="44"/>
      <c r="D64" s="44">
        <v>393441.58</v>
      </c>
      <c r="F64" s="16">
        <f t="shared" si="5"/>
        <v>-393441.58</v>
      </c>
      <c r="H64" s="14"/>
      <c r="I64" s="14"/>
      <c r="K64" s="14"/>
      <c r="L64" s="14"/>
      <c r="M64" s="14"/>
      <c r="O64" s="14"/>
      <c r="P64" s="14"/>
      <c r="Q64" s="14"/>
      <c r="S64" s="14"/>
      <c r="T64" s="14"/>
      <c r="U64" s="14"/>
      <c r="W64" s="14"/>
      <c r="X64" s="44">
        <f t="shared" si="4"/>
        <v>0</v>
      </c>
      <c r="Y64" s="66"/>
    </row>
    <row r="65" spans="1:25" x14ac:dyDescent="0.4">
      <c r="A65" s="12">
        <f>MAX($A$7:A64)+1</f>
        <v>59</v>
      </c>
      <c r="B65" s="14" t="s">
        <v>305</v>
      </c>
      <c r="C65" s="44"/>
      <c r="D65" s="44">
        <v>-15401.609999999999</v>
      </c>
      <c r="E65" s="65"/>
      <c r="F65" s="16">
        <f t="shared" si="5"/>
        <v>15401.609999999999</v>
      </c>
      <c r="G65" s="65"/>
      <c r="H65" s="40"/>
      <c r="I65" s="14"/>
      <c r="J65" s="65"/>
      <c r="K65" s="14"/>
      <c r="L65" s="14"/>
      <c r="M65" s="14"/>
      <c r="N65" s="65"/>
      <c r="O65" s="14"/>
      <c r="P65" s="14"/>
      <c r="Q65" s="14"/>
      <c r="R65" s="65"/>
      <c r="S65" s="14"/>
      <c r="T65" s="14"/>
      <c r="U65" s="14"/>
      <c r="V65" s="65"/>
      <c r="W65" s="14"/>
      <c r="X65" s="44">
        <f t="shared" si="4"/>
        <v>0</v>
      </c>
      <c r="Y65" s="66"/>
    </row>
    <row r="66" spans="1:25" x14ac:dyDescent="0.4">
      <c r="A66" s="12">
        <f>MAX($A$7:A65)+1</f>
        <v>60</v>
      </c>
      <c r="B66" s="14" t="s">
        <v>306</v>
      </c>
      <c r="C66" s="44"/>
      <c r="D66" s="44">
        <v>-17794.309999999998</v>
      </c>
      <c r="E66" s="65"/>
      <c r="F66" s="16">
        <f t="shared" si="5"/>
        <v>17794.309999999998</v>
      </c>
      <c r="G66" s="65"/>
      <c r="H66" s="14"/>
      <c r="I66" s="14"/>
      <c r="J66" s="65"/>
      <c r="K66" s="14"/>
      <c r="L66" s="14"/>
      <c r="M66" s="14"/>
      <c r="N66" s="65"/>
      <c r="O66" s="14"/>
      <c r="P66" s="14"/>
      <c r="Q66" s="14"/>
      <c r="R66" s="65"/>
      <c r="S66" s="14"/>
      <c r="T66" s="14"/>
      <c r="U66" s="14"/>
      <c r="V66" s="65"/>
      <c r="W66" s="14"/>
      <c r="X66" s="44">
        <f t="shared" si="4"/>
        <v>0</v>
      </c>
      <c r="Y66" s="66"/>
    </row>
    <row r="67" spans="1:25" x14ac:dyDescent="0.4">
      <c r="A67" s="12">
        <f>MAX($A$7:A66)+1</f>
        <v>61</v>
      </c>
      <c r="B67" s="14" t="s">
        <v>307</v>
      </c>
      <c r="C67" s="44"/>
      <c r="D67" s="44">
        <v>593578.71</v>
      </c>
      <c r="E67" s="65"/>
      <c r="F67" s="16"/>
      <c r="G67" s="65"/>
      <c r="H67" s="14"/>
      <c r="I67" s="14"/>
      <c r="J67" s="65"/>
      <c r="K67" s="14"/>
      <c r="L67" s="14"/>
      <c r="M67" s="14"/>
      <c r="N67" s="65"/>
      <c r="O67" s="14"/>
      <c r="P67" s="14"/>
      <c r="Q67" s="14"/>
      <c r="R67" s="65"/>
      <c r="S67" s="14"/>
      <c r="T67" s="14"/>
      <c r="U67" s="14"/>
      <c r="V67" s="65"/>
      <c r="W67" s="14"/>
      <c r="X67" s="44">
        <f t="shared" si="4"/>
        <v>593578.71</v>
      </c>
      <c r="Y67" s="66"/>
    </row>
    <row r="68" spans="1:25" x14ac:dyDescent="0.4">
      <c r="A68" s="12">
        <f>MAX($A$7:A67)+1</f>
        <v>62</v>
      </c>
      <c r="B68" s="14" t="s">
        <v>308</v>
      </c>
      <c r="C68" s="44"/>
      <c r="D68" s="44">
        <v>0</v>
      </c>
      <c r="E68" s="65"/>
      <c r="F68" s="16"/>
      <c r="G68" s="65"/>
      <c r="H68" s="14"/>
      <c r="I68" s="14"/>
      <c r="J68" s="65"/>
      <c r="K68" s="14"/>
      <c r="L68" s="14"/>
      <c r="M68" s="14"/>
      <c r="N68" s="65"/>
      <c r="O68" s="14"/>
      <c r="P68" s="14"/>
      <c r="Q68" s="14"/>
      <c r="R68" s="65"/>
      <c r="S68" s="14"/>
      <c r="T68" s="14"/>
      <c r="U68" s="14"/>
      <c r="V68" s="65"/>
      <c r="W68" s="14"/>
      <c r="X68" s="44">
        <f t="shared" si="4"/>
        <v>0</v>
      </c>
      <c r="Y68" s="66"/>
    </row>
    <row r="69" spans="1:25" x14ac:dyDescent="0.4">
      <c r="A69" s="12">
        <f>MAX($A$7:A68)+1</f>
        <v>63</v>
      </c>
      <c r="B69" s="14" t="s">
        <v>309</v>
      </c>
      <c r="C69" s="48"/>
      <c r="D69" s="48">
        <v>23860.539999999997</v>
      </c>
      <c r="E69" s="65"/>
      <c r="F69" s="16"/>
      <c r="G69" s="65"/>
      <c r="H69" s="14"/>
      <c r="I69" s="14"/>
      <c r="J69" s="65"/>
      <c r="K69" s="14"/>
      <c r="L69" s="14"/>
      <c r="M69" s="14"/>
      <c r="N69" s="65"/>
      <c r="O69" s="14"/>
      <c r="P69" s="14"/>
      <c r="Q69" s="14"/>
      <c r="R69" s="65"/>
      <c r="S69" s="14"/>
      <c r="T69" s="14"/>
      <c r="U69" s="14"/>
      <c r="V69" s="65"/>
      <c r="W69" s="14"/>
      <c r="X69" s="44">
        <f t="shared" si="4"/>
        <v>23860.539999999997</v>
      </c>
      <c r="Y69" s="66"/>
    </row>
    <row r="70" spans="1:25" x14ac:dyDescent="0.4">
      <c r="A70" s="12">
        <f>MAX($A$7:A69)+1</f>
        <v>64</v>
      </c>
      <c r="B70" s="14" t="s">
        <v>310</v>
      </c>
      <c r="C70" s="44"/>
      <c r="D70" s="44">
        <v>-67350.22000000003</v>
      </c>
      <c r="E70" s="65"/>
      <c r="G70" s="65"/>
      <c r="H70" s="14"/>
      <c r="I70" s="14"/>
      <c r="J70" s="65"/>
      <c r="K70" s="14"/>
      <c r="L70" s="14"/>
      <c r="M70" s="16">
        <f>-D70</f>
        <v>67350.22000000003</v>
      </c>
      <c r="N70" s="65"/>
      <c r="O70" s="14"/>
      <c r="P70" s="14"/>
      <c r="Q70" s="14"/>
      <c r="R70" s="65"/>
      <c r="S70" s="14"/>
      <c r="T70" s="14"/>
      <c r="U70" s="14"/>
      <c r="V70" s="65"/>
      <c r="W70" s="14"/>
      <c r="X70" s="44">
        <f t="shared" si="4"/>
        <v>0</v>
      </c>
      <c r="Y70" s="66"/>
    </row>
    <row r="71" spans="1:25" x14ac:dyDescent="0.4">
      <c r="A71" s="12">
        <f>MAX($A$7:A70)+1</f>
        <v>65</v>
      </c>
      <c r="B71" s="14" t="s">
        <v>311</v>
      </c>
      <c r="C71" s="14"/>
      <c r="D71" s="44">
        <v>-161095.70000000004</v>
      </c>
      <c r="E71" s="65"/>
      <c r="F71" s="16">
        <f>-D71</f>
        <v>161095.70000000004</v>
      </c>
      <c r="G71" s="65"/>
      <c r="H71" s="14"/>
      <c r="I71" s="14"/>
      <c r="J71" s="65"/>
      <c r="K71" s="14"/>
      <c r="L71" s="14"/>
      <c r="M71" s="14"/>
      <c r="N71" s="65"/>
      <c r="O71" s="14"/>
      <c r="P71" s="14"/>
      <c r="Q71" s="14"/>
      <c r="R71" s="65"/>
      <c r="S71" s="14"/>
      <c r="T71" s="14"/>
      <c r="U71" s="14"/>
      <c r="V71" s="65"/>
      <c r="W71" s="14"/>
      <c r="X71" s="44">
        <f t="shared" si="4"/>
        <v>0</v>
      </c>
      <c r="Y71" s="66"/>
    </row>
    <row r="72" spans="1:25" x14ac:dyDescent="0.4">
      <c r="A72" s="12">
        <f>MAX($A$7:A71)+1</f>
        <v>66</v>
      </c>
      <c r="B72" s="14" t="s">
        <v>312</v>
      </c>
      <c r="C72" s="14"/>
      <c r="D72" s="49">
        <v>-31206.030000000002</v>
      </c>
      <c r="E72" s="65"/>
      <c r="F72" s="68">
        <f>-D72</f>
        <v>31206.030000000002</v>
      </c>
      <c r="G72" s="65"/>
      <c r="H72" s="14"/>
      <c r="I72" s="69"/>
      <c r="J72" s="65"/>
      <c r="K72" s="14"/>
      <c r="L72" s="14"/>
      <c r="M72" s="69"/>
      <c r="N72" s="65"/>
      <c r="O72" s="14"/>
      <c r="P72" s="14"/>
      <c r="Q72" s="69"/>
      <c r="R72" s="65"/>
      <c r="S72" s="14"/>
      <c r="T72" s="14"/>
      <c r="U72" s="69"/>
      <c r="V72" s="65"/>
      <c r="W72" s="14"/>
      <c r="X72" s="49">
        <f t="shared" si="4"/>
        <v>0</v>
      </c>
      <c r="Y72" s="66"/>
    </row>
    <row r="73" spans="1:25" x14ac:dyDescent="0.4">
      <c r="A73" s="12">
        <f>MAX($A$7:A72)+1</f>
        <v>67</v>
      </c>
      <c r="B73" s="70" t="s">
        <v>318</v>
      </c>
      <c r="C73" s="71">
        <v>0</v>
      </c>
      <c r="D73" s="6">
        <f>SUM(D53:D72)</f>
        <v>14319402.710000001</v>
      </c>
      <c r="E73" s="9"/>
      <c r="F73" s="50">
        <f>SUM(F53:F72)</f>
        <v>-11097773.550000003</v>
      </c>
      <c r="G73" s="9"/>
      <c r="H73" s="69"/>
      <c r="I73" s="51">
        <f>SUM(I53:I72)</f>
        <v>-29691.108089999878</v>
      </c>
      <c r="J73" s="9"/>
      <c r="K73" s="69"/>
      <c r="L73" s="69"/>
      <c r="M73" s="51">
        <f>SUM(M53:M72)</f>
        <v>67350.22000000003</v>
      </c>
      <c r="N73" s="9"/>
      <c r="O73" s="69"/>
      <c r="P73" s="69"/>
      <c r="Q73" s="51">
        <f>SUM(Q53:Q72)</f>
        <v>11718.941455100168</v>
      </c>
      <c r="R73" s="9"/>
      <c r="S73" s="69"/>
      <c r="T73" s="69"/>
      <c r="U73" s="51">
        <f>SUM(U53:U72)</f>
        <v>47412.242076500028</v>
      </c>
      <c r="V73" s="9"/>
      <c r="W73" s="69"/>
      <c r="X73" s="51">
        <f>SUM(X53:X72)</f>
        <v>3318419.4554416006</v>
      </c>
      <c r="Y73" s="66"/>
    </row>
    <row r="74" spans="1:25" x14ac:dyDescent="0.4">
      <c r="A74" s="12">
        <f>MAX($A$7:A73)+1</f>
        <v>68</v>
      </c>
      <c r="D74" s="7"/>
      <c r="F74" s="14"/>
      <c r="H74" s="14"/>
      <c r="I74" s="14"/>
      <c r="K74" s="14"/>
      <c r="L74" s="14"/>
      <c r="M74" s="14"/>
      <c r="O74" s="14"/>
      <c r="P74" s="14"/>
      <c r="Q74" s="14"/>
      <c r="S74" s="14"/>
      <c r="T74" s="14"/>
      <c r="U74" s="14"/>
      <c r="W74" s="14"/>
      <c r="X74" s="14"/>
      <c r="Y74" s="66"/>
    </row>
    <row r="75" spans="1:25" x14ac:dyDescent="0.4">
      <c r="A75" s="12">
        <f>MAX($A$7:A74)+1</f>
        <v>69</v>
      </c>
      <c r="B75" s="74">
        <v>511</v>
      </c>
      <c r="D75" s="7"/>
      <c r="F75" s="14"/>
      <c r="H75" s="14"/>
      <c r="I75" s="14"/>
      <c r="K75" s="14"/>
      <c r="L75" s="14"/>
      <c r="M75" s="14"/>
      <c r="O75" s="14"/>
      <c r="P75" s="14"/>
      <c r="Q75" s="14"/>
      <c r="S75" s="14"/>
      <c r="T75" s="14"/>
      <c r="U75" s="14"/>
      <c r="W75" s="14"/>
      <c r="X75" s="14"/>
      <c r="Y75" s="66"/>
    </row>
    <row r="76" spans="1:25" x14ac:dyDescent="0.4">
      <c r="A76" s="12">
        <f>MAX($A$7:A75)+1</f>
        <v>70</v>
      </c>
      <c r="B76" s="14" t="s">
        <v>295</v>
      </c>
      <c r="D76" s="7"/>
      <c r="F76" s="14"/>
      <c r="H76" s="14"/>
      <c r="I76" s="14"/>
      <c r="K76" s="14"/>
      <c r="L76" s="14"/>
      <c r="M76" s="14"/>
      <c r="O76" s="14"/>
      <c r="P76" s="14"/>
      <c r="Q76" s="14"/>
      <c r="S76" s="14"/>
      <c r="T76" s="14"/>
      <c r="U76" s="14"/>
      <c r="W76" s="14"/>
      <c r="X76" s="14"/>
      <c r="Y76" s="66"/>
    </row>
    <row r="77" spans="1:25" x14ac:dyDescent="0.4">
      <c r="A77" s="12">
        <f>MAX($A$7:A76)+1</f>
        <v>71</v>
      </c>
      <c r="B77" s="29" t="s">
        <v>296</v>
      </c>
      <c r="C77" s="44">
        <v>1192</v>
      </c>
      <c r="D77" s="45">
        <v>150637.5</v>
      </c>
      <c r="E77" s="10"/>
      <c r="F77" s="14"/>
      <c r="G77" s="10"/>
      <c r="H77" s="46">
        <v>125</v>
      </c>
      <c r="I77" s="45">
        <f>(C77*H77)-D77</f>
        <v>-1637.5</v>
      </c>
      <c r="J77" s="10"/>
      <c r="K77" s="44"/>
      <c r="L77" s="46"/>
      <c r="M77" s="45"/>
      <c r="N77" s="10"/>
      <c r="O77" s="44">
        <v>-4</v>
      </c>
      <c r="P77" s="46">
        <f>H77</f>
        <v>125</v>
      </c>
      <c r="Q77" s="45">
        <f>O77*P77</f>
        <v>-500</v>
      </c>
      <c r="R77" s="10"/>
      <c r="S77" s="44"/>
      <c r="T77" s="46"/>
      <c r="U77" s="45"/>
      <c r="W77" s="44">
        <f>C77+O77</f>
        <v>1188</v>
      </c>
      <c r="X77" s="45">
        <f>D77+F77+I77+M77+Q77+U77</f>
        <v>148500</v>
      </c>
      <c r="Y77" s="66"/>
    </row>
    <row r="78" spans="1:25" x14ac:dyDescent="0.4">
      <c r="A78" s="12">
        <f>MAX($A$7:A77)+1</f>
        <v>72</v>
      </c>
      <c r="B78" s="14" t="s">
        <v>319</v>
      </c>
      <c r="C78" s="44">
        <v>9910204</v>
      </c>
      <c r="D78" s="44">
        <v>1738570.0600800002</v>
      </c>
      <c r="E78" s="10"/>
      <c r="F78" s="14"/>
      <c r="G78" s="10"/>
      <c r="H78" s="14">
        <v>0.17424000000000001</v>
      </c>
      <c r="I78" s="16">
        <f>(C78*H78)-D78</f>
        <v>-11816.115120000206</v>
      </c>
      <c r="J78" s="10"/>
      <c r="K78" s="44"/>
      <c r="L78" s="14"/>
      <c r="M78" s="44"/>
      <c r="N78" s="10"/>
      <c r="O78" s="44">
        <v>-49165.158775512129</v>
      </c>
      <c r="P78" s="14">
        <f>H78</f>
        <v>0.17424000000000001</v>
      </c>
      <c r="Q78" s="44">
        <f>O78*P78</f>
        <v>-8566.5372650452337</v>
      </c>
      <c r="R78" s="10"/>
      <c r="S78" s="44">
        <f>C78+O78</f>
        <v>9861038.8412244879</v>
      </c>
      <c r="T78" s="47">
        <v>5.4099999999999999E-3</v>
      </c>
      <c r="U78" s="44">
        <f>S78*T78</f>
        <v>53348.220131024478</v>
      </c>
      <c r="V78" s="10"/>
      <c r="W78" s="44">
        <f>C78+O78</f>
        <v>9861038.8412244879</v>
      </c>
      <c r="X78" s="44">
        <f>D78+F78+I78+M78+Q78+U78</f>
        <v>1771535.6278259791</v>
      </c>
      <c r="Y78" s="66"/>
    </row>
    <row r="79" spans="1:25" x14ac:dyDescent="0.4">
      <c r="A79" s="12">
        <f>MAX($A$7:A78)+1</f>
        <v>73</v>
      </c>
      <c r="B79" s="14" t="s">
        <v>320</v>
      </c>
      <c r="C79" s="44">
        <v>5361730</v>
      </c>
      <c r="D79" s="44">
        <v>730868.70665999991</v>
      </c>
      <c r="E79" s="10"/>
      <c r="F79" s="14"/>
      <c r="G79" s="10"/>
      <c r="H79" s="14">
        <v>0.13550999999999999</v>
      </c>
      <c r="I79" s="16">
        <f>(C79*H79)-D79</f>
        <v>-4300.6743599999463</v>
      </c>
      <c r="J79" s="10"/>
      <c r="K79" s="44"/>
      <c r="L79" s="14"/>
      <c r="M79" s="44"/>
      <c r="N79" s="10"/>
      <c r="O79" s="44">
        <v>-14935.150612245314</v>
      </c>
      <c r="P79" s="14">
        <f>H79</f>
        <v>0.13550999999999999</v>
      </c>
      <c r="Q79" s="44">
        <f>O79*P79</f>
        <v>-2023.8622594653623</v>
      </c>
      <c r="R79" s="10"/>
      <c r="S79" s="44">
        <f>C79+O79</f>
        <v>5346794.8493877547</v>
      </c>
      <c r="T79" s="47">
        <v>5.4099999999999999E-3</v>
      </c>
      <c r="U79" s="44">
        <f>S79*T79</f>
        <v>28926.160135187751</v>
      </c>
      <c r="V79" s="10"/>
      <c r="W79" s="44">
        <f>C79+O79</f>
        <v>5346794.8493877547</v>
      </c>
      <c r="X79" s="44">
        <f>D79+F79+I79+M79+Q79+U79</f>
        <v>753470.33017572237</v>
      </c>
      <c r="Y79" s="66"/>
    </row>
    <row r="80" spans="1:25" x14ac:dyDescent="0.4">
      <c r="A80" s="12">
        <f>MAX($A$7:A79)+1</f>
        <v>74</v>
      </c>
      <c r="B80" s="14" t="s">
        <v>321</v>
      </c>
      <c r="C80" s="44">
        <v>1490771</v>
      </c>
      <c r="D80" s="44">
        <v>59655.990000000005</v>
      </c>
      <c r="E80" s="10"/>
      <c r="F80" s="14"/>
      <c r="G80" s="10"/>
      <c r="H80" s="77">
        <v>3.9699999999999999E-2</v>
      </c>
      <c r="I80" s="16">
        <f>(C80*H80)-D80</f>
        <v>-472.3813000000082</v>
      </c>
      <c r="J80" s="10"/>
      <c r="K80" s="44"/>
      <c r="L80" s="14"/>
      <c r="M80" s="44"/>
      <c r="N80" s="10"/>
      <c r="O80" s="44">
        <v>-9927.2504081632942</v>
      </c>
      <c r="P80" s="77">
        <f>H80</f>
        <v>3.9699999999999999E-2</v>
      </c>
      <c r="Q80" s="44">
        <f>O80*P80</f>
        <v>-394.11184120408279</v>
      </c>
      <c r="R80" s="10"/>
      <c r="S80" s="44">
        <f>C80+O80</f>
        <v>1480843.7495918367</v>
      </c>
      <c r="T80" s="47">
        <v>5.4099999999999999E-3</v>
      </c>
      <c r="U80" s="44">
        <f>S80*T80</f>
        <v>8011.3646852918364</v>
      </c>
      <c r="W80" s="44">
        <f>C80+O80</f>
        <v>1480843.7495918367</v>
      </c>
      <c r="X80" s="44">
        <f>D80+F80+I80+M80+Q80+U80</f>
        <v>66800.861544087747</v>
      </c>
      <c r="Y80" s="66"/>
    </row>
    <row r="81" spans="1:25" x14ac:dyDescent="0.4">
      <c r="A81" s="12">
        <f>MAX($A$7:A80)+1</f>
        <v>75</v>
      </c>
      <c r="C81" s="44"/>
      <c r="D81" s="44"/>
      <c r="E81" s="10"/>
      <c r="F81" s="14"/>
      <c r="G81" s="10"/>
      <c r="H81" s="14"/>
      <c r="I81" s="14"/>
      <c r="J81" s="10"/>
      <c r="K81" s="14"/>
      <c r="L81" s="14"/>
      <c r="M81" s="14"/>
      <c r="N81" s="10"/>
      <c r="O81" s="14"/>
      <c r="P81" s="14"/>
      <c r="Q81" s="14"/>
      <c r="R81" s="10"/>
      <c r="T81" s="14"/>
      <c r="U81" s="14"/>
      <c r="V81" s="10"/>
      <c r="W81" s="14"/>
      <c r="X81" s="14"/>
      <c r="Y81" s="66"/>
    </row>
    <row r="82" spans="1:25" x14ac:dyDescent="0.4">
      <c r="A82" s="12">
        <f>MAX($A$7:A81)+1</f>
        <v>76</v>
      </c>
      <c r="B82" s="14" t="s">
        <v>298</v>
      </c>
      <c r="C82" s="44"/>
      <c r="D82" s="44"/>
      <c r="E82" s="10"/>
      <c r="F82" s="14"/>
      <c r="G82" s="10"/>
      <c r="H82" s="14"/>
      <c r="I82" s="67"/>
      <c r="J82" s="10"/>
      <c r="K82" s="14"/>
      <c r="L82" s="14"/>
      <c r="M82" s="67"/>
      <c r="N82" s="10"/>
      <c r="O82" s="14"/>
      <c r="P82" s="14"/>
      <c r="Q82" s="67"/>
      <c r="R82" s="10"/>
      <c r="S82" s="14"/>
      <c r="T82" s="14"/>
      <c r="U82" s="67"/>
      <c r="V82" s="10"/>
      <c r="W82" s="14"/>
      <c r="X82" s="67"/>
      <c r="Y82" s="66"/>
    </row>
    <row r="83" spans="1:25" x14ac:dyDescent="0.4">
      <c r="A83" s="12">
        <f>MAX($A$7:A82)+1</f>
        <v>77</v>
      </c>
      <c r="B83" s="14" t="s">
        <v>299</v>
      </c>
      <c r="C83" s="44"/>
      <c r="D83" s="48">
        <v>11626518.642040001</v>
      </c>
      <c r="E83" s="10"/>
      <c r="F83" s="16">
        <f>-D83</f>
        <v>-11626518.642040001</v>
      </c>
      <c r="G83" s="10"/>
      <c r="H83" s="14"/>
      <c r="I83" s="16"/>
      <c r="J83" s="10"/>
      <c r="K83" s="14"/>
      <c r="L83" s="14"/>
      <c r="M83" s="16"/>
      <c r="N83" s="10"/>
      <c r="O83" s="14"/>
      <c r="P83" s="14"/>
      <c r="Q83" s="16"/>
      <c r="R83" s="10"/>
      <c r="S83" s="14"/>
      <c r="T83" s="14"/>
      <c r="U83" s="16"/>
      <c r="V83" s="10"/>
      <c r="W83" s="14"/>
      <c r="X83" s="48">
        <f t="shared" ref="X83:X97" si="6">D83+F83+I83+M83+Q83+U83</f>
        <v>0</v>
      </c>
      <c r="Y83" s="66"/>
    </row>
    <row r="84" spans="1:25" x14ac:dyDescent="0.4">
      <c r="A84" s="12">
        <f>MAX($A$7:A83)+1</f>
        <v>78</v>
      </c>
      <c r="B84" s="14" t="s">
        <v>300</v>
      </c>
      <c r="C84" s="44"/>
      <c r="D84" s="48">
        <v>3148052.3191599995</v>
      </c>
      <c r="E84" s="10"/>
      <c r="F84" s="16">
        <f t="shared" ref="F84:F90" si="7">-D84</f>
        <v>-3148052.3191599995</v>
      </c>
      <c r="G84" s="10"/>
      <c r="H84" s="14"/>
      <c r="I84" s="14"/>
      <c r="J84" s="10"/>
      <c r="K84" s="14"/>
      <c r="L84" s="14"/>
      <c r="M84" s="14"/>
      <c r="N84" s="10"/>
      <c r="O84" s="14"/>
      <c r="P84" s="14"/>
      <c r="Q84" s="14"/>
      <c r="R84" s="10"/>
      <c r="S84" s="14"/>
      <c r="T84" s="14"/>
      <c r="U84" s="14"/>
      <c r="V84" s="10"/>
      <c r="W84" s="14"/>
      <c r="X84" s="48">
        <f t="shared" si="6"/>
        <v>0</v>
      </c>
      <c r="Y84" s="66"/>
    </row>
    <row r="85" spans="1:25" x14ac:dyDescent="0.4">
      <c r="A85" s="12">
        <f>MAX($A$7:A84)+1</f>
        <v>79</v>
      </c>
      <c r="B85" s="14" t="s">
        <v>301</v>
      </c>
      <c r="C85" s="44"/>
      <c r="D85" s="48">
        <v>41124.533519999997</v>
      </c>
      <c r="E85" s="10"/>
      <c r="F85" s="16">
        <f t="shared" si="7"/>
        <v>-41124.533519999997</v>
      </c>
      <c r="G85" s="10"/>
      <c r="H85" s="14"/>
      <c r="I85" s="14"/>
      <c r="J85" s="10"/>
      <c r="K85" s="14"/>
      <c r="L85" s="14"/>
      <c r="M85" s="14"/>
      <c r="N85" s="10"/>
      <c r="O85" s="14"/>
      <c r="P85" s="14"/>
      <c r="Q85" s="14"/>
      <c r="R85" s="10"/>
      <c r="S85" s="14"/>
      <c r="T85" s="14"/>
      <c r="U85" s="14"/>
      <c r="V85" s="10"/>
      <c r="W85" s="14"/>
      <c r="X85" s="48">
        <f t="shared" si="6"/>
        <v>0</v>
      </c>
      <c r="Y85" s="66"/>
    </row>
    <row r="86" spans="1:25" x14ac:dyDescent="0.4">
      <c r="A86" s="12">
        <f>MAX($A$7:A85)+1</f>
        <v>80</v>
      </c>
      <c r="B86" s="14" t="s">
        <v>302</v>
      </c>
      <c r="C86" s="44"/>
      <c r="D86" s="48">
        <v>50618.110060000006</v>
      </c>
      <c r="H86" s="14"/>
      <c r="I86" s="14"/>
      <c r="K86" s="14"/>
      <c r="L86" s="14"/>
      <c r="M86" s="14"/>
      <c r="O86" s="14"/>
      <c r="P86" s="14"/>
      <c r="Q86" s="14"/>
      <c r="S86" s="44"/>
      <c r="T86" s="47"/>
      <c r="U86" s="16">
        <f>-D86</f>
        <v>-50618.110060000006</v>
      </c>
      <c r="W86" s="14"/>
      <c r="X86" s="48">
        <f t="shared" si="6"/>
        <v>0</v>
      </c>
      <c r="Y86" s="66"/>
    </row>
    <row r="87" spans="1:25" x14ac:dyDescent="0.4">
      <c r="A87" s="12">
        <f>MAX($A$7:A86)+1</f>
        <v>81</v>
      </c>
      <c r="B87" s="14" t="s">
        <v>303</v>
      </c>
      <c r="C87" s="44"/>
      <c r="D87" s="48">
        <v>-381677.62925999996</v>
      </c>
      <c r="E87" s="64"/>
      <c r="F87" s="16">
        <f t="shared" si="7"/>
        <v>381677.62925999996</v>
      </c>
      <c r="G87" s="64"/>
      <c r="H87" s="14"/>
      <c r="I87" s="14"/>
      <c r="J87" s="64"/>
      <c r="K87" s="14"/>
      <c r="L87" s="14"/>
      <c r="M87" s="14"/>
      <c r="N87" s="64"/>
      <c r="O87" s="14"/>
      <c r="P87" s="14"/>
      <c r="Q87" s="14"/>
      <c r="R87" s="64"/>
      <c r="S87" s="14"/>
      <c r="T87" s="14"/>
      <c r="U87" s="14"/>
      <c r="V87" s="64"/>
      <c r="W87" s="14"/>
      <c r="X87" s="48">
        <f t="shared" si="6"/>
        <v>0</v>
      </c>
      <c r="Y87" s="66"/>
    </row>
    <row r="88" spans="1:25" x14ac:dyDescent="0.4">
      <c r="A88" s="12">
        <f>MAX($A$7:A87)+1</f>
        <v>82</v>
      </c>
      <c r="B88" s="14" t="s">
        <v>304</v>
      </c>
      <c r="C88" s="44"/>
      <c r="D88" s="48">
        <v>555335.28095999989</v>
      </c>
      <c r="F88" s="16">
        <f t="shared" si="7"/>
        <v>-555335.28095999989</v>
      </c>
      <c r="H88" s="14"/>
      <c r="I88" s="14"/>
      <c r="K88" s="14"/>
      <c r="L88" s="14"/>
      <c r="M88" s="14"/>
      <c r="O88" s="14"/>
      <c r="P88" s="14"/>
      <c r="Q88" s="14"/>
      <c r="S88" s="14"/>
      <c r="T88" s="14"/>
      <c r="U88" s="14"/>
      <c r="W88" s="14"/>
      <c r="X88" s="48">
        <f t="shared" si="6"/>
        <v>0</v>
      </c>
      <c r="Y88" s="66"/>
    </row>
    <row r="89" spans="1:25" x14ac:dyDescent="0.4">
      <c r="A89" s="12">
        <f>MAX($A$7:A88)+1</f>
        <v>83</v>
      </c>
      <c r="B89" s="14" t="s">
        <v>305</v>
      </c>
      <c r="C89" s="44"/>
      <c r="D89" s="48">
        <v>-16436.509999999998</v>
      </c>
      <c r="F89" s="16">
        <f t="shared" si="7"/>
        <v>16436.509999999998</v>
      </c>
      <c r="H89" s="14"/>
      <c r="I89" s="14"/>
      <c r="K89" s="14"/>
      <c r="L89" s="14"/>
      <c r="M89" s="14"/>
      <c r="O89" s="14"/>
      <c r="P89" s="14"/>
      <c r="Q89" s="14"/>
      <c r="S89" s="14"/>
      <c r="T89" s="14"/>
      <c r="U89" s="14"/>
      <c r="W89" s="14"/>
      <c r="X89" s="48">
        <f t="shared" si="6"/>
        <v>0</v>
      </c>
      <c r="Y89" s="66"/>
    </row>
    <row r="90" spans="1:25" x14ac:dyDescent="0.4">
      <c r="A90" s="12">
        <f>MAX($A$7:A89)+1</f>
        <v>84</v>
      </c>
      <c r="B90" s="14" t="s">
        <v>306</v>
      </c>
      <c r="C90" s="44"/>
      <c r="D90" s="48">
        <v>-20142.350899999998</v>
      </c>
      <c r="F90" s="16">
        <f t="shared" si="7"/>
        <v>20142.350899999998</v>
      </c>
      <c r="H90" s="14"/>
      <c r="I90" s="14"/>
      <c r="K90" s="14"/>
      <c r="L90" s="14"/>
      <c r="M90" s="14"/>
      <c r="O90" s="14"/>
      <c r="P90" s="14"/>
      <c r="Q90" s="14"/>
      <c r="S90" s="14"/>
      <c r="T90" s="14"/>
      <c r="U90" s="14"/>
      <c r="W90" s="14"/>
      <c r="X90" s="48">
        <f t="shared" si="6"/>
        <v>0</v>
      </c>
      <c r="Y90" s="66"/>
    </row>
    <row r="91" spans="1:25" x14ac:dyDescent="0.4">
      <c r="A91" s="12">
        <f>MAX($A$7:A90)+1</f>
        <v>85</v>
      </c>
      <c r="B91" s="14" t="s">
        <v>307</v>
      </c>
      <c r="C91" s="44"/>
      <c r="D91" s="48">
        <v>613500.08000000007</v>
      </c>
      <c r="E91" s="64"/>
      <c r="F91" s="16"/>
      <c r="G91" s="64"/>
      <c r="H91" s="14"/>
      <c r="I91" s="14"/>
      <c r="J91" s="64"/>
      <c r="K91" s="14"/>
      <c r="L91" s="14"/>
      <c r="M91" s="14"/>
      <c r="N91" s="64"/>
      <c r="O91" s="14"/>
      <c r="P91" s="14"/>
      <c r="Q91" s="14"/>
      <c r="R91" s="64"/>
      <c r="S91" s="14"/>
      <c r="T91" s="14"/>
      <c r="U91" s="14"/>
      <c r="V91" s="64"/>
      <c r="W91" s="14"/>
      <c r="X91" s="48">
        <f t="shared" si="6"/>
        <v>613500.08000000007</v>
      </c>
      <c r="Y91" s="66"/>
    </row>
    <row r="92" spans="1:25" x14ac:dyDescent="0.4">
      <c r="A92" s="12">
        <f>MAX($A$7:A91)+1</f>
        <v>86</v>
      </c>
      <c r="B92" s="14" t="s">
        <v>308</v>
      </c>
      <c r="C92" s="44"/>
      <c r="D92" s="48">
        <v>-2778.92</v>
      </c>
      <c r="E92" s="64"/>
      <c r="F92" s="16"/>
      <c r="G92" s="64"/>
      <c r="H92" s="14"/>
      <c r="I92" s="14"/>
      <c r="J92" s="64"/>
      <c r="K92" s="14"/>
      <c r="L92" s="14"/>
      <c r="M92" s="14"/>
      <c r="N92" s="64"/>
      <c r="O92" s="14"/>
      <c r="P92" s="14"/>
      <c r="Q92" s="14"/>
      <c r="R92" s="64"/>
      <c r="S92" s="14"/>
      <c r="T92" s="14"/>
      <c r="U92" s="14"/>
      <c r="V92" s="64"/>
      <c r="W92" s="14"/>
      <c r="X92" s="48">
        <f t="shared" si="6"/>
        <v>-2778.92</v>
      </c>
      <c r="Y92" s="66"/>
    </row>
    <row r="93" spans="1:25" x14ac:dyDescent="0.4">
      <c r="A93" s="12">
        <f>MAX($A$7:A92)+1</f>
        <v>87</v>
      </c>
      <c r="B93" s="14" t="s">
        <v>309</v>
      </c>
      <c r="C93" s="48"/>
      <c r="D93" s="48">
        <v>6384.01</v>
      </c>
      <c r="E93" s="64"/>
      <c r="F93" s="16"/>
      <c r="G93" s="64"/>
      <c r="H93" s="14"/>
      <c r="I93" s="14"/>
      <c r="J93" s="64"/>
      <c r="K93" s="14"/>
      <c r="L93" s="14"/>
      <c r="M93" s="14"/>
      <c r="N93" s="64"/>
      <c r="O93" s="14"/>
      <c r="P93" s="14"/>
      <c r="Q93" s="14"/>
      <c r="R93" s="64"/>
      <c r="S93" s="14"/>
      <c r="T93" s="14"/>
      <c r="U93" s="14"/>
      <c r="V93" s="64"/>
      <c r="W93" s="14"/>
      <c r="X93" s="48">
        <f t="shared" si="6"/>
        <v>6384.01</v>
      </c>
      <c r="Y93" s="66"/>
    </row>
    <row r="94" spans="1:25" x14ac:dyDescent="0.4">
      <c r="A94" s="12">
        <f>MAX($A$7:A93)+1</f>
        <v>88</v>
      </c>
      <c r="B94" s="14" t="s">
        <v>322</v>
      </c>
      <c r="C94" s="48"/>
      <c r="D94" s="48">
        <v>13049.799920000003</v>
      </c>
      <c r="E94" s="64"/>
      <c r="F94" s="16">
        <f>-D94</f>
        <v>-13049.799920000003</v>
      </c>
      <c r="G94" s="64"/>
      <c r="H94" s="14"/>
      <c r="I94" s="14"/>
      <c r="J94" s="64"/>
      <c r="K94" s="14"/>
      <c r="L94" s="14"/>
      <c r="M94" s="14"/>
      <c r="N94" s="64"/>
      <c r="O94" s="14"/>
      <c r="P94" s="14"/>
      <c r="Q94" s="14"/>
      <c r="R94" s="64"/>
      <c r="S94" s="14"/>
      <c r="T94" s="14"/>
      <c r="U94" s="14"/>
      <c r="V94" s="64"/>
      <c r="W94" s="14"/>
      <c r="X94" s="48">
        <f t="shared" si="6"/>
        <v>0</v>
      </c>
      <c r="Y94" s="66"/>
    </row>
    <row r="95" spans="1:25" x14ac:dyDescent="0.4">
      <c r="A95" s="12">
        <f>MAX($A$7:A94)+1</f>
        <v>89</v>
      </c>
      <c r="B95" s="14" t="s">
        <v>310</v>
      </c>
      <c r="C95" s="44"/>
      <c r="D95" s="44">
        <v>459207.1399999999</v>
      </c>
      <c r="E95" s="64"/>
      <c r="G95" s="64"/>
      <c r="H95" s="14"/>
      <c r="I95" s="14"/>
      <c r="J95" s="64"/>
      <c r="K95" s="14"/>
      <c r="L95" s="14"/>
      <c r="M95" s="16">
        <f>-D95</f>
        <v>-459207.1399999999</v>
      </c>
      <c r="N95" s="64"/>
      <c r="O95" s="14"/>
      <c r="P95" s="14"/>
      <c r="Q95" s="14"/>
      <c r="R95" s="64"/>
      <c r="S95" s="14"/>
      <c r="T95" s="14"/>
      <c r="U95" s="14"/>
      <c r="V95" s="64"/>
      <c r="W95" s="14"/>
      <c r="X95" s="48">
        <f t="shared" si="6"/>
        <v>0</v>
      </c>
      <c r="Y95" s="66"/>
    </row>
    <row r="96" spans="1:25" x14ac:dyDescent="0.4">
      <c r="A96" s="12">
        <f>MAX($A$7:A95)+1</f>
        <v>90</v>
      </c>
      <c r="B96" s="14" t="s">
        <v>311</v>
      </c>
      <c r="C96" s="14"/>
      <c r="D96" s="44">
        <v>380403.25</v>
      </c>
      <c r="E96" s="64"/>
      <c r="F96" s="16">
        <f>-D96</f>
        <v>-380403.25</v>
      </c>
      <c r="G96" s="64"/>
      <c r="H96" s="14"/>
      <c r="I96" s="14"/>
      <c r="J96" s="64"/>
      <c r="K96" s="14"/>
      <c r="L96" s="14"/>
      <c r="M96" s="14"/>
      <c r="N96" s="64"/>
      <c r="O96" s="14"/>
      <c r="P96" s="14"/>
      <c r="Q96" s="14"/>
      <c r="R96" s="64"/>
      <c r="S96" s="14"/>
      <c r="T96" s="14"/>
      <c r="U96" s="14"/>
      <c r="V96" s="64"/>
      <c r="W96" s="14"/>
      <c r="X96" s="48">
        <f t="shared" si="6"/>
        <v>0</v>
      </c>
      <c r="Y96" s="66"/>
    </row>
    <row r="97" spans="1:25" x14ac:dyDescent="0.4">
      <c r="A97" s="12">
        <f>MAX($A$7:A96)+1</f>
        <v>91</v>
      </c>
      <c r="B97" s="14" t="s">
        <v>312</v>
      </c>
      <c r="C97" s="44"/>
      <c r="D97" s="49">
        <v>-39407.5</v>
      </c>
      <c r="E97" s="64"/>
      <c r="F97" s="68">
        <f>-D97</f>
        <v>39407.5</v>
      </c>
      <c r="G97" s="64"/>
      <c r="H97" s="14"/>
      <c r="I97" s="69"/>
      <c r="J97" s="64"/>
      <c r="K97" s="14"/>
      <c r="L97" s="14"/>
      <c r="M97" s="69"/>
      <c r="N97" s="64"/>
      <c r="O97" s="14"/>
      <c r="P97" s="14"/>
      <c r="Q97" s="69"/>
      <c r="R97" s="64"/>
      <c r="S97" s="14"/>
      <c r="T97" s="14"/>
      <c r="U97" s="69"/>
      <c r="V97" s="64"/>
      <c r="W97" s="14"/>
      <c r="X97" s="49">
        <f t="shared" si="6"/>
        <v>0</v>
      </c>
      <c r="Y97" s="66"/>
    </row>
    <row r="98" spans="1:25" x14ac:dyDescent="0.4">
      <c r="A98" s="12">
        <f>MAX($A$7:A97)+1</f>
        <v>92</v>
      </c>
      <c r="B98" s="70" t="s">
        <v>323</v>
      </c>
      <c r="C98" s="71">
        <v>2.2399984300136566E-3</v>
      </c>
      <c r="D98" s="6">
        <f>SUM(D77:D97)</f>
        <v>19113482.512239996</v>
      </c>
      <c r="E98" s="72"/>
      <c r="F98" s="50">
        <f>SUM(F77:F97)</f>
        <v>-15306819.835440001</v>
      </c>
      <c r="G98" s="72"/>
      <c r="H98" s="69"/>
      <c r="I98" s="51">
        <f>SUM(I77:I97)</f>
        <v>-18226.67078000016</v>
      </c>
      <c r="J98" s="72"/>
      <c r="K98" s="69"/>
      <c r="L98" s="69"/>
      <c r="M98" s="51">
        <f>SUM(M77:M97)</f>
        <v>-459207.1399999999</v>
      </c>
      <c r="N98" s="72"/>
      <c r="O98" s="69"/>
      <c r="P98" s="69"/>
      <c r="Q98" s="51">
        <f>SUM(Q77:Q97)</f>
        <v>-11484.511365714679</v>
      </c>
      <c r="R98" s="72"/>
      <c r="S98" s="69"/>
      <c r="T98" s="69"/>
      <c r="U98" s="51">
        <f>SUM(U77:U97)</f>
        <v>39667.634891504058</v>
      </c>
      <c r="V98" s="72"/>
      <c r="W98" s="69"/>
      <c r="X98" s="51">
        <f>SUM(X77:X97)</f>
        <v>3357411.9895457891</v>
      </c>
      <c r="Y98" s="66"/>
    </row>
    <row r="99" spans="1:25" x14ac:dyDescent="0.4">
      <c r="A99" s="12">
        <f>MAX($A$7:A98)+1</f>
        <v>93</v>
      </c>
      <c r="B99" s="13"/>
      <c r="C99" s="64"/>
      <c r="D99" s="11"/>
      <c r="E99" s="64"/>
      <c r="F99" s="14"/>
      <c r="G99" s="64"/>
      <c r="H99" s="14"/>
      <c r="I99" s="14"/>
      <c r="J99" s="64"/>
      <c r="K99" s="14"/>
      <c r="L99" s="14"/>
      <c r="M99" s="14"/>
      <c r="N99" s="64"/>
      <c r="O99" s="14"/>
      <c r="P99" s="14"/>
      <c r="Q99" s="14"/>
      <c r="R99" s="64"/>
      <c r="S99" s="14"/>
      <c r="T99" s="14"/>
      <c r="U99" s="14"/>
      <c r="V99" s="64"/>
      <c r="W99" s="14"/>
      <c r="X99" s="14"/>
      <c r="Y99" s="66"/>
    </row>
    <row r="100" spans="1:25" x14ac:dyDescent="0.4">
      <c r="A100" s="12">
        <f>MAX($A$7:A99)+1</f>
        <v>94</v>
      </c>
      <c r="B100" s="74">
        <v>570</v>
      </c>
      <c r="D100" s="7"/>
      <c r="F100" s="14"/>
      <c r="H100" s="14"/>
      <c r="I100" s="14"/>
      <c r="K100" s="14"/>
      <c r="L100" s="14"/>
      <c r="M100" s="14"/>
      <c r="O100" s="14"/>
      <c r="P100" s="14"/>
      <c r="Q100" s="14"/>
      <c r="S100" s="14"/>
      <c r="T100" s="14"/>
      <c r="U100" s="14"/>
      <c r="W100" s="14"/>
      <c r="X100" s="14"/>
      <c r="Y100" s="66"/>
    </row>
    <row r="101" spans="1:25" x14ac:dyDescent="0.4">
      <c r="A101" s="12">
        <f>MAX($A$7:A100)+1</f>
        <v>95</v>
      </c>
      <c r="B101" s="14" t="s">
        <v>295</v>
      </c>
      <c r="D101" s="7"/>
      <c r="F101" s="14"/>
      <c r="H101" s="14"/>
      <c r="I101" s="14"/>
      <c r="K101" s="14"/>
      <c r="L101" s="14"/>
      <c r="M101" s="14"/>
      <c r="O101" s="14"/>
      <c r="P101" s="14"/>
      <c r="Q101" s="14"/>
      <c r="S101" s="14"/>
      <c r="T101" s="14"/>
      <c r="U101" s="14"/>
      <c r="W101" s="14"/>
      <c r="X101" s="14"/>
      <c r="Y101" s="66"/>
    </row>
    <row r="102" spans="1:25" x14ac:dyDescent="0.4">
      <c r="A102" s="12">
        <f>MAX($A$7:A101)+1</f>
        <v>96</v>
      </c>
      <c r="B102" s="29" t="s">
        <v>296</v>
      </c>
      <c r="C102" s="44">
        <v>84</v>
      </c>
      <c r="D102" s="45">
        <v>13692</v>
      </c>
      <c r="E102" s="65"/>
      <c r="F102" s="14"/>
      <c r="G102" s="65"/>
      <c r="H102" s="46">
        <v>163</v>
      </c>
      <c r="I102" s="45">
        <f>(C102*H102)-D102</f>
        <v>0</v>
      </c>
      <c r="J102" s="65"/>
      <c r="K102" s="44"/>
      <c r="L102" s="46"/>
      <c r="M102" s="45"/>
      <c r="N102" s="65"/>
      <c r="O102" s="44">
        <v>0</v>
      </c>
      <c r="P102" s="46">
        <f>H102</f>
        <v>163</v>
      </c>
      <c r="Q102" s="45">
        <f>O102*P102</f>
        <v>0</v>
      </c>
      <c r="R102" s="65"/>
      <c r="S102" s="44"/>
      <c r="T102" s="46"/>
      <c r="U102" s="45"/>
      <c r="V102" s="65"/>
      <c r="W102" s="44">
        <f>C102+O102</f>
        <v>84</v>
      </c>
      <c r="X102" s="45">
        <f>D102+F102+I102+M102+Q102+U102</f>
        <v>13692</v>
      </c>
      <c r="Y102" s="66"/>
    </row>
    <row r="103" spans="1:25" x14ac:dyDescent="0.4">
      <c r="A103" s="12">
        <f>MAX($A$7:A102)+1</f>
        <v>97</v>
      </c>
      <c r="B103" s="14" t="s">
        <v>324</v>
      </c>
      <c r="C103" s="44">
        <v>1086598</v>
      </c>
      <c r="D103" s="44">
        <v>107317.05</v>
      </c>
      <c r="E103" s="65"/>
      <c r="F103" s="14"/>
      <c r="G103" s="65"/>
      <c r="H103" s="14">
        <v>9.8379999999999995E-2</v>
      </c>
      <c r="I103" s="16">
        <f>(C103*H103)-D103</f>
        <v>-417.53876000001037</v>
      </c>
      <c r="J103" s="65"/>
      <c r="K103" s="44"/>
      <c r="L103" s="14"/>
      <c r="M103" s="44"/>
      <c r="N103" s="65"/>
      <c r="O103" s="44">
        <v>0</v>
      </c>
      <c r="P103" s="14">
        <f>H103</f>
        <v>9.8379999999999995E-2</v>
      </c>
      <c r="Q103" s="44">
        <f>O103*P103</f>
        <v>0</v>
      </c>
      <c r="R103" s="65"/>
      <c r="S103" s="44">
        <f>C103+O103</f>
        <v>1086598</v>
      </c>
      <c r="T103" s="47">
        <v>6.13E-3</v>
      </c>
      <c r="U103" s="44">
        <f>S103*T103</f>
        <v>6660.8457399999998</v>
      </c>
      <c r="V103" s="65"/>
      <c r="W103" s="44">
        <f>C103+O103</f>
        <v>1086598</v>
      </c>
      <c r="X103" s="44">
        <f>D103+F103+I103+M103+Q103+U103</f>
        <v>113560.35698</v>
      </c>
      <c r="Y103" s="66"/>
    </row>
    <row r="104" spans="1:25" x14ac:dyDescent="0.4">
      <c r="A104" s="12">
        <f>MAX($A$7:A103)+1</f>
        <v>98</v>
      </c>
      <c r="B104" s="14" t="s">
        <v>325</v>
      </c>
      <c r="C104" s="44">
        <v>1011000</v>
      </c>
      <c r="D104" s="44">
        <v>33551.170000000006</v>
      </c>
      <c r="E104" s="65"/>
      <c r="F104" s="14"/>
      <c r="G104" s="65"/>
      <c r="H104" s="14">
        <v>3.3009999999999998E-2</v>
      </c>
      <c r="I104" s="16">
        <f>(C104*H104)-D104</f>
        <v>-178.06000000000495</v>
      </c>
      <c r="J104" s="65"/>
      <c r="K104" s="44"/>
      <c r="L104" s="14"/>
      <c r="M104" s="44"/>
      <c r="N104" s="65"/>
      <c r="O104" s="44">
        <v>0</v>
      </c>
      <c r="P104" s="14">
        <f>H104</f>
        <v>3.3009999999999998E-2</v>
      </c>
      <c r="Q104" s="44">
        <f>O104*P104</f>
        <v>0</v>
      </c>
      <c r="R104" s="65"/>
      <c r="S104" s="44">
        <f>C104+O104</f>
        <v>1011000</v>
      </c>
      <c r="T104" s="47">
        <v>6.13E-3</v>
      </c>
      <c r="U104" s="44">
        <f>S104*T104</f>
        <v>6197.43</v>
      </c>
      <c r="V104" s="65"/>
      <c r="W104" s="44">
        <f>C104+O104</f>
        <v>1011000</v>
      </c>
      <c r="X104" s="44">
        <f>D104+F104+I104+M104+Q104+U104</f>
        <v>39570.54</v>
      </c>
      <c r="Y104" s="66"/>
    </row>
    <row r="105" spans="1:25" x14ac:dyDescent="0.4">
      <c r="A105" s="12">
        <f>MAX($A$7:A104)+1</f>
        <v>99</v>
      </c>
      <c r="C105" s="44"/>
      <c r="D105" s="44"/>
      <c r="E105" s="65"/>
      <c r="F105" s="14"/>
      <c r="G105" s="65"/>
      <c r="H105" s="14"/>
      <c r="I105" s="14"/>
      <c r="J105" s="65"/>
      <c r="K105" s="14"/>
      <c r="L105" s="14"/>
      <c r="M105" s="14"/>
      <c r="N105" s="65"/>
      <c r="O105" s="14"/>
      <c r="P105" s="14"/>
      <c r="Q105" s="14"/>
      <c r="R105" s="65"/>
      <c r="T105" s="14"/>
      <c r="U105" s="14"/>
      <c r="V105" s="65"/>
      <c r="W105" s="14"/>
      <c r="X105" s="14"/>
      <c r="Y105" s="66"/>
    </row>
    <row r="106" spans="1:25" x14ac:dyDescent="0.4">
      <c r="A106" s="12">
        <f>MAX($A$7:A105)+1</f>
        <v>100</v>
      </c>
      <c r="B106" s="14" t="s">
        <v>298</v>
      </c>
      <c r="C106" s="44"/>
      <c r="D106" s="44"/>
      <c r="E106" s="14"/>
      <c r="F106" s="14"/>
      <c r="G106" s="65"/>
      <c r="H106" s="14"/>
      <c r="I106" s="67"/>
      <c r="J106" s="65"/>
      <c r="K106" s="14"/>
      <c r="L106" s="14"/>
      <c r="M106" s="67"/>
      <c r="N106" s="65"/>
      <c r="O106" s="14"/>
      <c r="P106" s="14"/>
      <c r="Q106" s="67"/>
      <c r="R106" s="65"/>
      <c r="S106" s="14"/>
      <c r="T106" s="14"/>
      <c r="U106" s="67"/>
      <c r="V106" s="65"/>
      <c r="W106" s="14"/>
      <c r="X106" s="67"/>
      <c r="Y106" s="66"/>
    </row>
    <row r="107" spans="1:25" x14ac:dyDescent="0.4">
      <c r="A107" s="12">
        <f>MAX($A$7:A106)+1</f>
        <v>101</v>
      </c>
      <c r="B107" s="14" t="s">
        <v>299</v>
      </c>
      <c r="C107" s="44"/>
      <c r="D107" s="48">
        <v>1423135.07</v>
      </c>
      <c r="E107" s="14"/>
      <c r="F107" s="16">
        <f>-D107</f>
        <v>-1423135.07</v>
      </c>
      <c r="G107" s="65"/>
      <c r="H107" s="14"/>
      <c r="I107" s="16"/>
      <c r="J107" s="65"/>
      <c r="K107" s="14"/>
      <c r="L107" s="14"/>
      <c r="M107" s="16"/>
      <c r="N107" s="65"/>
      <c r="O107" s="14"/>
      <c r="P107" s="14"/>
      <c r="Q107" s="16"/>
      <c r="R107" s="65"/>
      <c r="S107" s="14"/>
      <c r="T107" s="14"/>
      <c r="U107" s="16"/>
      <c r="V107" s="65"/>
      <c r="W107" s="14"/>
      <c r="X107" s="44">
        <f t="shared" ref="X107:X121" si="8">D107+F107+I107+M107+Q107+U107</f>
        <v>0</v>
      </c>
      <c r="Y107" s="66"/>
    </row>
    <row r="108" spans="1:25" x14ac:dyDescent="0.4">
      <c r="A108" s="12">
        <f>MAX($A$7:A107)+1</f>
        <v>102</v>
      </c>
      <c r="B108" s="14" t="s">
        <v>300</v>
      </c>
      <c r="C108" s="44"/>
      <c r="D108" s="48">
        <v>405212.45999999996</v>
      </c>
      <c r="E108" s="14"/>
      <c r="F108" s="16">
        <f t="shared" ref="F108:F114" si="9">-D108</f>
        <v>-405212.45999999996</v>
      </c>
      <c r="H108" s="14"/>
      <c r="I108" s="14"/>
      <c r="K108" s="14"/>
      <c r="L108" s="14"/>
      <c r="M108" s="14"/>
      <c r="O108" s="14"/>
      <c r="P108" s="14"/>
      <c r="Q108" s="14"/>
      <c r="S108" s="14"/>
      <c r="T108" s="14"/>
      <c r="U108" s="14"/>
      <c r="W108" s="14"/>
      <c r="X108" s="44">
        <f t="shared" si="8"/>
        <v>0</v>
      </c>
      <c r="Y108" s="66"/>
    </row>
    <row r="109" spans="1:25" x14ac:dyDescent="0.4">
      <c r="A109" s="12">
        <f>MAX($A$7:A108)+1</f>
        <v>103</v>
      </c>
      <c r="B109" s="14" t="s">
        <v>301</v>
      </c>
      <c r="C109" s="44"/>
      <c r="D109" s="48">
        <v>1970.27</v>
      </c>
      <c r="E109" s="65"/>
      <c r="F109" s="16">
        <f t="shared" si="9"/>
        <v>-1970.27</v>
      </c>
      <c r="G109" s="65"/>
      <c r="H109" s="14"/>
      <c r="I109" s="14"/>
      <c r="J109" s="65"/>
      <c r="K109" s="14"/>
      <c r="L109" s="14"/>
      <c r="M109" s="14"/>
      <c r="N109" s="65"/>
      <c r="O109" s="14"/>
      <c r="P109" s="14"/>
      <c r="Q109" s="14"/>
      <c r="R109" s="65"/>
      <c r="S109" s="14"/>
      <c r="T109" s="14"/>
      <c r="U109" s="14"/>
      <c r="V109" s="65"/>
      <c r="W109" s="14"/>
      <c r="X109" s="44">
        <f t="shared" si="8"/>
        <v>0</v>
      </c>
      <c r="Y109" s="66"/>
    </row>
    <row r="110" spans="1:25" x14ac:dyDescent="0.4">
      <c r="A110" s="12">
        <f>MAX($A$7:A109)+1</f>
        <v>104</v>
      </c>
      <c r="B110" s="14" t="s">
        <v>302</v>
      </c>
      <c r="C110" s="44"/>
      <c r="D110" s="48">
        <v>7525.2700000000013</v>
      </c>
      <c r="H110" s="14"/>
      <c r="I110" s="14"/>
      <c r="K110" s="14"/>
      <c r="L110" s="14"/>
      <c r="M110" s="14"/>
      <c r="O110" s="14"/>
      <c r="P110" s="14"/>
      <c r="Q110" s="14"/>
      <c r="S110" s="44"/>
      <c r="T110" s="47"/>
      <c r="U110" s="16">
        <f>-D110</f>
        <v>-7525.2700000000013</v>
      </c>
      <c r="W110" s="14"/>
      <c r="X110" s="44">
        <f t="shared" si="8"/>
        <v>0</v>
      </c>
      <c r="Y110" s="66"/>
    </row>
    <row r="111" spans="1:25" x14ac:dyDescent="0.4">
      <c r="A111" s="12">
        <f>MAX($A$7:A110)+1</f>
        <v>105</v>
      </c>
      <c r="B111" s="14" t="s">
        <v>303</v>
      </c>
      <c r="C111" s="44"/>
      <c r="D111" s="48">
        <v>-11612.75</v>
      </c>
      <c r="F111" s="16">
        <f t="shared" si="9"/>
        <v>11612.75</v>
      </c>
      <c r="H111" s="14"/>
      <c r="I111" s="14"/>
      <c r="K111" s="14"/>
      <c r="L111" s="14"/>
      <c r="M111" s="14"/>
      <c r="O111" s="14"/>
      <c r="P111" s="14"/>
      <c r="Q111" s="14"/>
      <c r="T111" s="14"/>
      <c r="U111" s="14"/>
      <c r="W111" s="14"/>
      <c r="X111" s="44">
        <f t="shared" si="8"/>
        <v>0</v>
      </c>
      <c r="Y111" s="66"/>
    </row>
    <row r="112" spans="1:25" x14ac:dyDescent="0.4">
      <c r="A112" s="12">
        <f>MAX($A$7:A111)+1</f>
        <v>106</v>
      </c>
      <c r="B112" s="14" t="s">
        <v>304</v>
      </c>
      <c r="C112" s="44"/>
      <c r="D112" s="48">
        <v>71369.81</v>
      </c>
      <c r="F112" s="16">
        <f t="shared" si="9"/>
        <v>-71369.81</v>
      </c>
      <c r="H112" s="14"/>
      <c r="I112" s="14"/>
      <c r="K112" s="14"/>
      <c r="L112" s="14"/>
      <c r="M112" s="14"/>
      <c r="O112" s="14"/>
      <c r="P112" s="14"/>
      <c r="Q112" s="14"/>
      <c r="S112" s="14"/>
      <c r="T112" s="14"/>
      <c r="U112" s="14"/>
      <c r="W112" s="14"/>
      <c r="X112" s="44">
        <f t="shared" si="8"/>
        <v>0</v>
      </c>
      <c r="Y112" s="66"/>
    </row>
    <row r="113" spans="1:25" x14ac:dyDescent="0.4">
      <c r="A113" s="12">
        <f>MAX($A$7:A112)+1</f>
        <v>107</v>
      </c>
      <c r="B113" s="14" t="s">
        <v>305</v>
      </c>
      <c r="C113" s="44"/>
      <c r="D113" s="48">
        <v>-527.06000000000006</v>
      </c>
      <c r="E113" s="65"/>
      <c r="F113" s="16">
        <f t="shared" si="9"/>
        <v>527.06000000000006</v>
      </c>
      <c r="G113" s="65"/>
      <c r="H113" s="14"/>
      <c r="I113" s="14"/>
      <c r="J113" s="65"/>
      <c r="K113" s="14"/>
      <c r="L113" s="14"/>
      <c r="M113" s="14"/>
      <c r="N113" s="65"/>
      <c r="O113" s="14"/>
      <c r="P113" s="14"/>
      <c r="Q113" s="14"/>
      <c r="R113" s="65"/>
      <c r="S113" s="14"/>
      <c r="T113" s="14"/>
      <c r="U113" s="14"/>
      <c r="V113" s="65"/>
      <c r="W113" s="14"/>
      <c r="X113" s="44">
        <f t="shared" si="8"/>
        <v>0</v>
      </c>
      <c r="Y113" s="66"/>
    </row>
    <row r="114" spans="1:25" x14ac:dyDescent="0.4">
      <c r="A114" s="12">
        <f>MAX($A$7:A113)+1</f>
        <v>108</v>
      </c>
      <c r="B114" s="14" t="s">
        <v>306</v>
      </c>
      <c r="C114" s="44"/>
      <c r="D114" s="48">
        <v>-929.34999999999991</v>
      </c>
      <c r="E114" s="65"/>
      <c r="F114" s="16">
        <f t="shared" si="9"/>
        <v>929.34999999999991</v>
      </c>
      <c r="G114" s="65"/>
      <c r="H114" s="14"/>
      <c r="I114" s="14"/>
      <c r="J114" s="65"/>
      <c r="K114" s="14"/>
      <c r="L114" s="14"/>
      <c r="M114" s="14"/>
      <c r="N114" s="65"/>
      <c r="O114" s="14"/>
      <c r="P114" s="14"/>
      <c r="Q114" s="14"/>
      <c r="R114" s="65"/>
      <c r="S114" s="14"/>
      <c r="T114" s="14"/>
      <c r="U114" s="14"/>
      <c r="V114" s="65"/>
      <c r="W114" s="14"/>
      <c r="X114" s="44">
        <f t="shared" si="8"/>
        <v>0</v>
      </c>
      <c r="Y114" s="66"/>
    </row>
    <row r="115" spans="1:25" x14ac:dyDescent="0.4">
      <c r="A115" s="12">
        <f>MAX($A$7:A114)+1</f>
        <v>109</v>
      </c>
      <c r="B115" s="14" t="s">
        <v>307</v>
      </c>
      <c r="C115" s="44"/>
      <c r="D115" s="48">
        <v>21144.820000000003</v>
      </c>
      <c r="E115" s="65"/>
      <c r="F115" s="16"/>
      <c r="G115" s="65"/>
      <c r="H115" s="14"/>
      <c r="I115" s="14"/>
      <c r="J115" s="65"/>
      <c r="K115" s="14"/>
      <c r="L115" s="14"/>
      <c r="M115" s="14"/>
      <c r="N115" s="65"/>
      <c r="O115" s="14"/>
      <c r="P115" s="14"/>
      <c r="Q115" s="14"/>
      <c r="R115" s="65"/>
      <c r="S115" s="14"/>
      <c r="T115" s="14"/>
      <c r="U115" s="14"/>
      <c r="V115" s="65"/>
      <c r="W115" s="14"/>
      <c r="X115" s="44">
        <f t="shared" si="8"/>
        <v>21144.820000000003</v>
      </c>
      <c r="Y115" s="66"/>
    </row>
    <row r="116" spans="1:25" x14ac:dyDescent="0.4">
      <c r="A116" s="12">
        <f>MAX($A$7:A115)+1</f>
        <v>110</v>
      </c>
      <c r="B116" s="14" t="s">
        <v>308</v>
      </c>
      <c r="C116" s="44"/>
      <c r="D116" s="48">
        <v>0</v>
      </c>
      <c r="E116" s="65"/>
      <c r="F116" s="16"/>
      <c r="G116" s="65"/>
      <c r="H116" s="14"/>
      <c r="I116" s="14"/>
      <c r="J116" s="65"/>
      <c r="K116" s="14"/>
      <c r="L116" s="14"/>
      <c r="M116" s="14"/>
      <c r="N116" s="65"/>
      <c r="O116" s="14"/>
      <c r="P116" s="14"/>
      <c r="Q116" s="14"/>
      <c r="R116" s="65"/>
      <c r="S116" s="14"/>
      <c r="T116" s="14"/>
      <c r="U116" s="14"/>
      <c r="V116" s="65"/>
      <c r="W116" s="14"/>
      <c r="X116" s="44">
        <f t="shared" si="8"/>
        <v>0</v>
      </c>
      <c r="Y116" s="66"/>
    </row>
    <row r="117" spans="1:25" x14ac:dyDescent="0.4">
      <c r="A117" s="12">
        <f>MAX($A$7:A116)+1</f>
        <v>111</v>
      </c>
      <c r="B117" s="14" t="s">
        <v>309</v>
      </c>
      <c r="C117" s="48"/>
      <c r="D117" s="48">
        <v>58.68</v>
      </c>
      <c r="E117" s="65"/>
      <c r="F117" s="16"/>
      <c r="G117" s="65"/>
      <c r="H117" s="14"/>
      <c r="I117" s="14"/>
      <c r="J117" s="65"/>
      <c r="K117" s="14"/>
      <c r="L117" s="14"/>
      <c r="M117" s="14"/>
      <c r="N117" s="65"/>
      <c r="O117" s="14"/>
      <c r="P117" s="14"/>
      <c r="Q117" s="14"/>
      <c r="R117" s="65"/>
      <c r="S117" s="14"/>
      <c r="T117" s="14"/>
      <c r="U117" s="14"/>
      <c r="V117" s="65"/>
      <c r="W117" s="14"/>
      <c r="X117" s="44">
        <f t="shared" si="8"/>
        <v>58.68</v>
      </c>
      <c r="Y117" s="66"/>
    </row>
    <row r="118" spans="1:25" x14ac:dyDescent="0.4">
      <c r="A118" s="12">
        <f>MAX($A$7:A117)+1</f>
        <v>112</v>
      </c>
      <c r="B118" s="14" t="s">
        <v>322</v>
      </c>
      <c r="C118" s="14"/>
      <c r="D118" s="48">
        <v>0</v>
      </c>
      <c r="E118" s="65"/>
      <c r="F118" s="16">
        <f>-D118</f>
        <v>0</v>
      </c>
      <c r="G118" s="65"/>
      <c r="H118" s="14"/>
      <c r="I118" s="16"/>
      <c r="J118" s="65"/>
      <c r="K118" s="14"/>
      <c r="L118" s="14"/>
      <c r="M118" s="16"/>
      <c r="N118" s="65"/>
      <c r="O118" s="14"/>
      <c r="P118" s="14"/>
      <c r="Q118" s="16"/>
      <c r="R118" s="65"/>
      <c r="S118" s="14"/>
      <c r="T118" s="14"/>
      <c r="U118" s="16"/>
      <c r="V118" s="65"/>
      <c r="W118" s="14"/>
      <c r="X118" s="44">
        <f t="shared" si="8"/>
        <v>0</v>
      </c>
      <c r="Y118" s="66"/>
    </row>
    <row r="119" spans="1:25" x14ac:dyDescent="0.4">
      <c r="A119" s="12">
        <f>MAX($A$7:A118)+1</f>
        <v>113</v>
      </c>
      <c r="B119" s="14" t="s">
        <v>310</v>
      </c>
      <c r="C119" s="44"/>
      <c r="D119" s="44">
        <v>-4698.4100000000008</v>
      </c>
      <c r="E119" s="65"/>
      <c r="G119" s="65"/>
      <c r="H119" s="14"/>
      <c r="I119" s="14"/>
      <c r="J119" s="65"/>
      <c r="K119" s="14"/>
      <c r="L119" s="14"/>
      <c r="M119" s="16">
        <f>-D119</f>
        <v>4698.4100000000008</v>
      </c>
      <c r="N119" s="65"/>
      <c r="O119" s="14"/>
      <c r="P119" s="14"/>
      <c r="Q119" s="14"/>
      <c r="R119" s="65"/>
      <c r="S119" s="14"/>
      <c r="T119" s="14"/>
      <c r="U119" s="14"/>
      <c r="V119" s="65"/>
      <c r="W119" s="14"/>
      <c r="X119" s="44">
        <f t="shared" si="8"/>
        <v>0</v>
      </c>
      <c r="Y119" s="66"/>
    </row>
    <row r="120" spans="1:25" x14ac:dyDescent="0.4">
      <c r="A120" s="12">
        <f>MAX($A$7:A119)+1</f>
        <v>114</v>
      </c>
      <c r="B120" s="14" t="s">
        <v>311</v>
      </c>
      <c r="C120" s="14"/>
      <c r="D120" s="44">
        <v>11612.75</v>
      </c>
      <c r="E120" s="65"/>
      <c r="F120" s="16">
        <f>-D120</f>
        <v>-11612.75</v>
      </c>
      <c r="G120" s="65"/>
      <c r="H120" s="14"/>
      <c r="I120" s="14"/>
      <c r="J120" s="65"/>
      <c r="K120" s="14"/>
      <c r="L120" s="14"/>
      <c r="M120" s="14"/>
      <c r="N120" s="65"/>
      <c r="O120" s="14"/>
      <c r="P120" s="14"/>
      <c r="Q120" s="14"/>
      <c r="R120" s="65"/>
      <c r="S120" s="14"/>
      <c r="T120" s="14"/>
      <c r="U120" s="14"/>
      <c r="V120" s="65"/>
      <c r="W120" s="14"/>
      <c r="X120" s="44">
        <f t="shared" si="8"/>
        <v>0</v>
      </c>
      <c r="Y120" s="66"/>
    </row>
    <row r="121" spans="1:25" x14ac:dyDescent="0.4">
      <c r="A121" s="12">
        <f>MAX($A$7:A120)+1</f>
        <v>115</v>
      </c>
      <c r="B121" s="14" t="s">
        <v>312</v>
      </c>
      <c r="C121" s="44"/>
      <c r="D121" s="49">
        <v>-1878.16</v>
      </c>
      <c r="E121" s="65"/>
      <c r="F121" s="68">
        <f>-D121</f>
        <v>1878.16</v>
      </c>
      <c r="G121" s="65"/>
      <c r="H121" s="14"/>
      <c r="I121" s="69"/>
      <c r="J121" s="65"/>
      <c r="K121" s="14"/>
      <c r="L121" s="14"/>
      <c r="M121" s="69"/>
      <c r="N121" s="65"/>
      <c r="O121" s="14"/>
      <c r="P121" s="14"/>
      <c r="Q121" s="69"/>
      <c r="R121" s="65"/>
      <c r="S121" s="14"/>
      <c r="T121" s="14"/>
      <c r="U121" s="69"/>
      <c r="V121" s="65"/>
      <c r="W121" s="14"/>
      <c r="X121" s="49">
        <f t="shared" si="8"/>
        <v>0</v>
      </c>
      <c r="Y121" s="66"/>
    </row>
    <row r="122" spans="1:25" x14ac:dyDescent="0.4">
      <c r="A122" s="12">
        <f>MAX($A$7:A121)+1</f>
        <v>116</v>
      </c>
      <c r="B122" s="70" t="s">
        <v>326</v>
      </c>
      <c r="C122" s="71">
        <v>0</v>
      </c>
      <c r="D122" s="6">
        <f>SUM(D102:D121)</f>
        <v>2076943.62</v>
      </c>
      <c r="E122" s="72"/>
      <c r="F122" s="50">
        <f>SUM(F102:F121)</f>
        <v>-1898353.04</v>
      </c>
      <c r="G122" s="72"/>
      <c r="H122" s="69"/>
      <c r="I122" s="51">
        <f>SUM(I102:I121)</f>
        <v>-595.59876000001532</v>
      </c>
      <c r="J122" s="72"/>
      <c r="K122" s="69"/>
      <c r="L122" s="69"/>
      <c r="M122" s="51">
        <f>SUM(M102:M121)</f>
        <v>4698.4100000000008</v>
      </c>
      <c r="N122" s="72"/>
      <c r="O122" s="69"/>
      <c r="P122" s="69"/>
      <c r="Q122" s="51">
        <f>SUM(Q102:Q121)</f>
        <v>0</v>
      </c>
      <c r="R122" s="72"/>
      <c r="S122" s="69"/>
      <c r="T122" s="69"/>
      <c r="U122" s="51">
        <f>SUM(U102:U121)</f>
        <v>5333.0057399999996</v>
      </c>
      <c r="V122" s="72"/>
      <c r="W122" s="69"/>
      <c r="X122" s="51">
        <f>SUM(X102:X121)</f>
        <v>188026.39697999999</v>
      </c>
      <c r="Y122" s="66"/>
    </row>
    <row r="123" spans="1:25" x14ac:dyDescent="0.4">
      <c r="A123" s="12">
        <f>MAX($A$7:A122)+1</f>
        <v>117</v>
      </c>
      <c r="B123" s="13"/>
      <c r="D123" s="7"/>
      <c r="E123" s="8"/>
      <c r="F123" s="14"/>
      <c r="G123" s="8"/>
      <c r="H123" s="14"/>
      <c r="I123" s="14"/>
      <c r="J123" s="8"/>
      <c r="K123" s="14"/>
      <c r="L123" s="14"/>
      <c r="M123" s="14"/>
      <c r="N123" s="8"/>
      <c r="O123" s="14"/>
      <c r="P123" s="14"/>
      <c r="Q123" s="14"/>
      <c r="R123" s="8"/>
      <c r="S123" s="14"/>
      <c r="T123" s="14"/>
      <c r="U123" s="14"/>
      <c r="V123" s="8"/>
      <c r="W123" s="14"/>
      <c r="X123" s="14"/>
      <c r="Y123" s="66"/>
    </row>
    <row r="124" spans="1:25" x14ac:dyDescent="0.4">
      <c r="A124" s="12">
        <f>MAX($A$7:A123)+1</f>
        <v>118</v>
      </c>
      <c r="B124" s="74">
        <v>663</v>
      </c>
      <c r="C124" s="78"/>
      <c r="D124" s="7"/>
      <c r="F124" s="14"/>
      <c r="H124" s="14"/>
      <c r="I124" s="14"/>
      <c r="K124" s="14"/>
      <c r="L124" s="14"/>
      <c r="M124" s="14"/>
      <c r="O124" s="14"/>
      <c r="P124" s="14"/>
      <c r="Q124" s="14"/>
      <c r="S124" s="14"/>
      <c r="T124" s="14"/>
      <c r="U124" s="14"/>
      <c r="W124" s="14"/>
      <c r="X124" s="14"/>
      <c r="Y124" s="66"/>
    </row>
    <row r="125" spans="1:25" x14ac:dyDescent="0.4">
      <c r="A125" s="12">
        <f>MAX($A$7:A124)+1</f>
        <v>119</v>
      </c>
      <c r="B125" s="14" t="s">
        <v>295</v>
      </c>
      <c r="C125" s="78"/>
      <c r="D125" s="7"/>
      <c r="F125" s="14"/>
      <c r="H125" s="14"/>
      <c r="I125" s="14"/>
      <c r="K125" s="14"/>
      <c r="L125" s="14"/>
      <c r="M125" s="14"/>
      <c r="O125" s="14"/>
      <c r="P125" s="14"/>
      <c r="Q125" s="14"/>
      <c r="S125" s="14"/>
      <c r="T125" s="14"/>
      <c r="U125" s="14"/>
      <c r="W125" s="14"/>
      <c r="X125" s="14"/>
      <c r="Y125" s="66"/>
    </row>
    <row r="126" spans="1:25" x14ac:dyDescent="0.4">
      <c r="A126" s="12">
        <f>MAX($A$7:A125)+1</f>
        <v>120</v>
      </c>
      <c r="B126" s="29" t="s">
        <v>296</v>
      </c>
      <c r="C126" s="44">
        <v>2325</v>
      </c>
      <c r="D126" s="45">
        <v>1439375</v>
      </c>
      <c r="E126" s="65"/>
      <c r="F126" s="14"/>
      <c r="G126" s="65"/>
      <c r="H126" s="46">
        <v>625</v>
      </c>
      <c r="I126" s="45">
        <f t="shared" ref="I126:I132" si="10">(C126*H126)-D126</f>
        <v>13750</v>
      </c>
      <c r="J126" s="65"/>
      <c r="K126" s="44"/>
      <c r="L126" s="46"/>
      <c r="M126" s="45"/>
      <c r="N126" s="65"/>
      <c r="O126" s="44">
        <v>-9</v>
      </c>
      <c r="P126" s="46">
        <f t="shared" ref="P126:P132" si="11">H126</f>
        <v>625</v>
      </c>
      <c r="Q126" s="45">
        <f t="shared" ref="Q126:Q132" si="12">O126*P126</f>
        <v>-5625</v>
      </c>
      <c r="R126" s="65"/>
      <c r="S126" s="44"/>
      <c r="T126" s="46"/>
      <c r="U126" s="45"/>
      <c r="V126" s="65"/>
      <c r="W126" s="44">
        <f>C126+O126</f>
        <v>2316</v>
      </c>
      <c r="X126" s="45">
        <f t="shared" ref="X126:X132" si="13">D126+F126+I126+M126+Q126+U126</f>
        <v>1447500</v>
      </c>
      <c r="Y126" s="66"/>
    </row>
    <row r="127" spans="1:25" x14ac:dyDescent="0.4">
      <c r="A127" s="12">
        <f>MAX($A$7:A126)+1</f>
        <v>121</v>
      </c>
      <c r="B127" s="14" t="s">
        <v>327</v>
      </c>
      <c r="C127" s="44">
        <f>D127/H127</f>
        <v>41949080</v>
      </c>
      <c r="D127" s="44">
        <v>8389816</v>
      </c>
      <c r="E127" s="65"/>
      <c r="F127" s="14"/>
      <c r="G127" s="65"/>
      <c r="H127" s="77">
        <v>0.2</v>
      </c>
      <c r="I127" s="16">
        <f t="shared" si="10"/>
        <v>0</v>
      </c>
      <c r="J127" s="65"/>
      <c r="K127" s="44"/>
      <c r="L127" s="46"/>
      <c r="M127" s="45"/>
      <c r="N127" s="65"/>
      <c r="O127" s="44">
        <v>417880</v>
      </c>
      <c r="P127" s="14">
        <f t="shared" si="11"/>
        <v>0.2</v>
      </c>
      <c r="Q127" s="44">
        <f t="shared" si="12"/>
        <v>83576</v>
      </c>
      <c r="R127" s="65"/>
      <c r="S127" s="44"/>
      <c r="T127" s="46"/>
      <c r="U127" s="45"/>
      <c r="V127" s="65"/>
      <c r="W127" s="44"/>
      <c r="X127" s="44">
        <f t="shared" si="13"/>
        <v>8473392</v>
      </c>
      <c r="Y127" s="66"/>
    </row>
    <row r="128" spans="1:25" x14ac:dyDescent="0.4">
      <c r="A128" s="12">
        <f>MAX($A$7:A127)+1</f>
        <v>122</v>
      </c>
      <c r="B128" s="14" t="s">
        <v>328</v>
      </c>
      <c r="C128" s="44">
        <f>SUM(C129:C132)</f>
        <v>857750139</v>
      </c>
      <c r="D128" s="44">
        <v>343099.98</v>
      </c>
      <c r="E128" s="65"/>
      <c r="F128" s="14"/>
      <c r="G128" s="65"/>
      <c r="H128" s="77">
        <v>4.0000000000000002E-4</v>
      </c>
      <c r="I128" s="16">
        <f t="shared" si="10"/>
        <v>7.5600000040140003E-2</v>
      </c>
      <c r="J128" s="65"/>
      <c r="K128" s="44"/>
      <c r="L128" s="46"/>
      <c r="M128" s="45"/>
      <c r="N128" s="65"/>
      <c r="O128" s="44">
        <f>SUM(O129:O132)</f>
        <v>-2809068.7888737097</v>
      </c>
      <c r="P128" s="14">
        <f t="shared" si="11"/>
        <v>4.0000000000000002E-4</v>
      </c>
      <c r="Q128" s="44">
        <f t="shared" si="12"/>
        <v>-1123.6275155494839</v>
      </c>
      <c r="R128" s="65"/>
      <c r="S128" s="44"/>
      <c r="T128" s="46"/>
      <c r="U128" s="45"/>
      <c r="V128" s="65"/>
      <c r="W128" s="44"/>
      <c r="X128" s="44">
        <f t="shared" si="13"/>
        <v>341976.42808445054</v>
      </c>
      <c r="Y128" s="66"/>
    </row>
    <row r="129" spans="1:25" x14ac:dyDescent="0.4">
      <c r="A129" s="12">
        <f>MAX($A$7:A128)+1</f>
        <v>123</v>
      </c>
      <c r="B129" s="14" t="s">
        <v>329</v>
      </c>
      <c r="C129" s="44">
        <v>101046525</v>
      </c>
      <c r="D129" s="44">
        <v>6553164.5099999998</v>
      </c>
      <c r="E129" s="65"/>
      <c r="F129" s="14"/>
      <c r="G129" s="65"/>
      <c r="H129" s="14">
        <v>6.4630000000000007E-2</v>
      </c>
      <c r="I129" s="16">
        <f t="shared" si="10"/>
        <v>-22527.599249999039</v>
      </c>
      <c r="J129" s="65"/>
      <c r="K129" s="44"/>
      <c r="L129" s="14"/>
      <c r="M129" s="44"/>
      <c r="N129" s="65"/>
      <c r="O129" s="44">
        <v>-378787.77886088192</v>
      </c>
      <c r="P129" s="14">
        <f t="shared" si="11"/>
        <v>6.4630000000000007E-2</v>
      </c>
      <c r="Q129" s="44">
        <f t="shared" si="12"/>
        <v>-24481.054147778803</v>
      </c>
      <c r="R129" s="65"/>
      <c r="S129" s="44">
        <f>C129+O129</f>
        <v>100667737.22113912</v>
      </c>
      <c r="T129" s="47">
        <v>1.39E-3</v>
      </c>
      <c r="U129" s="44">
        <f>S129*T129</f>
        <v>139928.15473738336</v>
      </c>
      <c r="V129" s="65"/>
      <c r="W129" s="44">
        <f>C129+K129+O129</f>
        <v>100667737.22113912</v>
      </c>
      <c r="X129" s="44">
        <f t="shared" si="13"/>
        <v>6646084.0113396049</v>
      </c>
      <c r="Y129" s="66"/>
    </row>
    <row r="130" spans="1:25" x14ac:dyDescent="0.4">
      <c r="A130" s="12">
        <f>MAX($A$7:A129)+1</f>
        <v>124</v>
      </c>
      <c r="B130" s="14" t="s">
        <v>330</v>
      </c>
      <c r="C130" s="44">
        <v>72331672</v>
      </c>
      <c r="D130" s="44">
        <v>1844929.17</v>
      </c>
      <c r="E130" s="65"/>
      <c r="F130" s="14"/>
      <c r="G130" s="65"/>
      <c r="H130" s="14">
        <v>2.5420000000000002E-2</v>
      </c>
      <c r="I130" s="16">
        <f t="shared" si="10"/>
        <v>-6258.0677599997725</v>
      </c>
      <c r="J130" s="65"/>
      <c r="K130" s="44"/>
      <c r="L130" s="14"/>
      <c r="M130" s="44"/>
      <c r="N130" s="65"/>
      <c r="O130" s="44">
        <v>-263942.55524758995</v>
      </c>
      <c r="P130" s="14">
        <f t="shared" si="11"/>
        <v>2.5420000000000002E-2</v>
      </c>
      <c r="Q130" s="44">
        <f t="shared" si="12"/>
        <v>-6709.4197543937371</v>
      </c>
      <c r="R130" s="65"/>
      <c r="S130" s="44">
        <f>C130+O130</f>
        <v>72067729.44475241</v>
      </c>
      <c r="T130" s="47">
        <v>1.39E-3</v>
      </c>
      <c r="U130" s="44">
        <f>S130*T130</f>
        <v>100174.14392820584</v>
      </c>
      <c r="V130" s="65"/>
      <c r="W130" s="44">
        <f>C130+K130+O130</f>
        <v>72067729.44475241</v>
      </c>
      <c r="X130" s="44">
        <f t="shared" si="13"/>
        <v>1932135.8264138123</v>
      </c>
      <c r="Y130" s="66"/>
    </row>
    <row r="131" spans="1:25" x14ac:dyDescent="0.4">
      <c r="A131" s="12">
        <f>MAX($A$7:A130)+1</f>
        <v>125</v>
      </c>
      <c r="B131" s="14" t="s">
        <v>330</v>
      </c>
      <c r="C131" s="44">
        <v>37333928</v>
      </c>
      <c r="D131" s="44">
        <v>621767.77</v>
      </c>
      <c r="E131" s="65"/>
      <c r="F131" s="14"/>
      <c r="G131" s="65"/>
      <c r="H131" s="77">
        <v>1.6590000000000001E-2</v>
      </c>
      <c r="I131" s="16">
        <f t="shared" si="10"/>
        <v>-2397.9044800000265</v>
      </c>
      <c r="J131" s="65"/>
      <c r="K131" s="44"/>
      <c r="L131" s="14"/>
      <c r="M131" s="44"/>
      <c r="N131" s="65"/>
      <c r="O131" s="44">
        <v>-152016.7145146504</v>
      </c>
      <c r="P131" s="77">
        <f t="shared" si="11"/>
        <v>1.6590000000000001E-2</v>
      </c>
      <c r="Q131" s="44">
        <f t="shared" si="12"/>
        <v>-2521.9572937980502</v>
      </c>
      <c r="R131" s="65"/>
      <c r="S131" s="44">
        <f>C131+O131</f>
        <v>37181911.28548535</v>
      </c>
      <c r="T131" s="47">
        <v>1.39E-3</v>
      </c>
      <c r="U131" s="44">
        <f>S131*T131</f>
        <v>51682.856686824634</v>
      </c>
      <c r="V131" s="65"/>
      <c r="W131" s="44">
        <f>C131+K131+O131</f>
        <v>37181911.28548535</v>
      </c>
      <c r="X131" s="44">
        <f t="shared" si="13"/>
        <v>668530.76491302648</v>
      </c>
      <c r="Y131" s="66"/>
    </row>
    <row r="132" spans="1:25" x14ac:dyDescent="0.4">
      <c r="A132" s="12">
        <f>MAX($A$7:A131)+1</f>
        <v>126</v>
      </c>
      <c r="B132" s="14" t="s">
        <v>331</v>
      </c>
      <c r="C132" s="44">
        <v>647038014</v>
      </c>
      <c r="D132" s="44">
        <v>6107225.4399999995</v>
      </c>
      <c r="E132" s="65"/>
      <c r="F132" s="14"/>
      <c r="G132" s="65"/>
      <c r="H132" s="77">
        <v>9.41E-3</v>
      </c>
      <c r="I132" s="16">
        <f t="shared" si="10"/>
        <v>-18597.728259999305</v>
      </c>
      <c r="J132" s="65"/>
      <c r="K132" s="44"/>
      <c r="L132" s="14"/>
      <c r="M132" s="44"/>
      <c r="N132" s="65"/>
      <c r="O132" s="44">
        <v>-2014321.7402505875</v>
      </c>
      <c r="P132" s="77">
        <f t="shared" si="11"/>
        <v>9.41E-3</v>
      </c>
      <c r="Q132" s="44">
        <f t="shared" si="12"/>
        <v>-18954.767575758029</v>
      </c>
      <c r="R132" s="65"/>
      <c r="S132" s="44">
        <f>C132+O132</f>
        <v>645023692.25974941</v>
      </c>
      <c r="T132" s="47">
        <v>1.39E-3</v>
      </c>
      <c r="U132" s="44">
        <f>S132*T132</f>
        <v>896582.93224105169</v>
      </c>
      <c r="V132" s="65"/>
      <c r="W132" s="44">
        <f>C132+K132+O132</f>
        <v>645023692.25974941</v>
      </c>
      <c r="X132" s="44">
        <f t="shared" si="13"/>
        <v>6966255.8764052941</v>
      </c>
      <c r="Y132" s="66"/>
    </row>
    <row r="133" spans="1:25" x14ac:dyDescent="0.4">
      <c r="A133" s="12">
        <f>MAX($A$7:A132)+1</f>
        <v>127</v>
      </c>
      <c r="C133" s="44"/>
      <c r="D133" s="44"/>
      <c r="E133" s="65"/>
      <c r="F133" s="14"/>
      <c r="G133" s="65"/>
      <c r="H133" s="14"/>
      <c r="I133" s="14"/>
      <c r="J133" s="65"/>
      <c r="K133" s="14"/>
      <c r="L133" s="14"/>
      <c r="M133" s="14"/>
      <c r="N133" s="65"/>
      <c r="O133" s="14"/>
      <c r="P133" s="14"/>
      <c r="Q133" s="14"/>
      <c r="R133" s="65"/>
      <c r="T133" s="14"/>
      <c r="U133" s="14"/>
      <c r="V133" s="65"/>
      <c r="W133" s="14"/>
      <c r="X133" s="14"/>
      <c r="Y133" s="66"/>
    </row>
    <row r="134" spans="1:25" x14ac:dyDescent="0.4">
      <c r="A134" s="12">
        <f>MAX($A$7:A133)+1</f>
        <v>128</v>
      </c>
      <c r="B134" s="14" t="s">
        <v>298</v>
      </c>
      <c r="C134" s="44"/>
      <c r="D134" s="44"/>
      <c r="E134" s="65"/>
      <c r="F134" s="14"/>
      <c r="G134" s="65"/>
      <c r="H134" s="14"/>
      <c r="I134" s="67"/>
      <c r="J134" s="65"/>
      <c r="K134" s="14"/>
      <c r="L134" s="14"/>
      <c r="M134" s="67"/>
      <c r="N134" s="65"/>
      <c r="O134" s="14"/>
      <c r="P134" s="14"/>
      <c r="Q134" s="67"/>
      <c r="R134" s="65"/>
      <c r="S134" s="14"/>
      <c r="T134" s="14"/>
      <c r="U134" s="67"/>
      <c r="V134" s="65"/>
      <c r="W134" s="14"/>
      <c r="X134" s="67"/>
      <c r="Y134" s="66"/>
    </row>
    <row r="135" spans="1:25" x14ac:dyDescent="0.4">
      <c r="A135" s="12">
        <f>MAX($A$7:A134)+1</f>
        <v>129</v>
      </c>
      <c r="B135" s="14" t="s">
        <v>301</v>
      </c>
      <c r="C135" s="44"/>
      <c r="D135" s="48">
        <v>463945.04</v>
      </c>
      <c r="E135" s="65"/>
      <c r="F135" s="16">
        <f>-D135</f>
        <v>-463945.04</v>
      </c>
      <c r="G135" s="65"/>
      <c r="H135" s="14"/>
      <c r="I135" s="14"/>
      <c r="J135" s="65"/>
      <c r="K135" s="14"/>
      <c r="L135" s="14"/>
      <c r="M135" s="14"/>
      <c r="N135" s="65"/>
      <c r="O135" s="14"/>
      <c r="P135" s="14"/>
      <c r="Q135" s="14"/>
      <c r="R135" s="65"/>
      <c r="S135" s="14"/>
      <c r="T135" s="14"/>
      <c r="U135" s="14"/>
      <c r="V135" s="65"/>
      <c r="W135" s="14"/>
      <c r="X135" s="44">
        <f t="shared" ref="X135:X145" si="14">D135+F135+I135+M135+Q135+U135</f>
        <v>0</v>
      </c>
      <c r="Y135" s="66"/>
    </row>
    <row r="136" spans="1:25" x14ac:dyDescent="0.4">
      <c r="A136" s="12">
        <f>MAX($A$7:A135)+1</f>
        <v>130</v>
      </c>
      <c r="B136" s="14" t="s">
        <v>302</v>
      </c>
      <c r="C136" s="44"/>
      <c r="D136" s="48">
        <v>731774.1100000001</v>
      </c>
      <c r="E136" s="65"/>
      <c r="G136" s="65"/>
      <c r="H136" s="14"/>
      <c r="I136" s="14"/>
      <c r="J136" s="65"/>
      <c r="K136" s="14"/>
      <c r="L136" s="14"/>
      <c r="M136" s="14"/>
      <c r="N136" s="65"/>
      <c r="O136" s="14"/>
      <c r="P136" s="14"/>
      <c r="Q136" s="14"/>
      <c r="R136" s="65"/>
      <c r="S136" s="44"/>
      <c r="T136" s="47"/>
      <c r="U136" s="16">
        <f>-D136</f>
        <v>-731774.1100000001</v>
      </c>
      <c r="V136" s="65"/>
      <c r="W136" s="14"/>
      <c r="X136" s="44">
        <f t="shared" si="14"/>
        <v>0</v>
      </c>
      <c r="Y136" s="66"/>
    </row>
    <row r="137" spans="1:25" x14ac:dyDescent="0.4">
      <c r="A137" s="12">
        <f>MAX($A$7:A136)+1</f>
        <v>131</v>
      </c>
      <c r="B137" s="14" t="s">
        <v>305</v>
      </c>
      <c r="C137" s="44"/>
      <c r="D137" s="48">
        <v>-86569.42</v>
      </c>
      <c r="E137" s="65"/>
      <c r="F137" s="16">
        <f>-D137</f>
        <v>86569.42</v>
      </c>
      <c r="G137" s="65"/>
      <c r="H137" s="14"/>
      <c r="I137" s="14"/>
      <c r="J137" s="65"/>
      <c r="K137" s="14"/>
      <c r="L137" s="14"/>
      <c r="M137" s="14"/>
      <c r="N137" s="65"/>
      <c r="O137" s="14"/>
      <c r="P137" s="14"/>
      <c r="Q137" s="14"/>
      <c r="R137" s="65"/>
      <c r="S137" s="14"/>
      <c r="T137" s="14"/>
      <c r="U137" s="14"/>
      <c r="V137" s="65"/>
      <c r="W137" s="14"/>
      <c r="X137" s="44">
        <f t="shared" si="14"/>
        <v>0</v>
      </c>
      <c r="Y137" s="66"/>
    </row>
    <row r="138" spans="1:25" x14ac:dyDescent="0.4">
      <c r="A138" s="12">
        <f>MAX($A$7:A137)+1</f>
        <v>132</v>
      </c>
      <c r="B138" s="14" t="s">
        <v>306</v>
      </c>
      <c r="C138" s="44"/>
      <c r="D138" s="48">
        <v>-219606.21</v>
      </c>
      <c r="E138" s="64"/>
      <c r="F138" s="16">
        <f>-D138</f>
        <v>219606.21</v>
      </c>
      <c r="G138" s="64"/>
      <c r="H138" s="14"/>
      <c r="I138" s="14"/>
      <c r="J138" s="64"/>
      <c r="K138" s="14"/>
      <c r="L138" s="14"/>
      <c r="M138" s="14"/>
      <c r="N138" s="64"/>
      <c r="O138" s="14"/>
      <c r="P138" s="14"/>
      <c r="Q138" s="14"/>
      <c r="R138" s="64"/>
      <c r="S138" s="14"/>
      <c r="T138" s="14"/>
      <c r="U138" s="14"/>
      <c r="V138" s="64"/>
      <c r="W138" s="14"/>
      <c r="X138" s="44">
        <f t="shared" si="14"/>
        <v>0</v>
      </c>
      <c r="Y138" s="66"/>
    </row>
    <row r="139" spans="1:25" x14ac:dyDescent="0.4">
      <c r="A139" s="12">
        <f>MAX($A$7:A138)+1</f>
        <v>133</v>
      </c>
      <c r="B139" s="14" t="s">
        <v>332</v>
      </c>
      <c r="C139" s="44"/>
      <c r="D139" s="48">
        <v>22500</v>
      </c>
      <c r="E139" s="64"/>
      <c r="F139" s="16"/>
      <c r="G139" s="64"/>
      <c r="H139" s="14"/>
      <c r="I139" s="14"/>
      <c r="J139" s="64"/>
      <c r="K139" s="14"/>
      <c r="L139" s="14"/>
      <c r="M139" s="14"/>
      <c r="N139" s="64"/>
      <c r="O139" s="14"/>
      <c r="P139" s="14"/>
      <c r="Q139" s="14"/>
      <c r="R139" s="64"/>
      <c r="S139" s="14"/>
      <c r="T139" s="14"/>
      <c r="U139" s="14"/>
      <c r="V139" s="64"/>
      <c r="W139" s="14"/>
      <c r="X139" s="44">
        <f t="shared" si="14"/>
        <v>22500</v>
      </c>
      <c r="Y139" s="66"/>
    </row>
    <row r="140" spans="1:25" x14ac:dyDescent="0.4">
      <c r="A140" s="12">
        <f>MAX($A$7:A139)+1</f>
        <v>134</v>
      </c>
      <c r="B140" s="14" t="s">
        <v>307</v>
      </c>
      <c r="C140" s="44"/>
      <c r="D140" s="48">
        <v>508630.55</v>
      </c>
      <c r="F140" s="16"/>
      <c r="H140" s="14"/>
      <c r="I140" s="14"/>
      <c r="K140" s="14"/>
      <c r="L140" s="14"/>
      <c r="M140" s="14"/>
      <c r="O140" s="14"/>
      <c r="P140" s="14"/>
      <c r="Q140" s="14"/>
      <c r="S140" s="14"/>
      <c r="T140" s="14"/>
      <c r="U140" s="14"/>
      <c r="W140" s="14"/>
      <c r="X140" s="44">
        <f t="shared" si="14"/>
        <v>508630.55</v>
      </c>
      <c r="Y140" s="66"/>
    </row>
    <row r="141" spans="1:25" x14ac:dyDescent="0.4">
      <c r="A141" s="12">
        <f>MAX($A$7:A140)+1</f>
        <v>135</v>
      </c>
      <c r="B141" s="14" t="s">
        <v>308</v>
      </c>
      <c r="C141" s="44"/>
      <c r="D141" s="48">
        <v>-5833.54</v>
      </c>
      <c r="E141" s="79"/>
      <c r="F141" s="16"/>
      <c r="G141" s="79"/>
      <c r="H141" s="14"/>
      <c r="I141" s="14"/>
      <c r="J141" s="79"/>
      <c r="K141" s="14"/>
      <c r="L141" s="14"/>
      <c r="M141" s="14"/>
      <c r="N141" s="79"/>
      <c r="O141" s="14"/>
      <c r="P141" s="14"/>
      <c r="Q141" s="14"/>
      <c r="R141" s="79"/>
      <c r="S141" s="14"/>
      <c r="T141" s="14"/>
      <c r="U141" s="14"/>
      <c r="V141" s="79"/>
      <c r="W141" s="14"/>
      <c r="X141" s="44">
        <f t="shared" si="14"/>
        <v>-5833.54</v>
      </c>
      <c r="Y141" s="66"/>
    </row>
    <row r="142" spans="1:25" x14ac:dyDescent="0.4">
      <c r="A142" s="12">
        <f>MAX($A$7:A141)+1</f>
        <v>136</v>
      </c>
      <c r="B142" s="14" t="s">
        <v>309</v>
      </c>
      <c r="C142" s="44"/>
      <c r="D142" s="48">
        <v>11594.809999999998</v>
      </c>
      <c r="E142" s="79"/>
      <c r="F142" s="16"/>
      <c r="G142" s="79"/>
      <c r="H142" s="14"/>
      <c r="I142" s="14"/>
      <c r="J142" s="79"/>
      <c r="K142" s="14"/>
      <c r="L142" s="14"/>
      <c r="M142" s="14"/>
      <c r="N142" s="79"/>
      <c r="O142" s="14"/>
      <c r="P142" s="14"/>
      <c r="Q142" s="14"/>
      <c r="R142" s="79"/>
      <c r="S142" s="14"/>
      <c r="T142" s="14"/>
      <c r="U142" s="14"/>
      <c r="V142" s="79"/>
      <c r="W142" s="14"/>
      <c r="X142" s="44">
        <f t="shared" si="14"/>
        <v>11594.809999999998</v>
      </c>
      <c r="Y142" s="66"/>
    </row>
    <row r="143" spans="1:25" x14ac:dyDescent="0.4">
      <c r="A143" s="12">
        <f>MAX($A$7:A142)+1</f>
        <v>137</v>
      </c>
      <c r="B143" s="14" t="s">
        <v>333</v>
      </c>
      <c r="C143" s="48"/>
      <c r="D143" s="48">
        <v>1131463.4100000001</v>
      </c>
      <c r="E143" s="79"/>
      <c r="F143" s="16"/>
      <c r="G143" s="79"/>
      <c r="H143" s="14"/>
      <c r="I143" s="14"/>
      <c r="J143" s="79"/>
      <c r="K143" s="14"/>
      <c r="L143" s="14"/>
      <c r="M143" s="14"/>
      <c r="N143" s="79"/>
      <c r="O143" s="14"/>
      <c r="P143" s="14"/>
      <c r="Q143" s="14"/>
      <c r="R143" s="79"/>
      <c r="S143" s="14"/>
      <c r="T143" s="14"/>
      <c r="U143" s="14"/>
      <c r="V143" s="79"/>
      <c r="W143" s="14"/>
      <c r="X143" s="44">
        <f t="shared" si="14"/>
        <v>1131463.4100000001</v>
      </c>
      <c r="Y143" s="66"/>
    </row>
    <row r="144" spans="1:25" x14ac:dyDescent="0.4">
      <c r="A144" s="12">
        <f>MAX($A$7:A143)+1</f>
        <v>138</v>
      </c>
      <c r="B144" s="14" t="s">
        <v>312</v>
      </c>
      <c r="C144" s="14"/>
      <c r="D144" s="48">
        <v>-440300.43000000005</v>
      </c>
      <c r="E144" s="79"/>
      <c r="F144" s="16">
        <f>-D144</f>
        <v>440300.43000000005</v>
      </c>
      <c r="G144" s="79"/>
      <c r="H144" s="14"/>
      <c r="I144" s="14"/>
      <c r="J144" s="79"/>
      <c r="K144" s="14"/>
      <c r="L144" s="14"/>
      <c r="M144" s="14"/>
      <c r="N144" s="79"/>
      <c r="O144" s="14"/>
      <c r="P144" s="14"/>
      <c r="Q144" s="14"/>
      <c r="R144" s="79"/>
      <c r="S144" s="14"/>
      <c r="T144" s="14"/>
      <c r="U144" s="14"/>
      <c r="V144" s="79"/>
      <c r="W144" s="14"/>
      <c r="X144" s="44">
        <f t="shared" si="14"/>
        <v>0</v>
      </c>
      <c r="Y144" s="66"/>
    </row>
    <row r="145" spans="1:25" x14ac:dyDescent="0.4">
      <c r="A145" s="12">
        <f>MAX($A$7:A144)+1</f>
        <v>139</v>
      </c>
      <c r="B145" s="14" t="s">
        <v>334</v>
      </c>
      <c r="C145" s="14"/>
      <c r="D145" s="49">
        <v>78519.02</v>
      </c>
      <c r="E145" s="79"/>
      <c r="F145" s="68"/>
      <c r="G145" s="79"/>
      <c r="H145" s="14"/>
      <c r="I145" s="68">
        <f>-D145</f>
        <v>-78519.02</v>
      </c>
      <c r="J145" s="79"/>
      <c r="K145" s="14"/>
      <c r="L145" s="14"/>
      <c r="M145" s="69"/>
      <c r="N145" s="79"/>
      <c r="O145" s="14"/>
      <c r="P145" s="14"/>
      <c r="Q145" s="69"/>
      <c r="R145" s="79"/>
      <c r="S145" s="14"/>
      <c r="T145" s="14"/>
      <c r="U145" s="69"/>
      <c r="V145" s="79"/>
      <c r="W145" s="14"/>
      <c r="X145" s="49">
        <f t="shared" si="14"/>
        <v>0</v>
      </c>
      <c r="Y145" s="66"/>
    </row>
    <row r="146" spans="1:25" x14ac:dyDescent="0.4">
      <c r="A146" s="12">
        <f>MAX($A$7:A145)+1</f>
        <v>140</v>
      </c>
      <c r="B146" s="70" t="s">
        <v>335</v>
      </c>
      <c r="C146" s="71">
        <v>0</v>
      </c>
      <c r="D146" s="6">
        <f>SUM(D126:D145)</f>
        <v>27495495.209999993</v>
      </c>
      <c r="E146" s="71"/>
      <c r="F146" s="50">
        <f>SUM(F126:F145)</f>
        <v>282531.02</v>
      </c>
      <c r="G146" s="71"/>
      <c r="H146" s="69"/>
      <c r="I146" s="51">
        <f>SUM(I126:I145)</f>
        <v>-114550.24414999811</v>
      </c>
      <c r="J146" s="71"/>
      <c r="K146" s="69"/>
      <c r="L146" s="69"/>
      <c r="M146" s="51">
        <f>SUM(M126:M145)</f>
        <v>0</v>
      </c>
      <c r="N146" s="71"/>
      <c r="O146" s="69"/>
      <c r="P146" s="69"/>
      <c r="Q146" s="51">
        <f>SUM(Q126:Q145)</f>
        <v>24160.173712721902</v>
      </c>
      <c r="R146" s="71"/>
      <c r="S146" s="69"/>
      <c r="T146" s="69"/>
      <c r="U146" s="51">
        <f>SUM(U126:U145)</f>
        <v>456593.97759346548</v>
      </c>
      <c r="V146" s="71"/>
      <c r="W146" s="69"/>
      <c r="X146" s="51">
        <f>SUM(X126:X145)</f>
        <v>28144230.137156188</v>
      </c>
      <c r="Y146" s="66"/>
    </row>
    <row r="147" spans="1:25" x14ac:dyDescent="0.4">
      <c r="A147" s="12">
        <f>MAX($A$7:A146)+1</f>
        <v>141</v>
      </c>
      <c r="B147" s="13"/>
      <c r="C147" s="65"/>
      <c r="D147" s="11"/>
      <c r="E147" s="65"/>
      <c r="F147" s="14"/>
      <c r="G147" s="65"/>
      <c r="H147" s="14"/>
      <c r="I147" s="14"/>
      <c r="J147" s="65"/>
      <c r="K147" s="14"/>
      <c r="L147" s="14"/>
      <c r="M147" s="14"/>
      <c r="N147" s="65"/>
      <c r="O147" s="14"/>
      <c r="P147" s="14"/>
      <c r="Q147" s="14"/>
      <c r="R147" s="65"/>
      <c r="S147" s="14"/>
      <c r="T147" s="14"/>
      <c r="U147" s="14"/>
      <c r="V147" s="65"/>
      <c r="W147" s="14"/>
      <c r="X147" s="14"/>
      <c r="Y147" s="66"/>
    </row>
    <row r="148" spans="1:25" x14ac:dyDescent="0.4">
      <c r="A148" s="12">
        <f>MAX($A$7:A147)+1</f>
        <v>142</v>
      </c>
      <c r="B148" s="74" t="s">
        <v>336</v>
      </c>
      <c r="C148" s="14"/>
      <c r="D148" s="14"/>
      <c r="E148" s="65"/>
      <c r="F148" s="14"/>
      <c r="G148" s="65"/>
      <c r="H148" s="14"/>
      <c r="I148" s="14"/>
      <c r="J148" s="65"/>
      <c r="K148" s="14"/>
      <c r="L148" s="14"/>
      <c r="M148" s="14"/>
      <c r="N148" s="65"/>
      <c r="O148" s="14"/>
      <c r="P148" s="14"/>
      <c r="Q148" s="14"/>
      <c r="R148" s="65"/>
      <c r="S148" s="14"/>
      <c r="T148" s="14"/>
      <c r="U148" s="14"/>
      <c r="V148" s="65"/>
      <c r="W148" s="14"/>
      <c r="X148" s="14"/>
      <c r="Y148" s="66"/>
    </row>
    <row r="149" spans="1:25" x14ac:dyDescent="0.4">
      <c r="A149" s="12">
        <f>MAX($A$7:A148)+1</f>
        <v>143</v>
      </c>
      <c r="B149" s="14" t="s">
        <v>295</v>
      </c>
      <c r="C149" s="14"/>
      <c r="D149" s="14"/>
      <c r="E149" s="65"/>
      <c r="F149" s="14"/>
      <c r="G149" s="65"/>
      <c r="H149" s="14"/>
      <c r="I149" s="14"/>
      <c r="J149" s="65"/>
      <c r="K149" s="14"/>
      <c r="L149" s="14"/>
      <c r="M149" s="14"/>
      <c r="N149" s="65"/>
      <c r="O149" s="14"/>
      <c r="P149" s="14"/>
      <c r="Q149" s="14"/>
      <c r="R149" s="65"/>
      <c r="S149" s="14"/>
      <c r="T149" s="14"/>
      <c r="U149" s="14"/>
      <c r="V149" s="65"/>
      <c r="W149" s="14"/>
      <c r="X149" s="14"/>
      <c r="Y149" s="66"/>
    </row>
    <row r="150" spans="1:25" x14ac:dyDescent="0.4">
      <c r="A150" s="12">
        <f>MAX($A$7:A149)+1</f>
        <v>144</v>
      </c>
      <c r="B150" s="14" t="s">
        <v>337</v>
      </c>
      <c r="C150" s="14">
        <v>84</v>
      </c>
      <c r="D150" s="45">
        <v>52500</v>
      </c>
      <c r="E150" s="65"/>
      <c r="F150" s="14"/>
      <c r="G150" s="65"/>
      <c r="H150" s="14"/>
      <c r="I150" s="14"/>
      <c r="J150" s="65"/>
      <c r="K150" s="14"/>
      <c r="L150" s="14"/>
      <c r="M150" s="14"/>
      <c r="N150" s="65"/>
      <c r="O150" s="14"/>
      <c r="P150" s="14"/>
      <c r="Q150" s="14"/>
      <c r="R150" s="65"/>
      <c r="S150" s="14"/>
      <c r="T150" s="14"/>
      <c r="U150" s="14"/>
      <c r="V150" s="65"/>
      <c r="W150" s="14">
        <f>C150</f>
        <v>84</v>
      </c>
      <c r="X150" s="45">
        <f t="shared" ref="X150:X160" si="15">D150+F150+I150+M150+Q150+U150</f>
        <v>52500</v>
      </c>
      <c r="Y150" s="66"/>
    </row>
    <row r="151" spans="1:25" x14ac:dyDescent="0.4">
      <c r="A151" s="12">
        <f>MAX($A$7:A150)+1</f>
        <v>145</v>
      </c>
      <c r="B151" s="14" t="s">
        <v>327</v>
      </c>
      <c r="C151" s="14"/>
      <c r="D151" s="48">
        <v>60000</v>
      </c>
      <c r="E151" s="65"/>
      <c r="F151" s="14"/>
      <c r="G151" s="65"/>
      <c r="H151" s="14"/>
      <c r="I151" s="14"/>
      <c r="J151" s="65"/>
      <c r="K151" s="14"/>
      <c r="L151" s="14"/>
      <c r="M151" s="14"/>
      <c r="N151" s="65"/>
      <c r="O151" s="14"/>
      <c r="P151" s="14"/>
      <c r="Q151" s="14"/>
      <c r="R151" s="65"/>
      <c r="S151" s="14"/>
      <c r="T151" s="14"/>
      <c r="U151" s="14"/>
      <c r="V151" s="65"/>
      <c r="W151" s="14"/>
      <c r="X151" s="44">
        <f t="shared" si="15"/>
        <v>60000</v>
      </c>
      <c r="Y151" s="66"/>
    </row>
    <row r="152" spans="1:25" x14ac:dyDescent="0.4">
      <c r="A152" s="12">
        <f>MAX($A$7:A151)+1</f>
        <v>146</v>
      </c>
      <c r="B152" s="14" t="s">
        <v>338</v>
      </c>
      <c r="C152" s="14"/>
      <c r="D152" s="48">
        <v>189764.52</v>
      </c>
      <c r="E152" s="65"/>
      <c r="F152" s="14"/>
      <c r="G152" s="65"/>
      <c r="H152" s="14"/>
      <c r="I152" s="14"/>
      <c r="J152" s="65"/>
      <c r="K152" s="14"/>
      <c r="L152" s="14"/>
      <c r="M152" s="14"/>
      <c r="N152" s="65"/>
      <c r="O152" s="14"/>
      <c r="P152" s="14"/>
      <c r="Q152" s="14"/>
      <c r="R152" s="65"/>
      <c r="S152" s="14"/>
      <c r="T152" s="14"/>
      <c r="U152" s="14"/>
      <c r="V152" s="65"/>
      <c r="W152" s="14"/>
      <c r="X152" s="44">
        <f t="shared" si="15"/>
        <v>189764.52</v>
      </c>
      <c r="Y152" s="66"/>
    </row>
    <row r="153" spans="1:25" x14ac:dyDescent="0.4">
      <c r="A153" s="12">
        <f>MAX($A$7:A152)+1</f>
        <v>147</v>
      </c>
      <c r="B153" s="14" t="s">
        <v>339</v>
      </c>
      <c r="C153" s="14"/>
      <c r="D153" s="48">
        <v>43112.800000000003</v>
      </c>
      <c r="E153" s="65"/>
      <c r="F153" s="14"/>
      <c r="G153" s="65"/>
      <c r="H153" s="14"/>
      <c r="I153" s="14"/>
      <c r="J153" s="65"/>
      <c r="K153" s="14"/>
      <c r="L153" s="14"/>
      <c r="M153" s="14"/>
      <c r="N153" s="65"/>
      <c r="O153" s="14"/>
      <c r="P153" s="14"/>
      <c r="Q153" s="14"/>
      <c r="R153" s="65"/>
      <c r="S153" s="14"/>
      <c r="T153" s="14"/>
      <c r="U153" s="14"/>
      <c r="V153" s="65"/>
      <c r="W153" s="14"/>
      <c r="X153" s="44">
        <f t="shared" si="15"/>
        <v>43112.800000000003</v>
      </c>
      <c r="Y153" s="66"/>
    </row>
    <row r="154" spans="1:25" x14ac:dyDescent="0.4">
      <c r="A154" s="12">
        <f>MAX($A$7:A153)+1</f>
        <v>148</v>
      </c>
      <c r="B154" s="14" t="s">
        <v>340</v>
      </c>
      <c r="C154" s="14"/>
      <c r="D154" s="48">
        <v>179100</v>
      </c>
      <c r="E154" s="65"/>
      <c r="F154" s="14"/>
      <c r="G154" s="65"/>
      <c r="H154" s="14"/>
      <c r="I154" s="14"/>
      <c r="J154" s="65"/>
      <c r="K154" s="14"/>
      <c r="L154" s="14"/>
      <c r="M154" s="14"/>
      <c r="N154" s="65"/>
      <c r="O154" s="14"/>
      <c r="P154" s="14"/>
      <c r="Q154" s="14"/>
      <c r="R154" s="65"/>
      <c r="S154" s="14"/>
      <c r="T154" s="14"/>
      <c r="U154" s="14"/>
      <c r="V154" s="65"/>
      <c r="W154" s="14"/>
      <c r="X154" s="44">
        <f t="shared" si="15"/>
        <v>179100</v>
      </c>
      <c r="Y154" s="66"/>
    </row>
    <row r="155" spans="1:25" x14ac:dyDescent="0.4">
      <c r="A155" s="12">
        <f>MAX($A$7:A154)+1</f>
        <v>149</v>
      </c>
      <c r="B155" s="14" t="s">
        <v>328</v>
      </c>
      <c r="C155" s="44">
        <f>C156</f>
        <v>182556284</v>
      </c>
      <c r="D155" s="48">
        <v>70257.900000000009</v>
      </c>
      <c r="E155" s="65"/>
      <c r="F155" s="14"/>
      <c r="G155" s="65"/>
      <c r="H155" s="14"/>
      <c r="I155" s="14"/>
      <c r="J155" s="65"/>
      <c r="K155" s="14"/>
      <c r="L155" s="14"/>
      <c r="M155" s="14"/>
      <c r="N155" s="65"/>
      <c r="O155" s="14"/>
      <c r="P155" s="14"/>
      <c r="Q155" s="14"/>
      <c r="R155" s="65"/>
      <c r="S155" s="14"/>
      <c r="T155" s="14"/>
      <c r="U155" s="14"/>
      <c r="V155" s="65"/>
      <c r="W155" s="16">
        <f>C155</f>
        <v>182556284</v>
      </c>
      <c r="X155" s="44">
        <f t="shared" si="15"/>
        <v>70257.900000000009</v>
      </c>
      <c r="Y155" s="66"/>
    </row>
    <row r="156" spans="1:25" x14ac:dyDescent="0.4">
      <c r="A156" s="12">
        <f>MAX($A$7:A155)+1</f>
        <v>150</v>
      </c>
      <c r="B156" s="14" t="s">
        <v>341</v>
      </c>
      <c r="C156" s="44">
        <v>182556284</v>
      </c>
      <c r="D156" s="48">
        <v>2553267.1299999994</v>
      </c>
      <c r="E156" s="65"/>
      <c r="F156" s="14"/>
      <c r="G156" s="65"/>
      <c r="H156" s="14"/>
      <c r="I156" s="14"/>
      <c r="J156" s="65"/>
      <c r="K156" s="14"/>
      <c r="L156" s="14"/>
      <c r="M156" s="14"/>
      <c r="N156" s="65"/>
      <c r="O156" s="14"/>
      <c r="P156" s="14"/>
      <c r="Q156" s="14"/>
      <c r="R156" s="65"/>
      <c r="S156" s="14"/>
      <c r="T156" s="14"/>
      <c r="U156" s="14"/>
      <c r="V156" s="65"/>
      <c r="W156" s="16">
        <f>C156</f>
        <v>182556284</v>
      </c>
      <c r="X156" s="44">
        <f t="shared" si="15"/>
        <v>2553267.1299999994</v>
      </c>
      <c r="Y156" s="66"/>
    </row>
    <row r="157" spans="1:25" x14ac:dyDescent="0.4">
      <c r="A157" s="12">
        <f>MAX($A$7:A156)+1</f>
        <v>151</v>
      </c>
      <c r="C157" s="14"/>
      <c r="D157" s="14"/>
      <c r="E157" s="65"/>
      <c r="F157" s="14"/>
      <c r="G157" s="65"/>
      <c r="H157" s="14"/>
      <c r="I157" s="14"/>
      <c r="J157" s="65"/>
      <c r="K157" s="14"/>
      <c r="L157" s="14"/>
      <c r="M157" s="14"/>
      <c r="N157" s="65"/>
      <c r="O157" s="14"/>
      <c r="P157" s="14"/>
      <c r="Q157" s="14"/>
      <c r="R157" s="65"/>
      <c r="S157" s="14"/>
      <c r="T157" s="14"/>
      <c r="U157" s="14"/>
      <c r="V157" s="65"/>
      <c r="W157" s="14"/>
      <c r="X157" s="44"/>
      <c r="Y157" s="66"/>
    </row>
    <row r="158" spans="1:25" x14ac:dyDescent="0.4">
      <c r="A158" s="12">
        <f>MAX($A$7:A157)+1</f>
        <v>152</v>
      </c>
      <c r="B158" s="14" t="s">
        <v>298</v>
      </c>
      <c r="C158" s="14"/>
      <c r="D158" s="14"/>
      <c r="E158" s="65"/>
      <c r="F158" s="14"/>
      <c r="G158" s="65"/>
      <c r="H158" s="14"/>
      <c r="I158" s="14"/>
      <c r="J158" s="65"/>
      <c r="K158" s="14"/>
      <c r="L158" s="14"/>
      <c r="M158" s="14"/>
      <c r="N158" s="65"/>
      <c r="O158" s="14"/>
      <c r="P158" s="14"/>
      <c r="Q158" s="14"/>
      <c r="R158" s="65"/>
      <c r="S158" s="14"/>
      <c r="T158" s="14"/>
      <c r="U158" s="14"/>
      <c r="V158" s="65"/>
      <c r="W158" s="14"/>
      <c r="X158" s="44"/>
      <c r="Y158" s="66"/>
    </row>
    <row r="159" spans="1:25" x14ac:dyDescent="0.4">
      <c r="A159" s="12">
        <f>MAX($A$7:A158)+1</f>
        <v>153</v>
      </c>
      <c r="B159" s="14" t="s">
        <v>333</v>
      </c>
      <c r="C159" s="14"/>
      <c r="D159" s="48">
        <v>139236.11000000002</v>
      </c>
      <c r="E159" s="65"/>
      <c r="F159" s="14"/>
      <c r="G159" s="65"/>
      <c r="H159" s="14"/>
      <c r="I159" s="14"/>
      <c r="J159" s="65"/>
      <c r="K159" s="14"/>
      <c r="L159" s="14"/>
      <c r="M159" s="14"/>
      <c r="N159" s="65"/>
      <c r="O159" s="14"/>
      <c r="P159" s="14"/>
      <c r="Q159" s="14"/>
      <c r="R159" s="65"/>
      <c r="S159" s="14"/>
      <c r="T159" s="14"/>
      <c r="U159" s="14"/>
      <c r="V159" s="65"/>
      <c r="W159" s="14"/>
      <c r="X159" s="44">
        <f t="shared" si="15"/>
        <v>139236.11000000002</v>
      </c>
      <c r="Y159" s="66"/>
    </row>
    <row r="160" spans="1:25" x14ac:dyDescent="0.4">
      <c r="A160" s="12">
        <f>MAX($A$7:A159)+1</f>
        <v>154</v>
      </c>
      <c r="B160" s="14" t="s">
        <v>307</v>
      </c>
      <c r="C160" s="14"/>
      <c r="D160" s="49">
        <v>109452.62</v>
      </c>
      <c r="E160" s="65"/>
      <c r="F160" s="14"/>
      <c r="G160" s="65"/>
      <c r="H160" s="14"/>
      <c r="I160" s="14"/>
      <c r="J160" s="65"/>
      <c r="K160" s="14"/>
      <c r="L160" s="14"/>
      <c r="M160" s="14"/>
      <c r="N160" s="65"/>
      <c r="O160" s="14"/>
      <c r="P160" s="14"/>
      <c r="Q160" s="14"/>
      <c r="R160" s="65"/>
      <c r="S160" s="14"/>
      <c r="T160" s="14"/>
      <c r="U160" s="14"/>
      <c r="V160" s="65"/>
      <c r="W160" s="14"/>
      <c r="X160" s="49">
        <f t="shared" si="15"/>
        <v>109452.62</v>
      </c>
      <c r="Y160" s="66"/>
    </row>
    <row r="161" spans="1:25" x14ac:dyDescent="0.4">
      <c r="A161" s="12">
        <f>MAX($A$7:A160)+1</f>
        <v>155</v>
      </c>
      <c r="B161" s="14" t="s">
        <v>342</v>
      </c>
      <c r="C161" s="65">
        <v>0</v>
      </c>
      <c r="D161" s="45">
        <f>SUM(D150:D160)</f>
        <v>3396691.0799999996</v>
      </c>
      <c r="E161" s="65"/>
      <c r="F161" s="14"/>
      <c r="G161" s="65"/>
      <c r="H161" s="14"/>
      <c r="I161" s="14"/>
      <c r="J161" s="65"/>
      <c r="K161" s="14"/>
      <c r="L161" s="14"/>
      <c r="M161" s="14"/>
      <c r="N161" s="65"/>
      <c r="O161" s="14"/>
      <c r="P161" s="14"/>
      <c r="Q161" s="14"/>
      <c r="R161" s="65"/>
      <c r="S161" s="14"/>
      <c r="T161" s="14"/>
      <c r="U161" s="14"/>
      <c r="V161" s="65"/>
      <c r="W161" s="14"/>
      <c r="X161" s="67">
        <f>SUM(X150:X156,X159:X160)</f>
        <v>3396691.0799999996</v>
      </c>
      <c r="Y161" s="66"/>
    </row>
    <row r="162" spans="1:25" x14ac:dyDescent="0.4">
      <c r="A162" s="12">
        <f>MAX($A$7:A161)+1</f>
        <v>156</v>
      </c>
      <c r="D162" s="80"/>
      <c r="F162" s="69"/>
      <c r="H162" s="69"/>
      <c r="I162" s="69"/>
      <c r="K162" s="69"/>
      <c r="L162" s="69"/>
      <c r="M162" s="69"/>
      <c r="O162" s="69"/>
      <c r="P162" s="69"/>
      <c r="Q162" s="69"/>
      <c r="S162" s="69"/>
      <c r="T162" s="69"/>
      <c r="U162" s="69"/>
      <c r="W162" s="69"/>
      <c r="X162" s="69"/>
    </row>
    <row r="163" spans="1:25" x14ac:dyDescent="0.4">
      <c r="A163" s="12">
        <f>MAX($A$7:A162)+1</f>
        <v>157</v>
      </c>
      <c r="B163" s="81" t="s">
        <v>343</v>
      </c>
      <c r="C163" s="82"/>
      <c r="D163" s="83">
        <f>SUM(D9:D10,D31:D32,D53:D56,D77:D80,D102:D104,D126:D132,D150:D156)</f>
        <v>120193921.04705608</v>
      </c>
      <c r="E163" s="84"/>
      <c r="F163" s="83">
        <f>SUM(F9:F10,F31:F32,F53:F56,F77:F80,F102:F104,F126:F132,F150:F156)</f>
        <v>0</v>
      </c>
      <c r="G163" s="84"/>
      <c r="H163" s="82"/>
      <c r="I163" s="83">
        <f>SUM(I9:I10,I31:I32,I53:I56,I77:I80,I102:I104,I126:I132,I150:I156)</f>
        <v>-1407470.3234760787</v>
      </c>
      <c r="J163" s="84"/>
      <c r="K163" s="82"/>
      <c r="L163" s="82"/>
      <c r="M163" s="83">
        <f>SUM(M9:M10,M31:M32,M53:M56,M77:M80,M102:M104,M126:M132,M150:M156)</f>
        <v>1435129.0870973188</v>
      </c>
      <c r="N163" s="84"/>
      <c r="O163" s="82"/>
      <c r="P163" s="82"/>
      <c r="Q163" s="83">
        <f>SUM(Q9:Q10,Q31:Q32,Q53:Q56,Q77:Q80,Q102:Q104,Q126:Q132,Q150:Q156)</f>
        <v>436247.02630265447</v>
      </c>
      <c r="R163" s="84"/>
      <c r="S163" s="82"/>
      <c r="T163" s="82"/>
      <c r="U163" s="83">
        <f>SUM(U9:U10,U31:U32,U53:U56,U77:U80,U102:U104,U126:U132,U150:U156)</f>
        <v>4708588.5892901709</v>
      </c>
      <c r="V163" s="84"/>
      <c r="W163" s="82"/>
      <c r="X163" s="83">
        <f>SUM(X9:X10,X31:X32,X53:X56,X77:X80,X102:X104,X126:X132,X150:X156)</f>
        <v>125366415.42627013</v>
      </c>
    </row>
    <row r="164" spans="1:25" x14ac:dyDescent="0.4">
      <c r="A164" s="12">
        <f>MAX($A$7:A163)+1</f>
        <v>158</v>
      </c>
      <c r="B164" s="13" t="s">
        <v>344</v>
      </c>
      <c r="C164" s="67">
        <v>-0.35859829187393188</v>
      </c>
      <c r="D164" s="67">
        <f>SUM(D27,D49,D73,D98,D122,D146,D161)</f>
        <v>374104209.87140167</v>
      </c>
      <c r="E164" s="85"/>
      <c r="F164" s="67">
        <f>SUM(F27,F49,F73,F98,F122,F146,F161)</f>
        <v>-229729905.2536439</v>
      </c>
      <c r="G164" s="85"/>
      <c r="H164" s="14"/>
      <c r="I164" s="67">
        <f>SUM(I27,I49,I73,I98,I122,I146,I161)</f>
        <v>-1485989.3434760787</v>
      </c>
      <c r="J164" s="85"/>
      <c r="K164" s="14"/>
      <c r="L164" s="14"/>
      <c r="M164" s="67">
        <f>SUM(M27,M49,M73,M98,M122,M146,M161)</f>
        <v>-288494.65290268115</v>
      </c>
      <c r="N164" s="85"/>
      <c r="O164" s="14"/>
      <c r="P164" s="14"/>
      <c r="Q164" s="67">
        <f>SUM(Q27,Q49,Q73,Q98,Q122,Q146,Q161)</f>
        <v>436247.02630265459</v>
      </c>
      <c r="R164" s="85"/>
      <c r="S164" s="14"/>
      <c r="T164" s="14"/>
      <c r="U164" s="67">
        <f>SUM(U27,U49,U73,U98,U122,U146,U161)</f>
        <v>1831964.8385883817</v>
      </c>
      <c r="V164" s="85"/>
      <c r="W164" s="14"/>
      <c r="X164" s="67">
        <f>SUM(X27,X49,X73,X98,X122,X146,X161)</f>
        <v>144868032.48627016</v>
      </c>
    </row>
    <row r="165" spans="1:25" x14ac:dyDescent="0.4">
      <c r="D165" s="80"/>
      <c r="F165" s="86"/>
      <c r="H165" s="14"/>
      <c r="I165" s="14"/>
      <c r="Q165" s="65"/>
      <c r="U165" s="87"/>
    </row>
    <row r="166" spans="1:25" x14ac:dyDescent="0.4">
      <c r="B166" s="14" t="s">
        <v>345</v>
      </c>
      <c r="C166" s="16">
        <f>SUM(C10,C32,C54:C56,C78:C80,C103:C104,C129:C132,C156)</f>
        <v>1287896944</v>
      </c>
      <c r="D166" s="73"/>
      <c r="E166" s="73"/>
      <c r="F166" s="87"/>
      <c r="G166" s="73"/>
      <c r="H166" s="14"/>
      <c r="I166" s="14"/>
      <c r="J166" s="73"/>
      <c r="K166" s="73"/>
      <c r="L166" s="73"/>
      <c r="M166" s="73"/>
      <c r="N166" s="73"/>
      <c r="O166" s="73"/>
      <c r="P166" s="73"/>
      <c r="Q166" s="65"/>
      <c r="R166" s="73"/>
      <c r="V166" s="73"/>
    </row>
    <row r="167" spans="1:25" x14ac:dyDescent="0.4">
      <c r="B167" s="14" t="s">
        <v>346</v>
      </c>
      <c r="C167" s="16"/>
      <c r="D167" s="73"/>
      <c r="E167" s="73"/>
      <c r="F167" s="87"/>
      <c r="G167" s="73"/>
      <c r="H167" s="14"/>
      <c r="I167" s="14"/>
      <c r="J167" s="73"/>
      <c r="K167" s="73"/>
      <c r="L167" s="73"/>
      <c r="M167" s="73"/>
      <c r="N167" s="73"/>
      <c r="O167" s="73"/>
      <c r="P167" s="73"/>
      <c r="Q167" s="65"/>
      <c r="R167" s="73"/>
      <c r="V167" s="73"/>
    </row>
    <row r="168" spans="1:25" x14ac:dyDescent="0.4">
      <c r="B168" s="14" t="s">
        <v>347</v>
      </c>
      <c r="C168" s="16">
        <v>1287967167</v>
      </c>
      <c r="D168" s="73"/>
      <c r="E168" s="73"/>
      <c r="F168" s="87"/>
      <c r="G168" s="73"/>
      <c r="H168" s="14"/>
      <c r="I168" s="14"/>
      <c r="J168" s="73"/>
      <c r="K168" s="73"/>
      <c r="L168" s="73"/>
      <c r="M168" s="73"/>
      <c r="N168" s="73"/>
      <c r="O168" s="73"/>
      <c r="P168" s="73"/>
      <c r="Q168" s="65"/>
      <c r="R168" s="73"/>
      <c r="V168" s="73"/>
    </row>
    <row r="169" spans="1:25" x14ac:dyDescent="0.4">
      <c r="B169" s="14" t="s">
        <v>348</v>
      </c>
      <c r="C169" s="16">
        <v>-144310</v>
      </c>
      <c r="D169" s="73"/>
      <c r="E169" s="73"/>
      <c r="F169" s="87"/>
      <c r="G169" s="73"/>
      <c r="H169" s="14"/>
      <c r="I169" s="14"/>
      <c r="J169" s="73"/>
      <c r="K169" s="73"/>
      <c r="L169" s="73"/>
      <c r="M169" s="73"/>
      <c r="N169" s="73"/>
      <c r="O169" s="73"/>
      <c r="P169" s="73"/>
      <c r="Q169" s="65"/>
      <c r="R169" s="73"/>
      <c r="V169" s="73"/>
    </row>
    <row r="170" spans="1:25" x14ac:dyDescent="0.4">
      <c r="B170" s="14" t="s">
        <v>349</v>
      </c>
      <c r="C170" s="68">
        <v>74087</v>
      </c>
      <c r="D170" s="73"/>
      <c r="E170" s="73"/>
      <c r="F170" s="87"/>
      <c r="G170" s="73"/>
      <c r="H170" s="14"/>
      <c r="I170" s="14"/>
      <c r="J170" s="73"/>
      <c r="K170" s="73"/>
      <c r="L170" s="73"/>
      <c r="M170" s="73"/>
      <c r="N170" s="73"/>
      <c r="O170" s="73"/>
      <c r="P170" s="73"/>
      <c r="Q170" s="65"/>
      <c r="R170" s="73"/>
      <c r="V170" s="73"/>
    </row>
    <row r="171" spans="1:25" x14ac:dyDescent="0.4">
      <c r="B171" s="14" t="s">
        <v>260</v>
      </c>
      <c r="C171" s="44">
        <f>SUM(C168:C170)</f>
        <v>1287896944</v>
      </c>
      <c r="D171" s="73"/>
      <c r="E171" s="73"/>
      <c r="G171" s="73"/>
      <c r="H171" s="14"/>
      <c r="I171" s="14"/>
      <c r="J171" s="73"/>
      <c r="K171" s="73"/>
      <c r="L171" s="73"/>
      <c r="M171" s="80"/>
      <c r="N171" s="73"/>
      <c r="O171" s="73"/>
      <c r="P171" s="73"/>
      <c r="Q171" s="65"/>
      <c r="R171" s="73"/>
      <c r="V171" s="73"/>
    </row>
    <row r="172" spans="1:25" x14ac:dyDescent="0.4">
      <c r="B172" s="14" t="s">
        <v>350</v>
      </c>
      <c r="C172" s="44">
        <f>C166-C171</f>
        <v>0</v>
      </c>
      <c r="D172" s="73"/>
      <c r="E172" s="73"/>
      <c r="G172" s="73"/>
      <c r="H172" s="14"/>
      <c r="I172" s="14"/>
      <c r="J172" s="73"/>
      <c r="K172" s="73"/>
      <c r="L172" s="73"/>
      <c r="M172" s="80"/>
      <c r="N172" s="73"/>
      <c r="O172" s="73"/>
      <c r="P172" s="73"/>
      <c r="Q172" s="65"/>
      <c r="R172" s="73"/>
      <c r="V172" s="73"/>
    </row>
    <row r="173" spans="1:25" x14ac:dyDescent="0.4">
      <c r="C173" s="44"/>
      <c r="D173" s="73"/>
      <c r="E173" s="73"/>
      <c r="G173" s="73"/>
      <c r="H173" s="14"/>
      <c r="I173" s="14"/>
      <c r="J173" s="73"/>
      <c r="K173" s="73"/>
      <c r="L173" s="73"/>
      <c r="M173" s="80"/>
      <c r="N173" s="73"/>
      <c r="O173" s="73"/>
      <c r="P173" s="73"/>
      <c r="Q173" s="65"/>
      <c r="R173" s="73"/>
      <c r="V173" s="73"/>
    </row>
    <row r="174" spans="1:25" x14ac:dyDescent="0.4">
      <c r="B174" s="14" t="s">
        <v>351</v>
      </c>
      <c r="C174" s="16">
        <f>SUM(C9,C31,C53,C77,C102,C126,C150)</f>
        <v>2778462</v>
      </c>
      <c r="D174" s="73"/>
      <c r="E174" s="73"/>
      <c r="G174" s="73"/>
      <c r="H174" s="14"/>
      <c r="I174" s="14"/>
      <c r="J174" s="73"/>
      <c r="K174" s="73"/>
      <c r="L174" s="73"/>
      <c r="M174" s="73"/>
      <c r="N174" s="73"/>
      <c r="O174" s="73"/>
      <c r="P174" s="73"/>
      <c r="Q174" s="65"/>
      <c r="R174" s="73"/>
      <c r="V174" s="73"/>
    </row>
    <row r="175" spans="1:25" x14ac:dyDescent="0.4">
      <c r="B175" s="14" t="s">
        <v>352</v>
      </c>
      <c r="C175" s="16">
        <v>2778462</v>
      </c>
      <c r="D175" s="73"/>
      <c r="E175" s="73"/>
      <c r="G175" s="73"/>
      <c r="H175" s="14"/>
      <c r="I175" s="14"/>
      <c r="J175" s="73"/>
      <c r="K175" s="73"/>
      <c r="L175" s="73"/>
      <c r="M175" s="73"/>
      <c r="N175" s="73"/>
      <c r="O175" s="73"/>
      <c r="P175" s="73"/>
      <c r="Q175" s="65"/>
      <c r="R175" s="73"/>
      <c r="V175" s="73"/>
    </row>
    <row r="176" spans="1:25" x14ac:dyDescent="0.4">
      <c r="B176" s="14" t="s">
        <v>350</v>
      </c>
      <c r="C176" s="16">
        <f>C174-C175</f>
        <v>0</v>
      </c>
      <c r="D176" s="73"/>
      <c r="E176" s="73"/>
      <c r="G176" s="73"/>
      <c r="H176" s="14"/>
      <c r="I176" s="14"/>
      <c r="J176" s="73"/>
      <c r="K176" s="73"/>
      <c r="L176" s="73"/>
      <c r="M176" s="73"/>
      <c r="N176" s="73"/>
      <c r="O176" s="73"/>
      <c r="P176" s="73"/>
      <c r="Q176" s="65"/>
      <c r="R176" s="73"/>
      <c r="V176" s="73"/>
    </row>
    <row r="177" spans="2:22" x14ac:dyDescent="0.4">
      <c r="D177" s="73"/>
      <c r="E177" s="73"/>
      <c r="G177" s="73"/>
      <c r="H177" s="14"/>
      <c r="I177" s="14"/>
      <c r="J177" s="73"/>
      <c r="K177" s="73"/>
      <c r="L177" s="73"/>
      <c r="M177" s="73"/>
      <c r="N177" s="73"/>
      <c r="O177" s="73"/>
      <c r="P177" s="73"/>
      <c r="Q177" s="65"/>
      <c r="R177" s="73"/>
      <c r="V177" s="73"/>
    </row>
    <row r="178" spans="2:22" x14ac:dyDescent="0.4">
      <c r="B178" s="13"/>
      <c r="D178" s="73"/>
      <c r="E178" s="73"/>
      <c r="G178" s="73"/>
      <c r="H178" s="14"/>
      <c r="I178" s="14"/>
      <c r="J178" s="73"/>
      <c r="K178" s="73"/>
      <c r="L178" s="73"/>
      <c r="M178" s="73"/>
      <c r="N178" s="73"/>
      <c r="O178" s="73"/>
      <c r="P178" s="73"/>
      <c r="Q178" s="65"/>
      <c r="R178" s="73"/>
      <c r="V178" s="73"/>
    </row>
    <row r="179" spans="2:22" x14ac:dyDescent="0.4">
      <c r="B179" s="13"/>
      <c r="D179" s="80"/>
      <c r="I179" s="88"/>
      <c r="Q179" s="65"/>
    </row>
    <row r="180" spans="2:22" x14ac:dyDescent="0.4">
      <c r="B180" s="13"/>
      <c r="D180" s="86"/>
      <c r="E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65"/>
      <c r="R180" s="85"/>
      <c r="V180" s="85"/>
    </row>
    <row r="181" spans="2:22" ht="15.75" customHeight="1" x14ac:dyDescent="0.4">
      <c r="D181" s="85"/>
      <c r="I181" s="89"/>
      <c r="Q181" s="65"/>
    </row>
    <row r="182" spans="2:22" x14ac:dyDescent="0.4"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V182" s="85"/>
    </row>
    <row r="183" spans="2:22" x14ac:dyDescent="0.4">
      <c r="B183" s="13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V183" s="8"/>
    </row>
    <row r="184" spans="2:22" x14ac:dyDescent="0.4">
      <c r="C184" s="85"/>
      <c r="D184" s="64"/>
      <c r="I184" s="80"/>
    </row>
    <row r="185" spans="2:22" x14ac:dyDescent="0.4">
      <c r="D185" s="65"/>
    </row>
    <row r="186" spans="2:22" x14ac:dyDescent="0.4">
      <c r="B186" s="13"/>
      <c r="D186" s="65"/>
    </row>
    <row r="187" spans="2:22" x14ac:dyDescent="0.4">
      <c r="D187" s="65"/>
    </row>
    <row r="188" spans="2:22" x14ac:dyDescent="0.4">
      <c r="D188" s="65"/>
      <c r="G188" s="14"/>
      <c r="H188" s="14"/>
      <c r="I188" s="14"/>
      <c r="J188" s="14"/>
      <c r="K188" s="14"/>
    </row>
    <row r="189" spans="2:22" x14ac:dyDescent="0.4">
      <c r="D189" s="65"/>
      <c r="G189" s="14"/>
      <c r="H189" s="14"/>
      <c r="I189" s="14"/>
      <c r="J189" s="14"/>
      <c r="K189" s="14"/>
    </row>
    <row r="190" spans="2:22" x14ac:dyDescent="0.4">
      <c r="D190" s="65"/>
      <c r="G190" s="14"/>
      <c r="H190" s="14"/>
      <c r="I190" s="14"/>
      <c r="J190" s="14"/>
      <c r="K190" s="14"/>
    </row>
    <row r="191" spans="2:22" x14ac:dyDescent="0.4">
      <c r="D191" s="65"/>
      <c r="G191" s="14"/>
      <c r="H191" s="14"/>
      <c r="I191" s="14"/>
      <c r="J191" s="14"/>
      <c r="K191" s="14"/>
    </row>
    <row r="192" spans="2:22" x14ac:dyDescent="0.4">
      <c r="D192" s="65"/>
      <c r="G192" s="14"/>
      <c r="H192" s="14"/>
      <c r="I192" s="14"/>
      <c r="J192" s="14"/>
      <c r="K192" s="14"/>
    </row>
    <row r="193" spans="3:15" x14ac:dyDescent="0.4">
      <c r="D193" s="65"/>
      <c r="G193" s="14"/>
      <c r="H193" s="14"/>
      <c r="I193" s="14"/>
      <c r="J193" s="14"/>
      <c r="K193" s="14"/>
    </row>
    <row r="194" spans="3:15" x14ac:dyDescent="0.4">
      <c r="D194" s="65"/>
      <c r="G194" s="14"/>
      <c r="H194" s="14"/>
      <c r="I194" s="14"/>
      <c r="J194" s="14"/>
      <c r="K194" s="14"/>
    </row>
    <row r="195" spans="3:15" x14ac:dyDescent="0.4">
      <c r="D195" s="65"/>
      <c r="G195" s="14"/>
      <c r="H195" s="14"/>
      <c r="I195" s="14"/>
      <c r="J195" s="14"/>
      <c r="K195" s="14"/>
    </row>
    <row r="196" spans="3:15" x14ac:dyDescent="0.4">
      <c r="G196" s="14"/>
      <c r="H196" s="14"/>
      <c r="I196" s="14"/>
      <c r="J196" s="14"/>
      <c r="K196" s="14"/>
    </row>
    <row r="197" spans="3:15" x14ac:dyDescent="0.4">
      <c r="G197" s="14"/>
      <c r="H197" s="14"/>
      <c r="I197" s="14"/>
      <c r="J197" s="14"/>
      <c r="K197" s="14"/>
    </row>
    <row r="198" spans="3:15" x14ac:dyDescent="0.4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3:15" x14ac:dyDescent="0.4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3:15" x14ac:dyDescent="0.4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3:15" x14ac:dyDescent="0.4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3:15" x14ac:dyDescent="0.4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3:15" x14ac:dyDescent="0.4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3:15" x14ac:dyDescent="0.4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3:15" x14ac:dyDescent="0.4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3:15" x14ac:dyDescent="0.4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3:15" x14ac:dyDescent="0.4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3:15" x14ac:dyDescent="0.4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3:15" x14ac:dyDescent="0.4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3:15" x14ac:dyDescent="0.4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3:15" x14ac:dyDescent="0.4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3:15" x14ac:dyDescent="0.4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3:15" x14ac:dyDescent="0.4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3:15" x14ac:dyDescent="0.4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3:15" x14ac:dyDescent="0.4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3:15" x14ac:dyDescent="0.4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3:15" x14ac:dyDescent="0.4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3:15" x14ac:dyDescent="0.4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3:15" x14ac:dyDescent="0.4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3:15" x14ac:dyDescent="0.4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3:15" x14ac:dyDescent="0.4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3:15" x14ac:dyDescent="0.4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3:15" x14ac:dyDescent="0.4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3:15" x14ac:dyDescent="0.4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3:15" x14ac:dyDescent="0.4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3:15" x14ac:dyDescent="0.4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3:15" x14ac:dyDescent="0.4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3:15" x14ac:dyDescent="0.4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3:15" x14ac:dyDescent="0.4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</sheetData>
  <mergeCells count="6">
    <mergeCell ref="W4:X4"/>
    <mergeCell ref="C4:D4"/>
    <mergeCell ref="H4:I4"/>
    <mergeCell ref="K4:M4"/>
    <mergeCell ref="O4:Q4"/>
    <mergeCell ref="S4:U4"/>
  </mergeCells>
  <printOptions horizontalCentered="1"/>
  <pageMargins left="0.5" right="0.5" top="1" bottom="0.75" header="0.5" footer="0.3"/>
  <pageSetup paperSize="3" fitToWidth="2" fitToHeight="0" pageOrder="overThenDown" orientation="landscape" useFirstPageNumber="1" horizontalDpi="1200" verticalDpi="1200" r:id="rId1"/>
  <headerFooter scaleWithDoc="0">
    <oddHeader>&amp;C&amp;10Cascade Natural Gas Corporation
SUMMARY OF REVENUES BY RATE SCHEDULE&amp;R&amp;9Docket No. UG-240008
Exhibit No. ___ (JAD-2)
Page &amp;P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4830-6B6A-4898-AFC7-00EA57A5EDCE}">
  <dimension ref="A1:A3"/>
  <sheetViews>
    <sheetView workbookViewId="0">
      <selection activeCell="H22" sqref="H22"/>
    </sheetView>
  </sheetViews>
  <sheetFormatPr defaultRowHeight="14.6" x14ac:dyDescent="0.4"/>
  <cols>
    <col min="1" max="1" width="33.53515625" customWidth="1"/>
  </cols>
  <sheetData>
    <row r="1" spans="1:1" x14ac:dyDescent="0.4">
      <c r="A1" s="1" t="s">
        <v>353</v>
      </c>
    </row>
    <row r="3" spans="1:1" x14ac:dyDescent="0.4">
      <c r="A3" t="s">
        <v>354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1A87BA-0D22-43F8-BA0C-CF321AEE9D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92D9B-0A2A-457C-8A9D-6B15F4B2B204}"/>
</file>

<file path=customXml/itemProps3.xml><?xml version="1.0" encoding="utf-8"?>
<ds:datastoreItem xmlns:ds="http://schemas.openxmlformats.org/officeDocument/2006/customXml" ds:itemID="{01BF54FE-9CDC-4390-9D02-B07FFD96C3C1}"/>
</file>

<file path=customXml/itemProps4.xml><?xml version="1.0" encoding="utf-8"?>
<ds:datastoreItem xmlns:ds="http://schemas.openxmlformats.org/officeDocument/2006/customXml" ds:itemID="{EAD1C754-5204-441B-8231-0D73CCFE0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 Transfer File</vt:lpstr>
      <vt:lpstr>Exh JAD-1, Proof of Revenue</vt:lpstr>
      <vt:lpstr>Index To External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Darrington, Jacob</dc:creator>
  <cp:lastModifiedBy>Greg Macias</cp:lastModifiedBy>
  <dcterms:created xsi:type="dcterms:W3CDTF">2024-03-04T23:35:02Z</dcterms:created>
  <dcterms:modified xsi:type="dcterms:W3CDTF">2024-03-29T21:02:34Z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